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AF9D6C9B-194E-45D4-A804-F7FF1ACB24C6}" xr6:coauthVersionLast="47" xr6:coauthVersionMax="47" xr10:uidLastSave="{00000000-0000-0000-0000-000000000000}"/>
  <bookViews>
    <workbookView xWindow="-120" yWindow="-120" windowWidth="29040" windowHeight="15720" tabRatio="856" activeTab="3" xr2:uid="{00000000-000D-0000-FFFF-FFFF00000000}"/>
  </bookViews>
  <sheets>
    <sheet name="INFORMACION" sheetId="33" r:id="rId1"/>
    <sheet name="RENDIMIENTO" sheetId="42" state="hidden" r:id="rId2"/>
    <sheet name="ITEMS" sheetId="34" state="hidden" r:id="rId3"/>
    <sheet name="PPTO" sheetId="1" r:id="rId4"/>
    <sheet name="APUS" sheetId="36" r:id="rId5"/>
    <sheet name="INSUMOS" sheetId="35" r:id="rId6"/>
    <sheet name="DESGLOCE DE PERSONAL" sheetId="37" r:id="rId7"/>
    <sheet name="AIU" sheetId="43" r:id="rId8"/>
    <sheet name="Hoja4" sheetId="4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1" localSheetId="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7" hidden="1">'[1]BAR MANT RED AT'!#REF!</definedName>
    <definedName name="_xlnm._FilterDatabase" hidden="1">#REF!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7">[2]PRESUPUESTO!$F$237</definedName>
    <definedName name="Adm">#REF!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q" hidden="1">#REF!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7">AIU!$A$1:$J$68</definedName>
    <definedName name="_xlnm.Print_Area" localSheetId="4">APUS!$L$2:$W$5953</definedName>
    <definedName name="_xlnm.Print_Area" localSheetId="6">'DESGLOCE DE PERSONAL'!$B$1:$K$83</definedName>
    <definedName name="_xlnm.Print_Area" localSheetId="5">INSUMOS!$B$2:$L$937</definedName>
    <definedName name="_xlnm.Print_Area" localSheetId="2">ITEMS!$B$9:$I$131</definedName>
    <definedName name="_xlnm.Print_Area" localSheetId="3">PPTO!$C$2:$I$155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ase" localSheetId="7">[3]BaseDatos!$A$2:$F$505</definedName>
    <definedName name="base">#REF!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AP.1" localSheetId="7">PPTO!#REF!</definedName>
    <definedName name="CAP.1" localSheetId="2">ITEMS!#REF!</definedName>
    <definedName name="CAP.1">PPTO!#REF!</definedName>
    <definedName name="CAP.2" localSheetId="7">PPTO!#REF!</definedName>
    <definedName name="CAP.2" localSheetId="2">ITEMS!#REF!</definedName>
    <definedName name="CAP.2">PPTO!#REF!</definedName>
    <definedName name="CAP.3" localSheetId="7">PPTO!#REF!</definedName>
    <definedName name="CAP.3" localSheetId="2">ITEMS!#REF!</definedName>
    <definedName name="CAP.3">PPTO!#REF!</definedName>
    <definedName name="CAP.4" localSheetId="7">[4]PPTO!$C$37</definedName>
    <definedName name="CAP.4">#REF!</definedName>
    <definedName name="CAP.5" localSheetId="7">[4]PPTO!$C$44</definedName>
    <definedName name="CAP.5">#REF!</definedName>
    <definedName name="CAP.6" localSheetId="7">[4]PPTO!$C$50</definedName>
    <definedName name="CAP.6">#REF!</definedName>
    <definedName name="CAP.7" localSheetId="7">[4]PPTO!$C$60</definedName>
    <definedName name="CAP.7">#REF!</definedName>
    <definedName name="CAP.8" localSheetId="7">[4]PPTO!$C$73</definedName>
    <definedName name="CAP.8">#REF!</definedName>
    <definedName name="CAP.9" localSheetId="7">[4]PPTO!$C$79</definedName>
    <definedName name="CAP.9">#REF!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 localSheetId="7">[5]Equipo!$A$7:$A$65536</definedName>
    <definedName name="equipo">#REF!</definedName>
    <definedName name="EQUIPO_2" localSheetId="7">[6]Equipo!$A$7:$A$65536</definedName>
    <definedName name="EQUIPO_2">#REF!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rev" localSheetId="7">[2]PRESUPUESTO!$F$238</definedName>
    <definedName name="Imprev">#REF!</definedName>
    <definedName name="inf" localSheetId="7">#REF!</definedName>
    <definedName name="inf">#REF!</definedName>
    <definedName name="INTERV" localSheetId="7" hidden="1">{"via1",#N/A,TRUE,"general";"via2",#N/A,TRUE,"general";"via3",#N/A,TRUE,"general"}</definedName>
    <definedName name="INTERV" hidden="1">{"via1",#N/A,TRUE,"general";"via2",#N/A,TRUE,"general";"via3",#N/A,TRUE,"general"}</definedName>
    <definedName name="item">#REF!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SUtl" localSheetId="7">[2]PRESUPUESTO!#REF!</definedName>
    <definedName name="IvaSUtl">#REF!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 localSheetId="7">[5]materiales!$A$7:$A$1317</definedName>
    <definedName name="materiales">#REF!</definedName>
    <definedName name="MATERIALES_2" localSheetId="7">[6]materiales!$A$7:$A$1317</definedName>
    <definedName name="MATERIALES_2">#REF!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tros" localSheetId="7">[5]otros!$A$6:$A$1235</definedName>
    <definedName name="otros">#REF!</definedName>
    <definedName name="OTROS_2" localSheetId="7">[6]otros!$A$6:$A$1235</definedName>
    <definedName name="OTROS_2">#REF!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_xlnm.Print_Titles" localSheetId="4">APUS!$2:$9</definedName>
    <definedName name="_xlnm.Print_Titles" localSheetId="2">ITEMS!$3:$8</definedName>
    <definedName name="_xlnm.Print_Titles" localSheetId="3">PPTO!$2:$7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idad" localSheetId="7">[2]PRESUPUESTO!$F$239</definedName>
    <definedName name="Utilidad">#REF!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925" i="36" l="1"/>
  <c r="AE4915" i="36"/>
  <c r="T4914" i="36"/>
  <c r="S4914" i="36"/>
  <c r="R4914" i="36"/>
  <c r="O4914" i="36"/>
  <c r="N4914" i="36"/>
  <c r="T4913" i="36"/>
  <c r="S4913" i="36"/>
  <c r="R4913" i="36"/>
  <c r="O4913" i="36"/>
  <c r="N4913" i="36"/>
  <c r="AE4908" i="36"/>
  <c r="AE4891" i="36"/>
  <c r="AE4890" i="36"/>
  <c r="AE4889" i="36"/>
  <c r="S4887" i="36"/>
  <c r="I537" i="35"/>
  <c r="T5415" i="36"/>
  <c r="AE5405" i="36"/>
  <c r="T5404" i="36"/>
  <c r="S5404" i="36"/>
  <c r="R5404" i="36"/>
  <c r="O5404" i="36"/>
  <c r="N5404" i="36"/>
  <c r="T5403" i="36"/>
  <c r="S5403" i="36"/>
  <c r="R5403" i="36"/>
  <c r="O5403" i="36"/>
  <c r="N5403" i="36"/>
  <c r="AE5398" i="36"/>
  <c r="AE5381" i="36"/>
  <c r="AE5380" i="36"/>
  <c r="AE5379" i="36"/>
  <c r="S5377" i="36"/>
  <c r="T5366" i="36"/>
  <c r="AE5356" i="36"/>
  <c r="T5355" i="36"/>
  <c r="S5355" i="36"/>
  <c r="R5355" i="36"/>
  <c r="O5355" i="36"/>
  <c r="N5355" i="36"/>
  <c r="T5354" i="36"/>
  <c r="S5354" i="36"/>
  <c r="R5354" i="36"/>
  <c r="O5354" i="36"/>
  <c r="N5354" i="36"/>
  <c r="AE5349" i="36"/>
  <c r="T5346" i="36"/>
  <c r="S5346" i="36"/>
  <c r="Q5346" i="36"/>
  <c r="N5346" i="36"/>
  <c r="AE5341" i="36"/>
  <c r="AE5332" i="36"/>
  <c r="AE5331" i="36"/>
  <c r="AE5330" i="36"/>
  <c r="S5328" i="36"/>
  <c r="T4876" i="36"/>
  <c r="AE4866" i="36"/>
  <c r="T4865" i="36"/>
  <c r="S4865" i="36"/>
  <c r="R4865" i="36"/>
  <c r="O4865" i="36"/>
  <c r="N4865" i="36"/>
  <c r="T4864" i="36"/>
  <c r="S4864" i="36"/>
  <c r="R4864" i="36"/>
  <c r="O4864" i="36"/>
  <c r="N4864" i="36"/>
  <c r="AE4859" i="36"/>
  <c r="AE4842" i="36"/>
  <c r="AE4841" i="36"/>
  <c r="AE4840" i="36"/>
  <c r="S4838" i="36"/>
  <c r="T4827" i="36"/>
  <c r="AE4817" i="36"/>
  <c r="T4816" i="36"/>
  <c r="S4816" i="36"/>
  <c r="R4816" i="36"/>
  <c r="O4816" i="36"/>
  <c r="N4816" i="36"/>
  <c r="T4815" i="36"/>
  <c r="S4815" i="36"/>
  <c r="R4815" i="36"/>
  <c r="O4815" i="36"/>
  <c r="N4815" i="36"/>
  <c r="AE4810" i="36"/>
  <c r="T4807" i="36"/>
  <c r="S4807" i="36"/>
  <c r="Q4807" i="36"/>
  <c r="N4807" i="36"/>
  <c r="AE4793" i="36"/>
  <c r="AE4792" i="36"/>
  <c r="AE4791" i="36"/>
  <c r="S4789" i="36"/>
  <c r="T5950" i="36"/>
  <c r="AE5940" i="36"/>
  <c r="T5939" i="36"/>
  <c r="S5939" i="36"/>
  <c r="R5939" i="36"/>
  <c r="O5939" i="36"/>
  <c r="N5939" i="36"/>
  <c r="T5938" i="36"/>
  <c r="S5938" i="36"/>
  <c r="R5938" i="36"/>
  <c r="O5938" i="36"/>
  <c r="N5938" i="36"/>
  <c r="AE5933" i="36"/>
  <c r="AE5925" i="36"/>
  <c r="AE5916" i="36"/>
  <c r="AE5915" i="36"/>
  <c r="AE5914" i="36"/>
  <c r="S5912" i="36"/>
  <c r="T5901" i="36"/>
  <c r="AE5891" i="36"/>
  <c r="T5890" i="36"/>
  <c r="S5890" i="36"/>
  <c r="R5890" i="36"/>
  <c r="O5890" i="36"/>
  <c r="N5890" i="36"/>
  <c r="T5889" i="36"/>
  <c r="S5889" i="36"/>
  <c r="R5889" i="36"/>
  <c r="O5889" i="36"/>
  <c r="N5889" i="36"/>
  <c r="AE5884" i="36"/>
  <c r="AE5876" i="36"/>
  <c r="AE5867" i="36"/>
  <c r="AE5866" i="36"/>
  <c r="AE5865" i="36"/>
  <c r="S5863" i="36"/>
  <c r="T5852" i="36"/>
  <c r="AE5842" i="36"/>
  <c r="T5841" i="36"/>
  <c r="S5841" i="36"/>
  <c r="R5841" i="36"/>
  <c r="O5841" i="36"/>
  <c r="N5841" i="36"/>
  <c r="T5840" i="36"/>
  <c r="S5840" i="36"/>
  <c r="R5840" i="36"/>
  <c r="O5840" i="36"/>
  <c r="N5840" i="36"/>
  <c r="AE5835" i="36"/>
  <c r="AE5827" i="36"/>
  <c r="AE5818" i="36"/>
  <c r="AE5817" i="36"/>
  <c r="AE5816" i="36"/>
  <c r="S5814" i="36"/>
  <c r="I529" i="35"/>
  <c r="S5775" i="36"/>
  <c r="T5803" i="36"/>
  <c r="AE5793" i="36"/>
  <c r="T5792" i="36"/>
  <c r="S5792" i="36"/>
  <c r="R5792" i="36"/>
  <c r="O5792" i="36"/>
  <c r="N5792" i="36"/>
  <c r="T5791" i="36"/>
  <c r="S5791" i="36"/>
  <c r="R5791" i="36"/>
  <c r="O5791" i="36"/>
  <c r="N5791" i="36"/>
  <c r="AE5786" i="36"/>
  <c r="AE5778" i="36"/>
  <c r="AE5769" i="36"/>
  <c r="AE5768" i="36"/>
  <c r="AE5767" i="36"/>
  <c r="S5765" i="36"/>
  <c r="T5754" i="36"/>
  <c r="AE5744" i="36"/>
  <c r="T5743" i="36"/>
  <c r="S5743" i="36"/>
  <c r="R5743" i="36"/>
  <c r="O5743" i="36"/>
  <c r="N5743" i="36"/>
  <c r="T5742" i="36"/>
  <c r="S5742" i="36"/>
  <c r="R5742" i="36"/>
  <c r="O5742" i="36"/>
  <c r="N5742" i="36"/>
  <c r="AE5737" i="36"/>
  <c r="AE5729" i="36"/>
  <c r="AE5720" i="36"/>
  <c r="AE5719" i="36"/>
  <c r="AE5718" i="36"/>
  <c r="S5716" i="36"/>
  <c r="T515" i="36"/>
  <c r="AE499" i="36"/>
  <c r="AE491" i="36"/>
  <c r="AE482" i="36"/>
  <c r="AE481" i="36"/>
  <c r="S478" i="36"/>
  <c r="T467" i="36"/>
  <c r="T457" i="36"/>
  <c r="S457" i="36"/>
  <c r="R457" i="36"/>
  <c r="O457" i="36"/>
  <c r="N457" i="36"/>
  <c r="T456" i="36"/>
  <c r="S456" i="36"/>
  <c r="R456" i="36"/>
  <c r="O456" i="36"/>
  <c r="N456" i="36"/>
  <c r="AE451" i="36"/>
  <c r="AE443" i="36"/>
  <c r="AE434" i="36"/>
  <c r="AE433" i="36"/>
  <c r="S430" i="36"/>
  <c r="T419" i="36"/>
  <c r="T409" i="36"/>
  <c r="S409" i="36"/>
  <c r="R409" i="36"/>
  <c r="O409" i="36"/>
  <c r="N409" i="36"/>
  <c r="T408" i="36"/>
  <c r="S408" i="36"/>
  <c r="R408" i="36"/>
  <c r="O408" i="36"/>
  <c r="N408" i="36"/>
  <c r="AE403" i="36"/>
  <c r="AE395" i="36"/>
  <c r="AE386" i="36"/>
  <c r="AE385" i="36"/>
  <c r="S382" i="36"/>
  <c r="I527" i="35"/>
  <c r="S287" i="36"/>
  <c r="U4913" i="36" l="1"/>
  <c r="V4913" i="36" s="1"/>
  <c r="U4914" i="36"/>
  <c r="V4914" i="36" s="1"/>
  <c r="AE4914" i="36" s="1"/>
  <c r="U5403" i="36"/>
  <c r="V5403" i="36" s="1"/>
  <c r="V5346" i="36"/>
  <c r="AE5346" i="36" s="1"/>
  <c r="U5404" i="36"/>
  <c r="V5404" i="36" s="1"/>
  <c r="AE5404" i="36" s="1"/>
  <c r="U5355" i="36"/>
  <c r="V5355" i="36" s="1"/>
  <c r="AE5355" i="36" s="1"/>
  <c r="U5354" i="36"/>
  <c r="V5354" i="36" s="1"/>
  <c r="V4807" i="36"/>
  <c r="AE4807" i="36" s="1"/>
  <c r="U4865" i="36"/>
  <c r="V4865" i="36" s="1"/>
  <c r="AE4865" i="36" s="1"/>
  <c r="U4815" i="36"/>
  <c r="V4815" i="36" s="1"/>
  <c r="U4864" i="36"/>
  <c r="V4864" i="36" s="1"/>
  <c r="U4816" i="36"/>
  <c r="V4816" i="36" s="1"/>
  <c r="AE4816" i="36" s="1"/>
  <c r="U5938" i="36"/>
  <c r="V5938" i="36" s="1"/>
  <c r="U5841" i="36"/>
  <c r="V5841" i="36" s="1"/>
  <c r="AE5841" i="36" s="1"/>
  <c r="U5840" i="36"/>
  <c r="V5840" i="36" s="1"/>
  <c r="U5890" i="36"/>
  <c r="V5890" i="36" s="1"/>
  <c r="AE5890" i="36" s="1"/>
  <c r="U5939" i="36"/>
  <c r="V5939" i="36" s="1"/>
  <c r="AE5939" i="36" s="1"/>
  <c r="U5889" i="36"/>
  <c r="V5889" i="36" s="1"/>
  <c r="U5791" i="36"/>
  <c r="V5791" i="36" s="1"/>
  <c r="U5742" i="36"/>
  <c r="V5742" i="36" s="1"/>
  <c r="AE5742" i="36" s="1"/>
  <c r="U5743" i="36"/>
  <c r="V5743" i="36" s="1"/>
  <c r="AE5743" i="36" s="1"/>
  <c r="U5792" i="36"/>
  <c r="V5792" i="36" s="1"/>
  <c r="AE5792" i="36" s="1"/>
  <c r="U457" i="36"/>
  <c r="V457" i="36" s="1"/>
  <c r="AE457" i="36" s="1"/>
  <c r="U456" i="36"/>
  <c r="V456" i="36" s="1"/>
  <c r="U408" i="36"/>
  <c r="V408" i="36" s="1"/>
  <c r="U409" i="36"/>
  <c r="V409" i="36" s="1"/>
  <c r="AE409" i="36" s="1"/>
  <c r="AE4913" i="36" l="1"/>
  <c r="V4916" i="36"/>
  <c r="V4917" i="36" s="1"/>
  <c r="AE5403" i="36"/>
  <c r="V5406" i="36"/>
  <c r="V5407" i="36" s="1"/>
  <c r="AE5354" i="36"/>
  <c r="V5357" i="36"/>
  <c r="V5358" i="36" s="1"/>
  <c r="AE4864" i="36"/>
  <c r="V4867" i="36"/>
  <c r="V4868" i="36" s="1"/>
  <c r="AE4815" i="36"/>
  <c r="V4818" i="36"/>
  <c r="V4819" i="36" s="1"/>
  <c r="AE5938" i="36"/>
  <c r="V5941" i="36"/>
  <c r="V5942" i="36" s="1"/>
  <c r="AE5889" i="36"/>
  <c r="V5892" i="36"/>
  <c r="V5893" i="36" s="1"/>
  <c r="AE5840" i="36"/>
  <c r="V5843" i="36"/>
  <c r="V5844" i="36" s="1"/>
  <c r="V5745" i="36"/>
  <c r="V5746" i="36" s="1"/>
  <c r="AE5791" i="36"/>
  <c r="V5794" i="36"/>
  <c r="V5795" i="36" s="1"/>
  <c r="V458" i="36"/>
  <c r="V459" i="36" s="1"/>
  <c r="AE456" i="36"/>
  <c r="AE408" i="36"/>
  <c r="V410" i="36"/>
  <c r="V411" i="36" s="1"/>
  <c r="T4887" i="36" l="1"/>
  <c r="V4887" i="36" s="1"/>
  <c r="T5377" i="36"/>
  <c r="V5377" i="36" s="1"/>
  <c r="T5328" i="36"/>
  <c r="V5328" i="36" s="1"/>
  <c r="T4838" i="36"/>
  <c r="V4838" i="36" s="1"/>
  <c r="T4789" i="36"/>
  <c r="V4789" i="36" s="1"/>
  <c r="T5912" i="36"/>
  <c r="V5912" i="36" s="1"/>
  <c r="T5863" i="36"/>
  <c r="V5863" i="36" s="1"/>
  <c r="T5814" i="36"/>
  <c r="V5814" i="36" s="1"/>
  <c r="T5765" i="36"/>
  <c r="V5765" i="36" s="1"/>
  <c r="T5716" i="36"/>
  <c r="V5716" i="36" s="1"/>
  <c r="T430" i="36"/>
  <c r="V430" i="36" s="1"/>
  <c r="T382" i="36"/>
  <c r="V382" i="36" s="1"/>
  <c r="AE4887" i="36" l="1"/>
  <c r="AE5377" i="36"/>
  <c r="AE5328" i="36"/>
  <c r="AE4838" i="36"/>
  <c r="AE4789" i="36"/>
  <c r="AE5912" i="36"/>
  <c r="AE5863" i="36"/>
  <c r="AE5814" i="36"/>
  <c r="AE5716" i="36"/>
  <c r="AE5765" i="36"/>
  <c r="AE430" i="36"/>
  <c r="AE382" i="36"/>
  <c r="I866" i="35" l="1"/>
  <c r="I856" i="35"/>
  <c r="I855" i="35"/>
  <c r="T3798" i="36"/>
  <c r="AE3788" i="36"/>
  <c r="AE3781" i="36"/>
  <c r="AE3773" i="36"/>
  <c r="AE3764" i="36"/>
  <c r="AE3763" i="36"/>
  <c r="AE3762" i="36"/>
  <c r="S3760" i="36"/>
  <c r="T3749" i="36"/>
  <c r="AE3739" i="36"/>
  <c r="AE3732" i="36"/>
  <c r="AE3724" i="36"/>
  <c r="AE3715" i="36"/>
  <c r="AE3714" i="36"/>
  <c r="AE3713" i="36"/>
  <c r="S3711" i="36"/>
  <c r="T3700" i="36"/>
  <c r="AE3690" i="36"/>
  <c r="AE3683" i="36"/>
  <c r="AE3675" i="36"/>
  <c r="AE3666" i="36"/>
  <c r="AE3665" i="36"/>
  <c r="AE3664" i="36"/>
  <c r="S3662" i="36"/>
  <c r="T3651" i="36"/>
  <c r="AE3641" i="36"/>
  <c r="AE3634" i="36"/>
  <c r="AE3626" i="36"/>
  <c r="AE3617" i="36"/>
  <c r="AE3616" i="36"/>
  <c r="AE3615" i="36"/>
  <c r="S3613" i="36"/>
  <c r="T3602" i="36"/>
  <c r="AE3592" i="36"/>
  <c r="AE3585" i="36"/>
  <c r="AE3577" i="36"/>
  <c r="AE3568" i="36"/>
  <c r="AE3567" i="36"/>
  <c r="AE3566" i="36"/>
  <c r="S3564" i="36"/>
  <c r="T3553" i="36"/>
  <c r="AE3543" i="36"/>
  <c r="AE3536" i="36"/>
  <c r="AE3528" i="36"/>
  <c r="AE3519" i="36"/>
  <c r="AE3518" i="36"/>
  <c r="AE3517" i="36"/>
  <c r="S3515" i="36"/>
  <c r="C3805" i="36"/>
  <c r="D3815" i="36" s="1"/>
  <c r="E3824" i="36" s="1"/>
  <c r="F3832" i="36" s="1"/>
  <c r="S3809" i="36"/>
  <c r="V3812" i="36"/>
  <c r="AE3812" i="36" s="1"/>
  <c r="AE3813" i="36"/>
  <c r="AE3822" i="36"/>
  <c r="AE3830" i="36"/>
  <c r="AE3837" i="36"/>
  <c r="T3847" i="36"/>
  <c r="T3504" i="36"/>
  <c r="AE3494" i="36"/>
  <c r="AE3487" i="36"/>
  <c r="AE3479" i="36"/>
  <c r="AE3470" i="36"/>
  <c r="AE3469" i="36"/>
  <c r="AE3468" i="36"/>
  <c r="S3466" i="36"/>
  <c r="I808" i="35"/>
  <c r="J3835" i="36" l="1"/>
  <c r="J3836" i="36" s="1"/>
  <c r="G3839" i="36"/>
  <c r="H3841" i="36" s="1"/>
  <c r="I3850" i="36" s="1"/>
  <c r="C8" i="1"/>
  <c r="Y56" i="36"/>
  <c r="S5619" i="36"/>
  <c r="T5705" i="36"/>
  <c r="AE5695" i="36"/>
  <c r="AE5688" i="36"/>
  <c r="AE5680" i="36"/>
  <c r="AE5671" i="36"/>
  <c r="AE5670" i="36"/>
  <c r="AE5669" i="36"/>
  <c r="S5667" i="36"/>
  <c r="T5656" i="36"/>
  <c r="AE5646" i="36"/>
  <c r="AE5639" i="36"/>
  <c r="AE5631" i="36"/>
  <c r="AE5622" i="36"/>
  <c r="AE5621" i="36"/>
  <c r="AE5620" i="36"/>
  <c r="T5619" i="36"/>
  <c r="R5619" i="36"/>
  <c r="N5619" i="36"/>
  <c r="S5618" i="36"/>
  <c r="T5607" i="36"/>
  <c r="AE5597" i="36"/>
  <c r="AE5590" i="36"/>
  <c r="AE5582" i="36"/>
  <c r="AE5573" i="36"/>
  <c r="AE5572" i="36"/>
  <c r="AE5571" i="36"/>
  <c r="S5569" i="36"/>
  <c r="T5558" i="36"/>
  <c r="AE5548" i="36"/>
  <c r="AE5541" i="36"/>
  <c r="AE5533" i="36"/>
  <c r="AE5524" i="36"/>
  <c r="AE5523" i="36"/>
  <c r="AE5522" i="36"/>
  <c r="S5520" i="36"/>
  <c r="V5619" i="36" l="1"/>
  <c r="AE5619" i="36" s="1"/>
  <c r="E58" i="37" l="1"/>
  <c r="E59" i="37"/>
  <c r="I737" i="35"/>
  <c r="I743" i="35"/>
  <c r="I742" i="35"/>
  <c r="I746" i="35"/>
  <c r="I740" i="35"/>
  <c r="I739" i="35"/>
  <c r="T5509" i="36" l="1"/>
  <c r="S5475" i="36"/>
  <c r="T5464" i="36"/>
  <c r="AE5454" i="36"/>
  <c r="AE5447" i="36"/>
  <c r="AE5439" i="36"/>
  <c r="AE5430" i="36"/>
  <c r="AE5429" i="36"/>
  <c r="AE5428" i="36"/>
  <c r="S5426" i="36"/>
  <c r="I860" i="35" l="1"/>
  <c r="I363" i="35"/>
  <c r="I335" i="35"/>
  <c r="I329" i="35"/>
  <c r="I735" i="35" l="1"/>
  <c r="I736" i="35"/>
  <c r="I654" i="35"/>
  <c r="I388" i="35"/>
  <c r="I387" i="35"/>
  <c r="I854" i="35"/>
  <c r="I858" i="35" s="1"/>
  <c r="I857" i="35"/>
  <c r="I811" i="35"/>
  <c r="I815" i="35"/>
  <c r="I865" i="35" l="1"/>
  <c r="I778" i="35"/>
  <c r="I765" i="35"/>
  <c r="I761" i="35"/>
  <c r="I749" i="35"/>
  <c r="I713" i="35"/>
  <c r="I712" i="35"/>
  <c r="I814" i="35"/>
  <c r="I791" i="35"/>
  <c r="I799" i="35"/>
  <c r="I782" i="35"/>
  <c r="I779" i="35"/>
  <c r="I764" i="35"/>
  <c r="I469" i="35"/>
  <c r="I613" i="35"/>
  <c r="I612" i="35"/>
  <c r="I611" i="35"/>
  <c r="I610" i="35"/>
  <c r="I609" i="35"/>
  <c r="I608" i="35"/>
  <c r="I607" i="35"/>
  <c r="S3428" i="36"/>
  <c r="S2399" i="36" l="1"/>
  <c r="I744" i="35" l="1"/>
  <c r="S343" i="36" l="1"/>
  <c r="T5317" i="36"/>
  <c r="AE5307" i="36"/>
  <c r="AE5300" i="36"/>
  <c r="AE5292" i="36"/>
  <c r="AE5283" i="36"/>
  <c r="AE5282" i="36"/>
  <c r="AE5281" i="36"/>
  <c r="S5279" i="36"/>
  <c r="T5268" i="36"/>
  <c r="AE5258" i="36"/>
  <c r="AE5251" i="36"/>
  <c r="AE5243" i="36"/>
  <c r="AE5234" i="36"/>
  <c r="AE5233" i="36"/>
  <c r="AE5232" i="36"/>
  <c r="S5230" i="36"/>
  <c r="T5219" i="36"/>
  <c r="AE5209" i="36"/>
  <c r="AE5202" i="36"/>
  <c r="AE5194" i="36"/>
  <c r="AE5185" i="36"/>
  <c r="AE5184" i="36"/>
  <c r="AE5183" i="36"/>
  <c r="S5181" i="36"/>
  <c r="T5170" i="36"/>
  <c r="AE5160" i="36"/>
  <c r="AE5153" i="36"/>
  <c r="AE5145" i="36"/>
  <c r="AE5136" i="36"/>
  <c r="AE5135" i="36"/>
  <c r="AE5134" i="36"/>
  <c r="S5132" i="36"/>
  <c r="T5121" i="36"/>
  <c r="AE5111" i="36"/>
  <c r="AE5104" i="36"/>
  <c r="AE5096" i="36"/>
  <c r="AE5087" i="36"/>
  <c r="AE5086" i="36"/>
  <c r="AE5085" i="36"/>
  <c r="S5083" i="36"/>
  <c r="T4778" i="36"/>
  <c r="AE4768" i="36"/>
  <c r="AE4761" i="36"/>
  <c r="AE4744" i="36"/>
  <c r="AE4743" i="36"/>
  <c r="AE4742" i="36"/>
  <c r="S4740" i="36"/>
  <c r="T4729" i="36"/>
  <c r="AE4719" i="36"/>
  <c r="AE4712" i="36"/>
  <c r="AE4704" i="36"/>
  <c r="AE4695" i="36"/>
  <c r="AE4694" i="36"/>
  <c r="AE4693" i="36"/>
  <c r="S4691" i="36"/>
  <c r="T4680" i="36"/>
  <c r="AE4670" i="36"/>
  <c r="AE4663" i="36"/>
  <c r="AE4655" i="36"/>
  <c r="AE4646" i="36"/>
  <c r="AE4645" i="36"/>
  <c r="AE4644" i="36"/>
  <c r="S4642" i="36"/>
  <c r="T4631" i="36"/>
  <c r="AE4621" i="36"/>
  <c r="AE4614" i="36"/>
  <c r="AE4606" i="36"/>
  <c r="AE4597" i="36"/>
  <c r="AE4596" i="36"/>
  <c r="AE4595" i="36"/>
  <c r="S4593" i="36"/>
  <c r="T4582" i="36"/>
  <c r="AE4572" i="36"/>
  <c r="AE4565" i="36"/>
  <c r="AE4557" i="36"/>
  <c r="AE4548" i="36"/>
  <c r="AE4547" i="36"/>
  <c r="AE4546" i="36"/>
  <c r="S4544" i="36"/>
  <c r="T4533" i="36"/>
  <c r="AE4523" i="36"/>
  <c r="AE4516" i="36"/>
  <c r="AE4508" i="36"/>
  <c r="AE4499" i="36"/>
  <c r="AE4498" i="36"/>
  <c r="AE4497" i="36"/>
  <c r="S4495" i="36"/>
  <c r="T4484" i="36"/>
  <c r="AE4474" i="36"/>
  <c r="AE4467" i="36"/>
  <c r="AE4459" i="36"/>
  <c r="AE4450" i="36"/>
  <c r="AE4449" i="36"/>
  <c r="AE4448" i="36"/>
  <c r="S4446" i="36"/>
  <c r="T4435" i="36"/>
  <c r="AE4425" i="36"/>
  <c r="AE4418" i="36"/>
  <c r="AE4410" i="36"/>
  <c r="AE4401" i="36"/>
  <c r="AE4400" i="36"/>
  <c r="AE4399" i="36"/>
  <c r="S4397" i="36"/>
  <c r="T4386" i="36"/>
  <c r="AE4376" i="36"/>
  <c r="AE4369" i="36"/>
  <c r="AE4361" i="36"/>
  <c r="AE4352" i="36"/>
  <c r="AE4351" i="36"/>
  <c r="AE4350" i="36"/>
  <c r="S4348" i="36"/>
  <c r="T4337" i="36"/>
  <c r="AE4327" i="36"/>
  <c r="AE4320" i="36"/>
  <c r="AE4312" i="36"/>
  <c r="AE4303" i="36"/>
  <c r="AE4302" i="36"/>
  <c r="AE4301" i="36"/>
  <c r="S4299" i="36"/>
  <c r="T4288" i="36"/>
  <c r="AE4278" i="36"/>
  <c r="AE4271" i="36"/>
  <c r="AE4263" i="36"/>
  <c r="AE4254" i="36"/>
  <c r="AE4253" i="36"/>
  <c r="AE4252" i="36"/>
  <c r="S4250" i="36"/>
  <c r="T4239" i="36"/>
  <c r="AE4229" i="36"/>
  <c r="AE4222" i="36"/>
  <c r="AE4214" i="36"/>
  <c r="AE4205" i="36"/>
  <c r="AE4204" i="36"/>
  <c r="AE4203" i="36"/>
  <c r="S4201" i="36"/>
  <c r="T3455" i="36"/>
  <c r="S3414" i="36"/>
  <c r="T3404" i="36"/>
  <c r="AE3394" i="36"/>
  <c r="AE3387" i="36"/>
  <c r="AE3379" i="36"/>
  <c r="AE3370" i="36"/>
  <c r="AE3369" i="36"/>
  <c r="AE3368" i="36"/>
  <c r="S3366" i="36"/>
  <c r="T3355" i="36"/>
  <c r="AE3345" i="36"/>
  <c r="AE3338" i="36"/>
  <c r="AE3330" i="36"/>
  <c r="AE3321" i="36"/>
  <c r="AE3320" i="36"/>
  <c r="AE3319" i="36"/>
  <c r="S3317" i="36"/>
  <c r="T3306" i="36"/>
  <c r="AE3296" i="36"/>
  <c r="AE3289" i="36"/>
  <c r="AE3281" i="36"/>
  <c r="AE3272" i="36"/>
  <c r="AE3271" i="36"/>
  <c r="AE3270" i="36"/>
  <c r="S3268" i="36"/>
  <c r="T3257" i="36"/>
  <c r="AE3247" i="36"/>
  <c r="AE3223" i="36"/>
  <c r="AE3222" i="36"/>
  <c r="S3220" i="36"/>
  <c r="T3209" i="36"/>
  <c r="AE3199" i="36"/>
  <c r="AE3192" i="36"/>
  <c r="AE3174" i="36"/>
  <c r="AE3173" i="36"/>
  <c r="AE3172" i="36"/>
  <c r="S3170" i="36"/>
  <c r="T3159" i="36"/>
  <c r="AE3149" i="36"/>
  <c r="AE3142" i="36"/>
  <c r="AE3134" i="36"/>
  <c r="AE3125" i="36"/>
  <c r="AE3124" i="36"/>
  <c r="AE3123" i="36"/>
  <c r="S3121" i="36"/>
  <c r="T3110" i="36"/>
  <c r="AE3100" i="36"/>
  <c r="AE3093" i="36"/>
  <c r="AE3085" i="36"/>
  <c r="AE3076" i="36"/>
  <c r="AE3075" i="36"/>
  <c r="AE3074" i="36"/>
  <c r="S3072" i="36"/>
  <c r="T3061" i="36"/>
  <c r="AE3051" i="36"/>
  <c r="AE3044" i="36"/>
  <c r="AE3036" i="36"/>
  <c r="AE3027" i="36"/>
  <c r="AE3026" i="36"/>
  <c r="AE3025" i="36"/>
  <c r="S3023" i="36"/>
  <c r="T3012" i="36"/>
  <c r="AE3002" i="36"/>
  <c r="AE2995" i="36"/>
  <c r="AE2987" i="36"/>
  <c r="AE2978" i="36"/>
  <c r="AE2977" i="36"/>
  <c r="AE2976" i="36"/>
  <c r="S2974" i="36"/>
  <c r="T2963" i="36"/>
  <c r="AE2953" i="36"/>
  <c r="AE2946" i="36"/>
  <c r="AE2938" i="36"/>
  <c r="AE2929" i="36"/>
  <c r="AE2928" i="36"/>
  <c r="AE2927" i="36"/>
  <c r="S2925" i="36"/>
  <c r="T2914" i="36"/>
  <c r="AE2904" i="36"/>
  <c r="AE2897" i="36"/>
  <c r="AE2889" i="36"/>
  <c r="AE2880" i="36"/>
  <c r="AE2879" i="36"/>
  <c r="AE2878" i="36"/>
  <c r="S2876" i="36"/>
  <c r="T2865" i="36"/>
  <c r="AE2855" i="36"/>
  <c r="AE2848" i="36"/>
  <c r="AE2840" i="36"/>
  <c r="AE2831" i="36"/>
  <c r="AE2830" i="36"/>
  <c r="AE2829" i="36"/>
  <c r="S2827" i="36"/>
  <c r="T2816" i="36"/>
  <c r="AE2806" i="36"/>
  <c r="AE2799" i="36"/>
  <c r="AE2791" i="36"/>
  <c r="AE2782" i="36"/>
  <c r="AE2781" i="36"/>
  <c r="AE2780" i="36"/>
  <c r="S2778" i="36"/>
  <c r="T2767" i="36"/>
  <c r="AE2757" i="36"/>
  <c r="AE2750" i="36"/>
  <c r="AE2742" i="36"/>
  <c r="AE2733" i="36"/>
  <c r="AE2732" i="36"/>
  <c r="AE2731" i="36"/>
  <c r="S2729" i="36"/>
  <c r="T2718" i="36"/>
  <c r="AE2708" i="36"/>
  <c r="AE2701" i="36"/>
  <c r="AE2693" i="36"/>
  <c r="AE2684" i="36"/>
  <c r="AE2683" i="36"/>
  <c r="AE2682" i="36"/>
  <c r="S2680" i="36"/>
  <c r="T2669" i="36"/>
  <c r="AE2659" i="36"/>
  <c r="AE2652" i="36"/>
  <c r="AE2644" i="36"/>
  <c r="AE2635" i="36"/>
  <c r="AE2634" i="36"/>
  <c r="AE2633" i="36"/>
  <c r="S2631" i="36"/>
  <c r="T2424" i="36"/>
  <c r="S2386" i="36"/>
  <c r="T2375" i="36"/>
  <c r="AE2365" i="36"/>
  <c r="AE2358" i="36"/>
  <c r="AE2350" i="36"/>
  <c r="AE2341" i="36"/>
  <c r="AE2340" i="36"/>
  <c r="AE2339" i="36"/>
  <c r="S2337" i="36"/>
  <c r="T2326" i="36"/>
  <c r="AE2316" i="36"/>
  <c r="AE2309" i="36"/>
  <c r="AE2301" i="36"/>
  <c r="AE2292" i="36"/>
  <c r="AE2291" i="36"/>
  <c r="AE2290" i="36"/>
  <c r="S2288" i="36"/>
  <c r="T2277" i="36"/>
  <c r="AE2267" i="36"/>
  <c r="AE2260" i="36"/>
  <c r="AE2252" i="36"/>
  <c r="AE2243" i="36"/>
  <c r="AE2242" i="36"/>
  <c r="AE2241" i="36"/>
  <c r="S2239" i="36"/>
  <c r="T2228" i="36"/>
  <c r="AE2218" i="36"/>
  <c r="AE2211" i="36"/>
  <c r="AE2203" i="36"/>
  <c r="AE2194" i="36"/>
  <c r="AE2193" i="36"/>
  <c r="AE2192" i="36"/>
  <c r="S2190" i="36"/>
  <c r="T2179" i="36"/>
  <c r="AE2169" i="36"/>
  <c r="AE2162" i="36"/>
  <c r="AE2154" i="36"/>
  <c r="AE2145" i="36"/>
  <c r="AE2144" i="36"/>
  <c r="AE2143" i="36"/>
  <c r="S2141" i="36"/>
  <c r="T2130" i="36"/>
  <c r="AE2120" i="36"/>
  <c r="AE2113" i="36"/>
  <c r="AE2105" i="36"/>
  <c r="AE2096" i="36"/>
  <c r="AE2095" i="36"/>
  <c r="AE2094" i="36"/>
  <c r="S2092" i="36"/>
  <c r="T2081" i="36"/>
  <c r="AE2071" i="36"/>
  <c r="AE2064" i="36"/>
  <c r="AE2056" i="36"/>
  <c r="AE2047" i="36"/>
  <c r="AE2046" i="36"/>
  <c r="AE2045" i="36"/>
  <c r="S2043" i="36"/>
  <c r="T2032" i="36"/>
  <c r="AE2022" i="36"/>
  <c r="AE2015" i="36"/>
  <c r="AE2007" i="36"/>
  <c r="AE1998" i="36"/>
  <c r="AE1997" i="36"/>
  <c r="AE1996" i="36"/>
  <c r="S1994" i="36"/>
  <c r="T1983" i="36"/>
  <c r="AE1973" i="36"/>
  <c r="AE1966" i="36"/>
  <c r="AE1958" i="36"/>
  <c r="AE1949" i="36"/>
  <c r="AE1948" i="36"/>
  <c r="AE1947" i="36"/>
  <c r="S1945" i="36"/>
  <c r="T1934" i="36"/>
  <c r="AE1924" i="36"/>
  <c r="AE1917" i="36"/>
  <c r="AE1909" i="36"/>
  <c r="AE1900" i="36"/>
  <c r="AE1899" i="36"/>
  <c r="AE1898" i="36"/>
  <c r="S1896" i="36"/>
  <c r="T1885" i="36"/>
  <c r="AE1875" i="36"/>
  <c r="AE1868" i="36"/>
  <c r="AE1860" i="36"/>
  <c r="AE1851" i="36"/>
  <c r="AE1850" i="36"/>
  <c r="AE1849" i="36"/>
  <c r="S1847" i="36"/>
  <c r="T1836" i="36"/>
  <c r="AE1826" i="36"/>
  <c r="AE1819" i="36"/>
  <c r="AE1811" i="36"/>
  <c r="AE1802" i="36"/>
  <c r="AE1801" i="36"/>
  <c r="AE1800" i="36"/>
  <c r="S1798" i="36"/>
  <c r="T1787" i="36"/>
  <c r="AE1777" i="36"/>
  <c r="AE1770" i="36"/>
  <c r="AE1762" i="36"/>
  <c r="AE1753" i="36"/>
  <c r="AE1752" i="36"/>
  <c r="AE1751" i="36"/>
  <c r="S1749" i="36"/>
  <c r="T1738" i="36"/>
  <c r="AE1728" i="36"/>
  <c r="AE1721" i="36"/>
  <c r="AE1713" i="36"/>
  <c r="AE1704" i="36"/>
  <c r="AE1703" i="36"/>
  <c r="AE1702" i="36"/>
  <c r="S1700" i="36"/>
  <c r="T1689" i="36"/>
  <c r="AE1679" i="36"/>
  <c r="AE1672" i="36"/>
  <c r="AE1664" i="36"/>
  <c r="AE1655" i="36"/>
  <c r="AE1654" i="36"/>
  <c r="AE1653" i="36"/>
  <c r="S1651" i="36"/>
  <c r="T1640" i="36"/>
  <c r="AE1630" i="36"/>
  <c r="AE1623" i="36"/>
  <c r="AE1615" i="36"/>
  <c r="AE1606" i="36"/>
  <c r="AE1605" i="36"/>
  <c r="AE1604" i="36"/>
  <c r="S1602" i="36"/>
  <c r="T1591" i="36"/>
  <c r="AE1581" i="36"/>
  <c r="AE1574" i="36"/>
  <c r="AE1566" i="36"/>
  <c r="AE1557" i="36"/>
  <c r="AE1556" i="36"/>
  <c r="AE1555" i="36"/>
  <c r="S1553" i="36"/>
  <c r="T1542" i="36"/>
  <c r="AE1532" i="36"/>
  <c r="AE1525" i="36"/>
  <c r="AE1517" i="36"/>
  <c r="AE1508" i="36"/>
  <c r="AE1507" i="36"/>
  <c r="AE1506" i="36"/>
  <c r="S1504" i="36"/>
  <c r="T1493" i="36"/>
  <c r="AE1483" i="36"/>
  <c r="AE1476" i="36"/>
  <c r="AE1468" i="36"/>
  <c r="AE1459" i="36"/>
  <c r="AE1458" i="36"/>
  <c r="AE1457" i="36"/>
  <c r="S1455" i="36"/>
  <c r="T1444" i="36"/>
  <c r="AE1434" i="36"/>
  <c r="AE1427" i="36"/>
  <c r="AE1419" i="36"/>
  <c r="AE1410" i="36"/>
  <c r="AE1409" i="36"/>
  <c r="AE1408" i="36"/>
  <c r="S1406" i="36"/>
  <c r="T1395" i="36"/>
  <c r="AE1385" i="36"/>
  <c r="AE1378" i="36"/>
  <c r="AE1370" i="36"/>
  <c r="AE1361" i="36"/>
  <c r="AE1360" i="36"/>
  <c r="AE1359" i="36"/>
  <c r="S1357" i="36"/>
  <c r="T1346" i="36"/>
  <c r="AE1336" i="36"/>
  <c r="AE1329" i="36"/>
  <c r="AE1321" i="36"/>
  <c r="AE1312" i="36"/>
  <c r="AE1311" i="36"/>
  <c r="AE1310" i="36"/>
  <c r="S1308" i="36"/>
  <c r="T1297" i="36"/>
  <c r="AE1287" i="36"/>
  <c r="AE1280" i="36"/>
  <c r="AE1272" i="36"/>
  <c r="AE1263" i="36"/>
  <c r="AE1262" i="36"/>
  <c r="AE1261" i="36"/>
  <c r="S1259" i="36"/>
  <c r="T1248" i="36"/>
  <c r="AE1238" i="36"/>
  <c r="AE1231" i="36"/>
  <c r="AE1223" i="36"/>
  <c r="AE1214" i="36"/>
  <c r="AE1213" i="36"/>
  <c r="AE1212" i="36"/>
  <c r="S1210" i="36"/>
  <c r="T1199" i="36"/>
  <c r="AE1189" i="36"/>
  <c r="AE1182" i="36"/>
  <c r="AE1174" i="36"/>
  <c r="AE1165" i="36"/>
  <c r="AE1164" i="36"/>
  <c r="AE1163" i="36"/>
  <c r="S1161" i="36"/>
  <c r="T1150" i="36"/>
  <c r="AE1140" i="36"/>
  <c r="AE1133" i="36"/>
  <c r="AE1125" i="36"/>
  <c r="AE1116" i="36"/>
  <c r="AE1115" i="36"/>
  <c r="AE1114" i="36"/>
  <c r="S1112" i="36"/>
  <c r="T1101" i="36"/>
  <c r="AE1091" i="36"/>
  <c r="AE1084" i="36"/>
  <c r="AE1076" i="36"/>
  <c r="AE1067" i="36"/>
  <c r="AE1066" i="36"/>
  <c r="AE1065" i="36"/>
  <c r="S1063" i="36"/>
  <c r="T1052" i="36"/>
  <c r="AE1042" i="36"/>
  <c r="AE1035" i="36"/>
  <c r="AE1027" i="36"/>
  <c r="AE1018" i="36"/>
  <c r="AE1017" i="36"/>
  <c r="AE1016" i="36"/>
  <c r="S1014" i="36"/>
  <c r="T1003" i="36"/>
  <c r="AE993" i="36"/>
  <c r="AE986" i="36"/>
  <c r="AE978" i="36"/>
  <c r="AE969" i="36"/>
  <c r="AE968" i="36"/>
  <c r="AE967" i="36"/>
  <c r="S965" i="36"/>
  <c r="T954" i="36"/>
  <c r="AE944" i="36"/>
  <c r="AE937" i="36"/>
  <c r="AE929" i="36"/>
  <c r="AE920" i="36"/>
  <c r="AE919" i="36"/>
  <c r="AE918" i="36"/>
  <c r="S916" i="36"/>
  <c r="T905" i="36"/>
  <c r="AE895" i="36"/>
  <c r="AE888" i="36"/>
  <c r="AE880" i="36"/>
  <c r="AE871" i="36"/>
  <c r="AE870" i="36"/>
  <c r="AE869" i="36"/>
  <c r="S867" i="36"/>
  <c r="T856" i="36"/>
  <c r="AE846" i="36"/>
  <c r="AE839" i="36"/>
  <c r="AE831" i="36"/>
  <c r="AE822" i="36"/>
  <c r="AE821" i="36"/>
  <c r="AE820" i="36"/>
  <c r="S818" i="36"/>
  <c r="T371" i="36"/>
  <c r="AE355" i="36"/>
  <c r="AE338" i="36"/>
  <c r="AE337" i="36"/>
  <c r="S334" i="36"/>
  <c r="I659" i="35" l="1"/>
  <c r="I476" i="35"/>
  <c r="I475" i="35"/>
  <c r="I474" i="35"/>
  <c r="I472" i="35"/>
  <c r="T5072" i="36" l="1"/>
  <c r="AE5062" i="36"/>
  <c r="AE5055" i="36"/>
  <c r="AE5047" i="36"/>
  <c r="AE5038" i="36"/>
  <c r="AE5037" i="36"/>
  <c r="AE5036" i="36"/>
  <c r="S5034" i="36"/>
  <c r="T5023" i="36"/>
  <c r="AE5013" i="36"/>
  <c r="AE5006" i="36"/>
  <c r="AE4998" i="36"/>
  <c r="AE4989" i="36"/>
  <c r="AE4988" i="36"/>
  <c r="AE4987" i="36"/>
  <c r="S4985" i="36"/>
  <c r="N4981" i="36"/>
  <c r="N4980" i="36"/>
  <c r="T4974" i="36"/>
  <c r="AE4964" i="36"/>
  <c r="AE4957" i="36"/>
  <c r="AE4940" i="36"/>
  <c r="AE4939" i="36"/>
  <c r="S4936" i="36"/>
  <c r="C4932" i="36"/>
  <c r="D4942" i="36" s="1"/>
  <c r="E4951" i="36" s="1"/>
  <c r="F4959" i="36" s="1"/>
  <c r="T4190" i="36"/>
  <c r="AE4180" i="36"/>
  <c r="AE4173" i="36"/>
  <c r="AE4165" i="36"/>
  <c r="AE4156" i="36"/>
  <c r="AE4155" i="36"/>
  <c r="AE4154" i="36"/>
  <c r="S4152" i="36"/>
  <c r="N233" i="36"/>
  <c r="N234" i="36"/>
  <c r="N282" i="36" s="1"/>
  <c r="N330" i="36" s="1"/>
  <c r="N378" i="36" s="1"/>
  <c r="N426" i="36" s="1"/>
  <c r="N474" i="36" s="1"/>
  <c r="T323" i="36"/>
  <c r="AE307" i="36"/>
  <c r="AE299" i="36"/>
  <c r="AE290" i="36"/>
  <c r="AE289" i="36"/>
  <c r="T287" i="36"/>
  <c r="V287" i="36" s="1"/>
  <c r="AE287" i="36" s="1"/>
  <c r="R287" i="36"/>
  <c r="N287" i="36"/>
  <c r="S286" i="36"/>
  <c r="T2620" i="36"/>
  <c r="AE2610" i="36"/>
  <c r="AE2603" i="36"/>
  <c r="AE2595" i="36"/>
  <c r="AE2586" i="36"/>
  <c r="AE2585" i="36"/>
  <c r="AE2584" i="36"/>
  <c r="S2582" i="36"/>
  <c r="T2571" i="36"/>
  <c r="AE2561" i="36"/>
  <c r="AE2554" i="36"/>
  <c r="AE2546" i="36"/>
  <c r="AE2537" i="36"/>
  <c r="AE2536" i="36"/>
  <c r="AE2535" i="36"/>
  <c r="S2533" i="36"/>
  <c r="C474" i="36" l="1"/>
  <c r="D484" i="36" s="1"/>
  <c r="E493" i="36" s="1"/>
  <c r="F501" i="36" s="1"/>
  <c r="C426" i="36"/>
  <c r="D436" i="36" s="1"/>
  <c r="E445" i="36" s="1"/>
  <c r="F453" i="36" s="1"/>
  <c r="C378" i="36"/>
  <c r="D388" i="36" s="1"/>
  <c r="E397" i="36" s="1"/>
  <c r="F405" i="36" s="1"/>
  <c r="C330" i="36"/>
  <c r="D340" i="36" s="1"/>
  <c r="E349" i="36" s="1"/>
  <c r="F357" i="36" s="1"/>
  <c r="J4962" i="36"/>
  <c r="J4963" i="36" s="1"/>
  <c r="G4966" i="36"/>
  <c r="H4968" i="36" s="1"/>
  <c r="I4977" i="36" s="1"/>
  <c r="N5029" i="36"/>
  <c r="N5078" i="36" s="1"/>
  <c r="N5127" i="36" s="1"/>
  <c r="N5176" i="36" s="1"/>
  <c r="N5225" i="36" s="1"/>
  <c r="N5274" i="36" s="1"/>
  <c r="N5323" i="36" s="1"/>
  <c r="C4981" i="36"/>
  <c r="D4991" i="36" s="1"/>
  <c r="E5000" i="36" s="1"/>
  <c r="F5008" i="36" s="1"/>
  <c r="N5030" i="36"/>
  <c r="N5079" i="36" s="1"/>
  <c r="N5372" i="36" l="1"/>
  <c r="J504" i="36"/>
  <c r="J505" i="36" s="1"/>
  <c r="G507" i="36"/>
  <c r="H509" i="36" s="1"/>
  <c r="I518" i="36" s="1"/>
  <c r="G459" i="36"/>
  <c r="H461" i="36" s="1"/>
  <c r="I470" i="36" s="1"/>
  <c r="J456" i="36"/>
  <c r="J457" i="36" s="1"/>
  <c r="G411" i="36"/>
  <c r="H413" i="36" s="1"/>
  <c r="I422" i="36" s="1"/>
  <c r="J408" i="36"/>
  <c r="J409" i="36" s="1"/>
  <c r="N5128" i="36"/>
  <c r="C5079" i="36"/>
  <c r="D5089" i="36" s="1"/>
  <c r="E5098" i="36" s="1"/>
  <c r="F5106" i="36" s="1"/>
  <c r="J360" i="36"/>
  <c r="J361" i="36" s="1"/>
  <c r="G363" i="36"/>
  <c r="H365" i="36" s="1"/>
  <c r="I374" i="36" s="1"/>
  <c r="C5030" i="36"/>
  <c r="D5040" i="36" s="1"/>
  <c r="E5049" i="36" s="1"/>
  <c r="F5057" i="36" s="1"/>
  <c r="G5015" i="36"/>
  <c r="H5017" i="36" s="1"/>
  <c r="I5026" i="36" s="1"/>
  <c r="J5011" i="36"/>
  <c r="J5012" i="36" s="1"/>
  <c r="N5470" i="36" l="1"/>
  <c r="N5515" i="36" s="1"/>
  <c r="N5564" i="36" s="1"/>
  <c r="N5613" i="36" s="1"/>
  <c r="N5662" i="36" s="1"/>
  <c r="N5711" i="36" s="1"/>
  <c r="N5760" i="36" s="1"/>
  <c r="N5809" i="36" s="1"/>
  <c r="N5858" i="36" s="1"/>
  <c r="N5907" i="36" s="1"/>
  <c r="N5177" i="36"/>
  <c r="C5128" i="36"/>
  <c r="D5138" i="36" s="1"/>
  <c r="E5147" i="36" s="1"/>
  <c r="F5155" i="36" s="1"/>
  <c r="J5109" i="36"/>
  <c r="J5110" i="36" s="1"/>
  <c r="G5113" i="36"/>
  <c r="H5115" i="36" s="1"/>
  <c r="I5124" i="36" s="1"/>
  <c r="J5060" i="36"/>
  <c r="J5061" i="36" s="1"/>
  <c r="G5064" i="36"/>
  <c r="H5066" i="36" s="1"/>
  <c r="I5075" i="36" s="1"/>
  <c r="J5158" i="36" l="1"/>
  <c r="J5159" i="36" s="1"/>
  <c r="G5162" i="36"/>
  <c r="H5164" i="36" s="1"/>
  <c r="I5173" i="36" s="1"/>
  <c r="N5226" i="36"/>
  <c r="C5177" i="36"/>
  <c r="D5187" i="36" s="1"/>
  <c r="E5196" i="36" s="1"/>
  <c r="F5204" i="36" s="1"/>
  <c r="J5207" i="36" l="1"/>
  <c r="J5208" i="36" s="1"/>
  <c r="G5211" i="36"/>
  <c r="H5213" i="36" s="1"/>
  <c r="I5222" i="36" s="1"/>
  <c r="N5275" i="36"/>
  <c r="N5324" i="36" s="1"/>
  <c r="N5373" i="36" s="1"/>
  <c r="C5226" i="36"/>
  <c r="D5236" i="36" s="1"/>
  <c r="E5245" i="36" s="1"/>
  <c r="F5253" i="36" s="1"/>
  <c r="T275" i="36"/>
  <c r="AE259" i="36"/>
  <c r="AE251" i="36"/>
  <c r="AE242" i="36"/>
  <c r="AE241" i="36"/>
  <c r="S238" i="36"/>
  <c r="C234" i="36"/>
  <c r="D244" i="36" s="1"/>
  <c r="E253" i="36" s="1"/>
  <c r="F261" i="36" s="1"/>
  <c r="C5373" i="36" l="1"/>
  <c r="D5383" i="36" s="1"/>
  <c r="E5392" i="36" s="1"/>
  <c r="F5400" i="36" s="1"/>
  <c r="C5324" i="36"/>
  <c r="D5334" i="36" s="1"/>
  <c r="E5343" i="36" s="1"/>
  <c r="F5351" i="36" s="1"/>
  <c r="C5275" i="36"/>
  <c r="D5285" i="36" s="1"/>
  <c r="E5294" i="36" s="1"/>
  <c r="F5302" i="36" s="1"/>
  <c r="J5305" i="36" s="1"/>
  <c r="J5306" i="36" s="1"/>
  <c r="J5256" i="36"/>
  <c r="J5257" i="36" s="1"/>
  <c r="G5260" i="36"/>
  <c r="H5262" i="36" s="1"/>
  <c r="I5271" i="36" s="1"/>
  <c r="N281" i="36"/>
  <c r="N329" i="36" s="1"/>
  <c r="N377" i="36" s="1"/>
  <c r="J264" i="36"/>
  <c r="J265" i="36" s="1"/>
  <c r="G267" i="36"/>
  <c r="H269" i="36" s="1"/>
  <c r="I278" i="36" s="1"/>
  <c r="J5403" i="36" l="1"/>
  <c r="J5404" i="36" s="1"/>
  <c r="G5407" i="36"/>
  <c r="H5409" i="36" s="1"/>
  <c r="I5418" i="36" s="1"/>
  <c r="J5354" i="36"/>
  <c r="J5355" i="36" s="1"/>
  <c r="G5358" i="36"/>
  <c r="H5360" i="36" s="1"/>
  <c r="I5369" i="36" s="1"/>
  <c r="N425" i="36"/>
  <c r="N473" i="36" s="1"/>
  <c r="G5309" i="36"/>
  <c r="H5311" i="36" s="1"/>
  <c r="I5320" i="36" s="1"/>
  <c r="C282" i="36"/>
  <c r="D292" i="36" s="1"/>
  <c r="E301" i="36" s="1"/>
  <c r="F309" i="36" s="1"/>
  <c r="N5471" i="36" l="1"/>
  <c r="N5516" i="36" s="1"/>
  <c r="C5422" i="36"/>
  <c r="D5432" i="36" s="1"/>
  <c r="E5441" i="36" s="1"/>
  <c r="F5449" i="36" s="1"/>
  <c r="J312" i="36"/>
  <c r="J313" i="36" s="1"/>
  <c r="G315" i="36"/>
  <c r="H317" i="36" s="1"/>
  <c r="I326" i="36" s="1"/>
  <c r="N5565" i="36" l="1"/>
  <c r="N5614" i="36" s="1"/>
  <c r="C5516" i="36"/>
  <c r="D5526" i="36" s="1"/>
  <c r="E5535" i="36" s="1"/>
  <c r="F5543" i="36" s="1"/>
  <c r="C5471" i="36"/>
  <c r="D5478" i="36" s="1"/>
  <c r="E5490" i="36" s="1"/>
  <c r="F5495" i="36" s="1"/>
  <c r="G5456" i="36"/>
  <c r="H5458" i="36" s="1"/>
  <c r="I5467" i="36" s="1"/>
  <c r="J5452" i="36"/>
  <c r="J5453" i="36" s="1"/>
  <c r="AA8" i="36"/>
  <c r="AA7" i="36"/>
  <c r="N5663" i="36" l="1"/>
  <c r="C5614" i="36"/>
  <c r="D5624" i="36" s="1"/>
  <c r="E5633" i="36" s="1"/>
  <c r="F5641" i="36" s="1"/>
  <c r="J5546" i="36"/>
  <c r="J5547" i="36" s="1"/>
  <c r="G5550" i="36"/>
  <c r="H5552" i="36" s="1"/>
  <c r="I5561" i="36" s="1"/>
  <c r="C5565" i="36"/>
  <c r="D5575" i="36" s="1"/>
  <c r="E5584" i="36" s="1"/>
  <c r="F5592" i="36" s="1"/>
  <c r="J5498" i="36"/>
  <c r="J5499" i="36" s="1"/>
  <c r="G5501" i="36"/>
  <c r="H5503" i="36" s="1"/>
  <c r="I5512" i="36" s="1"/>
  <c r="C5663" i="36" l="1"/>
  <c r="D5673" i="36" s="1"/>
  <c r="E5682" i="36" s="1"/>
  <c r="F5690" i="36" s="1"/>
  <c r="G5697" i="36" s="1"/>
  <c r="H5699" i="36" s="1"/>
  <c r="I5708" i="36" s="1"/>
  <c r="N5712" i="36"/>
  <c r="G5648" i="36"/>
  <c r="H5650" i="36" s="1"/>
  <c r="I5659" i="36" s="1"/>
  <c r="J5644" i="36"/>
  <c r="J5645" i="36" s="1"/>
  <c r="J5595" i="36"/>
  <c r="J5596" i="36" s="1"/>
  <c r="G5599" i="36"/>
  <c r="H5601" i="36" s="1"/>
  <c r="I5610" i="36" s="1"/>
  <c r="F66" i="37"/>
  <c r="E70" i="37"/>
  <c r="E69" i="37"/>
  <c r="E68" i="37"/>
  <c r="E67" i="37"/>
  <c r="E66" i="37"/>
  <c r="E65" i="37"/>
  <c r="E60" i="37"/>
  <c r="E64" i="37"/>
  <c r="E63" i="37"/>
  <c r="I28" i="37"/>
  <c r="G28" i="37"/>
  <c r="J24" i="37"/>
  <c r="F58" i="37" s="1"/>
  <c r="J5693" i="36" l="1"/>
  <c r="J5694" i="36" s="1"/>
  <c r="N5761" i="36"/>
  <c r="C5712" i="36"/>
  <c r="D5722" i="36" s="1"/>
  <c r="E5731" i="36" s="1"/>
  <c r="F5739" i="36" s="1"/>
  <c r="C5761" i="36" l="1"/>
  <c r="D5771" i="36" s="1"/>
  <c r="E5780" i="36" s="1"/>
  <c r="F5788" i="36" s="1"/>
  <c r="J5791" i="36" s="1"/>
  <c r="J5792" i="36" s="1"/>
  <c r="N5810" i="36"/>
  <c r="G5746" i="36"/>
  <c r="H5748" i="36" s="1"/>
  <c r="I5757" i="36" s="1"/>
  <c r="J5742" i="36"/>
  <c r="J5743" i="36" s="1"/>
  <c r="G5795" i="36" l="1"/>
  <c r="H5797" i="36" s="1"/>
  <c r="I5806" i="36" s="1"/>
  <c r="N5859" i="36"/>
  <c r="C5810" i="36"/>
  <c r="D5820" i="36" s="1"/>
  <c r="E5829" i="36" s="1"/>
  <c r="F5837" i="36" s="1"/>
  <c r="J5840" i="36" l="1"/>
  <c r="J5841" i="36" s="1"/>
  <c r="G5844" i="36"/>
  <c r="H5846" i="36" s="1"/>
  <c r="I5855" i="36" s="1"/>
  <c r="N5908" i="36"/>
  <c r="C5908" i="36" s="1"/>
  <c r="D5918" i="36" s="1"/>
  <c r="E5927" i="36" s="1"/>
  <c r="F5935" i="36" s="1"/>
  <c r="C5859" i="36"/>
  <c r="D5869" i="36" s="1"/>
  <c r="E5878" i="36" s="1"/>
  <c r="F5886" i="36" s="1"/>
  <c r="J5889" i="36" l="1"/>
  <c r="J5890" i="36" s="1"/>
  <c r="G5893" i="36"/>
  <c r="H5895" i="36" s="1"/>
  <c r="I5904" i="36" s="1"/>
  <c r="J5938" i="36"/>
  <c r="J5939" i="36" s="1"/>
  <c r="G5942" i="36"/>
  <c r="H5944" i="36" s="1"/>
  <c r="I5953" i="36" s="1"/>
  <c r="E66" i="43" l="1"/>
  <c r="B66" i="43"/>
  <c r="E65" i="43"/>
  <c r="B65" i="43"/>
  <c r="F22" i="43"/>
  <c r="F37" i="43" s="1"/>
  <c r="H37" i="43" s="1"/>
  <c r="D4" i="43"/>
  <c r="C3" i="43"/>
  <c r="H44" i="43"/>
  <c r="H42" i="43"/>
  <c r="H40" i="43"/>
  <c r="H39" i="43"/>
  <c r="F34" i="43" l="1"/>
  <c r="H34" i="43" s="1"/>
  <c r="F43" i="43"/>
  <c r="H43" i="43" s="1"/>
  <c r="F38" i="43"/>
  <c r="H38" i="43" s="1"/>
  <c r="F33" i="43"/>
  <c r="H33" i="43" s="1"/>
  <c r="F46" i="43"/>
  <c r="H46" i="43" s="1"/>
  <c r="F35" i="43"/>
  <c r="H35" i="43" s="1"/>
  <c r="F23" i="43"/>
  <c r="F24" i="43"/>
  <c r="F25" i="43"/>
  <c r="F26" i="43"/>
  <c r="F27" i="43"/>
  <c r="F28" i="43"/>
  <c r="F29" i="43"/>
  <c r="F30" i="43"/>
  <c r="F31" i="43"/>
  <c r="F36" i="43"/>
  <c r="H36" i="43" s="1"/>
  <c r="C16" i="33" l="1"/>
  <c r="E67" i="43" l="1"/>
  <c r="T4141" i="36" l="1"/>
  <c r="AE4131" i="36"/>
  <c r="AE4124" i="36"/>
  <c r="AE4116" i="36"/>
  <c r="AE4107" i="36"/>
  <c r="AE4106" i="36"/>
  <c r="AE4105" i="36"/>
  <c r="S4103" i="36"/>
  <c r="T4092" i="36"/>
  <c r="AE4082" i="36"/>
  <c r="AE4075" i="36"/>
  <c r="AE4067" i="36"/>
  <c r="AE4058" i="36"/>
  <c r="AE4057" i="36"/>
  <c r="AE4056" i="36"/>
  <c r="S4054" i="36"/>
  <c r="T4043" i="36"/>
  <c r="AE4033" i="36"/>
  <c r="AE4026" i="36"/>
  <c r="AE4018" i="36"/>
  <c r="AE4009" i="36"/>
  <c r="AE4008" i="36"/>
  <c r="AE4007" i="36"/>
  <c r="S4005" i="36"/>
  <c r="T3994" i="36"/>
  <c r="AE3984" i="36"/>
  <c r="AE3977" i="36"/>
  <c r="AE3969" i="36"/>
  <c r="AE3960" i="36"/>
  <c r="AE3959" i="36"/>
  <c r="AE3958" i="36"/>
  <c r="S3956" i="36"/>
  <c r="T3945" i="36"/>
  <c r="AE3935" i="36"/>
  <c r="AE3928" i="36"/>
  <c r="AE3920" i="36"/>
  <c r="AE3911" i="36"/>
  <c r="AE3910" i="36"/>
  <c r="AE3909" i="36"/>
  <c r="S3907" i="36"/>
  <c r="T3896" i="36"/>
  <c r="AE3886" i="36"/>
  <c r="AE3879" i="36"/>
  <c r="AE3871" i="36"/>
  <c r="AE3862" i="36"/>
  <c r="AE3861" i="36"/>
  <c r="AE3860" i="36"/>
  <c r="S3858" i="36"/>
  <c r="N3854" i="36"/>
  <c r="N3903" i="36" s="1"/>
  <c r="N3853" i="36"/>
  <c r="N3902" i="36" s="1"/>
  <c r="N3951" i="36" s="1"/>
  <c r="N4000" i="36" s="1"/>
  <c r="N4049" i="36" s="1"/>
  <c r="N4098" i="36" s="1"/>
  <c r="N4147" i="36" s="1"/>
  <c r="N4196" i="36" s="1"/>
  <c r="T2522" i="36"/>
  <c r="AE2512" i="36"/>
  <c r="AE2505" i="36"/>
  <c r="AE2497" i="36"/>
  <c r="AE2488" i="36"/>
  <c r="AE2487" i="36"/>
  <c r="AE2486" i="36"/>
  <c r="S2484" i="36"/>
  <c r="N2480" i="36"/>
  <c r="N2479" i="36"/>
  <c r="N2528" i="36" s="1"/>
  <c r="T807" i="36"/>
  <c r="AE797" i="36"/>
  <c r="AE790" i="36"/>
  <c r="AE782" i="36"/>
  <c r="AE773" i="36"/>
  <c r="AE772" i="36"/>
  <c r="AE771" i="36"/>
  <c r="S769" i="36"/>
  <c r="F81" i="37"/>
  <c r="C81" i="37"/>
  <c r="F80" i="37"/>
  <c r="C80" i="37"/>
  <c r="G70" i="37"/>
  <c r="H70" i="37" s="1"/>
  <c r="F70" i="37"/>
  <c r="G69" i="37"/>
  <c r="H69" i="37" s="1"/>
  <c r="E31" i="43" s="1"/>
  <c r="H31" i="43" s="1"/>
  <c r="F69" i="37"/>
  <c r="H68" i="37"/>
  <c r="E28" i="43" s="1"/>
  <c r="H28" i="43" s="1"/>
  <c r="G68" i="37"/>
  <c r="F68" i="37"/>
  <c r="G67" i="37"/>
  <c r="H67" i="37" s="1"/>
  <c r="E29" i="43" s="1"/>
  <c r="H29" i="43" s="1"/>
  <c r="F67" i="37"/>
  <c r="G66" i="37"/>
  <c r="H66" i="37" s="1"/>
  <c r="E30" i="43" s="1"/>
  <c r="H30" i="43" s="1"/>
  <c r="F65" i="37"/>
  <c r="G65" i="37" s="1"/>
  <c r="H65" i="37" s="1"/>
  <c r="E25" i="43" s="1"/>
  <c r="H25" i="43" s="1"/>
  <c r="G64" i="37"/>
  <c r="H64" i="37" s="1"/>
  <c r="E27" i="43" s="1"/>
  <c r="H27" i="43" s="1"/>
  <c r="F64" i="37"/>
  <c r="F63" i="37"/>
  <c r="G63" i="37" s="1"/>
  <c r="H63" i="37" s="1"/>
  <c r="F62" i="37"/>
  <c r="G62" i="37" s="1"/>
  <c r="H62" i="37" s="1"/>
  <c r="E26" i="43" s="1"/>
  <c r="H26" i="43" s="1"/>
  <c r="F61" i="37"/>
  <c r="G61" i="37" s="1"/>
  <c r="H61" i="37" s="1"/>
  <c r="G60" i="37"/>
  <c r="H60" i="37" s="1"/>
  <c r="E24" i="43" s="1"/>
  <c r="H24" i="43" s="1"/>
  <c r="F60" i="37"/>
  <c r="F59" i="37"/>
  <c r="G59" i="37" s="1"/>
  <c r="H59" i="37" s="1"/>
  <c r="E23" i="43" s="1"/>
  <c r="H23" i="43" s="1"/>
  <c r="G58" i="37"/>
  <c r="H58" i="37" s="1"/>
  <c r="E22" i="43" s="1"/>
  <c r="H22" i="43" s="1"/>
  <c r="J53" i="37"/>
  <c r="I53" i="37"/>
  <c r="H53" i="37"/>
  <c r="G53" i="37"/>
  <c r="F53" i="37"/>
  <c r="J52" i="37"/>
  <c r="I52" i="37"/>
  <c r="H52" i="37"/>
  <c r="G52" i="37"/>
  <c r="F52" i="37"/>
  <c r="J49" i="37"/>
  <c r="I49" i="37"/>
  <c r="H49" i="37"/>
  <c r="G49" i="37"/>
  <c r="F49" i="37"/>
  <c r="D49" i="37"/>
  <c r="J48" i="37"/>
  <c r="I48" i="37"/>
  <c r="H48" i="37"/>
  <c r="G48" i="37"/>
  <c r="F48" i="37"/>
  <c r="J45" i="37"/>
  <c r="I45" i="37"/>
  <c r="H45" i="37"/>
  <c r="G45" i="37"/>
  <c r="F45" i="37"/>
  <c r="D45" i="37"/>
  <c r="J44" i="37"/>
  <c r="I44" i="37"/>
  <c r="H44" i="37"/>
  <c r="G44" i="37"/>
  <c r="F44" i="37"/>
  <c r="J41" i="37"/>
  <c r="I41" i="37"/>
  <c r="H41" i="37"/>
  <c r="G41" i="37"/>
  <c r="F41" i="37"/>
  <c r="D41" i="37"/>
  <c r="J40" i="37"/>
  <c r="I40" i="37"/>
  <c r="H40" i="37"/>
  <c r="G40" i="37"/>
  <c r="F40" i="37"/>
  <c r="J37" i="37"/>
  <c r="I37" i="37"/>
  <c r="H37" i="37"/>
  <c r="G37" i="37"/>
  <c r="F37" i="37"/>
  <c r="D37" i="37"/>
  <c r="J36" i="37"/>
  <c r="I36" i="37"/>
  <c r="H36" i="37"/>
  <c r="G36" i="37"/>
  <c r="F36" i="37"/>
  <c r="J33" i="37"/>
  <c r="I33" i="37"/>
  <c r="H33" i="37"/>
  <c r="G33" i="37"/>
  <c r="F33" i="37"/>
  <c r="D33" i="37"/>
  <c r="J32" i="37"/>
  <c r="I32" i="37"/>
  <c r="H32" i="37"/>
  <c r="G32" i="37"/>
  <c r="F32" i="37"/>
  <c r="J31" i="37"/>
  <c r="I31" i="37"/>
  <c r="H31" i="37"/>
  <c r="G31" i="37"/>
  <c r="J29" i="37"/>
  <c r="I29" i="37"/>
  <c r="H29" i="37"/>
  <c r="G29" i="37"/>
  <c r="F29" i="37"/>
  <c r="D29" i="37"/>
  <c r="J28" i="37"/>
  <c r="F28" i="37"/>
  <c r="D24" i="37"/>
  <c r="H936" i="35"/>
  <c r="H935" i="35"/>
  <c r="C935" i="35"/>
  <c r="H934" i="35"/>
  <c r="C934" i="35"/>
  <c r="C926" i="35"/>
  <c r="J925" i="35"/>
  <c r="K925" i="35" s="1"/>
  <c r="N924" i="35"/>
  <c r="J924" i="35"/>
  <c r="K924" i="35" s="1"/>
  <c r="N923" i="35"/>
  <c r="J923" i="35"/>
  <c r="K923" i="35" s="1"/>
  <c r="Q923" i="35" s="1"/>
  <c r="N922" i="35"/>
  <c r="J922" i="35"/>
  <c r="K922" i="35" s="1"/>
  <c r="N921" i="35"/>
  <c r="J921" i="35"/>
  <c r="K921" i="35" s="1"/>
  <c r="N920" i="35"/>
  <c r="J920" i="35"/>
  <c r="K920" i="35" s="1"/>
  <c r="Q920" i="35" s="1"/>
  <c r="N919" i="35"/>
  <c r="J919" i="35"/>
  <c r="K919" i="35" s="1"/>
  <c r="Q919" i="35" s="1"/>
  <c r="N918" i="35"/>
  <c r="J918" i="35"/>
  <c r="K918" i="35" s="1"/>
  <c r="Q918" i="35" s="1"/>
  <c r="N917" i="35"/>
  <c r="J917" i="35"/>
  <c r="K917" i="35" s="1"/>
  <c r="Q917" i="35" s="1"/>
  <c r="N916" i="35"/>
  <c r="J916" i="35"/>
  <c r="K916" i="35" s="1"/>
  <c r="N915" i="35"/>
  <c r="J915" i="35"/>
  <c r="N914" i="35"/>
  <c r="J914" i="35"/>
  <c r="N913" i="35"/>
  <c r="J913" i="35"/>
  <c r="K913" i="35" s="1"/>
  <c r="Q913" i="35" s="1"/>
  <c r="N912" i="35"/>
  <c r="J912" i="35"/>
  <c r="N911" i="35"/>
  <c r="J911" i="35"/>
  <c r="N910" i="35"/>
  <c r="J910" i="35"/>
  <c r="N909" i="35"/>
  <c r="J909" i="35"/>
  <c r="K909" i="35" s="1"/>
  <c r="Q909" i="35" s="1"/>
  <c r="N908" i="35"/>
  <c r="J908" i="35"/>
  <c r="N907" i="35"/>
  <c r="J907" i="35"/>
  <c r="K907" i="35" s="1"/>
  <c r="Q907" i="35" s="1"/>
  <c r="N906" i="35"/>
  <c r="J906" i="35"/>
  <c r="K906" i="35" s="1"/>
  <c r="N905" i="35"/>
  <c r="J905" i="35"/>
  <c r="K905" i="35" s="1"/>
  <c r="Q905" i="35" s="1"/>
  <c r="N904" i="35"/>
  <c r="J904" i="35"/>
  <c r="K904" i="35" s="1"/>
  <c r="N903" i="35"/>
  <c r="J903" i="35"/>
  <c r="K903" i="35" s="1"/>
  <c r="Q903" i="35" s="1"/>
  <c r="N902" i="35"/>
  <c r="J902" i="35"/>
  <c r="K902" i="35" s="1"/>
  <c r="Q902" i="35" s="1"/>
  <c r="N901" i="35"/>
  <c r="J901" i="35"/>
  <c r="K901" i="35" s="1"/>
  <c r="N900" i="35"/>
  <c r="J900" i="35"/>
  <c r="K900" i="35" s="1"/>
  <c r="N899" i="35"/>
  <c r="J899" i="35"/>
  <c r="K899" i="35" s="1"/>
  <c r="Q899" i="35" s="1"/>
  <c r="N898" i="35"/>
  <c r="J898" i="35"/>
  <c r="K898" i="35" s="1"/>
  <c r="Q898" i="35" s="1"/>
  <c r="N897" i="35"/>
  <c r="J897" i="35"/>
  <c r="K897" i="35" s="1"/>
  <c r="Q897" i="35" s="1"/>
  <c r="N896" i="35"/>
  <c r="J896" i="35"/>
  <c r="K896" i="35" s="1"/>
  <c r="N895" i="35"/>
  <c r="J895" i="35"/>
  <c r="K895" i="35" s="1"/>
  <c r="Q895" i="35" s="1"/>
  <c r="N894" i="35"/>
  <c r="J894" i="35"/>
  <c r="K894" i="35" s="1"/>
  <c r="Q894" i="35" s="1"/>
  <c r="N893" i="35"/>
  <c r="J893" i="35"/>
  <c r="K893" i="35" s="1"/>
  <c r="Q893" i="35" s="1"/>
  <c r="N892" i="35"/>
  <c r="J892" i="35"/>
  <c r="K892" i="35" s="1"/>
  <c r="N891" i="35"/>
  <c r="J891" i="35"/>
  <c r="K891" i="35" s="1"/>
  <c r="Q891" i="35" s="1"/>
  <c r="N890" i="35"/>
  <c r="J890" i="35"/>
  <c r="K890" i="35" s="1"/>
  <c r="Q890" i="35" s="1"/>
  <c r="N889" i="35"/>
  <c r="J889" i="35"/>
  <c r="K889" i="35" s="1"/>
  <c r="Q889" i="35" s="1"/>
  <c r="N888" i="35"/>
  <c r="J888" i="35"/>
  <c r="K888" i="35" s="1"/>
  <c r="N887" i="35"/>
  <c r="J887" i="35"/>
  <c r="K887" i="35" s="1"/>
  <c r="Q887" i="35" s="1"/>
  <c r="N886" i="35"/>
  <c r="J886" i="35"/>
  <c r="K886" i="35" s="1"/>
  <c r="Q886" i="35" s="1"/>
  <c r="N885" i="35"/>
  <c r="J885" i="35"/>
  <c r="K885" i="35" s="1"/>
  <c r="Q885" i="35" s="1"/>
  <c r="N884" i="35"/>
  <c r="J884" i="35"/>
  <c r="K884" i="35" s="1"/>
  <c r="N883" i="35"/>
  <c r="J883" i="35"/>
  <c r="K883" i="35" s="1"/>
  <c r="Q883" i="35" s="1"/>
  <c r="N882" i="35"/>
  <c r="J882" i="35"/>
  <c r="K882" i="35" s="1"/>
  <c r="N881" i="35"/>
  <c r="J881" i="35"/>
  <c r="K881" i="35" s="1"/>
  <c r="Q881" i="35" s="1"/>
  <c r="N880" i="35"/>
  <c r="J880" i="35"/>
  <c r="K880" i="35" s="1"/>
  <c r="N879" i="35"/>
  <c r="J879" i="35"/>
  <c r="K879" i="35" s="1"/>
  <c r="Q879" i="35" s="1"/>
  <c r="N878" i="35"/>
  <c r="J878" i="35"/>
  <c r="K878" i="35" s="1"/>
  <c r="Q878" i="35" s="1"/>
  <c r="N877" i="35"/>
  <c r="J877" i="35"/>
  <c r="K877" i="35" s="1"/>
  <c r="Q877" i="35" s="1"/>
  <c r="N876" i="35"/>
  <c r="J876" i="35"/>
  <c r="K876" i="35" s="1"/>
  <c r="N875" i="35"/>
  <c r="J875" i="35"/>
  <c r="K875" i="35" s="1"/>
  <c r="Q875" i="35" s="1"/>
  <c r="N874" i="35"/>
  <c r="J874" i="35"/>
  <c r="K874" i="35" s="1"/>
  <c r="N873" i="35"/>
  <c r="N872" i="35"/>
  <c r="N871" i="35"/>
  <c r="N870" i="35"/>
  <c r="N869" i="35"/>
  <c r="N868" i="35"/>
  <c r="N867" i="35"/>
  <c r="N866" i="35"/>
  <c r="N865" i="35"/>
  <c r="N864" i="35"/>
  <c r="J864" i="35"/>
  <c r="K864" i="35" s="1"/>
  <c r="N863" i="35"/>
  <c r="N862" i="35"/>
  <c r="N861" i="35"/>
  <c r="N860" i="35"/>
  <c r="N859" i="35"/>
  <c r="J859" i="35"/>
  <c r="K859" i="35" s="1"/>
  <c r="Q859" i="35" s="1"/>
  <c r="N858" i="35"/>
  <c r="N857" i="35"/>
  <c r="N856" i="35"/>
  <c r="N855" i="35"/>
  <c r="N854" i="35"/>
  <c r="N853" i="35"/>
  <c r="N852" i="35"/>
  <c r="J852" i="35"/>
  <c r="K852" i="35" s="1"/>
  <c r="N851" i="35"/>
  <c r="J851" i="35"/>
  <c r="K851" i="35" s="1"/>
  <c r="Q851" i="35" s="1"/>
  <c r="N850" i="35"/>
  <c r="J850" i="35"/>
  <c r="K850" i="35" s="1"/>
  <c r="Q850" i="35" s="1"/>
  <c r="N849" i="35"/>
  <c r="J849" i="35"/>
  <c r="K849" i="35" s="1"/>
  <c r="N848" i="35"/>
  <c r="J848" i="35"/>
  <c r="K848" i="35" s="1"/>
  <c r="N847" i="35"/>
  <c r="J847" i="35"/>
  <c r="K847" i="35" s="1"/>
  <c r="Q847" i="35" s="1"/>
  <c r="N846" i="35"/>
  <c r="J846" i="35"/>
  <c r="K846" i="35" s="1"/>
  <c r="Q846" i="35" s="1"/>
  <c r="N845" i="35"/>
  <c r="J845" i="35"/>
  <c r="K845" i="35" s="1"/>
  <c r="N844" i="35"/>
  <c r="J844" i="35"/>
  <c r="K844" i="35" s="1"/>
  <c r="J843" i="35"/>
  <c r="K843" i="35" s="1"/>
  <c r="N842" i="35"/>
  <c r="J842" i="35"/>
  <c r="K842" i="35" s="1"/>
  <c r="N841" i="35"/>
  <c r="J841" i="35"/>
  <c r="K841" i="35" s="1"/>
  <c r="N840" i="35"/>
  <c r="J840" i="35"/>
  <c r="K840" i="35" s="1"/>
  <c r="Q840" i="35" s="1"/>
  <c r="N839" i="35"/>
  <c r="J839" i="35"/>
  <c r="K839" i="35" s="1"/>
  <c r="Q839" i="35" s="1"/>
  <c r="N838" i="35"/>
  <c r="N837" i="35"/>
  <c r="J837" i="35"/>
  <c r="K837" i="35" s="1"/>
  <c r="N836" i="35"/>
  <c r="J836" i="35"/>
  <c r="K836" i="35" s="1"/>
  <c r="Q836" i="35" s="1"/>
  <c r="N835" i="35"/>
  <c r="J835" i="35"/>
  <c r="K835" i="35" s="1"/>
  <c r="Q835" i="35" s="1"/>
  <c r="N834" i="35"/>
  <c r="J834" i="35"/>
  <c r="K834" i="35" s="1"/>
  <c r="Q834" i="35" s="1"/>
  <c r="N833" i="35"/>
  <c r="N832" i="35"/>
  <c r="J832" i="35"/>
  <c r="K832" i="35" s="1"/>
  <c r="Q832" i="35" s="1"/>
  <c r="N831" i="35"/>
  <c r="J831" i="35"/>
  <c r="K831" i="35" s="1"/>
  <c r="Q831" i="35" s="1"/>
  <c r="N830" i="35"/>
  <c r="J830" i="35"/>
  <c r="K830" i="35" s="1"/>
  <c r="N829" i="35"/>
  <c r="J829" i="35"/>
  <c r="K829" i="35" s="1"/>
  <c r="Q829" i="35" s="1"/>
  <c r="N828" i="35"/>
  <c r="J828" i="35"/>
  <c r="K828" i="35" s="1"/>
  <c r="Q828" i="35" s="1"/>
  <c r="N827" i="35"/>
  <c r="J827" i="35"/>
  <c r="K827" i="35" s="1"/>
  <c r="N826" i="35"/>
  <c r="N825" i="35"/>
  <c r="N824" i="35"/>
  <c r="N823" i="35"/>
  <c r="N822" i="35"/>
  <c r="J822" i="35"/>
  <c r="K822" i="35" s="1"/>
  <c r="Q822" i="35" s="1"/>
  <c r="N821" i="35"/>
  <c r="N820" i="35"/>
  <c r="J820" i="35"/>
  <c r="K820" i="35" s="1"/>
  <c r="Q820" i="35" s="1"/>
  <c r="N819" i="35"/>
  <c r="N818" i="35"/>
  <c r="J818" i="35"/>
  <c r="K818" i="35" s="1"/>
  <c r="Q818" i="35" s="1"/>
  <c r="N817" i="35"/>
  <c r="J817" i="35"/>
  <c r="K817" i="35" s="1"/>
  <c r="Q817" i="35" s="1"/>
  <c r="N816" i="35"/>
  <c r="J816" i="35"/>
  <c r="K816" i="35" s="1"/>
  <c r="Q816" i="35" s="1"/>
  <c r="N815" i="35"/>
  <c r="N814" i="35"/>
  <c r="N813" i="35"/>
  <c r="N812" i="35"/>
  <c r="N811" i="35"/>
  <c r="N810" i="35"/>
  <c r="N809" i="35"/>
  <c r="N808" i="35"/>
  <c r="N807" i="35"/>
  <c r="N806" i="35"/>
  <c r="J806" i="35"/>
  <c r="K806" i="35" s="1"/>
  <c r="Q806" i="35" s="1"/>
  <c r="N805" i="35"/>
  <c r="J805" i="35"/>
  <c r="N804" i="35"/>
  <c r="J804" i="35"/>
  <c r="N803" i="35"/>
  <c r="J803" i="35"/>
  <c r="N802" i="35"/>
  <c r="J802" i="35"/>
  <c r="K802" i="35" s="1"/>
  <c r="Q802" i="35" s="1"/>
  <c r="N801" i="35"/>
  <c r="J801" i="35"/>
  <c r="N800" i="35"/>
  <c r="N799" i="35"/>
  <c r="N798" i="35"/>
  <c r="J798" i="35"/>
  <c r="K798" i="35" s="1"/>
  <c r="Q798" i="35" s="1"/>
  <c r="N797" i="35"/>
  <c r="J797" i="35"/>
  <c r="K797" i="35" s="1"/>
  <c r="N796" i="35"/>
  <c r="J796" i="35"/>
  <c r="K796" i="35" s="1"/>
  <c r="Q796" i="35" s="1"/>
  <c r="N795" i="35"/>
  <c r="J795" i="35"/>
  <c r="K795" i="35" s="1"/>
  <c r="N794" i="35"/>
  <c r="J794" i="35"/>
  <c r="K794" i="35" s="1"/>
  <c r="Q794" i="35" s="1"/>
  <c r="N793" i="35"/>
  <c r="J793" i="35"/>
  <c r="K793" i="35" s="1"/>
  <c r="Q793" i="35" s="1"/>
  <c r="N792" i="35"/>
  <c r="J792" i="35"/>
  <c r="K792" i="35" s="1"/>
  <c r="Q792" i="35" s="1"/>
  <c r="N791" i="35"/>
  <c r="N790" i="35"/>
  <c r="J790" i="35"/>
  <c r="N789" i="35"/>
  <c r="J789" i="35"/>
  <c r="N788" i="35"/>
  <c r="N787" i="35"/>
  <c r="J787" i="35"/>
  <c r="N786" i="35"/>
  <c r="J786" i="35"/>
  <c r="K786" i="35" s="1"/>
  <c r="Q786" i="35" s="1"/>
  <c r="N785" i="35"/>
  <c r="J785" i="35"/>
  <c r="K785" i="35" s="1"/>
  <c r="Q785" i="35" s="1"/>
  <c r="N784" i="35"/>
  <c r="J784" i="35"/>
  <c r="K784" i="35" s="1"/>
  <c r="Q784" i="35" s="1"/>
  <c r="N783" i="35"/>
  <c r="J783" i="35"/>
  <c r="K783" i="35" s="1"/>
  <c r="N782" i="35"/>
  <c r="N781" i="35"/>
  <c r="J781" i="35"/>
  <c r="K781" i="35" s="1"/>
  <c r="Q781" i="35" s="1"/>
  <c r="N780" i="35"/>
  <c r="N779" i="35"/>
  <c r="N778" i="35"/>
  <c r="N777" i="35"/>
  <c r="J777" i="35"/>
  <c r="K777" i="35" s="1"/>
  <c r="Q777" i="35" s="1"/>
  <c r="N776" i="35"/>
  <c r="J776" i="35"/>
  <c r="K776" i="35" s="1"/>
  <c r="Q776" i="35" s="1"/>
  <c r="N775" i="35"/>
  <c r="J775" i="35"/>
  <c r="K775" i="35" s="1"/>
  <c r="N774" i="35"/>
  <c r="J774" i="35"/>
  <c r="K774" i="35" s="1"/>
  <c r="Q774" i="35" s="1"/>
  <c r="N773" i="35"/>
  <c r="J773" i="35"/>
  <c r="K773" i="35" s="1"/>
  <c r="Q773" i="35" s="1"/>
  <c r="N772" i="35"/>
  <c r="N771" i="35"/>
  <c r="N770" i="35"/>
  <c r="J770" i="35"/>
  <c r="K770" i="35" s="1"/>
  <c r="Q770" i="35" s="1"/>
  <c r="N769" i="35"/>
  <c r="J769" i="35"/>
  <c r="K769" i="35" s="1"/>
  <c r="Q769" i="35" s="1"/>
  <c r="N768" i="35"/>
  <c r="J768" i="35"/>
  <c r="K768" i="35" s="1"/>
  <c r="Q768" i="35" s="1"/>
  <c r="N767" i="35"/>
  <c r="J767" i="35"/>
  <c r="K767" i="35" s="1"/>
  <c r="N766" i="35"/>
  <c r="N765" i="35"/>
  <c r="N764" i="35"/>
  <c r="N763" i="35"/>
  <c r="J763" i="35"/>
  <c r="K763" i="35" s="1"/>
  <c r="Q763" i="35" s="1"/>
  <c r="N762" i="35"/>
  <c r="J762" i="35"/>
  <c r="K762" i="35" s="1"/>
  <c r="N761" i="35"/>
  <c r="N760" i="35"/>
  <c r="J760" i="35"/>
  <c r="K760" i="35" s="1"/>
  <c r="N759" i="35"/>
  <c r="N758" i="35"/>
  <c r="N757" i="35"/>
  <c r="J757" i="35"/>
  <c r="K757" i="35" s="1"/>
  <c r="Q757" i="35" s="1"/>
  <c r="N756" i="35"/>
  <c r="J756" i="35"/>
  <c r="K756" i="35" s="1"/>
  <c r="N755" i="35"/>
  <c r="J755" i="35"/>
  <c r="K755" i="35" s="1"/>
  <c r="Q755" i="35" s="1"/>
  <c r="N754" i="35"/>
  <c r="J754" i="35"/>
  <c r="K754" i="35" s="1"/>
  <c r="Q754" i="35" s="1"/>
  <c r="N753" i="35"/>
  <c r="J753" i="35"/>
  <c r="K753" i="35" s="1"/>
  <c r="Q753" i="35" s="1"/>
  <c r="N752" i="35"/>
  <c r="N751" i="35"/>
  <c r="N750" i="35"/>
  <c r="N749" i="35"/>
  <c r="N748" i="35"/>
  <c r="J748" i="35"/>
  <c r="K748" i="35" s="1"/>
  <c r="N747" i="35"/>
  <c r="J747" i="35"/>
  <c r="K747" i="35" s="1"/>
  <c r="Q747" i="35" s="1"/>
  <c r="N746" i="35"/>
  <c r="N745" i="35"/>
  <c r="J745" i="35"/>
  <c r="K745" i="35" s="1"/>
  <c r="Q745" i="35" s="1"/>
  <c r="N744" i="35"/>
  <c r="J744" i="35"/>
  <c r="K744" i="35" s="1"/>
  <c r="Q744" i="35" s="1"/>
  <c r="N743" i="35"/>
  <c r="N742" i="35"/>
  <c r="N741" i="35"/>
  <c r="N740" i="35"/>
  <c r="N739" i="35"/>
  <c r="N738" i="35"/>
  <c r="J738" i="35"/>
  <c r="K738" i="35" s="1"/>
  <c r="Q738" i="35" s="1"/>
  <c r="N737" i="35"/>
  <c r="N736" i="35"/>
  <c r="N735" i="35"/>
  <c r="N734" i="35"/>
  <c r="N733" i="35"/>
  <c r="J733" i="35"/>
  <c r="K733" i="35" s="1"/>
  <c r="Q733" i="35" s="1"/>
  <c r="N732" i="35"/>
  <c r="J732" i="35"/>
  <c r="K732" i="35" s="1"/>
  <c r="Q732" i="35" s="1"/>
  <c r="N731" i="35"/>
  <c r="J731" i="35"/>
  <c r="K731" i="35" s="1"/>
  <c r="Q731" i="35" s="1"/>
  <c r="N730" i="35"/>
  <c r="J730" i="35"/>
  <c r="K730" i="35" s="1"/>
  <c r="Q730" i="35" s="1"/>
  <c r="N729" i="35"/>
  <c r="J729" i="35"/>
  <c r="K729" i="35" s="1"/>
  <c r="Q729" i="35" s="1"/>
  <c r="N728" i="35"/>
  <c r="J728" i="35"/>
  <c r="K728" i="35" s="1"/>
  <c r="Q728" i="35" s="1"/>
  <c r="N727" i="35"/>
  <c r="J727" i="35"/>
  <c r="K727" i="35" s="1"/>
  <c r="Q727" i="35" s="1"/>
  <c r="N726" i="35"/>
  <c r="J726" i="35"/>
  <c r="K726" i="35" s="1"/>
  <c r="Q726" i="35" s="1"/>
  <c r="N725" i="35"/>
  <c r="J725" i="35"/>
  <c r="K725" i="35" s="1"/>
  <c r="Q725" i="35" s="1"/>
  <c r="N724" i="35"/>
  <c r="J724" i="35"/>
  <c r="K724" i="35" s="1"/>
  <c r="N723" i="35"/>
  <c r="J723" i="35"/>
  <c r="K723" i="35" s="1"/>
  <c r="Q723" i="35" s="1"/>
  <c r="N722" i="35"/>
  <c r="N721" i="35"/>
  <c r="J721" i="35"/>
  <c r="K721" i="35" s="1"/>
  <c r="Q721" i="35" s="1"/>
  <c r="N720" i="35"/>
  <c r="J720" i="35"/>
  <c r="K720" i="35" s="1"/>
  <c r="Q720" i="35" s="1"/>
  <c r="N719" i="35"/>
  <c r="J719" i="35"/>
  <c r="K719" i="35" s="1"/>
  <c r="Q719" i="35" s="1"/>
  <c r="N718" i="35"/>
  <c r="J718" i="35"/>
  <c r="K718" i="35" s="1"/>
  <c r="Q718" i="35" s="1"/>
  <c r="N717" i="35"/>
  <c r="J717" i="35"/>
  <c r="K717" i="35" s="1"/>
  <c r="Q717" i="35" s="1"/>
  <c r="N716" i="35"/>
  <c r="J716" i="35"/>
  <c r="K716" i="35" s="1"/>
  <c r="N715" i="35"/>
  <c r="J715" i="35"/>
  <c r="K715" i="35" s="1"/>
  <c r="Q715" i="35" s="1"/>
  <c r="N714" i="35"/>
  <c r="J714" i="35"/>
  <c r="K714" i="35" s="1"/>
  <c r="Q714" i="35" s="1"/>
  <c r="N713" i="35"/>
  <c r="N712" i="35"/>
  <c r="N711" i="35"/>
  <c r="J711" i="35"/>
  <c r="K711" i="35" s="1"/>
  <c r="Q711" i="35" s="1"/>
  <c r="N710" i="35"/>
  <c r="J710" i="35"/>
  <c r="K710" i="35" s="1"/>
  <c r="Q710" i="35" s="1"/>
  <c r="N709" i="35"/>
  <c r="N708" i="35"/>
  <c r="J708" i="35"/>
  <c r="K708" i="35" s="1"/>
  <c r="Q708" i="35" s="1"/>
  <c r="N707" i="35"/>
  <c r="J707" i="35"/>
  <c r="K707" i="35" s="1"/>
  <c r="Q707" i="35" s="1"/>
  <c r="N706" i="35"/>
  <c r="J706" i="35"/>
  <c r="K706" i="35" s="1"/>
  <c r="Q706" i="35" s="1"/>
  <c r="N705" i="35"/>
  <c r="J705" i="35"/>
  <c r="K705" i="35" s="1"/>
  <c r="N704" i="35"/>
  <c r="J704" i="35"/>
  <c r="K704" i="35" s="1"/>
  <c r="Q704" i="35" s="1"/>
  <c r="N703" i="35"/>
  <c r="J703" i="35"/>
  <c r="K703" i="35" s="1"/>
  <c r="Q703" i="35" s="1"/>
  <c r="N702" i="35"/>
  <c r="J702" i="35"/>
  <c r="K702" i="35" s="1"/>
  <c r="Q702" i="35" s="1"/>
  <c r="N701" i="35"/>
  <c r="J701" i="35"/>
  <c r="K701" i="35" s="1"/>
  <c r="N700" i="35"/>
  <c r="J700" i="35"/>
  <c r="K700" i="35" s="1"/>
  <c r="Q700" i="35" s="1"/>
  <c r="N699" i="35"/>
  <c r="J699" i="35"/>
  <c r="K699" i="35" s="1"/>
  <c r="Q699" i="35" s="1"/>
  <c r="N698" i="35"/>
  <c r="J698" i="35"/>
  <c r="K698" i="35" s="1"/>
  <c r="Q698" i="35" s="1"/>
  <c r="N697" i="35"/>
  <c r="J697" i="35"/>
  <c r="K697" i="35" s="1"/>
  <c r="N696" i="35"/>
  <c r="J696" i="35"/>
  <c r="K696" i="35" s="1"/>
  <c r="Q696" i="35" s="1"/>
  <c r="N695" i="35"/>
  <c r="J695" i="35"/>
  <c r="K695" i="35" s="1"/>
  <c r="Q695" i="35" s="1"/>
  <c r="N694" i="35"/>
  <c r="J694" i="35"/>
  <c r="K694" i="35" s="1"/>
  <c r="Q694" i="35" s="1"/>
  <c r="N693" i="35"/>
  <c r="J693" i="35"/>
  <c r="K693" i="35" s="1"/>
  <c r="N692" i="35"/>
  <c r="J692" i="35"/>
  <c r="K692" i="35" s="1"/>
  <c r="Q692" i="35" s="1"/>
  <c r="N691" i="35"/>
  <c r="J691" i="35"/>
  <c r="K691" i="35" s="1"/>
  <c r="Q691" i="35" s="1"/>
  <c r="N690" i="35"/>
  <c r="J690" i="35"/>
  <c r="K690" i="35" s="1"/>
  <c r="N689" i="35"/>
  <c r="J689" i="35"/>
  <c r="K689" i="35" s="1"/>
  <c r="N688" i="35"/>
  <c r="J688" i="35"/>
  <c r="K688" i="35" s="1"/>
  <c r="Q688" i="35" s="1"/>
  <c r="N687" i="35"/>
  <c r="J687" i="35"/>
  <c r="K687" i="35" s="1"/>
  <c r="Q687" i="35" s="1"/>
  <c r="N686" i="35"/>
  <c r="J686" i="35"/>
  <c r="K686" i="35" s="1"/>
  <c r="Q686" i="35" s="1"/>
  <c r="N685" i="35"/>
  <c r="J685" i="35"/>
  <c r="K685" i="35" s="1"/>
  <c r="N684" i="35"/>
  <c r="J684" i="35"/>
  <c r="K684" i="35" s="1"/>
  <c r="Q684" i="35" s="1"/>
  <c r="N683" i="35"/>
  <c r="J683" i="35"/>
  <c r="K683" i="35" s="1"/>
  <c r="Q683" i="35" s="1"/>
  <c r="N682" i="35"/>
  <c r="J682" i="35"/>
  <c r="K682" i="35" s="1"/>
  <c r="Q682" i="35" s="1"/>
  <c r="N681" i="35"/>
  <c r="J681" i="35"/>
  <c r="K681" i="35" s="1"/>
  <c r="N680" i="35"/>
  <c r="N679" i="35"/>
  <c r="J679" i="35"/>
  <c r="K679" i="35" s="1"/>
  <c r="Q679" i="35" s="1"/>
  <c r="N678" i="35"/>
  <c r="N677" i="35"/>
  <c r="N676" i="35"/>
  <c r="N675" i="35"/>
  <c r="J675" i="35"/>
  <c r="K675" i="35" s="1"/>
  <c r="Q675" i="35" s="1"/>
  <c r="N674" i="35"/>
  <c r="J674" i="35"/>
  <c r="K674" i="35" s="1"/>
  <c r="Q674" i="35" s="1"/>
  <c r="N673" i="35"/>
  <c r="J673" i="35"/>
  <c r="K673" i="35" s="1"/>
  <c r="N672" i="35"/>
  <c r="J672" i="35"/>
  <c r="K672" i="35" s="1"/>
  <c r="Q672" i="35" s="1"/>
  <c r="N671" i="35"/>
  <c r="J671" i="35"/>
  <c r="K671" i="35" s="1"/>
  <c r="Q671" i="35" s="1"/>
  <c r="N670" i="35"/>
  <c r="N669" i="35"/>
  <c r="N668" i="35"/>
  <c r="N667" i="35"/>
  <c r="J667" i="35"/>
  <c r="K667" i="35" s="1"/>
  <c r="Q667" i="35" s="1"/>
  <c r="N666" i="35"/>
  <c r="J666" i="35"/>
  <c r="K666" i="35" s="1"/>
  <c r="Q666" i="35" s="1"/>
  <c r="N665" i="35"/>
  <c r="N664" i="35"/>
  <c r="N663" i="35"/>
  <c r="N662" i="35"/>
  <c r="N661" i="35"/>
  <c r="N660" i="35"/>
  <c r="J660" i="35"/>
  <c r="N659" i="35"/>
  <c r="J659" i="35"/>
  <c r="K659" i="35" s="1"/>
  <c r="Q659" i="35" s="1"/>
  <c r="N658" i="35"/>
  <c r="N657" i="35"/>
  <c r="J657" i="35"/>
  <c r="N656" i="35"/>
  <c r="J656" i="35"/>
  <c r="K656" i="35" s="1"/>
  <c r="N655" i="35"/>
  <c r="J655" i="35"/>
  <c r="K655" i="35" s="1"/>
  <c r="N654" i="35"/>
  <c r="N653" i="35"/>
  <c r="J653" i="35"/>
  <c r="K653" i="35" s="1"/>
  <c r="Q653" i="35" s="1"/>
  <c r="N652" i="35"/>
  <c r="J652" i="35"/>
  <c r="K652" i="35" s="1"/>
  <c r="N651" i="35"/>
  <c r="J651" i="35"/>
  <c r="K651" i="35" s="1"/>
  <c r="N650" i="35"/>
  <c r="N649" i="35"/>
  <c r="J649" i="35"/>
  <c r="K649" i="35" s="1"/>
  <c r="Q649" i="35" s="1"/>
  <c r="N648" i="35"/>
  <c r="N647" i="35"/>
  <c r="N646" i="35"/>
  <c r="J646" i="35"/>
  <c r="N645" i="35"/>
  <c r="J645" i="35"/>
  <c r="K645" i="35" s="1"/>
  <c r="Q645" i="35" s="1"/>
  <c r="N644" i="35"/>
  <c r="N643" i="35"/>
  <c r="J643" i="35"/>
  <c r="K643" i="35" s="1"/>
  <c r="Q643" i="35" s="1"/>
  <c r="N642" i="35"/>
  <c r="N641" i="35"/>
  <c r="J641" i="35"/>
  <c r="K641" i="35" s="1"/>
  <c r="Q641" i="35" s="1"/>
  <c r="N640" i="35"/>
  <c r="J640" i="35"/>
  <c r="K640" i="35" s="1"/>
  <c r="N639" i="35"/>
  <c r="N638" i="35"/>
  <c r="N637" i="35"/>
  <c r="N636" i="35"/>
  <c r="N635" i="35"/>
  <c r="N634" i="35"/>
  <c r="N633" i="35"/>
  <c r="J633" i="35"/>
  <c r="K633" i="35" s="1"/>
  <c r="Q633" i="35" s="1"/>
  <c r="N632" i="35"/>
  <c r="J632" i="35"/>
  <c r="K632" i="35" s="1"/>
  <c r="Q632" i="35" s="1"/>
  <c r="N631" i="35"/>
  <c r="N630" i="35"/>
  <c r="J630" i="35"/>
  <c r="N629" i="35"/>
  <c r="N628" i="35"/>
  <c r="N627" i="35"/>
  <c r="N626" i="35"/>
  <c r="N625" i="35"/>
  <c r="N624" i="35"/>
  <c r="N623" i="35"/>
  <c r="N622" i="35"/>
  <c r="J622" i="35"/>
  <c r="K622" i="35" s="1"/>
  <c r="N621" i="35"/>
  <c r="J621" i="35"/>
  <c r="K621" i="35" s="1"/>
  <c r="Q621" i="35" s="1"/>
  <c r="N620" i="35"/>
  <c r="J620" i="35"/>
  <c r="K620" i="35" s="1"/>
  <c r="N619" i="35"/>
  <c r="J619" i="35"/>
  <c r="K619" i="35" s="1"/>
  <c r="Q619" i="35" s="1"/>
  <c r="N618" i="35"/>
  <c r="J618" i="35"/>
  <c r="N617" i="35"/>
  <c r="J617" i="35"/>
  <c r="N616" i="35"/>
  <c r="J616" i="35"/>
  <c r="K616" i="35" s="1"/>
  <c r="Q616" i="35" s="1"/>
  <c r="N615" i="35"/>
  <c r="J615" i="35"/>
  <c r="N614" i="35"/>
  <c r="J614" i="35"/>
  <c r="N613" i="35"/>
  <c r="N612" i="35"/>
  <c r="N611" i="35"/>
  <c r="N610" i="35"/>
  <c r="N609" i="35"/>
  <c r="N608" i="35"/>
  <c r="N607" i="35"/>
  <c r="N606" i="35"/>
  <c r="N605" i="35"/>
  <c r="J605" i="35"/>
  <c r="K605" i="35" s="1"/>
  <c r="Q605" i="35" s="1"/>
  <c r="N604" i="35"/>
  <c r="J604" i="35"/>
  <c r="N603" i="35"/>
  <c r="J603" i="35"/>
  <c r="N602" i="35"/>
  <c r="J602" i="35"/>
  <c r="K602" i="35" s="1"/>
  <c r="Q602" i="35" s="1"/>
  <c r="N601" i="35"/>
  <c r="J601" i="35"/>
  <c r="N600" i="35"/>
  <c r="J600" i="35"/>
  <c r="K600" i="35" s="1"/>
  <c r="Q600" i="35" s="1"/>
  <c r="N599" i="35"/>
  <c r="N598" i="35"/>
  <c r="J598" i="35"/>
  <c r="K598" i="35" s="1"/>
  <c r="N597" i="35"/>
  <c r="J597" i="35"/>
  <c r="K597" i="35" s="1"/>
  <c r="Q597" i="35" s="1"/>
  <c r="N596" i="35"/>
  <c r="J596" i="35"/>
  <c r="K596" i="35" s="1"/>
  <c r="N595" i="35"/>
  <c r="J595" i="35"/>
  <c r="K595" i="35" s="1"/>
  <c r="Q595" i="35" s="1"/>
  <c r="N594" i="35"/>
  <c r="J594" i="35"/>
  <c r="K594" i="35" s="1"/>
  <c r="N593" i="35"/>
  <c r="J593" i="35"/>
  <c r="K593" i="35" s="1"/>
  <c r="Q593" i="35" s="1"/>
  <c r="N592" i="35"/>
  <c r="J592" i="35"/>
  <c r="K592" i="35" s="1"/>
  <c r="Q592" i="35" s="1"/>
  <c r="N591" i="35"/>
  <c r="J591" i="35"/>
  <c r="K591" i="35" s="1"/>
  <c r="Q591" i="35" s="1"/>
  <c r="N590" i="35"/>
  <c r="J590" i="35"/>
  <c r="K590" i="35" s="1"/>
  <c r="N589" i="35"/>
  <c r="J589" i="35"/>
  <c r="K589" i="35" s="1"/>
  <c r="Q589" i="35" s="1"/>
  <c r="N588" i="35"/>
  <c r="J588" i="35"/>
  <c r="K588" i="35" s="1"/>
  <c r="N587" i="35"/>
  <c r="J587" i="35"/>
  <c r="K587" i="35" s="1"/>
  <c r="Q587" i="35" s="1"/>
  <c r="N586" i="35"/>
  <c r="J586" i="35"/>
  <c r="K586" i="35" s="1"/>
  <c r="N585" i="35"/>
  <c r="J585" i="35"/>
  <c r="K585" i="35" s="1"/>
  <c r="Q585" i="35" s="1"/>
  <c r="N584" i="35"/>
  <c r="J584" i="35"/>
  <c r="K584" i="35" s="1"/>
  <c r="Q584" i="35" s="1"/>
  <c r="N583" i="35"/>
  <c r="J583" i="35"/>
  <c r="K583" i="35" s="1"/>
  <c r="Q583" i="35" s="1"/>
  <c r="N582" i="35"/>
  <c r="J582" i="35"/>
  <c r="K582" i="35" s="1"/>
  <c r="N581" i="35"/>
  <c r="J581" i="35"/>
  <c r="K581" i="35" s="1"/>
  <c r="Q581" i="35" s="1"/>
  <c r="N580" i="35"/>
  <c r="J580" i="35"/>
  <c r="K580" i="35" s="1"/>
  <c r="Q580" i="35" s="1"/>
  <c r="N579" i="35"/>
  <c r="N578" i="35"/>
  <c r="N577" i="35"/>
  <c r="N576" i="35"/>
  <c r="N575" i="35"/>
  <c r="J575" i="35"/>
  <c r="K575" i="35" s="1"/>
  <c r="Q575" i="35" s="1"/>
  <c r="N574" i="35"/>
  <c r="J574" i="35"/>
  <c r="K574" i="35" s="1"/>
  <c r="N573" i="35"/>
  <c r="J573" i="35"/>
  <c r="K573" i="35" s="1"/>
  <c r="Q573" i="35" s="1"/>
  <c r="N572" i="35"/>
  <c r="J572" i="35"/>
  <c r="K572" i="35" s="1"/>
  <c r="N571" i="35"/>
  <c r="J571" i="35"/>
  <c r="K571" i="35" s="1"/>
  <c r="Q571" i="35" s="1"/>
  <c r="N570" i="35"/>
  <c r="J570" i="35"/>
  <c r="K570" i="35" s="1"/>
  <c r="N569" i="35"/>
  <c r="J569" i="35"/>
  <c r="K569" i="35" s="1"/>
  <c r="Q569" i="35" s="1"/>
  <c r="N568" i="35"/>
  <c r="J568" i="35"/>
  <c r="K568" i="35" s="1"/>
  <c r="Q568" i="35" s="1"/>
  <c r="N567" i="35"/>
  <c r="J567" i="35"/>
  <c r="K567" i="35" s="1"/>
  <c r="Q567" i="35" s="1"/>
  <c r="N566" i="35"/>
  <c r="J566" i="35"/>
  <c r="K566" i="35" s="1"/>
  <c r="N565" i="35"/>
  <c r="J565" i="35"/>
  <c r="K565" i="35" s="1"/>
  <c r="Q565" i="35" s="1"/>
  <c r="N564" i="35"/>
  <c r="J564" i="35"/>
  <c r="K564" i="35" s="1"/>
  <c r="Q564" i="35" s="1"/>
  <c r="N563" i="35"/>
  <c r="J563" i="35"/>
  <c r="K563" i="35" s="1"/>
  <c r="Q563" i="35" s="1"/>
  <c r="N562" i="35"/>
  <c r="J562" i="35"/>
  <c r="K562" i="35" s="1"/>
  <c r="N561" i="35"/>
  <c r="J561" i="35"/>
  <c r="K561" i="35" s="1"/>
  <c r="Q561" i="35" s="1"/>
  <c r="N560" i="35"/>
  <c r="J560" i="35"/>
  <c r="K560" i="35" s="1"/>
  <c r="Q560" i="35" s="1"/>
  <c r="N559" i="35"/>
  <c r="J559" i="35"/>
  <c r="K559" i="35" s="1"/>
  <c r="Q559" i="35" s="1"/>
  <c r="N558" i="35"/>
  <c r="J558" i="35"/>
  <c r="K558" i="35" s="1"/>
  <c r="N557" i="35"/>
  <c r="J557" i="35"/>
  <c r="K557" i="35" s="1"/>
  <c r="Q557" i="35" s="1"/>
  <c r="N556" i="35"/>
  <c r="J556" i="35"/>
  <c r="K556" i="35" s="1"/>
  <c r="N555" i="35"/>
  <c r="J555" i="35"/>
  <c r="K555" i="35" s="1"/>
  <c r="Q555" i="35" s="1"/>
  <c r="N554" i="35"/>
  <c r="J554" i="35"/>
  <c r="K554" i="35" s="1"/>
  <c r="N553" i="35"/>
  <c r="J553" i="35"/>
  <c r="K553" i="35" s="1"/>
  <c r="Q553" i="35" s="1"/>
  <c r="N552" i="35"/>
  <c r="J552" i="35"/>
  <c r="K552" i="35" s="1"/>
  <c r="Q552" i="35" s="1"/>
  <c r="N551" i="35"/>
  <c r="N550" i="35"/>
  <c r="N549" i="35"/>
  <c r="J549" i="35"/>
  <c r="N548" i="35"/>
  <c r="J548" i="35"/>
  <c r="K548" i="35" s="1"/>
  <c r="Q548" i="35" s="1"/>
  <c r="N547" i="35"/>
  <c r="J547" i="35"/>
  <c r="N546" i="35"/>
  <c r="J546" i="35"/>
  <c r="K546" i="35" s="1"/>
  <c r="Q546" i="35" s="1"/>
  <c r="N545" i="35"/>
  <c r="J545" i="35"/>
  <c r="K545" i="35" s="1"/>
  <c r="Q545" i="35" s="1"/>
  <c r="N544" i="35"/>
  <c r="J544" i="35"/>
  <c r="K544" i="35" s="1"/>
  <c r="Q544" i="35" s="1"/>
  <c r="N543" i="35"/>
  <c r="J543" i="35"/>
  <c r="K543" i="35" s="1"/>
  <c r="N542" i="35"/>
  <c r="J542" i="35"/>
  <c r="K542" i="35" s="1"/>
  <c r="Q542" i="35" s="1"/>
  <c r="N541" i="35"/>
  <c r="J541" i="35"/>
  <c r="K541" i="35" s="1"/>
  <c r="N540" i="35"/>
  <c r="J540" i="35"/>
  <c r="K540" i="35" s="1"/>
  <c r="Q540" i="35" s="1"/>
  <c r="N539" i="35"/>
  <c r="J539" i="35"/>
  <c r="K539" i="35" s="1"/>
  <c r="N538" i="35"/>
  <c r="N537" i="35"/>
  <c r="N536" i="35"/>
  <c r="J536" i="35"/>
  <c r="K536" i="35" s="1"/>
  <c r="Q536" i="35" s="1"/>
  <c r="N535" i="35"/>
  <c r="J535" i="35"/>
  <c r="K535" i="35" s="1"/>
  <c r="N534" i="35"/>
  <c r="J534" i="35"/>
  <c r="K534" i="35" s="1"/>
  <c r="Q534" i="35" s="1"/>
  <c r="N533" i="35"/>
  <c r="J533" i="35"/>
  <c r="K533" i="35" s="1"/>
  <c r="N532" i="35"/>
  <c r="J532" i="35"/>
  <c r="K532" i="35" s="1"/>
  <c r="Q532" i="35" s="1"/>
  <c r="N531" i="35"/>
  <c r="N530" i="35"/>
  <c r="N529" i="35"/>
  <c r="N528" i="35"/>
  <c r="N527" i="35"/>
  <c r="N526" i="35"/>
  <c r="J526" i="35"/>
  <c r="K526" i="35" s="1"/>
  <c r="Q526" i="35" s="1"/>
  <c r="N525" i="35"/>
  <c r="J525" i="35"/>
  <c r="N524" i="35"/>
  <c r="J524" i="35"/>
  <c r="K524" i="35" s="1"/>
  <c r="Q524" i="35" s="1"/>
  <c r="N523" i="35"/>
  <c r="J523" i="35"/>
  <c r="K523" i="35" s="1"/>
  <c r="N522" i="35"/>
  <c r="J522" i="35"/>
  <c r="K522" i="35" s="1"/>
  <c r="Q522" i="35" s="1"/>
  <c r="N521" i="35"/>
  <c r="J521" i="35"/>
  <c r="K521" i="35" s="1"/>
  <c r="Q521" i="35" s="1"/>
  <c r="N520" i="35"/>
  <c r="J520" i="35"/>
  <c r="K520" i="35" s="1"/>
  <c r="Q520" i="35" s="1"/>
  <c r="N519" i="35"/>
  <c r="J519" i="35"/>
  <c r="K519" i="35" s="1"/>
  <c r="N518" i="35"/>
  <c r="J518" i="35"/>
  <c r="K518" i="35" s="1"/>
  <c r="Q518" i="35" s="1"/>
  <c r="N517" i="35"/>
  <c r="J517" i="35"/>
  <c r="K517" i="35" s="1"/>
  <c r="N516" i="35"/>
  <c r="J516" i="35"/>
  <c r="K516" i="35" s="1"/>
  <c r="Q516" i="35" s="1"/>
  <c r="N515" i="35"/>
  <c r="J515" i="35"/>
  <c r="K515" i="35" s="1"/>
  <c r="N514" i="35"/>
  <c r="J514" i="35"/>
  <c r="K514" i="35" s="1"/>
  <c r="Q514" i="35" s="1"/>
  <c r="N513" i="35"/>
  <c r="J513" i="35"/>
  <c r="K513" i="35" s="1"/>
  <c r="Q513" i="35" s="1"/>
  <c r="N512" i="35"/>
  <c r="J512" i="35"/>
  <c r="N511" i="35"/>
  <c r="J511" i="35"/>
  <c r="K511" i="35" s="1"/>
  <c r="Q511" i="35" s="1"/>
  <c r="N510" i="35"/>
  <c r="J510" i="35"/>
  <c r="K510" i="35" s="1"/>
  <c r="Q510" i="35" s="1"/>
  <c r="N509" i="35"/>
  <c r="J509" i="35"/>
  <c r="K509" i="35" s="1"/>
  <c r="Q509" i="35" s="1"/>
  <c r="N508" i="35"/>
  <c r="J508" i="35"/>
  <c r="K508" i="35" s="1"/>
  <c r="Q508" i="35" s="1"/>
  <c r="N507" i="35"/>
  <c r="J507" i="35"/>
  <c r="N506" i="35"/>
  <c r="J506" i="35"/>
  <c r="K506" i="35" s="1"/>
  <c r="Q506" i="35" s="1"/>
  <c r="N505" i="35"/>
  <c r="J505" i="35"/>
  <c r="N504" i="35"/>
  <c r="J504" i="35"/>
  <c r="N503" i="35"/>
  <c r="N502" i="35"/>
  <c r="N501" i="35"/>
  <c r="N500" i="35"/>
  <c r="J500" i="35"/>
  <c r="K500" i="35" s="1"/>
  <c r="Q500" i="35" s="1"/>
  <c r="N499" i="35"/>
  <c r="J499" i="35"/>
  <c r="K499" i="35" s="1"/>
  <c r="N498" i="35"/>
  <c r="J498" i="35"/>
  <c r="K498" i="35" s="1"/>
  <c r="Q498" i="35" s="1"/>
  <c r="N497" i="35"/>
  <c r="J497" i="35"/>
  <c r="K497" i="35" s="1"/>
  <c r="Q497" i="35" s="1"/>
  <c r="N496" i="35"/>
  <c r="J496" i="35"/>
  <c r="K496" i="35" s="1"/>
  <c r="Q496" i="35" s="1"/>
  <c r="N495" i="35"/>
  <c r="J495" i="35"/>
  <c r="K495" i="35" s="1"/>
  <c r="Q495" i="35" s="1"/>
  <c r="N494" i="35"/>
  <c r="J494" i="35"/>
  <c r="K494" i="35" s="1"/>
  <c r="Q494" i="35" s="1"/>
  <c r="N493" i="35"/>
  <c r="J493" i="35"/>
  <c r="K493" i="35" s="1"/>
  <c r="Q493" i="35" s="1"/>
  <c r="N492" i="35"/>
  <c r="J492" i="35"/>
  <c r="K492" i="35" s="1"/>
  <c r="Q492" i="35" s="1"/>
  <c r="N491" i="35"/>
  <c r="J491" i="35"/>
  <c r="K491" i="35" s="1"/>
  <c r="N490" i="35"/>
  <c r="J490" i="35"/>
  <c r="K490" i="35" s="1"/>
  <c r="Q490" i="35" s="1"/>
  <c r="N489" i="35"/>
  <c r="N488" i="35"/>
  <c r="N487" i="35"/>
  <c r="N486" i="35"/>
  <c r="N485" i="35"/>
  <c r="N484" i="35"/>
  <c r="N483" i="35"/>
  <c r="J483" i="35"/>
  <c r="K483" i="35" s="1"/>
  <c r="Q483" i="35" s="1"/>
  <c r="N482" i="35"/>
  <c r="N481" i="35"/>
  <c r="J481" i="35"/>
  <c r="K481" i="35" s="1"/>
  <c r="Q481" i="35" s="1"/>
  <c r="N480" i="35"/>
  <c r="J480" i="35"/>
  <c r="K480" i="35" s="1"/>
  <c r="N479" i="35"/>
  <c r="J479" i="35"/>
  <c r="K479" i="35" s="1"/>
  <c r="Q479" i="35" s="1"/>
  <c r="N478" i="35"/>
  <c r="J478" i="35"/>
  <c r="K478" i="35" s="1"/>
  <c r="Q478" i="35" s="1"/>
  <c r="N477" i="35"/>
  <c r="N476" i="35"/>
  <c r="N475" i="35"/>
  <c r="N474" i="35"/>
  <c r="N473" i="35"/>
  <c r="J473" i="35"/>
  <c r="K473" i="35" s="1"/>
  <c r="Q473" i="35" s="1"/>
  <c r="N472" i="35"/>
  <c r="N471" i="35"/>
  <c r="J471" i="35"/>
  <c r="K471" i="35" s="1"/>
  <c r="Q471" i="35" s="1"/>
  <c r="N470" i="35"/>
  <c r="N469" i="35"/>
  <c r="N468" i="35"/>
  <c r="J468" i="35"/>
  <c r="K468" i="35" s="1"/>
  <c r="Q468" i="35" s="1"/>
  <c r="N467" i="35"/>
  <c r="J467" i="35"/>
  <c r="K467" i="35" s="1"/>
  <c r="Q467" i="35" s="1"/>
  <c r="N466" i="35"/>
  <c r="N465" i="35"/>
  <c r="N464" i="35"/>
  <c r="N463" i="35"/>
  <c r="J463" i="35"/>
  <c r="K463" i="35" s="1"/>
  <c r="Q463" i="35" s="1"/>
  <c r="N462" i="35"/>
  <c r="N461" i="35"/>
  <c r="N460" i="35"/>
  <c r="N459" i="35"/>
  <c r="J459" i="35"/>
  <c r="K459" i="35" s="1"/>
  <c r="Q459" i="35" s="1"/>
  <c r="N458" i="35"/>
  <c r="J458" i="35"/>
  <c r="N457" i="35"/>
  <c r="J457" i="35"/>
  <c r="N456" i="35"/>
  <c r="J456" i="35"/>
  <c r="N455" i="35"/>
  <c r="J455" i="35"/>
  <c r="N454" i="35"/>
  <c r="J454" i="35"/>
  <c r="N453" i="35"/>
  <c r="J453" i="35"/>
  <c r="K453" i="35" s="1"/>
  <c r="Q453" i="35" s="1"/>
  <c r="N452" i="35"/>
  <c r="J452" i="35"/>
  <c r="K452" i="35" s="1"/>
  <c r="Q452" i="35" s="1"/>
  <c r="N451" i="35"/>
  <c r="J451" i="35"/>
  <c r="K451" i="35" s="1"/>
  <c r="Q451" i="35" s="1"/>
  <c r="N450" i="35"/>
  <c r="J450" i="35"/>
  <c r="K450" i="35" s="1"/>
  <c r="Q450" i="35" s="1"/>
  <c r="N449" i="35"/>
  <c r="J449" i="35"/>
  <c r="K449" i="35" s="1"/>
  <c r="N448" i="35"/>
  <c r="J448" i="35"/>
  <c r="K448" i="35" s="1"/>
  <c r="Q448" i="35" s="1"/>
  <c r="N447" i="35"/>
  <c r="J447" i="35"/>
  <c r="K447" i="35" s="1"/>
  <c r="Q447" i="35" s="1"/>
  <c r="N446" i="35"/>
  <c r="J446" i="35"/>
  <c r="K446" i="35" s="1"/>
  <c r="Q446" i="35" s="1"/>
  <c r="N445" i="35"/>
  <c r="J445" i="35"/>
  <c r="K445" i="35" s="1"/>
  <c r="Q445" i="35" s="1"/>
  <c r="N444" i="35"/>
  <c r="J444" i="35"/>
  <c r="K444" i="35" s="1"/>
  <c r="Q444" i="35" s="1"/>
  <c r="N443" i="35"/>
  <c r="J443" i="35"/>
  <c r="K443" i="35" s="1"/>
  <c r="Q443" i="35" s="1"/>
  <c r="N442" i="35"/>
  <c r="J442" i="35"/>
  <c r="K442" i="35" s="1"/>
  <c r="Q442" i="35" s="1"/>
  <c r="N441" i="35"/>
  <c r="J441" i="35"/>
  <c r="K441" i="35" s="1"/>
  <c r="N440" i="35"/>
  <c r="J440" i="35"/>
  <c r="K440" i="35" s="1"/>
  <c r="Q440" i="35" s="1"/>
  <c r="N439" i="35"/>
  <c r="J439" i="35"/>
  <c r="K439" i="35" s="1"/>
  <c r="N438" i="35"/>
  <c r="J438" i="35"/>
  <c r="K438" i="35" s="1"/>
  <c r="Q438" i="35" s="1"/>
  <c r="N437" i="35"/>
  <c r="J437" i="35"/>
  <c r="K437" i="35" s="1"/>
  <c r="Q437" i="35" s="1"/>
  <c r="N436" i="35"/>
  <c r="J436" i="35"/>
  <c r="K436" i="35" s="1"/>
  <c r="Q436" i="35" s="1"/>
  <c r="N435" i="35"/>
  <c r="J435" i="35"/>
  <c r="K435" i="35" s="1"/>
  <c r="N434" i="35"/>
  <c r="J434" i="35"/>
  <c r="K434" i="35" s="1"/>
  <c r="Q434" i="35" s="1"/>
  <c r="N433" i="35"/>
  <c r="J433" i="35"/>
  <c r="K433" i="35" s="1"/>
  <c r="Q433" i="35" s="1"/>
  <c r="N432" i="35"/>
  <c r="J432" i="35"/>
  <c r="K432" i="35" s="1"/>
  <c r="Q432" i="35" s="1"/>
  <c r="N431" i="35"/>
  <c r="J431" i="35"/>
  <c r="K431" i="35" s="1"/>
  <c r="Q431" i="35" s="1"/>
  <c r="N430" i="35"/>
  <c r="J430" i="35"/>
  <c r="K430" i="35" s="1"/>
  <c r="Q430" i="35" s="1"/>
  <c r="N429" i="35"/>
  <c r="J429" i="35"/>
  <c r="K429" i="35" s="1"/>
  <c r="Q429" i="35" s="1"/>
  <c r="N428" i="35"/>
  <c r="J428" i="35"/>
  <c r="K428" i="35" s="1"/>
  <c r="N427" i="35"/>
  <c r="J427" i="35"/>
  <c r="N426" i="35"/>
  <c r="J426" i="35"/>
  <c r="K426" i="35" s="1"/>
  <c r="Q426" i="35" s="1"/>
  <c r="N425" i="35"/>
  <c r="J425" i="35"/>
  <c r="K425" i="35" s="1"/>
  <c r="N424" i="35"/>
  <c r="J424" i="35"/>
  <c r="K424" i="35" s="1"/>
  <c r="Q424" i="35" s="1"/>
  <c r="N423" i="35"/>
  <c r="J423" i="35"/>
  <c r="K423" i="35" s="1"/>
  <c r="Q423" i="35" s="1"/>
  <c r="N422" i="35"/>
  <c r="J422" i="35"/>
  <c r="K422" i="35" s="1"/>
  <c r="Q422" i="35" s="1"/>
  <c r="N421" i="35"/>
  <c r="J421" i="35"/>
  <c r="K421" i="35" s="1"/>
  <c r="N420" i="35"/>
  <c r="J420" i="35"/>
  <c r="K420" i="35" s="1"/>
  <c r="Q420" i="35" s="1"/>
  <c r="N419" i="35"/>
  <c r="J419" i="35"/>
  <c r="K419" i="35" s="1"/>
  <c r="Q419" i="35" s="1"/>
  <c r="N418" i="35"/>
  <c r="J418" i="35"/>
  <c r="K418" i="35" s="1"/>
  <c r="Q418" i="35" s="1"/>
  <c r="N417" i="35"/>
  <c r="J417" i="35"/>
  <c r="K417" i="35" s="1"/>
  <c r="Q417" i="35" s="1"/>
  <c r="N416" i="35"/>
  <c r="J416" i="35"/>
  <c r="K416" i="35" s="1"/>
  <c r="Q416" i="35" s="1"/>
  <c r="N415" i="35"/>
  <c r="J415" i="35"/>
  <c r="K415" i="35" s="1"/>
  <c r="Q415" i="35" s="1"/>
  <c r="N414" i="35"/>
  <c r="J414" i="35"/>
  <c r="K414" i="35" s="1"/>
  <c r="Q414" i="35" s="1"/>
  <c r="N413" i="35"/>
  <c r="J413" i="35"/>
  <c r="K413" i="35" s="1"/>
  <c r="Q413" i="35" s="1"/>
  <c r="N412" i="35"/>
  <c r="J412" i="35"/>
  <c r="K412" i="35" s="1"/>
  <c r="Q412" i="35" s="1"/>
  <c r="N411" i="35"/>
  <c r="J411" i="35"/>
  <c r="K411" i="35" s="1"/>
  <c r="Q411" i="35" s="1"/>
  <c r="N410" i="35"/>
  <c r="J410" i="35"/>
  <c r="K410" i="35" s="1"/>
  <c r="Q410" i="35" s="1"/>
  <c r="N409" i="35"/>
  <c r="J409" i="35"/>
  <c r="K409" i="35" s="1"/>
  <c r="Q409" i="35" s="1"/>
  <c r="N408" i="35"/>
  <c r="J408" i="35"/>
  <c r="K408" i="35" s="1"/>
  <c r="Q408" i="35" s="1"/>
  <c r="N407" i="35"/>
  <c r="J407" i="35"/>
  <c r="K407" i="35" s="1"/>
  <c r="Q407" i="35" s="1"/>
  <c r="N406" i="35"/>
  <c r="J406" i="35"/>
  <c r="K406" i="35" s="1"/>
  <c r="Q406" i="35" s="1"/>
  <c r="N405" i="35"/>
  <c r="J405" i="35"/>
  <c r="K405" i="35" s="1"/>
  <c r="N404" i="35"/>
  <c r="J404" i="35"/>
  <c r="K404" i="35" s="1"/>
  <c r="Q404" i="35" s="1"/>
  <c r="N403" i="35"/>
  <c r="J403" i="35"/>
  <c r="K403" i="35" s="1"/>
  <c r="Q403" i="35" s="1"/>
  <c r="N402" i="35"/>
  <c r="J402" i="35"/>
  <c r="K402" i="35" s="1"/>
  <c r="Q402" i="35" s="1"/>
  <c r="N401" i="35"/>
  <c r="J401" i="35"/>
  <c r="K401" i="35" s="1"/>
  <c r="Q401" i="35" s="1"/>
  <c r="N400" i="35"/>
  <c r="J400" i="35"/>
  <c r="K400" i="35" s="1"/>
  <c r="Q400" i="35" s="1"/>
  <c r="N399" i="35"/>
  <c r="J399" i="35"/>
  <c r="K399" i="35" s="1"/>
  <c r="Q399" i="35" s="1"/>
  <c r="N398" i="35"/>
  <c r="J398" i="35"/>
  <c r="K398" i="35" s="1"/>
  <c r="Q398" i="35" s="1"/>
  <c r="N397" i="35"/>
  <c r="J397" i="35"/>
  <c r="K397" i="35" s="1"/>
  <c r="Q397" i="35" s="1"/>
  <c r="N396" i="35"/>
  <c r="J396" i="35"/>
  <c r="K396" i="35" s="1"/>
  <c r="Q396" i="35" s="1"/>
  <c r="N395" i="35"/>
  <c r="J395" i="35"/>
  <c r="K395" i="35" s="1"/>
  <c r="Q395" i="35" s="1"/>
  <c r="N394" i="35"/>
  <c r="N393" i="35"/>
  <c r="N392" i="35"/>
  <c r="N391" i="35"/>
  <c r="J391" i="35"/>
  <c r="K391" i="35" s="1"/>
  <c r="Q391" i="35" s="1"/>
  <c r="N390" i="35"/>
  <c r="J390" i="35"/>
  <c r="K390" i="35" s="1"/>
  <c r="Q390" i="35" s="1"/>
  <c r="N389" i="35"/>
  <c r="N388" i="35"/>
  <c r="N387" i="35"/>
  <c r="N386" i="35"/>
  <c r="J386" i="35"/>
  <c r="K386" i="35" s="1"/>
  <c r="Q386" i="35" s="1"/>
  <c r="N385" i="35"/>
  <c r="J385" i="35"/>
  <c r="K385" i="35" s="1"/>
  <c r="Q385" i="35" s="1"/>
  <c r="N384" i="35"/>
  <c r="J384" i="35"/>
  <c r="K384" i="35" s="1"/>
  <c r="Q384" i="35" s="1"/>
  <c r="N383" i="35"/>
  <c r="J383" i="35"/>
  <c r="K383" i="35" s="1"/>
  <c r="Q383" i="35" s="1"/>
  <c r="N382" i="35"/>
  <c r="J382" i="35"/>
  <c r="K382" i="35" s="1"/>
  <c r="Q382" i="35" s="1"/>
  <c r="N381" i="35"/>
  <c r="J381" i="35"/>
  <c r="K381" i="35" s="1"/>
  <c r="Q381" i="35" s="1"/>
  <c r="N380" i="35"/>
  <c r="J380" i="35"/>
  <c r="K380" i="35" s="1"/>
  <c r="Q380" i="35" s="1"/>
  <c r="N379" i="35"/>
  <c r="J379" i="35"/>
  <c r="K379" i="35" s="1"/>
  <c r="Q379" i="35" s="1"/>
  <c r="N378" i="35"/>
  <c r="J378" i="35"/>
  <c r="K378" i="35" s="1"/>
  <c r="Q378" i="35" s="1"/>
  <c r="N377" i="35"/>
  <c r="J377" i="35"/>
  <c r="K377" i="35" s="1"/>
  <c r="Q377" i="35" s="1"/>
  <c r="N376" i="35"/>
  <c r="J376" i="35"/>
  <c r="K376" i="35" s="1"/>
  <c r="Q376" i="35" s="1"/>
  <c r="N375" i="35"/>
  <c r="J375" i="35"/>
  <c r="K375" i="35" s="1"/>
  <c r="Q375" i="35" s="1"/>
  <c r="N374" i="35"/>
  <c r="J374" i="35"/>
  <c r="N373" i="35"/>
  <c r="J373" i="35"/>
  <c r="K373" i="35" s="1"/>
  <c r="Q373" i="35" s="1"/>
  <c r="N372" i="35"/>
  <c r="J372" i="35"/>
  <c r="K372" i="35" s="1"/>
  <c r="Q372" i="35" s="1"/>
  <c r="N371" i="35"/>
  <c r="N370" i="35"/>
  <c r="J370" i="35"/>
  <c r="K370" i="35" s="1"/>
  <c r="Q370" i="35" s="1"/>
  <c r="N369" i="35"/>
  <c r="J369" i="35"/>
  <c r="K369" i="35" s="1"/>
  <c r="Q369" i="35" s="1"/>
  <c r="N368" i="35"/>
  <c r="J368" i="35"/>
  <c r="K368" i="35" s="1"/>
  <c r="Q368" i="35" s="1"/>
  <c r="N367" i="35"/>
  <c r="J367" i="35"/>
  <c r="K367" i="35" s="1"/>
  <c r="Q367" i="35" s="1"/>
  <c r="N366" i="35"/>
  <c r="J366" i="35"/>
  <c r="K366" i="35" s="1"/>
  <c r="N365" i="35"/>
  <c r="J365" i="35"/>
  <c r="K365" i="35" s="1"/>
  <c r="Q365" i="35" s="1"/>
  <c r="N364" i="35"/>
  <c r="N363" i="35"/>
  <c r="N362" i="35"/>
  <c r="J362" i="35"/>
  <c r="N361" i="35"/>
  <c r="J361" i="35"/>
  <c r="K361" i="35" s="1"/>
  <c r="Q361" i="35" s="1"/>
  <c r="N360" i="35"/>
  <c r="J360" i="35"/>
  <c r="K360" i="35" s="1"/>
  <c r="Q360" i="35" s="1"/>
  <c r="N359" i="35"/>
  <c r="J359" i="35"/>
  <c r="K359" i="35" s="1"/>
  <c r="N358" i="35"/>
  <c r="J358" i="35"/>
  <c r="K358" i="35" s="1"/>
  <c r="Q358" i="35" s="1"/>
  <c r="N357" i="35"/>
  <c r="J357" i="35"/>
  <c r="K357" i="35" s="1"/>
  <c r="Q357" i="35" s="1"/>
  <c r="N356" i="35"/>
  <c r="J356" i="35"/>
  <c r="K356" i="35" s="1"/>
  <c r="Q356" i="35" s="1"/>
  <c r="N355" i="35"/>
  <c r="N354" i="35"/>
  <c r="N353" i="35"/>
  <c r="J353" i="35"/>
  <c r="K353" i="35" s="1"/>
  <c r="Q353" i="35" s="1"/>
  <c r="N352" i="35"/>
  <c r="N351" i="35"/>
  <c r="N350" i="35"/>
  <c r="N349" i="35"/>
  <c r="N348" i="35"/>
  <c r="J348" i="35"/>
  <c r="K348" i="35" s="1"/>
  <c r="N347" i="35"/>
  <c r="J347" i="35"/>
  <c r="K347" i="35" s="1"/>
  <c r="N346" i="35"/>
  <c r="N345" i="35"/>
  <c r="N344" i="35"/>
  <c r="N343" i="35"/>
  <c r="N342" i="35"/>
  <c r="J342" i="35"/>
  <c r="K342" i="35" s="1"/>
  <c r="Q342" i="35" s="1"/>
  <c r="N341" i="35"/>
  <c r="J341" i="35"/>
  <c r="K341" i="35" s="1"/>
  <c r="Q341" i="35" s="1"/>
  <c r="N340" i="35"/>
  <c r="J340" i="35"/>
  <c r="K340" i="35" s="1"/>
  <c r="N339" i="35"/>
  <c r="J339" i="35"/>
  <c r="K339" i="35" s="1"/>
  <c r="N338" i="35"/>
  <c r="J338" i="35"/>
  <c r="K338" i="35" s="1"/>
  <c r="Q338" i="35" s="1"/>
  <c r="N337" i="35"/>
  <c r="J337" i="35"/>
  <c r="K337" i="35" s="1"/>
  <c r="Q337" i="35" s="1"/>
  <c r="N336" i="35"/>
  <c r="J336" i="35"/>
  <c r="K336" i="35" s="1"/>
  <c r="N335" i="35"/>
  <c r="N334" i="35"/>
  <c r="J334" i="35"/>
  <c r="K334" i="35" s="1"/>
  <c r="Q334" i="35" s="1"/>
  <c r="N333" i="35"/>
  <c r="J333" i="35"/>
  <c r="K333" i="35" s="1"/>
  <c r="Q333" i="35" s="1"/>
  <c r="N332" i="35"/>
  <c r="J332" i="35"/>
  <c r="K332" i="35" s="1"/>
  <c r="N331" i="35"/>
  <c r="J331" i="35"/>
  <c r="K331" i="35" s="1"/>
  <c r="N330" i="35"/>
  <c r="J330" i="35"/>
  <c r="K330" i="35" s="1"/>
  <c r="Q330" i="35" s="1"/>
  <c r="N329" i="35"/>
  <c r="N328" i="35"/>
  <c r="J328" i="35"/>
  <c r="K328" i="35" s="1"/>
  <c r="Q328" i="35" s="1"/>
  <c r="N327" i="35"/>
  <c r="J327" i="35"/>
  <c r="K327" i="35" s="1"/>
  <c r="Q327" i="35" s="1"/>
  <c r="N326" i="35"/>
  <c r="J326" i="35"/>
  <c r="K326" i="35" s="1"/>
  <c r="Q326" i="35" s="1"/>
  <c r="N325" i="35"/>
  <c r="N324" i="35"/>
  <c r="N323" i="35"/>
  <c r="J323" i="35"/>
  <c r="N322" i="35"/>
  <c r="J322" i="35"/>
  <c r="N321" i="35"/>
  <c r="N320" i="35"/>
  <c r="J320" i="35"/>
  <c r="N319" i="35"/>
  <c r="J319" i="35"/>
  <c r="N318" i="35"/>
  <c r="N316" i="35"/>
  <c r="J316" i="35"/>
  <c r="N315" i="35"/>
  <c r="J315" i="35"/>
  <c r="N314" i="35"/>
  <c r="J314" i="35"/>
  <c r="N313" i="35"/>
  <c r="J313" i="35"/>
  <c r="N312" i="35"/>
  <c r="J312" i="35"/>
  <c r="C308" i="35"/>
  <c r="J306" i="35"/>
  <c r="K306" i="35" s="1"/>
  <c r="J305" i="35"/>
  <c r="K305" i="35" s="1"/>
  <c r="J304" i="35"/>
  <c r="K304" i="35" s="1"/>
  <c r="J303" i="35"/>
  <c r="K303" i="35" s="1"/>
  <c r="J302" i="35"/>
  <c r="K302" i="35" s="1"/>
  <c r="J301" i="35"/>
  <c r="K301" i="35" s="1"/>
  <c r="J300" i="35"/>
  <c r="K300" i="35" s="1"/>
  <c r="J299" i="35"/>
  <c r="K299" i="35" s="1"/>
  <c r="J298" i="35"/>
  <c r="K298" i="35" s="1"/>
  <c r="J297" i="35"/>
  <c r="K297" i="35" s="1"/>
  <c r="J296" i="35"/>
  <c r="K296" i="35" s="1"/>
  <c r="J295" i="35"/>
  <c r="K295" i="35" s="1"/>
  <c r="J294" i="35"/>
  <c r="K294" i="35" s="1"/>
  <c r="J293" i="35"/>
  <c r="K293" i="35" s="1"/>
  <c r="J292" i="35"/>
  <c r="K292" i="35" s="1"/>
  <c r="J291" i="35"/>
  <c r="K291" i="35" s="1"/>
  <c r="J290" i="35"/>
  <c r="K290" i="35" s="1"/>
  <c r="K289" i="35"/>
  <c r="K288" i="35"/>
  <c r="K287" i="35"/>
  <c r="K286" i="35"/>
  <c r="K285" i="35"/>
  <c r="K284" i="35"/>
  <c r="K283" i="35"/>
  <c r="K282" i="35"/>
  <c r="K281" i="35"/>
  <c r="K280" i="35"/>
  <c r="J279" i="35"/>
  <c r="K279" i="35" s="1"/>
  <c r="J278" i="35"/>
  <c r="K278" i="35" s="1"/>
  <c r="J277" i="35"/>
  <c r="K277" i="35" s="1"/>
  <c r="J276" i="35"/>
  <c r="K276" i="35" s="1"/>
  <c r="N275" i="35"/>
  <c r="J275" i="35"/>
  <c r="K275" i="35" s="1"/>
  <c r="Q275" i="35" s="1"/>
  <c r="N274" i="35"/>
  <c r="J274" i="35"/>
  <c r="K274" i="35" s="1"/>
  <c r="Q274" i="35" s="1"/>
  <c r="N273" i="35"/>
  <c r="J273" i="35"/>
  <c r="K273" i="35" s="1"/>
  <c r="N272" i="35"/>
  <c r="J272" i="35"/>
  <c r="K272" i="35" s="1"/>
  <c r="Q272" i="35" s="1"/>
  <c r="N271" i="35"/>
  <c r="J271" i="35"/>
  <c r="K271" i="35" s="1"/>
  <c r="N270" i="35"/>
  <c r="J270" i="35"/>
  <c r="K270" i="35" s="1"/>
  <c r="Q270" i="35" s="1"/>
  <c r="N269" i="35"/>
  <c r="J269" i="35"/>
  <c r="K269" i="35" s="1"/>
  <c r="Q269" i="35" s="1"/>
  <c r="N268" i="35"/>
  <c r="J268" i="35"/>
  <c r="K268" i="35" s="1"/>
  <c r="Q268" i="35" s="1"/>
  <c r="N267" i="35"/>
  <c r="J267" i="35"/>
  <c r="K267" i="35" s="1"/>
  <c r="Q267" i="35" s="1"/>
  <c r="N266" i="35"/>
  <c r="J266" i="35"/>
  <c r="K266" i="35" s="1"/>
  <c r="Q266" i="35" s="1"/>
  <c r="N265" i="35"/>
  <c r="J265" i="35"/>
  <c r="K265" i="35" s="1"/>
  <c r="N264" i="35"/>
  <c r="J264" i="35"/>
  <c r="K264" i="35" s="1"/>
  <c r="Q264" i="35" s="1"/>
  <c r="N263" i="35"/>
  <c r="J263" i="35"/>
  <c r="K263" i="35" s="1"/>
  <c r="N262" i="35"/>
  <c r="J262" i="35"/>
  <c r="K262" i="35" s="1"/>
  <c r="Q262" i="35" s="1"/>
  <c r="N261" i="35"/>
  <c r="J261" i="35"/>
  <c r="K261" i="35" s="1"/>
  <c r="Q261" i="35" s="1"/>
  <c r="N260" i="35"/>
  <c r="J260" i="35"/>
  <c r="K260" i="35" s="1"/>
  <c r="Q260" i="35" s="1"/>
  <c r="N259" i="35"/>
  <c r="J259" i="35"/>
  <c r="K259" i="35" s="1"/>
  <c r="Q259" i="35" s="1"/>
  <c r="N258" i="35"/>
  <c r="J258" i="35"/>
  <c r="K258" i="35" s="1"/>
  <c r="Q258" i="35" s="1"/>
  <c r="N257" i="35"/>
  <c r="J257" i="35"/>
  <c r="K257" i="35" s="1"/>
  <c r="N256" i="35"/>
  <c r="J256" i="35"/>
  <c r="K256" i="35" s="1"/>
  <c r="Q256" i="35" s="1"/>
  <c r="N255" i="35"/>
  <c r="J255" i="35"/>
  <c r="K255" i="35" s="1"/>
  <c r="N254" i="35"/>
  <c r="J254" i="35"/>
  <c r="K254" i="35" s="1"/>
  <c r="Q254" i="35" s="1"/>
  <c r="N253" i="35"/>
  <c r="J253" i="35"/>
  <c r="K253" i="35" s="1"/>
  <c r="Q253" i="35" s="1"/>
  <c r="N252" i="35"/>
  <c r="J252" i="35"/>
  <c r="K252" i="35" s="1"/>
  <c r="Q252" i="35" s="1"/>
  <c r="J251" i="35"/>
  <c r="K251" i="35" s="1"/>
  <c r="N250" i="35"/>
  <c r="J250" i="35"/>
  <c r="K250" i="35" s="1"/>
  <c r="Q250" i="35" s="1"/>
  <c r="N249" i="35"/>
  <c r="J249" i="35"/>
  <c r="K249" i="35" s="1"/>
  <c r="Q249" i="35" s="1"/>
  <c r="N248" i="35"/>
  <c r="J248" i="35"/>
  <c r="K248" i="35" s="1"/>
  <c r="Q248" i="35" s="1"/>
  <c r="N247" i="35"/>
  <c r="J247" i="35"/>
  <c r="K247" i="35" s="1"/>
  <c r="Q247" i="35" s="1"/>
  <c r="N246" i="35"/>
  <c r="J246" i="35"/>
  <c r="K246" i="35" s="1"/>
  <c r="N245" i="35"/>
  <c r="J245" i="35"/>
  <c r="K245" i="35" s="1"/>
  <c r="Q245" i="35" s="1"/>
  <c r="N244" i="35"/>
  <c r="J244" i="35"/>
  <c r="K244" i="35" s="1"/>
  <c r="N243" i="35"/>
  <c r="J243" i="35"/>
  <c r="K243" i="35" s="1"/>
  <c r="Q243" i="35" s="1"/>
  <c r="N242" i="35"/>
  <c r="J242" i="35"/>
  <c r="K242" i="35" s="1"/>
  <c r="Q242" i="35" s="1"/>
  <c r="N241" i="35"/>
  <c r="J241" i="35"/>
  <c r="K241" i="35" s="1"/>
  <c r="Q241" i="35" s="1"/>
  <c r="N240" i="35"/>
  <c r="J240" i="35"/>
  <c r="K240" i="35" s="1"/>
  <c r="Q240" i="35" s="1"/>
  <c r="N239" i="35"/>
  <c r="J239" i="35"/>
  <c r="K239" i="35" s="1"/>
  <c r="Q239" i="35" s="1"/>
  <c r="C235" i="35"/>
  <c r="H234" i="35"/>
  <c r="F234" i="35"/>
  <c r="J233" i="35"/>
  <c r="N232" i="35"/>
  <c r="J232" i="35"/>
  <c r="H232" i="35"/>
  <c r="G232" i="35"/>
  <c r="G233" i="35" s="1"/>
  <c r="G234" i="35" s="1"/>
  <c r="F232" i="35"/>
  <c r="D232" i="35"/>
  <c r="N231" i="35"/>
  <c r="H231" i="35"/>
  <c r="G231" i="35"/>
  <c r="F231" i="35"/>
  <c r="D231" i="35"/>
  <c r="N230" i="35"/>
  <c r="J230" i="35"/>
  <c r="H230" i="35"/>
  <c r="G230" i="35"/>
  <c r="F230" i="35"/>
  <c r="D230" i="35"/>
  <c r="N229" i="35"/>
  <c r="J229" i="35"/>
  <c r="H229" i="35"/>
  <c r="G229" i="35"/>
  <c r="F229" i="35"/>
  <c r="D229" i="35"/>
  <c r="N228" i="35"/>
  <c r="J228" i="35"/>
  <c r="H228" i="35"/>
  <c r="G228" i="35"/>
  <c r="F228" i="35"/>
  <c r="D228" i="35"/>
  <c r="N227" i="35"/>
  <c r="J227" i="35"/>
  <c r="H227" i="35"/>
  <c r="G227" i="35"/>
  <c r="F227" i="35"/>
  <c r="D227" i="35"/>
  <c r="N226" i="35"/>
  <c r="H226" i="35"/>
  <c r="G226" i="35"/>
  <c r="F226" i="35"/>
  <c r="D226" i="35"/>
  <c r="N225" i="35"/>
  <c r="H225" i="35"/>
  <c r="G225" i="35"/>
  <c r="T2608" i="36" s="1"/>
  <c r="F225" i="35"/>
  <c r="D225" i="35"/>
  <c r="N224" i="35"/>
  <c r="J224" i="35"/>
  <c r="H224" i="35"/>
  <c r="G224" i="35"/>
  <c r="F224" i="35"/>
  <c r="D224" i="35"/>
  <c r="N223" i="35"/>
  <c r="J223" i="35"/>
  <c r="H223" i="35"/>
  <c r="G223" i="35"/>
  <c r="F223" i="35"/>
  <c r="D223" i="35"/>
  <c r="N222" i="35"/>
  <c r="J222" i="35"/>
  <c r="H222" i="35"/>
  <c r="G222" i="35"/>
  <c r="F222" i="35"/>
  <c r="D222" i="35"/>
  <c r="N221" i="35"/>
  <c r="J221" i="35"/>
  <c r="H221" i="35"/>
  <c r="G221" i="35"/>
  <c r="F221" i="35"/>
  <c r="D221" i="35"/>
  <c r="N220" i="35"/>
  <c r="H220" i="35"/>
  <c r="G220" i="35"/>
  <c r="F220" i="35"/>
  <c r="F233" i="35" s="1"/>
  <c r="D220" i="35"/>
  <c r="N219" i="35"/>
  <c r="H219" i="35"/>
  <c r="G219" i="35"/>
  <c r="F219" i="35"/>
  <c r="D219" i="35"/>
  <c r="C215" i="35"/>
  <c r="N213" i="35"/>
  <c r="J213" i="35"/>
  <c r="K213" i="35" s="1"/>
  <c r="N212" i="35"/>
  <c r="J212" i="35"/>
  <c r="K212" i="35" s="1"/>
  <c r="N211" i="35"/>
  <c r="J211" i="35"/>
  <c r="K211" i="35" s="1"/>
  <c r="Q211" i="35" s="1"/>
  <c r="N210" i="35"/>
  <c r="J210" i="35"/>
  <c r="K210" i="35" s="1"/>
  <c r="N209" i="35"/>
  <c r="J209" i="35"/>
  <c r="K209" i="35" s="1"/>
  <c r="Q209" i="35" s="1"/>
  <c r="N208" i="35"/>
  <c r="J208" i="35"/>
  <c r="K208" i="35" s="1"/>
  <c r="N207" i="35"/>
  <c r="J207" i="35"/>
  <c r="K207" i="35" s="1"/>
  <c r="Q207" i="35" s="1"/>
  <c r="N206" i="35"/>
  <c r="J206" i="35"/>
  <c r="K206" i="35" s="1"/>
  <c r="Q206" i="35" s="1"/>
  <c r="N205" i="35"/>
  <c r="J205" i="35"/>
  <c r="K205" i="35" s="1"/>
  <c r="Q205" i="35" s="1"/>
  <c r="N204" i="35"/>
  <c r="J204" i="35"/>
  <c r="K204" i="35" s="1"/>
  <c r="Q204" i="35" s="1"/>
  <c r="N203" i="35"/>
  <c r="J203" i="35"/>
  <c r="K203" i="35" s="1"/>
  <c r="N202" i="35"/>
  <c r="J202" i="35"/>
  <c r="K202" i="35" s="1"/>
  <c r="Q202" i="35" s="1"/>
  <c r="N201" i="35"/>
  <c r="J201" i="35"/>
  <c r="K201" i="35" s="1"/>
  <c r="Q201" i="35" s="1"/>
  <c r="N200" i="35"/>
  <c r="J200" i="35"/>
  <c r="K200" i="35" s="1"/>
  <c r="Q200" i="35" s="1"/>
  <c r="N199" i="35"/>
  <c r="J199" i="35"/>
  <c r="K199" i="35" s="1"/>
  <c r="N198" i="35"/>
  <c r="J198" i="35"/>
  <c r="K198" i="35" s="1"/>
  <c r="Q198" i="35" s="1"/>
  <c r="N197" i="35"/>
  <c r="J197" i="35"/>
  <c r="K197" i="35" s="1"/>
  <c r="Q197" i="35" s="1"/>
  <c r="N196" i="35"/>
  <c r="J196" i="35"/>
  <c r="K196" i="35" s="1"/>
  <c r="N195" i="35"/>
  <c r="J195" i="35"/>
  <c r="K195" i="35" s="1"/>
  <c r="N194" i="35"/>
  <c r="J194" i="35"/>
  <c r="K194" i="35" s="1"/>
  <c r="Q194" i="35" s="1"/>
  <c r="N193" i="35"/>
  <c r="J193" i="35"/>
  <c r="K193" i="35" s="1"/>
  <c r="Q193" i="35" s="1"/>
  <c r="N192" i="35"/>
  <c r="J192" i="35"/>
  <c r="K192" i="35" s="1"/>
  <c r="Q192" i="35" s="1"/>
  <c r="N191" i="35"/>
  <c r="J191" i="35"/>
  <c r="K191" i="35" s="1"/>
  <c r="N190" i="35"/>
  <c r="J190" i="35"/>
  <c r="K190" i="35" s="1"/>
  <c r="Q190" i="35" s="1"/>
  <c r="N189" i="35"/>
  <c r="J189" i="35"/>
  <c r="K189" i="35" s="1"/>
  <c r="Q189" i="35" s="1"/>
  <c r="N188" i="35"/>
  <c r="J188" i="35"/>
  <c r="K188" i="35" s="1"/>
  <c r="Q188" i="35" s="1"/>
  <c r="N187" i="35"/>
  <c r="J187" i="35"/>
  <c r="K187" i="35" s="1"/>
  <c r="N186" i="35"/>
  <c r="J186" i="35"/>
  <c r="K186" i="35" s="1"/>
  <c r="Q186" i="35" s="1"/>
  <c r="N185" i="35"/>
  <c r="J185" i="35"/>
  <c r="K185" i="35" s="1"/>
  <c r="Q185" i="35" s="1"/>
  <c r="N184" i="35"/>
  <c r="J184" i="35"/>
  <c r="K184" i="35" s="1"/>
  <c r="Q184" i="35" s="1"/>
  <c r="N183" i="35"/>
  <c r="J183" i="35"/>
  <c r="K183" i="35" s="1"/>
  <c r="N182" i="35"/>
  <c r="J182" i="35"/>
  <c r="K182" i="35" s="1"/>
  <c r="Q182" i="35" s="1"/>
  <c r="N181" i="35"/>
  <c r="J181" i="35"/>
  <c r="K181" i="35" s="1"/>
  <c r="Q181" i="35" s="1"/>
  <c r="N180" i="35"/>
  <c r="J180" i="35"/>
  <c r="K180" i="35" s="1"/>
  <c r="N179" i="35"/>
  <c r="J179" i="35"/>
  <c r="K179" i="35" s="1"/>
  <c r="N178" i="35"/>
  <c r="J178" i="35"/>
  <c r="K178" i="35" s="1"/>
  <c r="Q178" i="35" s="1"/>
  <c r="N177" i="35"/>
  <c r="J177" i="35"/>
  <c r="K177" i="35" s="1"/>
  <c r="Q177" i="35" s="1"/>
  <c r="N176" i="35"/>
  <c r="J176" i="35"/>
  <c r="K176" i="35" s="1"/>
  <c r="N175" i="35"/>
  <c r="N174" i="35"/>
  <c r="J174" i="35"/>
  <c r="K174" i="35" s="1"/>
  <c r="Q174" i="35" s="1"/>
  <c r="N173" i="35"/>
  <c r="J173" i="35"/>
  <c r="K173" i="35" s="1"/>
  <c r="Q173" i="35" s="1"/>
  <c r="N172" i="35"/>
  <c r="J172" i="35"/>
  <c r="K172" i="35" s="1"/>
  <c r="N171" i="35"/>
  <c r="J171" i="35"/>
  <c r="K171" i="35" s="1"/>
  <c r="N170" i="35"/>
  <c r="J170" i="35"/>
  <c r="K170" i="35" s="1"/>
  <c r="Q170" i="35" s="1"/>
  <c r="N169" i="35"/>
  <c r="J169" i="35"/>
  <c r="K169" i="35" s="1"/>
  <c r="Q169" i="35" s="1"/>
  <c r="N168" i="35"/>
  <c r="J168" i="35"/>
  <c r="K168" i="35" s="1"/>
  <c r="Q168" i="35" s="1"/>
  <c r="N167" i="35"/>
  <c r="J167" i="35"/>
  <c r="K167" i="35" s="1"/>
  <c r="N166" i="35"/>
  <c r="J166" i="35"/>
  <c r="K166" i="35" s="1"/>
  <c r="Q166" i="35" s="1"/>
  <c r="N165" i="35"/>
  <c r="J165" i="35"/>
  <c r="K165" i="35" s="1"/>
  <c r="Q165" i="35" s="1"/>
  <c r="N164" i="35"/>
  <c r="J164" i="35"/>
  <c r="K164" i="35" s="1"/>
  <c r="N163" i="35"/>
  <c r="J163" i="35"/>
  <c r="K163" i="35" s="1"/>
  <c r="N162" i="35"/>
  <c r="J162" i="35"/>
  <c r="K162" i="35" s="1"/>
  <c r="Q162" i="35" s="1"/>
  <c r="N161" i="35"/>
  <c r="J161" i="35"/>
  <c r="K161" i="35" s="1"/>
  <c r="Q161" i="35" s="1"/>
  <c r="N160" i="35"/>
  <c r="J160" i="35"/>
  <c r="K160" i="35" s="1"/>
  <c r="Q160" i="35" s="1"/>
  <c r="N159" i="35"/>
  <c r="J159" i="35"/>
  <c r="K159" i="35" s="1"/>
  <c r="N158" i="35"/>
  <c r="J158" i="35"/>
  <c r="K158" i="35" s="1"/>
  <c r="Q158" i="35" s="1"/>
  <c r="N157" i="35"/>
  <c r="J157" i="35"/>
  <c r="K157" i="35" s="1"/>
  <c r="Q157" i="35" s="1"/>
  <c r="N156" i="35"/>
  <c r="J156" i="35"/>
  <c r="K156" i="35" s="1"/>
  <c r="Q156" i="35" s="1"/>
  <c r="N155" i="35"/>
  <c r="J155" i="35"/>
  <c r="K155" i="35" s="1"/>
  <c r="N154" i="35"/>
  <c r="J154" i="35"/>
  <c r="K154" i="35" s="1"/>
  <c r="Q154" i="35" s="1"/>
  <c r="N153" i="35"/>
  <c r="J153" i="35"/>
  <c r="K153" i="35" s="1"/>
  <c r="Q153" i="35" s="1"/>
  <c r="N152" i="35"/>
  <c r="J152" i="35"/>
  <c r="K152" i="35" s="1"/>
  <c r="Q152" i="35" s="1"/>
  <c r="N151" i="35"/>
  <c r="J151" i="35"/>
  <c r="K151" i="35" s="1"/>
  <c r="N150" i="35"/>
  <c r="J150" i="35"/>
  <c r="K150" i="35" s="1"/>
  <c r="Q150" i="35" s="1"/>
  <c r="N149" i="35"/>
  <c r="J149" i="35"/>
  <c r="K149" i="35" s="1"/>
  <c r="Q149" i="35" s="1"/>
  <c r="N148" i="35"/>
  <c r="J148" i="35"/>
  <c r="K148" i="35" s="1"/>
  <c r="N147" i="35"/>
  <c r="J147" i="35"/>
  <c r="K147" i="35" s="1"/>
  <c r="N146" i="35"/>
  <c r="J146" i="35"/>
  <c r="K146" i="35" s="1"/>
  <c r="Q146" i="35" s="1"/>
  <c r="N145" i="35"/>
  <c r="J145" i="35"/>
  <c r="K145" i="35" s="1"/>
  <c r="Q145" i="35" s="1"/>
  <c r="N144" i="35"/>
  <c r="J144" i="35"/>
  <c r="K144" i="35" s="1"/>
  <c r="N143" i="35"/>
  <c r="N142" i="35"/>
  <c r="J142" i="35"/>
  <c r="K142" i="35" s="1"/>
  <c r="Q142" i="35" s="1"/>
  <c r="N141" i="35"/>
  <c r="N140" i="35"/>
  <c r="J140" i="35"/>
  <c r="K140" i="35" s="1"/>
  <c r="Q140" i="35" s="1"/>
  <c r="N139" i="35"/>
  <c r="J139" i="35"/>
  <c r="K139" i="35" s="1"/>
  <c r="N138" i="35"/>
  <c r="J138" i="35"/>
  <c r="K138" i="35" s="1"/>
  <c r="Q138" i="35" s="1"/>
  <c r="N137" i="35"/>
  <c r="J137" i="35"/>
  <c r="K137" i="35" s="1"/>
  <c r="Q137" i="35" s="1"/>
  <c r="N136" i="35"/>
  <c r="J136" i="35"/>
  <c r="K136" i="35" s="1"/>
  <c r="Q136" i="35" s="1"/>
  <c r="N135" i="35"/>
  <c r="N134" i="35"/>
  <c r="N133" i="35"/>
  <c r="J133" i="35"/>
  <c r="K133" i="35" s="1"/>
  <c r="Q133" i="35" s="1"/>
  <c r="N132" i="35"/>
  <c r="J132" i="35"/>
  <c r="K132" i="35" s="1"/>
  <c r="Q132" i="35" s="1"/>
  <c r="N131" i="35"/>
  <c r="J131" i="35"/>
  <c r="K131" i="35" s="1"/>
  <c r="N130" i="35"/>
  <c r="J130" i="35"/>
  <c r="K130" i="35" s="1"/>
  <c r="Q130" i="35" s="1"/>
  <c r="N129" i="35"/>
  <c r="J129" i="35"/>
  <c r="K129" i="35" s="1"/>
  <c r="Q129" i="35" s="1"/>
  <c r="N128" i="35"/>
  <c r="J128" i="35"/>
  <c r="K128" i="35" s="1"/>
  <c r="Q128" i="35" s="1"/>
  <c r="N127" i="35"/>
  <c r="J127" i="35"/>
  <c r="K127" i="35" s="1"/>
  <c r="N126" i="35"/>
  <c r="J126" i="35"/>
  <c r="K126" i="35" s="1"/>
  <c r="Q126" i="35" s="1"/>
  <c r="N125" i="35"/>
  <c r="J125" i="35"/>
  <c r="K125" i="35" s="1"/>
  <c r="Q125" i="35" s="1"/>
  <c r="N124" i="35"/>
  <c r="J124" i="35"/>
  <c r="K124" i="35" s="1"/>
  <c r="Q124" i="35" s="1"/>
  <c r="N123" i="35"/>
  <c r="J123" i="35"/>
  <c r="K123" i="35" s="1"/>
  <c r="N122" i="35"/>
  <c r="J122" i="35"/>
  <c r="K122" i="35" s="1"/>
  <c r="Q122" i="35" s="1"/>
  <c r="N121" i="35"/>
  <c r="J121" i="35"/>
  <c r="K121" i="35" s="1"/>
  <c r="Q121" i="35" s="1"/>
  <c r="N120" i="35"/>
  <c r="J120" i="35"/>
  <c r="K120" i="35" s="1"/>
  <c r="N119" i="35"/>
  <c r="N118" i="35"/>
  <c r="J118" i="35"/>
  <c r="K118" i="35" s="1"/>
  <c r="Q118" i="35" s="1"/>
  <c r="N117" i="35"/>
  <c r="J117" i="35"/>
  <c r="K117" i="35" s="1"/>
  <c r="N116" i="35"/>
  <c r="J116" i="35"/>
  <c r="K116" i="35" s="1"/>
  <c r="N115" i="35"/>
  <c r="N114" i="35"/>
  <c r="C110" i="35"/>
  <c r="N109" i="35"/>
  <c r="N108" i="35"/>
  <c r="J108" i="35"/>
  <c r="K108" i="35" s="1"/>
  <c r="Q108" i="35" s="1"/>
  <c r="N107" i="35"/>
  <c r="J107" i="35"/>
  <c r="K107" i="35" s="1"/>
  <c r="Q107" i="35" s="1"/>
  <c r="N106" i="35"/>
  <c r="J106" i="35"/>
  <c r="K106" i="35" s="1"/>
  <c r="N105" i="35"/>
  <c r="J105" i="35"/>
  <c r="K105" i="35" s="1"/>
  <c r="Q105" i="35" s="1"/>
  <c r="N104" i="35"/>
  <c r="J104" i="35"/>
  <c r="K104" i="35" s="1"/>
  <c r="Q104" i="35" s="1"/>
  <c r="N103" i="35"/>
  <c r="J103" i="35"/>
  <c r="K103" i="35" s="1"/>
  <c r="Q103" i="35" s="1"/>
  <c r="N102" i="35"/>
  <c r="J102" i="35"/>
  <c r="K102" i="35" s="1"/>
  <c r="N101" i="35"/>
  <c r="J101" i="35"/>
  <c r="K101" i="35" s="1"/>
  <c r="Q101" i="35" s="1"/>
  <c r="N100" i="35"/>
  <c r="J100" i="35"/>
  <c r="K100" i="35" s="1"/>
  <c r="Q100" i="35" s="1"/>
  <c r="N99" i="35"/>
  <c r="J99" i="35"/>
  <c r="K99" i="35" s="1"/>
  <c r="Q99" i="35" s="1"/>
  <c r="N98" i="35"/>
  <c r="J98" i="35"/>
  <c r="K98" i="35" s="1"/>
  <c r="N97" i="35"/>
  <c r="J97" i="35"/>
  <c r="K97" i="35" s="1"/>
  <c r="Q97" i="35" s="1"/>
  <c r="N96" i="35"/>
  <c r="J96" i="35"/>
  <c r="K96" i="35" s="1"/>
  <c r="Q96" i="35" s="1"/>
  <c r="N95" i="35"/>
  <c r="J95" i="35"/>
  <c r="K95" i="35" s="1"/>
  <c r="Q95" i="35" s="1"/>
  <c r="N94" i="35"/>
  <c r="J94" i="35"/>
  <c r="K94" i="35" s="1"/>
  <c r="N93" i="35"/>
  <c r="J93" i="35"/>
  <c r="K93" i="35" s="1"/>
  <c r="Q93" i="35" s="1"/>
  <c r="N92" i="35"/>
  <c r="J92" i="35"/>
  <c r="K92" i="35" s="1"/>
  <c r="Q92" i="35" s="1"/>
  <c r="N91" i="35"/>
  <c r="J91" i="35"/>
  <c r="K91" i="35" s="1"/>
  <c r="Q91" i="35" s="1"/>
  <c r="N90" i="35"/>
  <c r="J90" i="35"/>
  <c r="K90" i="35" s="1"/>
  <c r="Q90" i="35" s="1"/>
  <c r="N89" i="35"/>
  <c r="J89" i="35"/>
  <c r="K89" i="35" s="1"/>
  <c r="Q89" i="35" s="1"/>
  <c r="N88" i="35"/>
  <c r="J88" i="35"/>
  <c r="K88" i="35" s="1"/>
  <c r="Q88" i="35" s="1"/>
  <c r="N87" i="35"/>
  <c r="J87" i="35"/>
  <c r="K87" i="35" s="1"/>
  <c r="Q87" i="35" s="1"/>
  <c r="N86" i="35"/>
  <c r="J86" i="35"/>
  <c r="K86" i="35" s="1"/>
  <c r="N85" i="35"/>
  <c r="J85" i="35"/>
  <c r="K85" i="35" s="1"/>
  <c r="Q85" i="35" s="1"/>
  <c r="N84" i="35"/>
  <c r="J84" i="35"/>
  <c r="K84" i="35" s="1"/>
  <c r="Q84" i="35" s="1"/>
  <c r="N83" i="35"/>
  <c r="J83" i="35"/>
  <c r="K83" i="35" s="1"/>
  <c r="Q83" i="35" s="1"/>
  <c r="N82" i="35"/>
  <c r="J82" i="35"/>
  <c r="K82" i="35" s="1"/>
  <c r="N81" i="35"/>
  <c r="J81" i="35"/>
  <c r="K81" i="35" s="1"/>
  <c r="Q81" i="35" s="1"/>
  <c r="N80" i="35"/>
  <c r="J80" i="35"/>
  <c r="K80" i="35" s="1"/>
  <c r="Q80" i="35" s="1"/>
  <c r="N79" i="35"/>
  <c r="J79" i="35"/>
  <c r="K79" i="35" s="1"/>
  <c r="Q79" i="35" s="1"/>
  <c r="N78" i="35"/>
  <c r="J78" i="35"/>
  <c r="K78" i="35" s="1"/>
  <c r="N77" i="35"/>
  <c r="J77" i="35"/>
  <c r="K77" i="35" s="1"/>
  <c r="Q77" i="35" s="1"/>
  <c r="N76" i="35"/>
  <c r="J76" i="35"/>
  <c r="K76" i="35" s="1"/>
  <c r="Q76" i="35" s="1"/>
  <c r="N75" i="35"/>
  <c r="J75" i="35"/>
  <c r="K75" i="35" s="1"/>
  <c r="N74" i="35"/>
  <c r="N73" i="35"/>
  <c r="J73" i="35"/>
  <c r="K73" i="35" s="1"/>
  <c r="Q73" i="35" s="1"/>
  <c r="N72" i="35"/>
  <c r="J72" i="35"/>
  <c r="K72" i="35" s="1"/>
  <c r="Q72" i="35" s="1"/>
  <c r="N71" i="35"/>
  <c r="J71" i="35"/>
  <c r="K71" i="35" s="1"/>
  <c r="Q71" i="35" s="1"/>
  <c r="N70" i="35"/>
  <c r="J70" i="35"/>
  <c r="K70" i="35" s="1"/>
  <c r="N69" i="35"/>
  <c r="J69" i="35"/>
  <c r="K69" i="35" s="1"/>
  <c r="Q69" i="35" s="1"/>
  <c r="N68" i="35"/>
  <c r="J68" i="35"/>
  <c r="K68" i="35" s="1"/>
  <c r="Q68" i="35" s="1"/>
  <c r="N67" i="35"/>
  <c r="J67" i="35"/>
  <c r="K67" i="35" s="1"/>
  <c r="Q67" i="35" s="1"/>
  <c r="N66" i="35"/>
  <c r="J66" i="35"/>
  <c r="K66" i="35" s="1"/>
  <c r="N65" i="35"/>
  <c r="J65" i="35"/>
  <c r="K65" i="35" s="1"/>
  <c r="Q65" i="35" s="1"/>
  <c r="N64" i="35"/>
  <c r="J64" i="35"/>
  <c r="K64" i="35" s="1"/>
  <c r="Q64" i="35" s="1"/>
  <c r="N63" i="35"/>
  <c r="J63" i="35"/>
  <c r="K63" i="35" s="1"/>
  <c r="N62" i="35"/>
  <c r="J62" i="35"/>
  <c r="K62" i="35" s="1"/>
  <c r="Q62" i="35" s="1"/>
  <c r="N61" i="35"/>
  <c r="J61" i="35"/>
  <c r="K61" i="35" s="1"/>
  <c r="Q61" i="35" s="1"/>
  <c r="N60" i="35"/>
  <c r="J60" i="35"/>
  <c r="K60" i="35" s="1"/>
  <c r="Q60" i="35" s="1"/>
  <c r="N59" i="35"/>
  <c r="J59" i="35"/>
  <c r="K59" i="35" s="1"/>
  <c r="Q59" i="35" s="1"/>
  <c r="N58" i="35"/>
  <c r="J58" i="35"/>
  <c r="K58" i="35" s="1"/>
  <c r="Q58" i="35" s="1"/>
  <c r="N57" i="35"/>
  <c r="J57" i="35"/>
  <c r="K57" i="35" s="1"/>
  <c r="Q57" i="35" s="1"/>
  <c r="N56" i="35"/>
  <c r="J56" i="35"/>
  <c r="K56" i="35" s="1"/>
  <c r="Q56" i="35" s="1"/>
  <c r="N55" i="35"/>
  <c r="J55" i="35"/>
  <c r="K55" i="35" s="1"/>
  <c r="Q55" i="35" s="1"/>
  <c r="N54" i="35"/>
  <c r="J54" i="35"/>
  <c r="K54" i="35" s="1"/>
  <c r="Q54" i="35" s="1"/>
  <c r="N53" i="35"/>
  <c r="J53" i="35"/>
  <c r="K53" i="35" s="1"/>
  <c r="Q53" i="35" s="1"/>
  <c r="N52" i="35"/>
  <c r="J52" i="35"/>
  <c r="K52" i="35" s="1"/>
  <c r="Q52" i="35" s="1"/>
  <c r="N51" i="35"/>
  <c r="J51" i="35"/>
  <c r="K51" i="35" s="1"/>
  <c r="Q51" i="35" s="1"/>
  <c r="N50" i="35"/>
  <c r="J50" i="35"/>
  <c r="K50" i="35" s="1"/>
  <c r="Q50" i="35" s="1"/>
  <c r="N49" i="35"/>
  <c r="J49" i="35"/>
  <c r="K49" i="35" s="1"/>
  <c r="Q49" i="35" s="1"/>
  <c r="N48" i="35"/>
  <c r="J48" i="35"/>
  <c r="K48" i="35" s="1"/>
  <c r="Q48" i="35" s="1"/>
  <c r="N47" i="35"/>
  <c r="J47" i="35"/>
  <c r="K47" i="35" s="1"/>
  <c r="N46" i="35"/>
  <c r="J46" i="35"/>
  <c r="K46" i="35" s="1"/>
  <c r="Q46" i="35" s="1"/>
  <c r="N45" i="35"/>
  <c r="N44" i="35"/>
  <c r="J44" i="35"/>
  <c r="K44" i="35" s="1"/>
  <c r="Q44" i="35" s="1"/>
  <c r="N43" i="35"/>
  <c r="N42" i="35"/>
  <c r="J42" i="35"/>
  <c r="K42" i="35" s="1"/>
  <c r="Q42" i="35" s="1"/>
  <c r="N41" i="35"/>
  <c r="N40" i="35"/>
  <c r="J40" i="35"/>
  <c r="K40" i="35" s="1"/>
  <c r="Q40" i="35" s="1"/>
  <c r="N39" i="35"/>
  <c r="N38" i="35"/>
  <c r="J38" i="35"/>
  <c r="K38" i="35" s="1"/>
  <c r="Q38" i="35" s="1"/>
  <c r="N37" i="35"/>
  <c r="J37" i="35"/>
  <c r="K37" i="35" s="1"/>
  <c r="Q37" i="35" s="1"/>
  <c r="N36" i="35"/>
  <c r="N35" i="35"/>
  <c r="J35" i="35"/>
  <c r="K35" i="35" s="1"/>
  <c r="Q35" i="35" s="1"/>
  <c r="N34" i="35"/>
  <c r="J34" i="35"/>
  <c r="K34" i="35" s="1"/>
  <c r="Q34" i="35" s="1"/>
  <c r="N33" i="35"/>
  <c r="J33" i="35"/>
  <c r="K33" i="35" s="1"/>
  <c r="Q33" i="35" s="1"/>
  <c r="N32" i="35"/>
  <c r="J32" i="35"/>
  <c r="K32" i="35" s="1"/>
  <c r="Q32" i="35" s="1"/>
  <c r="N31" i="35"/>
  <c r="J31" i="35"/>
  <c r="K31" i="35" s="1"/>
  <c r="N30" i="35"/>
  <c r="N29" i="35"/>
  <c r="J29" i="35"/>
  <c r="K29" i="35" s="1"/>
  <c r="Q29" i="35" s="1"/>
  <c r="N28" i="35"/>
  <c r="J28" i="35"/>
  <c r="K28" i="35" s="1"/>
  <c r="Q28" i="35" s="1"/>
  <c r="N27" i="35"/>
  <c r="J27" i="35"/>
  <c r="K27" i="35" s="1"/>
  <c r="Q27" i="35" s="1"/>
  <c r="N26" i="35"/>
  <c r="J26" i="35"/>
  <c r="K26" i="35" s="1"/>
  <c r="Q26" i="35" s="1"/>
  <c r="N25" i="35"/>
  <c r="J25" i="35"/>
  <c r="K25" i="35" s="1"/>
  <c r="Q25" i="35" s="1"/>
  <c r="N24" i="35"/>
  <c r="J24" i="35"/>
  <c r="K24" i="35" s="1"/>
  <c r="Q24" i="35" s="1"/>
  <c r="N23" i="35"/>
  <c r="J23" i="35"/>
  <c r="K23" i="35" s="1"/>
  <c r="Q23" i="35" s="1"/>
  <c r="N22" i="35"/>
  <c r="J22" i="35"/>
  <c r="K22" i="35" s="1"/>
  <c r="Q22" i="35" s="1"/>
  <c r="N21" i="35"/>
  <c r="J21" i="35"/>
  <c r="K21" i="35" s="1"/>
  <c r="Q21" i="35" s="1"/>
  <c r="N20" i="35"/>
  <c r="J20" i="35"/>
  <c r="K20" i="35" s="1"/>
  <c r="Q20" i="35" s="1"/>
  <c r="N19" i="35"/>
  <c r="J19" i="35"/>
  <c r="K19" i="35" s="1"/>
  <c r="Q19" i="35" s="1"/>
  <c r="N18" i="35"/>
  <c r="J18" i="35"/>
  <c r="K18" i="35" s="1"/>
  <c r="Q18" i="35" s="1"/>
  <c r="N17" i="35"/>
  <c r="N16" i="35"/>
  <c r="J16" i="35"/>
  <c r="K16" i="35" s="1"/>
  <c r="Q16" i="35" s="1"/>
  <c r="N15" i="35"/>
  <c r="J15" i="35"/>
  <c r="K15" i="35" s="1"/>
  <c r="Q15" i="35" s="1"/>
  <c r="N14" i="35"/>
  <c r="N13" i="35"/>
  <c r="J13" i="35"/>
  <c r="K13" i="35" s="1"/>
  <c r="Q13" i="35" s="1"/>
  <c r="N12" i="35"/>
  <c r="J12" i="35"/>
  <c r="K12" i="35" s="1"/>
  <c r="Q12" i="35" s="1"/>
  <c r="N11" i="35"/>
  <c r="N10" i="35"/>
  <c r="T2473" i="36"/>
  <c r="AE2463" i="36"/>
  <c r="T2462" i="36"/>
  <c r="S2462" i="36"/>
  <c r="R2462" i="36"/>
  <c r="O2462" i="36"/>
  <c r="N2462" i="36"/>
  <c r="T2461" i="36"/>
  <c r="S2461" i="36"/>
  <c r="O2461" i="36"/>
  <c r="N2461" i="36"/>
  <c r="AE2456" i="36"/>
  <c r="T2455" i="36"/>
  <c r="AE2448" i="36"/>
  <c r="U2445" i="36"/>
  <c r="V2445" i="36" s="1"/>
  <c r="T2436" i="36"/>
  <c r="R2436" i="36"/>
  <c r="N2436" i="36"/>
  <c r="S2435" i="36"/>
  <c r="C2431" i="36"/>
  <c r="D2441" i="36" s="1"/>
  <c r="E2450" i="36" s="1"/>
  <c r="F2458" i="36" s="1"/>
  <c r="T758" i="36"/>
  <c r="AE748" i="36"/>
  <c r="R747" i="36"/>
  <c r="R746" i="36"/>
  <c r="O746" i="36"/>
  <c r="N746" i="36"/>
  <c r="AE741" i="36"/>
  <c r="S740" i="36"/>
  <c r="T738" i="36"/>
  <c r="S738" i="36"/>
  <c r="Q738" i="36"/>
  <c r="N738" i="36"/>
  <c r="AE733" i="36"/>
  <c r="N731" i="36"/>
  <c r="AE724" i="36"/>
  <c r="AE723" i="36"/>
  <c r="AE722" i="36"/>
  <c r="N721" i="36"/>
  <c r="S720" i="36"/>
  <c r="T709" i="36"/>
  <c r="AE699" i="36"/>
  <c r="R698" i="36"/>
  <c r="O698" i="36"/>
  <c r="N698" i="36"/>
  <c r="T697" i="36"/>
  <c r="S697" i="36"/>
  <c r="O697" i="36"/>
  <c r="N697" i="36"/>
  <c r="AE692" i="36"/>
  <c r="N691" i="36"/>
  <c r="N689" i="36"/>
  <c r="AE684" i="36"/>
  <c r="R682" i="36"/>
  <c r="AE675" i="36"/>
  <c r="AE674" i="36"/>
  <c r="AE673" i="36"/>
  <c r="S671" i="36"/>
  <c r="T660" i="36"/>
  <c r="AE650" i="36"/>
  <c r="R649" i="36"/>
  <c r="O649" i="36"/>
  <c r="N649" i="36"/>
  <c r="T648" i="36"/>
  <c r="O648" i="36"/>
  <c r="N648" i="36"/>
  <c r="AE643" i="36"/>
  <c r="N642" i="36"/>
  <c r="N640" i="36"/>
  <c r="AE635" i="36"/>
  <c r="R633" i="36"/>
  <c r="AE626" i="36"/>
  <c r="AE625" i="36"/>
  <c r="AE624" i="36"/>
  <c r="S622" i="36"/>
  <c r="T611" i="36"/>
  <c r="O601" i="36"/>
  <c r="R600" i="36"/>
  <c r="O600" i="36"/>
  <c r="N600" i="36"/>
  <c r="AE595" i="36"/>
  <c r="S594" i="36"/>
  <c r="S592" i="36"/>
  <c r="AE587" i="36"/>
  <c r="N586" i="36"/>
  <c r="R583" i="36"/>
  <c r="AE578" i="36"/>
  <c r="AE577" i="36"/>
  <c r="R576" i="36"/>
  <c r="T575" i="36"/>
  <c r="V575" i="36" s="1"/>
  <c r="R575" i="36"/>
  <c r="N575" i="36"/>
  <c r="S574" i="36"/>
  <c r="N570" i="36"/>
  <c r="C570" i="36" s="1"/>
  <c r="D580" i="36" s="1"/>
  <c r="E589" i="36" s="1"/>
  <c r="F597" i="36" s="1"/>
  <c r="N569" i="36"/>
  <c r="N617" i="36" s="1"/>
  <c r="N666" i="36" s="1"/>
  <c r="N715" i="36" s="1"/>
  <c r="N764" i="36" s="1"/>
  <c r="N813" i="36" s="1"/>
  <c r="T563" i="36"/>
  <c r="S552" i="36"/>
  <c r="R552" i="36"/>
  <c r="O552" i="36"/>
  <c r="N552" i="36"/>
  <c r="AE547" i="36"/>
  <c r="N546" i="36"/>
  <c r="N544" i="36"/>
  <c r="AE539" i="36"/>
  <c r="R537" i="36"/>
  <c r="AE530" i="36"/>
  <c r="V529" i="36"/>
  <c r="AE529" i="36" s="1"/>
  <c r="R528" i="36"/>
  <c r="T527" i="36"/>
  <c r="V527" i="36" s="1"/>
  <c r="AE527" i="36" s="1"/>
  <c r="R527" i="36"/>
  <c r="N527" i="36"/>
  <c r="S526" i="36"/>
  <c r="C522" i="36"/>
  <c r="D532" i="36" s="1"/>
  <c r="E541" i="36" s="1"/>
  <c r="F549" i="36" s="1"/>
  <c r="T227" i="36"/>
  <c r="AE217" i="36"/>
  <c r="R216" i="36"/>
  <c r="O216" i="36"/>
  <c r="N216" i="36"/>
  <c r="T215" i="36"/>
  <c r="S215" i="36"/>
  <c r="O215" i="36"/>
  <c r="N215" i="36"/>
  <c r="AE210" i="36"/>
  <c r="Q209" i="36"/>
  <c r="Q207" i="36"/>
  <c r="AE202" i="36"/>
  <c r="N200" i="36"/>
  <c r="AE193" i="36"/>
  <c r="AE192" i="36"/>
  <c r="AE191" i="36"/>
  <c r="T190" i="36"/>
  <c r="R190" i="36"/>
  <c r="N190" i="36"/>
  <c r="S189" i="36"/>
  <c r="C185" i="36"/>
  <c r="D195" i="36" s="1"/>
  <c r="E204" i="36" s="1"/>
  <c r="F212" i="36" s="1"/>
  <c r="AE177" i="36"/>
  <c r="AE176" i="36"/>
  <c r="R175" i="36"/>
  <c r="O175" i="36"/>
  <c r="N175" i="36"/>
  <c r="AE170" i="36"/>
  <c r="AE169" i="36"/>
  <c r="R168" i="36"/>
  <c r="T167" i="36"/>
  <c r="S167" i="36"/>
  <c r="R167" i="36"/>
  <c r="Q167" i="36"/>
  <c r="N167" i="36"/>
  <c r="T166" i="36"/>
  <c r="S166" i="36"/>
  <c r="R166" i="36"/>
  <c r="Q166" i="36"/>
  <c r="N166" i="36"/>
  <c r="AE161" i="36"/>
  <c r="AE160" i="36"/>
  <c r="AE159" i="36"/>
  <c r="U156" i="36"/>
  <c r="V156" i="36" s="1"/>
  <c r="AE156" i="36" s="1"/>
  <c r="AE150" i="36"/>
  <c r="AE149" i="36"/>
  <c r="AE148" i="36"/>
  <c r="S146" i="36"/>
  <c r="C142" i="36"/>
  <c r="D152" i="36" s="1"/>
  <c r="AE134" i="36"/>
  <c r="AE133" i="36"/>
  <c r="R132" i="36"/>
  <c r="O132" i="36"/>
  <c r="N132" i="36"/>
  <c r="AE127" i="36"/>
  <c r="AE126" i="36"/>
  <c r="T125" i="36"/>
  <c r="S125" i="36"/>
  <c r="R125" i="36"/>
  <c r="Q125" i="36"/>
  <c r="N125" i="36"/>
  <c r="T124" i="36"/>
  <c r="S124" i="36"/>
  <c r="R124" i="36"/>
  <c r="Q124" i="36"/>
  <c r="N124" i="36"/>
  <c r="T123" i="36"/>
  <c r="S123" i="36"/>
  <c r="R123" i="36"/>
  <c r="Q123" i="36"/>
  <c r="N123" i="36"/>
  <c r="AE118" i="36"/>
  <c r="AE117" i="36"/>
  <c r="AE116" i="36"/>
  <c r="U115" i="36"/>
  <c r="V115" i="36" s="1"/>
  <c r="AE115" i="36" s="1"/>
  <c r="N113" i="36"/>
  <c r="AE107" i="36"/>
  <c r="AE106" i="36"/>
  <c r="AE105" i="36"/>
  <c r="T104" i="36"/>
  <c r="V104" i="36" s="1"/>
  <c r="AE104" i="36" s="1"/>
  <c r="R104" i="36"/>
  <c r="N104" i="36"/>
  <c r="S103" i="36"/>
  <c r="C99" i="36"/>
  <c r="D109" i="36" s="1"/>
  <c r="E120" i="36" s="1"/>
  <c r="F129" i="36" s="1"/>
  <c r="AE91" i="36"/>
  <c r="AE90" i="36"/>
  <c r="R89" i="36"/>
  <c r="O89" i="36"/>
  <c r="N89" i="36"/>
  <c r="AE84" i="36"/>
  <c r="AE83" i="36"/>
  <c r="T82" i="36"/>
  <c r="S82" i="36"/>
  <c r="R82" i="36"/>
  <c r="Q82" i="36"/>
  <c r="N82" i="36"/>
  <c r="T81" i="36"/>
  <c r="S81" i="36"/>
  <c r="R81" i="36"/>
  <c r="Q81" i="36"/>
  <c r="N81" i="36"/>
  <c r="T80" i="36"/>
  <c r="S80" i="36"/>
  <c r="R80" i="36"/>
  <c r="Q80" i="36"/>
  <c r="N80" i="36"/>
  <c r="AE75" i="36"/>
  <c r="AE74" i="36"/>
  <c r="AE73" i="36"/>
  <c r="R72" i="36"/>
  <c r="U71" i="36"/>
  <c r="V71" i="36" s="1"/>
  <c r="AE71" i="36" s="1"/>
  <c r="N71" i="36"/>
  <c r="U69" i="36"/>
  <c r="V69" i="36" s="1"/>
  <c r="N69" i="36"/>
  <c r="AE64" i="36"/>
  <c r="AE63" i="36"/>
  <c r="AE62" i="36"/>
  <c r="T61" i="36"/>
  <c r="V61" i="36" s="1"/>
  <c r="AE61" i="36" s="1"/>
  <c r="R61" i="36"/>
  <c r="N61" i="36"/>
  <c r="S60" i="36"/>
  <c r="C56" i="36"/>
  <c r="D66" i="36" s="1"/>
  <c r="E77" i="36" s="1"/>
  <c r="F86" i="36" s="1"/>
  <c r="J89" i="36" s="1"/>
  <c r="J90" i="36" s="1"/>
  <c r="AE48" i="36"/>
  <c r="AE47" i="36"/>
  <c r="R46" i="36"/>
  <c r="O46" i="36"/>
  <c r="N46" i="36"/>
  <c r="AE41" i="36"/>
  <c r="AE40" i="36"/>
  <c r="T39" i="36"/>
  <c r="S39" i="36"/>
  <c r="R39" i="36"/>
  <c r="Q39" i="36"/>
  <c r="N39" i="36"/>
  <c r="T38" i="36"/>
  <c r="R38" i="36"/>
  <c r="Q38" i="36"/>
  <c r="N38" i="36"/>
  <c r="T37" i="36"/>
  <c r="S37" i="36"/>
  <c r="R37" i="36"/>
  <c r="Q37" i="36"/>
  <c r="N37" i="36"/>
  <c r="AE32" i="36"/>
  <c r="AE31" i="36"/>
  <c r="AE30" i="36"/>
  <c r="U29" i="36"/>
  <c r="V29" i="36" s="1"/>
  <c r="N29" i="36"/>
  <c r="R28" i="36"/>
  <c r="N27" i="36"/>
  <c r="R26" i="36"/>
  <c r="AE21" i="36"/>
  <c r="AE20" i="36"/>
  <c r="AE19" i="36"/>
  <c r="T18" i="36"/>
  <c r="V18" i="36" s="1"/>
  <c r="AE18" i="36" s="1"/>
  <c r="R18" i="36"/>
  <c r="N18" i="36"/>
  <c r="S17" i="36"/>
  <c r="C13" i="36"/>
  <c r="D23" i="36" s="1"/>
  <c r="U5" i="36"/>
  <c r="J6" i="35" s="1"/>
  <c r="H4" i="37" s="1"/>
  <c r="O5" i="36"/>
  <c r="E6" i="35" s="1"/>
  <c r="O4" i="36"/>
  <c r="E5" i="35" s="1"/>
  <c r="C2" i="37" s="1"/>
  <c r="O3" i="36"/>
  <c r="E4" i="35" s="1"/>
  <c r="D3" i="37" s="1"/>
  <c r="E154" i="1"/>
  <c r="E153" i="1"/>
  <c r="C153" i="1"/>
  <c r="E152" i="1"/>
  <c r="C152" i="1"/>
  <c r="C10" i="1"/>
  <c r="C9" i="1"/>
  <c r="H4" i="1"/>
  <c r="C4" i="1"/>
  <c r="D3" i="1"/>
  <c r="E110" i="34"/>
  <c r="E109" i="34"/>
  <c r="H102" i="34"/>
  <c r="H101" i="34"/>
  <c r="H5" i="34"/>
  <c r="C5" i="34"/>
  <c r="D4" i="34"/>
  <c r="B6" i="42"/>
  <c r="E111" i="34"/>
  <c r="Q4907" i="36" l="1"/>
  <c r="Q4906" i="36"/>
  <c r="Q4905" i="36"/>
  <c r="N4900" i="36"/>
  <c r="R4898" i="36"/>
  <c r="R4896" i="36"/>
  <c r="R5390" i="36"/>
  <c r="T5397" i="36"/>
  <c r="T5396" i="36"/>
  <c r="T5395" i="36"/>
  <c r="R5389" i="36"/>
  <c r="N5388" i="36"/>
  <c r="U5386" i="36"/>
  <c r="V5386" i="36" s="1"/>
  <c r="N5378" i="36"/>
  <c r="S5348" i="36"/>
  <c r="S5347" i="36"/>
  <c r="U5340" i="36"/>
  <c r="V5340" i="36" s="1"/>
  <c r="AE5340" i="36" s="1"/>
  <c r="R5339" i="36"/>
  <c r="N5338" i="36"/>
  <c r="N5329" i="36"/>
  <c r="S4858" i="36"/>
  <c r="S4857" i="36"/>
  <c r="S4856" i="36"/>
  <c r="R4851" i="36"/>
  <c r="R4849" i="36"/>
  <c r="R4847" i="36"/>
  <c r="Q4809" i="36"/>
  <c r="Q4808" i="36"/>
  <c r="N4802" i="36"/>
  <c r="N4800" i="36"/>
  <c r="N4798" i="36"/>
  <c r="T4790" i="36"/>
  <c r="V4790" i="36" s="1"/>
  <c r="S5932" i="36"/>
  <c r="S5931" i="36"/>
  <c r="S5930" i="36"/>
  <c r="U5924" i="36"/>
  <c r="V5924" i="36" s="1"/>
  <c r="AE5924" i="36" s="1"/>
  <c r="R5923" i="36"/>
  <c r="N5922" i="36"/>
  <c r="R5913" i="36"/>
  <c r="T5883" i="36"/>
  <c r="T5882" i="36"/>
  <c r="T5881" i="36"/>
  <c r="U5874" i="36"/>
  <c r="V5874" i="36" s="1"/>
  <c r="AE5874" i="36" s="1"/>
  <c r="R5873" i="36"/>
  <c r="N5872" i="36"/>
  <c r="T5864" i="36"/>
  <c r="V5864" i="36" s="1"/>
  <c r="N5834" i="36"/>
  <c r="N5833" i="36"/>
  <c r="N5832" i="36"/>
  <c r="N5826" i="36"/>
  <c r="U5824" i="36"/>
  <c r="V5824" i="36" s="1"/>
  <c r="AE5824" i="36" s="1"/>
  <c r="R5823" i="36"/>
  <c r="R347" i="36"/>
  <c r="N5785" i="36"/>
  <c r="N5784" i="36"/>
  <c r="N5783" i="36"/>
  <c r="N5777" i="36"/>
  <c r="N5775" i="36"/>
  <c r="R5766" i="36"/>
  <c r="T5736" i="36"/>
  <c r="T5735" i="36"/>
  <c r="T5734" i="36"/>
  <c r="R5727" i="36"/>
  <c r="R5725" i="36"/>
  <c r="T505" i="36"/>
  <c r="N505" i="36"/>
  <c r="O504" i="36"/>
  <c r="S498" i="36"/>
  <c r="S497" i="36"/>
  <c r="S496" i="36"/>
  <c r="U490" i="36"/>
  <c r="V490" i="36" s="1"/>
  <c r="AE490" i="36" s="1"/>
  <c r="R489" i="36"/>
  <c r="U487" i="36"/>
  <c r="V487" i="36" s="1"/>
  <c r="T479" i="36"/>
  <c r="V479" i="36" s="1"/>
  <c r="AE479" i="36" s="1"/>
  <c r="Q450" i="36"/>
  <c r="Q449" i="36"/>
  <c r="Q448" i="36"/>
  <c r="R442" i="36"/>
  <c r="N441" i="36"/>
  <c r="N439" i="36"/>
  <c r="R432" i="36"/>
  <c r="N431" i="36"/>
  <c r="Q402" i="36"/>
  <c r="Q401" i="36"/>
  <c r="Q400" i="36"/>
  <c r="N4907" i="36"/>
  <c r="N4906" i="36"/>
  <c r="N4905" i="36"/>
  <c r="R4899" i="36"/>
  <c r="N4898" i="36"/>
  <c r="N4896" i="36"/>
  <c r="T4888" i="36"/>
  <c r="V4888" i="36" s="1"/>
  <c r="N5390" i="36"/>
  <c r="S5397" i="36"/>
  <c r="S5396" i="36"/>
  <c r="S5395" i="36"/>
  <c r="N5389" i="36"/>
  <c r="U5387" i="36"/>
  <c r="V5387" i="36" s="1"/>
  <c r="AE5387" i="36" s="1"/>
  <c r="R5386" i="36"/>
  <c r="Q5348" i="36"/>
  <c r="Q5347" i="36"/>
  <c r="R5340" i="36"/>
  <c r="N5339" i="36"/>
  <c r="R5337" i="36"/>
  <c r="Q4858" i="36"/>
  <c r="Q4857" i="36"/>
  <c r="Q4856" i="36"/>
  <c r="N4851" i="36"/>
  <c r="N4849" i="36"/>
  <c r="N4847" i="36"/>
  <c r="T4839" i="36"/>
  <c r="V4839" i="36" s="1"/>
  <c r="N4809" i="36"/>
  <c r="N4808" i="36"/>
  <c r="R4801" i="36"/>
  <c r="T4907" i="36"/>
  <c r="T4906" i="36"/>
  <c r="T4905" i="36"/>
  <c r="U4900" i="36"/>
  <c r="V4900" i="36" s="1"/>
  <c r="AE4900" i="36" s="1"/>
  <c r="N4899" i="36"/>
  <c r="R4897" i="36"/>
  <c r="S4905" i="36"/>
  <c r="N4888" i="36"/>
  <c r="U5390" i="36"/>
  <c r="V5390" i="36" s="1"/>
  <c r="AE5390" i="36" s="1"/>
  <c r="N5397" i="36"/>
  <c r="N5395" i="36"/>
  <c r="N5387" i="36"/>
  <c r="N5347" i="36"/>
  <c r="U5338" i="36"/>
  <c r="V5338" i="36" s="1"/>
  <c r="AE5338" i="36" s="1"/>
  <c r="T4857" i="36"/>
  <c r="U4851" i="36"/>
  <c r="V4851" i="36" s="1"/>
  <c r="AE4851" i="36" s="1"/>
  <c r="N4848" i="36"/>
  <c r="R4839" i="36"/>
  <c r="T4809" i="36"/>
  <c r="U4802" i="36"/>
  <c r="V4802" i="36" s="1"/>
  <c r="AE4802" i="36" s="1"/>
  <c r="R4799" i="36"/>
  <c r="T5932" i="36"/>
  <c r="Q5931" i="36"/>
  <c r="N5930" i="36"/>
  <c r="U5923" i="36"/>
  <c r="V5923" i="36" s="1"/>
  <c r="AE5923" i="36" s="1"/>
  <c r="U5921" i="36"/>
  <c r="V5921" i="36" s="1"/>
  <c r="N5883" i="36"/>
  <c r="S5881" i="36"/>
  <c r="U5875" i="36"/>
  <c r="V5875" i="36" s="1"/>
  <c r="AE5875" i="36" s="1"/>
  <c r="N5874" i="36"/>
  <c r="R5872" i="36"/>
  <c r="R5864" i="36"/>
  <c r="T5834" i="36"/>
  <c r="S5833" i="36"/>
  <c r="Q5832" i="36"/>
  <c r="U5825" i="36"/>
  <c r="V5825" i="36" s="1"/>
  <c r="AE5825" i="36" s="1"/>
  <c r="N5824" i="36"/>
  <c r="N5815" i="36"/>
  <c r="U347" i="36"/>
  <c r="V347" i="36" s="1"/>
  <c r="AE347" i="36" s="1"/>
  <c r="T5784" i="36"/>
  <c r="S5783" i="36"/>
  <c r="R5777" i="36"/>
  <c r="U5774" i="36"/>
  <c r="V5774" i="36" s="1"/>
  <c r="N5736" i="36"/>
  <c r="S5734" i="36"/>
  <c r="U5728" i="36"/>
  <c r="V5728" i="36" s="1"/>
  <c r="AE5728" i="36" s="1"/>
  <c r="R5726" i="36"/>
  <c r="N5717" i="36"/>
  <c r="T504" i="36"/>
  <c r="T497" i="36"/>
  <c r="Q496" i="36"/>
  <c r="N490" i="36"/>
  <c r="N488" i="36"/>
  <c r="R479" i="36"/>
  <c r="T449" i="36"/>
  <c r="S448" i="36"/>
  <c r="N442" i="36"/>
  <c r="N440" i="36"/>
  <c r="T432" i="36"/>
  <c r="V432" i="36" s="1"/>
  <c r="AE432" i="36" s="1"/>
  <c r="T401" i="36"/>
  <c r="S400" i="36"/>
  <c r="R394" i="36"/>
  <c r="N393" i="36"/>
  <c r="N391" i="36"/>
  <c r="R384" i="36"/>
  <c r="N383" i="36"/>
  <c r="N384" i="36"/>
  <c r="U393" i="36"/>
  <c r="V393" i="36" s="1"/>
  <c r="AE393" i="36" s="1"/>
  <c r="R4888" i="36"/>
  <c r="Q5395" i="36"/>
  <c r="U5339" i="36"/>
  <c r="V5339" i="36" s="1"/>
  <c r="AE5339" i="36" s="1"/>
  <c r="N4856" i="36"/>
  <c r="R4800" i="36"/>
  <c r="Q5930" i="36"/>
  <c r="N5913" i="36"/>
  <c r="Q5883" i="36"/>
  <c r="U5872" i="36"/>
  <c r="V5872" i="36" s="1"/>
  <c r="R5826" i="36"/>
  <c r="N5435" i="36"/>
  <c r="U5777" i="36"/>
  <c r="V5777" i="36" s="1"/>
  <c r="AE5777" i="36" s="1"/>
  <c r="Q5736" i="36"/>
  <c r="R5717" i="36"/>
  <c r="T496" i="36"/>
  <c r="N480" i="36"/>
  <c r="U442" i="36"/>
  <c r="V442" i="36" s="1"/>
  <c r="AE442" i="36" s="1"/>
  <c r="N402" i="36"/>
  <c r="R393" i="36"/>
  <c r="R383" i="36"/>
  <c r="R4900" i="36"/>
  <c r="Q5396" i="36"/>
  <c r="U5388" i="36"/>
  <c r="V5388" i="36" s="1"/>
  <c r="AE5388" i="36" s="1"/>
  <c r="N5386" i="36"/>
  <c r="T5378" i="36"/>
  <c r="V5378" i="36" s="1"/>
  <c r="T5348" i="36"/>
  <c r="R5338" i="36"/>
  <c r="N4857" i="36"/>
  <c r="R4850" i="36"/>
  <c r="N4839" i="36"/>
  <c r="S4809" i="36"/>
  <c r="R4802" i="36"/>
  <c r="N4799" i="36"/>
  <c r="Q5932" i="36"/>
  <c r="N5931" i="36"/>
  <c r="N5923" i="36"/>
  <c r="R5921" i="36"/>
  <c r="S5882" i="36"/>
  <c r="Q5881" i="36"/>
  <c r="R5875" i="36"/>
  <c r="U5873" i="36"/>
  <c r="V5873" i="36" s="1"/>
  <c r="AE5873" i="36" s="1"/>
  <c r="N5864" i="36"/>
  <c r="S5834" i="36"/>
  <c r="Q5833" i="36"/>
  <c r="R5825" i="36"/>
  <c r="U5823" i="36"/>
  <c r="V5823" i="36" s="1"/>
  <c r="N347" i="36"/>
  <c r="T5785" i="36"/>
  <c r="S5784" i="36"/>
  <c r="Q5783" i="36"/>
  <c r="U5776" i="36"/>
  <c r="V5776" i="36" s="1"/>
  <c r="AE5776" i="36" s="1"/>
  <c r="R5774" i="36"/>
  <c r="S5735" i="36"/>
  <c r="Q5734" i="36"/>
  <c r="R5728" i="36"/>
  <c r="N5726" i="36"/>
  <c r="S505" i="36"/>
  <c r="S504" i="36"/>
  <c r="T498" i="36"/>
  <c r="Q497" i="36"/>
  <c r="N496" i="36"/>
  <c r="U489" i="36"/>
  <c r="V489" i="36" s="1"/>
  <c r="AE489" i="36" s="1"/>
  <c r="R487" i="36"/>
  <c r="T480" i="36"/>
  <c r="V480" i="36" s="1"/>
  <c r="AE480" i="36" s="1"/>
  <c r="N479" i="36"/>
  <c r="T450" i="36"/>
  <c r="S449" i="36"/>
  <c r="N448" i="36"/>
  <c r="U441" i="36"/>
  <c r="V441" i="36" s="1"/>
  <c r="AE441" i="36" s="1"/>
  <c r="R439" i="36"/>
  <c r="N432" i="36"/>
  <c r="T402" i="36"/>
  <c r="S401" i="36"/>
  <c r="N400" i="36"/>
  <c r="N394" i="36"/>
  <c r="R392" i="36"/>
  <c r="N401" i="36"/>
  <c r="T383" i="36"/>
  <c r="V383" i="36" s="1"/>
  <c r="S4906" i="36"/>
  <c r="Q5397" i="36"/>
  <c r="T5347" i="36"/>
  <c r="N4858" i="36"/>
  <c r="S4808" i="36"/>
  <c r="N5924" i="36"/>
  <c r="R5874" i="36"/>
  <c r="S5832" i="36"/>
  <c r="R5815" i="36"/>
  <c r="T5783" i="36"/>
  <c r="N5766" i="36"/>
  <c r="N5727" i="36"/>
  <c r="N504" i="36"/>
  <c r="R490" i="36"/>
  <c r="N450" i="36"/>
  <c r="R440" i="36"/>
  <c r="T400" i="36"/>
  <c r="R391" i="36"/>
  <c r="S4907" i="36"/>
  <c r="U4898" i="36"/>
  <c r="V4898" i="36" s="1"/>
  <c r="AE4898" i="36" s="1"/>
  <c r="N5396" i="36"/>
  <c r="R5388" i="36"/>
  <c r="R5378" i="36"/>
  <c r="N5348" i="36"/>
  <c r="N5340" i="36"/>
  <c r="N5337" i="36"/>
  <c r="T5329" i="36"/>
  <c r="V5329" i="36" s="1"/>
  <c r="T4858" i="36"/>
  <c r="T4856" i="36"/>
  <c r="N4850" i="36"/>
  <c r="T4808" i="36"/>
  <c r="V4808" i="36" s="1"/>
  <c r="N4801" i="36"/>
  <c r="R4798" i="36"/>
  <c r="R4790" i="36"/>
  <c r="N5932" i="36"/>
  <c r="T5930" i="36"/>
  <c r="R5924" i="36"/>
  <c r="U5922" i="36"/>
  <c r="V5922" i="36" s="1"/>
  <c r="AE5922" i="36" s="1"/>
  <c r="N5921" i="36"/>
  <c r="T5913" i="36"/>
  <c r="V5913" i="36" s="1"/>
  <c r="S5883" i="36"/>
  <c r="Q5882" i="36"/>
  <c r="N5881" i="36"/>
  <c r="N5875" i="36"/>
  <c r="N5873" i="36"/>
  <c r="Q5834" i="36"/>
  <c r="T5832" i="36"/>
  <c r="U5826" i="36"/>
  <c r="V5826" i="36" s="1"/>
  <c r="AE5826" i="36" s="1"/>
  <c r="N5825" i="36"/>
  <c r="N5823" i="36"/>
  <c r="T5815" i="36"/>
  <c r="V5815" i="36" s="1"/>
  <c r="R5776" i="36"/>
  <c r="S5785" i="36"/>
  <c r="Q5784" i="36"/>
  <c r="N5776" i="36"/>
  <c r="N5774" i="36"/>
  <c r="T5766" i="36"/>
  <c r="V5766" i="36" s="1"/>
  <c r="S5736" i="36"/>
  <c r="Q5735" i="36"/>
  <c r="N5734" i="36"/>
  <c r="N5728" i="36"/>
  <c r="N5725" i="36"/>
  <c r="T5717" i="36"/>
  <c r="V5717" i="36" s="1"/>
  <c r="R505" i="36"/>
  <c r="R504" i="36"/>
  <c r="Q498" i="36"/>
  <c r="N497" i="36"/>
  <c r="N489" i="36"/>
  <c r="N487" i="36"/>
  <c r="R480" i="36"/>
  <c r="S450" i="36"/>
  <c r="N449" i="36"/>
  <c r="R441" i="36"/>
  <c r="T431" i="36"/>
  <c r="V431" i="36" s="1"/>
  <c r="S402" i="36"/>
  <c r="N392" i="36"/>
  <c r="N4897" i="36"/>
  <c r="R5387" i="36"/>
  <c r="R5329" i="36"/>
  <c r="R4848" i="36"/>
  <c r="N4790" i="36"/>
  <c r="T5931" i="36"/>
  <c r="R5922" i="36"/>
  <c r="N5882" i="36"/>
  <c r="T5833" i="36"/>
  <c r="R5824" i="36"/>
  <c r="Q5785" i="36"/>
  <c r="R5775" i="36"/>
  <c r="N5735" i="36"/>
  <c r="O505" i="36"/>
  <c r="N498" i="36"/>
  <c r="R488" i="36"/>
  <c r="T448" i="36"/>
  <c r="R431" i="36"/>
  <c r="U394" i="36"/>
  <c r="V394" i="36" s="1"/>
  <c r="AE394" i="36" s="1"/>
  <c r="T384" i="36"/>
  <c r="V384" i="36" s="1"/>
  <c r="AE384" i="36" s="1"/>
  <c r="U5727" i="36"/>
  <c r="V5727" i="36" s="1"/>
  <c r="AE5727" i="36" s="1"/>
  <c r="U488" i="36"/>
  <c r="V488" i="36" s="1"/>
  <c r="AE488" i="36" s="1"/>
  <c r="U4899" i="36"/>
  <c r="V4899" i="36" s="1"/>
  <c r="AE4899" i="36" s="1"/>
  <c r="U5726" i="36"/>
  <c r="V5726" i="36" s="1"/>
  <c r="AE5726" i="36" s="1"/>
  <c r="U5389" i="36"/>
  <c r="V5389" i="36" s="1"/>
  <c r="AE5389" i="36" s="1"/>
  <c r="U392" i="36"/>
  <c r="V392" i="36" s="1"/>
  <c r="AE392" i="36" s="1"/>
  <c r="U5337" i="36"/>
  <c r="V5337" i="36" s="1"/>
  <c r="U440" i="36"/>
  <c r="V440" i="36" s="1"/>
  <c r="AE440" i="36" s="1"/>
  <c r="U5775" i="36"/>
  <c r="V5775" i="36" s="1"/>
  <c r="AE5775" i="36" s="1"/>
  <c r="U4798" i="36"/>
  <c r="V4798" i="36" s="1"/>
  <c r="U4847" i="36"/>
  <c r="V4847" i="36" s="1"/>
  <c r="U4799" i="36"/>
  <c r="V4799" i="36" s="1"/>
  <c r="AE4799" i="36" s="1"/>
  <c r="U4800" i="36"/>
  <c r="V4800" i="36" s="1"/>
  <c r="AE4800" i="36" s="1"/>
  <c r="U4848" i="36"/>
  <c r="V4848" i="36" s="1"/>
  <c r="AE4848" i="36" s="1"/>
  <c r="U4849" i="36"/>
  <c r="V4849" i="36" s="1"/>
  <c r="AE4849" i="36" s="1"/>
  <c r="U4801" i="36"/>
  <c r="V4801" i="36" s="1"/>
  <c r="AE4801" i="36" s="1"/>
  <c r="U4850" i="36"/>
  <c r="V4850" i="36" s="1"/>
  <c r="AE4850" i="36" s="1"/>
  <c r="U2593" i="36"/>
  <c r="V2593" i="36" s="1"/>
  <c r="AE2593" i="36" s="1"/>
  <c r="S648" i="36"/>
  <c r="T132" i="36"/>
  <c r="I221" i="35"/>
  <c r="I223" i="35"/>
  <c r="I230" i="35"/>
  <c r="R770" i="36"/>
  <c r="N2502" i="36"/>
  <c r="S3876" i="36"/>
  <c r="S3925" i="36"/>
  <c r="S3974" i="36"/>
  <c r="S4023" i="36"/>
  <c r="S4072" i="36"/>
  <c r="S4121" i="36"/>
  <c r="S2455" i="36"/>
  <c r="V2455" i="36" s="1"/>
  <c r="T770" i="36"/>
  <c r="V770" i="36" s="1"/>
  <c r="AE770" i="36" s="1"/>
  <c r="Q2502" i="36"/>
  <c r="T3876" i="36"/>
  <c r="T3925" i="36"/>
  <c r="T3974" i="36"/>
  <c r="T4023" i="36"/>
  <c r="T4072" i="36"/>
  <c r="T4121" i="36"/>
  <c r="S2608" i="36"/>
  <c r="T2609" i="36"/>
  <c r="S2502" i="36"/>
  <c r="N3876" i="36"/>
  <c r="N3925" i="36"/>
  <c r="N3974" i="36"/>
  <c r="N4023" i="36"/>
  <c r="N4072" i="36"/>
  <c r="N4121" i="36"/>
  <c r="O3787" i="36"/>
  <c r="R3786" i="36"/>
  <c r="T3780" i="36"/>
  <c r="T3779" i="36"/>
  <c r="T3778" i="36"/>
  <c r="U3771" i="36"/>
  <c r="V3771" i="36" s="1"/>
  <c r="AE3771" i="36" s="1"/>
  <c r="R3770" i="36"/>
  <c r="N3769" i="36"/>
  <c r="T3761" i="36"/>
  <c r="V3761" i="36" s="1"/>
  <c r="AE3761" i="36" s="1"/>
  <c r="R3738" i="36"/>
  <c r="S3737" i="36"/>
  <c r="N3731" i="36"/>
  <c r="N3730" i="36"/>
  <c r="N3729" i="36"/>
  <c r="N3723" i="36"/>
  <c r="U3721" i="36"/>
  <c r="V3721" i="36" s="1"/>
  <c r="AE3721" i="36" s="1"/>
  <c r="R3720" i="36"/>
  <c r="S3689" i="36"/>
  <c r="T3688" i="36"/>
  <c r="N3688" i="36"/>
  <c r="Q3682" i="36"/>
  <c r="Q3681" i="36"/>
  <c r="Q3680" i="36"/>
  <c r="R3674" i="36"/>
  <c r="N3673" i="36"/>
  <c r="U3671" i="36"/>
  <c r="V3671" i="36" s="1"/>
  <c r="N3663" i="36"/>
  <c r="T3640" i="36"/>
  <c r="N3640" i="36"/>
  <c r="O3639" i="36"/>
  <c r="S3633" i="36"/>
  <c r="S3632" i="36"/>
  <c r="S3631" i="36"/>
  <c r="U3625" i="36"/>
  <c r="V3625" i="36" s="1"/>
  <c r="AE3625" i="36" s="1"/>
  <c r="R3624" i="36"/>
  <c r="N3623" i="36"/>
  <c r="R3614" i="36"/>
  <c r="O3591" i="36"/>
  <c r="R3590" i="36"/>
  <c r="T3584" i="36"/>
  <c r="T3583" i="36"/>
  <c r="T3582" i="36"/>
  <c r="U3575" i="36"/>
  <c r="V3575" i="36" s="1"/>
  <c r="AE3575" i="36" s="1"/>
  <c r="R3574" i="36"/>
  <c r="N3573" i="36"/>
  <c r="T3565" i="36"/>
  <c r="V3565" i="36" s="1"/>
  <c r="AE3565" i="36" s="1"/>
  <c r="R3542" i="36"/>
  <c r="S3541" i="36"/>
  <c r="N3535" i="36"/>
  <c r="N3534" i="36"/>
  <c r="N3533" i="36"/>
  <c r="N3527" i="36"/>
  <c r="U3525" i="36"/>
  <c r="V3525" i="36" s="1"/>
  <c r="AE3525" i="36" s="1"/>
  <c r="R3524" i="36"/>
  <c r="R3810" i="36"/>
  <c r="T3811" i="36"/>
  <c r="V3811" i="36" s="1"/>
  <c r="AE3811" i="36" s="1"/>
  <c r="R3819" i="36"/>
  <c r="U3820" i="36"/>
  <c r="V3820" i="36" s="1"/>
  <c r="AE3820" i="36" s="1"/>
  <c r="T3827" i="36"/>
  <c r="T3828" i="36"/>
  <c r="T3829" i="36"/>
  <c r="R3835" i="36"/>
  <c r="O3836" i="36"/>
  <c r="T3493" i="36"/>
  <c r="N3493" i="36"/>
  <c r="O3492" i="36"/>
  <c r="S3486" i="36"/>
  <c r="S3485" i="36"/>
  <c r="S3484" i="36"/>
  <c r="U3478" i="36"/>
  <c r="V3478" i="36" s="1"/>
  <c r="AE3478" i="36" s="1"/>
  <c r="R3477" i="36"/>
  <c r="N3476" i="36"/>
  <c r="R3467" i="36"/>
  <c r="U3183" i="36"/>
  <c r="V3183" i="36" s="1"/>
  <c r="AE3183" i="36" s="1"/>
  <c r="N3184" i="36"/>
  <c r="N3780" i="36"/>
  <c r="N3778" i="36"/>
  <c r="R3769" i="36"/>
  <c r="N3737" i="36"/>
  <c r="Q3729" i="36"/>
  <c r="U3720" i="36"/>
  <c r="V3720" i="36" s="1"/>
  <c r="T3787" i="36"/>
  <c r="N3787" i="36"/>
  <c r="O3786" i="36"/>
  <c r="S3780" i="36"/>
  <c r="S3779" i="36"/>
  <c r="S3778" i="36"/>
  <c r="U3772" i="36"/>
  <c r="V3772" i="36" s="1"/>
  <c r="AE3772" i="36" s="1"/>
  <c r="R3771" i="36"/>
  <c r="N3770" i="36"/>
  <c r="R3761" i="36"/>
  <c r="O3738" i="36"/>
  <c r="R3737" i="36"/>
  <c r="T3731" i="36"/>
  <c r="T3730" i="36"/>
  <c r="T3729" i="36"/>
  <c r="U3722" i="36"/>
  <c r="V3722" i="36" s="1"/>
  <c r="AE3722" i="36" s="1"/>
  <c r="R3721" i="36"/>
  <c r="N3720" i="36"/>
  <c r="T3712" i="36"/>
  <c r="V3712" i="36" s="1"/>
  <c r="AE3712" i="36" s="1"/>
  <c r="R3689" i="36"/>
  <c r="S3688" i="36"/>
  <c r="N3682" i="36"/>
  <c r="N3681" i="36"/>
  <c r="N3680" i="36"/>
  <c r="N3674" i="36"/>
  <c r="U3672" i="36"/>
  <c r="V3672" i="36" s="1"/>
  <c r="AE3672" i="36" s="1"/>
  <c r="R3671" i="36"/>
  <c r="S3640" i="36"/>
  <c r="T3639" i="36"/>
  <c r="N3639" i="36"/>
  <c r="Q3633" i="36"/>
  <c r="Q3632" i="36"/>
  <c r="Q3631" i="36"/>
  <c r="R3625" i="36"/>
  <c r="N3624" i="36"/>
  <c r="U3622" i="36"/>
  <c r="V3622" i="36" s="1"/>
  <c r="N3614" i="36"/>
  <c r="T3591" i="36"/>
  <c r="N3591" i="36"/>
  <c r="O3590" i="36"/>
  <c r="S3584" i="36"/>
  <c r="S3583" i="36"/>
  <c r="S3582" i="36"/>
  <c r="U3576" i="36"/>
  <c r="V3576" i="36" s="1"/>
  <c r="AE3576" i="36" s="1"/>
  <c r="R3575" i="36"/>
  <c r="N3574" i="36"/>
  <c r="R3565" i="36"/>
  <c r="O3542" i="36"/>
  <c r="R3541" i="36"/>
  <c r="T3535" i="36"/>
  <c r="T3534" i="36"/>
  <c r="T3533" i="36"/>
  <c r="U3526" i="36"/>
  <c r="V3526" i="36" s="1"/>
  <c r="AE3526" i="36" s="1"/>
  <c r="R3525" i="36"/>
  <c r="N3524" i="36"/>
  <c r="T3516" i="36"/>
  <c r="V3516" i="36" s="1"/>
  <c r="AE3516" i="36" s="1"/>
  <c r="T3810" i="36"/>
  <c r="V3810" i="36" s="1"/>
  <c r="AE3810" i="36" s="1"/>
  <c r="N3812" i="36"/>
  <c r="N3818" i="36"/>
  <c r="U3819" i="36"/>
  <c r="V3819" i="36" s="1"/>
  <c r="AE3819" i="36" s="1"/>
  <c r="N3821" i="36"/>
  <c r="N3827" i="36"/>
  <c r="N3828" i="36"/>
  <c r="N3829" i="36"/>
  <c r="S3835" i="36"/>
  <c r="R3836" i="36"/>
  <c r="S3493" i="36"/>
  <c r="T3492" i="36"/>
  <c r="N3492" i="36"/>
  <c r="Q3486" i="36"/>
  <c r="Q3485" i="36"/>
  <c r="Q3484" i="36"/>
  <c r="R3478" i="36"/>
  <c r="N3477" i="36"/>
  <c r="U3475" i="36"/>
  <c r="V3475" i="36" s="1"/>
  <c r="N3467" i="36"/>
  <c r="R3183" i="36"/>
  <c r="S3786" i="36"/>
  <c r="N3772" i="36"/>
  <c r="S3738" i="36"/>
  <c r="Q3731" i="36"/>
  <c r="R3723" i="36"/>
  <c r="N3712" i="36"/>
  <c r="O3688" i="36"/>
  <c r="S3681" i="36"/>
  <c r="S3787" i="36"/>
  <c r="T3786" i="36"/>
  <c r="N3786" i="36"/>
  <c r="Q3780" i="36"/>
  <c r="Q3779" i="36"/>
  <c r="Q3778" i="36"/>
  <c r="R3772" i="36"/>
  <c r="N3771" i="36"/>
  <c r="U3769" i="36"/>
  <c r="V3769" i="36" s="1"/>
  <c r="N3761" i="36"/>
  <c r="T3738" i="36"/>
  <c r="N3738" i="36"/>
  <c r="O3737" i="36"/>
  <c r="S3731" i="36"/>
  <c r="S3730" i="36"/>
  <c r="S3729" i="36"/>
  <c r="U3723" i="36"/>
  <c r="V3723" i="36" s="1"/>
  <c r="AE3723" i="36" s="1"/>
  <c r="R3722" i="36"/>
  <c r="N3721" i="36"/>
  <c r="R3712" i="36"/>
  <c r="O3689" i="36"/>
  <c r="R3688" i="36"/>
  <c r="T3682" i="36"/>
  <c r="T3681" i="36"/>
  <c r="V3681" i="36" s="1"/>
  <c r="AE3681" i="36" s="1"/>
  <c r="T3680" i="36"/>
  <c r="U3673" i="36"/>
  <c r="V3673" i="36" s="1"/>
  <c r="AE3673" i="36" s="1"/>
  <c r="R3672" i="36"/>
  <c r="N3671" i="36"/>
  <c r="T3663" i="36"/>
  <c r="V3663" i="36" s="1"/>
  <c r="AE3663" i="36" s="1"/>
  <c r="R3640" i="36"/>
  <c r="S3639" i="36"/>
  <c r="N3633" i="36"/>
  <c r="N3632" i="36"/>
  <c r="N3631" i="36"/>
  <c r="N3625" i="36"/>
  <c r="U3623" i="36"/>
  <c r="V3623" i="36" s="1"/>
  <c r="AE3623" i="36" s="1"/>
  <c r="R3622" i="36"/>
  <c r="S3591" i="36"/>
  <c r="T3590" i="36"/>
  <c r="N3590" i="36"/>
  <c r="Q3584" i="36"/>
  <c r="Q3583" i="36"/>
  <c r="Q3582" i="36"/>
  <c r="R3576" i="36"/>
  <c r="N3575" i="36"/>
  <c r="U3573" i="36"/>
  <c r="V3573" i="36" s="1"/>
  <c r="N3565" i="36"/>
  <c r="T3542" i="36"/>
  <c r="N3542" i="36"/>
  <c r="O3541" i="36"/>
  <c r="S3535" i="36"/>
  <c r="S3534" i="36"/>
  <c r="S3533" i="36"/>
  <c r="U3527" i="36"/>
  <c r="V3527" i="36" s="1"/>
  <c r="AE3527" i="36" s="1"/>
  <c r="R3526" i="36"/>
  <c r="N3525" i="36"/>
  <c r="R3516" i="36"/>
  <c r="N3811" i="36"/>
  <c r="R3812" i="36"/>
  <c r="R3818" i="36"/>
  <c r="N3820" i="36"/>
  <c r="R3821" i="36"/>
  <c r="Q3827" i="36"/>
  <c r="Q3828" i="36"/>
  <c r="Q3829" i="36"/>
  <c r="N3835" i="36"/>
  <c r="T3835" i="36"/>
  <c r="S3836" i="36"/>
  <c r="R3493" i="36"/>
  <c r="S3492" i="36"/>
  <c r="N3486" i="36"/>
  <c r="N3485" i="36"/>
  <c r="N3484" i="36"/>
  <c r="N3478" i="36"/>
  <c r="U3476" i="36"/>
  <c r="V3476" i="36" s="1"/>
  <c r="AE3476" i="36" s="1"/>
  <c r="R3475" i="36"/>
  <c r="R3184" i="36"/>
  <c r="R3787" i="36"/>
  <c r="N3779" i="36"/>
  <c r="U3770" i="36"/>
  <c r="V3770" i="36" s="1"/>
  <c r="AE3770" i="36" s="1"/>
  <c r="T3737" i="36"/>
  <c r="Q3730" i="36"/>
  <c r="N3722" i="36"/>
  <c r="T3689" i="36"/>
  <c r="S3682" i="36"/>
  <c r="R3639" i="36"/>
  <c r="T3614" i="36"/>
  <c r="V3614" i="36" s="1"/>
  <c r="AE3614" i="36" s="1"/>
  <c r="S3542" i="36"/>
  <c r="U3821" i="36"/>
  <c r="V3821" i="36" s="1"/>
  <c r="AE3821" i="36" s="1"/>
  <c r="U3477" i="36"/>
  <c r="V3477" i="36" s="1"/>
  <c r="AE3477" i="36" s="1"/>
  <c r="N3689" i="36"/>
  <c r="U3674" i="36"/>
  <c r="V3674" i="36" s="1"/>
  <c r="AE3674" i="36" s="1"/>
  <c r="S3590" i="36"/>
  <c r="N3582" i="36"/>
  <c r="R3573" i="36"/>
  <c r="T3541" i="36"/>
  <c r="Q3534" i="36"/>
  <c r="N3526" i="36"/>
  <c r="O3493" i="36"/>
  <c r="T3485" i="36"/>
  <c r="R3476" i="36"/>
  <c r="N3183" i="36"/>
  <c r="T3484" i="36"/>
  <c r="T3467" i="36"/>
  <c r="V3467" i="36" s="1"/>
  <c r="AE3467" i="36" s="1"/>
  <c r="S3680" i="36"/>
  <c r="O3640" i="36"/>
  <c r="R3623" i="36"/>
  <c r="N3576" i="36"/>
  <c r="R3820" i="36"/>
  <c r="S3828" i="36"/>
  <c r="T3631" i="36"/>
  <c r="V3631" i="36" s="1"/>
  <c r="R3591" i="36"/>
  <c r="U3574" i="36"/>
  <c r="V3574" i="36" s="1"/>
  <c r="AE3574" i="36" s="1"/>
  <c r="R3527" i="36"/>
  <c r="T3836" i="36"/>
  <c r="U3184" i="36"/>
  <c r="V3184" i="36" s="1"/>
  <c r="R3673" i="36"/>
  <c r="T3633" i="36"/>
  <c r="U3624" i="36"/>
  <c r="V3624" i="36" s="1"/>
  <c r="AE3624" i="36" s="1"/>
  <c r="N3541" i="36"/>
  <c r="Q3533" i="36"/>
  <c r="U3524" i="36"/>
  <c r="V3524" i="36" s="1"/>
  <c r="N3516" i="36"/>
  <c r="N3810" i="36"/>
  <c r="N3819" i="36"/>
  <c r="S3827" i="36"/>
  <c r="O3835" i="36"/>
  <c r="R3492" i="36"/>
  <c r="N3475" i="36"/>
  <c r="N3672" i="36"/>
  <c r="R3663" i="36"/>
  <c r="T3632" i="36"/>
  <c r="N3584" i="36"/>
  <c r="R3811" i="36"/>
  <c r="N3836" i="36"/>
  <c r="N3622" i="36"/>
  <c r="N3583" i="36"/>
  <c r="Q3535" i="36"/>
  <c r="S3829" i="36"/>
  <c r="T3486" i="36"/>
  <c r="R5578" i="36"/>
  <c r="S5694" i="36"/>
  <c r="T5693" i="36"/>
  <c r="N5693" i="36"/>
  <c r="Q5687" i="36"/>
  <c r="Q5686" i="36"/>
  <c r="Q5685" i="36"/>
  <c r="N5679" i="36"/>
  <c r="R5677" i="36"/>
  <c r="N5676" i="36"/>
  <c r="T5668" i="36"/>
  <c r="V5668" i="36" s="1"/>
  <c r="AE5668" i="36" s="1"/>
  <c r="R5645" i="36"/>
  <c r="S5644" i="36"/>
  <c r="N5638" i="36"/>
  <c r="N5637" i="36"/>
  <c r="N5636" i="36"/>
  <c r="U5629" i="36"/>
  <c r="V5629" i="36" s="1"/>
  <c r="AE5629" i="36" s="1"/>
  <c r="N5628" i="36"/>
  <c r="T5596" i="36"/>
  <c r="N5596" i="36"/>
  <c r="O5595" i="36"/>
  <c r="S5589" i="36"/>
  <c r="S5588" i="36"/>
  <c r="S5587" i="36"/>
  <c r="R5581" i="36"/>
  <c r="N5580" i="36"/>
  <c r="R5570" i="36"/>
  <c r="O5547" i="36"/>
  <c r="R5546" i="36"/>
  <c r="T5540" i="36"/>
  <c r="T5539" i="36"/>
  <c r="T5538" i="36"/>
  <c r="R5531" i="36"/>
  <c r="U5529" i="36"/>
  <c r="V5529" i="36" s="1"/>
  <c r="AE5529" i="36" s="1"/>
  <c r="N5521" i="36"/>
  <c r="R5694" i="36"/>
  <c r="S5693" i="36"/>
  <c r="N5687" i="36"/>
  <c r="N5686" i="36"/>
  <c r="N5685" i="36"/>
  <c r="U5678" i="36"/>
  <c r="V5678" i="36" s="1"/>
  <c r="AE5678" i="36" s="1"/>
  <c r="N5677" i="36"/>
  <c r="R5668" i="36"/>
  <c r="O5645" i="36"/>
  <c r="R5644" i="36"/>
  <c r="T5638" i="36"/>
  <c r="T5637" i="36"/>
  <c r="T5636" i="36"/>
  <c r="R5629" i="36"/>
  <c r="R5627" i="36"/>
  <c r="S5596" i="36"/>
  <c r="T5595" i="36"/>
  <c r="N5595" i="36"/>
  <c r="Q5589" i="36"/>
  <c r="Q5588" i="36"/>
  <c r="Q5587" i="36"/>
  <c r="N5581" i="36"/>
  <c r="R5579" i="36"/>
  <c r="N5570" i="36"/>
  <c r="T5547" i="36"/>
  <c r="N5547" i="36"/>
  <c r="O5546" i="36"/>
  <c r="S5540" i="36"/>
  <c r="S5539" i="36"/>
  <c r="S5538" i="36"/>
  <c r="R5532" i="36"/>
  <c r="N5531" i="36"/>
  <c r="R5529" i="36"/>
  <c r="N5530" i="36"/>
  <c r="O5694" i="36"/>
  <c r="R5693" i="36"/>
  <c r="T5687" i="36"/>
  <c r="T5686" i="36"/>
  <c r="T5685" i="36"/>
  <c r="R5678" i="36"/>
  <c r="U5676" i="36"/>
  <c r="V5676" i="36" s="1"/>
  <c r="AE5676" i="36" s="1"/>
  <c r="N5668" i="36"/>
  <c r="T5645" i="36"/>
  <c r="N5645" i="36"/>
  <c r="O5644" i="36"/>
  <c r="S5638" i="36"/>
  <c r="S5637" i="36"/>
  <c r="S5636" i="36"/>
  <c r="R5630" i="36"/>
  <c r="N5629" i="36"/>
  <c r="N5627" i="36"/>
  <c r="R5596" i="36"/>
  <c r="S5595" i="36"/>
  <c r="N5589" i="36"/>
  <c r="N5588" i="36"/>
  <c r="N5587" i="36"/>
  <c r="U5580" i="36"/>
  <c r="V5580" i="36" s="1"/>
  <c r="AE5580" i="36" s="1"/>
  <c r="N5579" i="36"/>
  <c r="S5547" i="36"/>
  <c r="T5546" i="36"/>
  <c r="N5546" i="36"/>
  <c r="Q5540" i="36"/>
  <c r="Q5539" i="36"/>
  <c r="Q5538" i="36"/>
  <c r="N5532" i="36"/>
  <c r="R5530" i="36"/>
  <c r="N5529" i="36"/>
  <c r="T5521" i="36"/>
  <c r="V5521" i="36" s="1"/>
  <c r="AE5521" i="36" s="1"/>
  <c r="N5578" i="36"/>
  <c r="T5694" i="36"/>
  <c r="N5694" i="36"/>
  <c r="O5693" i="36"/>
  <c r="S5687" i="36"/>
  <c r="S5686" i="36"/>
  <c r="S5685" i="36"/>
  <c r="R5679" i="36"/>
  <c r="N5678" i="36"/>
  <c r="R5676" i="36"/>
  <c r="S5645" i="36"/>
  <c r="T5644" i="36"/>
  <c r="N5644" i="36"/>
  <c r="Q5638" i="36"/>
  <c r="Q5637" i="36"/>
  <c r="Q5636" i="36"/>
  <c r="N5630" i="36"/>
  <c r="R5628" i="36"/>
  <c r="O5596" i="36"/>
  <c r="R5595" i="36"/>
  <c r="T5589" i="36"/>
  <c r="T5588" i="36"/>
  <c r="T5587" i="36"/>
  <c r="R5580" i="36"/>
  <c r="U5578" i="36"/>
  <c r="V5578" i="36" s="1"/>
  <c r="AE5578" i="36" s="1"/>
  <c r="T5570" i="36"/>
  <c r="V5570" i="36" s="1"/>
  <c r="AE5570" i="36" s="1"/>
  <c r="R5547" i="36"/>
  <c r="S5546" i="36"/>
  <c r="N5540" i="36"/>
  <c r="N5539" i="36"/>
  <c r="N5538" i="36"/>
  <c r="U5531" i="36"/>
  <c r="V5531" i="36" s="1"/>
  <c r="AE5531" i="36" s="1"/>
  <c r="R5521" i="36"/>
  <c r="U5486" i="36"/>
  <c r="V5486" i="36" s="1"/>
  <c r="AE5486" i="36" s="1"/>
  <c r="N5486" i="36"/>
  <c r="N5485" i="36"/>
  <c r="R5487" i="36"/>
  <c r="N5487" i="36"/>
  <c r="R5488" i="36"/>
  <c r="U5487" i="36"/>
  <c r="V5487" i="36" s="1"/>
  <c r="AE5487" i="36" s="1"/>
  <c r="N5488" i="36"/>
  <c r="R5486" i="36"/>
  <c r="R5485" i="36"/>
  <c r="U5488" i="36"/>
  <c r="V5488" i="36" s="1"/>
  <c r="AE5488" i="36" s="1"/>
  <c r="R5499" i="36"/>
  <c r="S5498" i="36"/>
  <c r="T5493" i="36"/>
  <c r="U5483" i="36"/>
  <c r="V5483" i="36" s="1"/>
  <c r="AE5483" i="36" s="1"/>
  <c r="N5482" i="36"/>
  <c r="T5476" i="36"/>
  <c r="V5476" i="36" s="1"/>
  <c r="AE5476" i="36" s="1"/>
  <c r="R5453" i="36"/>
  <c r="S5452" i="36"/>
  <c r="N5446" i="36"/>
  <c r="N5445" i="36"/>
  <c r="N5444" i="36"/>
  <c r="U5437" i="36"/>
  <c r="V5437" i="36" s="1"/>
  <c r="AE5437" i="36" s="1"/>
  <c r="N5436" i="36"/>
  <c r="R5427" i="36"/>
  <c r="T5498" i="36"/>
  <c r="N5493" i="36"/>
  <c r="N5481" i="36"/>
  <c r="N5452" i="36"/>
  <c r="Q5444" i="36"/>
  <c r="U5485" i="36"/>
  <c r="V5485" i="36" s="1"/>
  <c r="AE5485" i="36" s="1"/>
  <c r="O5499" i="36"/>
  <c r="R5498" i="36"/>
  <c r="S5493" i="36"/>
  <c r="U5484" i="36"/>
  <c r="V5484" i="36" s="1"/>
  <c r="AE5484" i="36" s="1"/>
  <c r="R5483" i="36"/>
  <c r="U5481" i="36"/>
  <c r="V5481" i="36" s="1"/>
  <c r="R5476" i="36"/>
  <c r="O5453" i="36"/>
  <c r="R5452" i="36"/>
  <c r="T5446" i="36"/>
  <c r="T5445" i="36"/>
  <c r="T5444" i="36"/>
  <c r="R5437" i="36"/>
  <c r="U5435" i="36"/>
  <c r="V5435" i="36" s="1"/>
  <c r="AE5435" i="36" s="1"/>
  <c r="N5427" i="36"/>
  <c r="N5498" i="36"/>
  <c r="N5484" i="36"/>
  <c r="S5453" i="36"/>
  <c r="Q5446" i="36"/>
  <c r="N5438" i="36"/>
  <c r="T5499" i="36"/>
  <c r="N5499" i="36"/>
  <c r="O5498" i="36"/>
  <c r="Q5493" i="36"/>
  <c r="R5484" i="36"/>
  <c r="N5483" i="36"/>
  <c r="R5481" i="36"/>
  <c r="N5476" i="36"/>
  <c r="T5453" i="36"/>
  <c r="N5453" i="36"/>
  <c r="O5452" i="36"/>
  <c r="S5446" i="36"/>
  <c r="S5445" i="36"/>
  <c r="S5444" i="36"/>
  <c r="R5438" i="36"/>
  <c r="N5437" i="36"/>
  <c r="R5435" i="36"/>
  <c r="S5499" i="36"/>
  <c r="R5482" i="36"/>
  <c r="T5452" i="36"/>
  <c r="Q5445" i="36"/>
  <c r="R5436" i="36"/>
  <c r="T5427" i="36"/>
  <c r="V5427" i="36" s="1"/>
  <c r="AE5427" i="36" s="1"/>
  <c r="R4753" i="36"/>
  <c r="R3862" i="36"/>
  <c r="U3435" i="36"/>
  <c r="V3435" i="36" s="1"/>
  <c r="AE3435" i="36" s="1"/>
  <c r="N3435" i="36"/>
  <c r="U3431" i="36"/>
  <c r="V3431" i="36" s="1"/>
  <c r="AE3431" i="36" s="1"/>
  <c r="N3430" i="36"/>
  <c r="R3424" i="36"/>
  <c r="R3428" i="36"/>
  <c r="N3424" i="36"/>
  <c r="N3428" i="36"/>
  <c r="N3233" i="36"/>
  <c r="R3433" i="36"/>
  <c r="U3232" i="36"/>
  <c r="V3232" i="36" s="1"/>
  <c r="AE3232" i="36" s="1"/>
  <c r="R3861" i="36"/>
  <c r="U3430" i="36"/>
  <c r="V3430" i="36" s="1"/>
  <c r="AE3430" i="36" s="1"/>
  <c r="R3423" i="36"/>
  <c r="N3423" i="36"/>
  <c r="N3232" i="36"/>
  <c r="N4945" i="36"/>
  <c r="N4753" i="36"/>
  <c r="R3436" i="36"/>
  <c r="N3436" i="36"/>
  <c r="R3430" i="36"/>
  <c r="N3431" i="36"/>
  <c r="R3425" i="36"/>
  <c r="R3429" i="36"/>
  <c r="N3425" i="36"/>
  <c r="N3429" i="36"/>
  <c r="R3232" i="36"/>
  <c r="R3426" i="36"/>
  <c r="R3233" i="36"/>
  <c r="N3434" i="36"/>
  <c r="R3427" i="36"/>
  <c r="U3233" i="36"/>
  <c r="V3233" i="36" s="1"/>
  <c r="AE3233" i="36" s="1"/>
  <c r="R4945" i="36"/>
  <c r="R3860" i="36"/>
  <c r="R3434" i="36"/>
  <c r="U3436" i="36"/>
  <c r="V3436" i="36" s="1"/>
  <c r="AE3436" i="36" s="1"/>
  <c r="N3433" i="36"/>
  <c r="R3431" i="36"/>
  <c r="N3432" i="36"/>
  <c r="N3426" i="36"/>
  <c r="U4753" i="36"/>
  <c r="V4753" i="36" s="1"/>
  <c r="AE4753" i="36" s="1"/>
  <c r="R3435" i="36"/>
  <c r="R3432" i="36"/>
  <c r="N3427" i="36"/>
  <c r="U3426" i="36"/>
  <c r="V3426" i="36" s="1"/>
  <c r="AE3426" i="36" s="1"/>
  <c r="U5482" i="36"/>
  <c r="V5482" i="36" s="1"/>
  <c r="AE5482" i="36" s="1"/>
  <c r="U3424" i="36"/>
  <c r="V3424" i="36" s="1"/>
  <c r="AE3424" i="36" s="1"/>
  <c r="N2838" i="36"/>
  <c r="N2836" i="36"/>
  <c r="N2739" i="36"/>
  <c r="N2690" i="36"/>
  <c r="U3423" i="36"/>
  <c r="V3423" i="36" s="1"/>
  <c r="AE3423" i="36" s="1"/>
  <c r="R2836" i="36"/>
  <c r="U3432" i="36"/>
  <c r="V3432" i="36" s="1"/>
  <c r="AE3432" i="36" s="1"/>
  <c r="U3425" i="36"/>
  <c r="V3425" i="36" s="1"/>
  <c r="AE3425" i="36" s="1"/>
  <c r="R2837" i="36"/>
  <c r="R2740" i="36"/>
  <c r="R2691" i="36"/>
  <c r="U3427" i="36"/>
  <c r="V3427" i="36" s="1"/>
  <c r="AE3427" i="36" s="1"/>
  <c r="R2739" i="36"/>
  <c r="U3433" i="36"/>
  <c r="V3433" i="36" s="1"/>
  <c r="AE3433" i="36" s="1"/>
  <c r="U3434" i="36"/>
  <c r="V3434" i="36" s="1"/>
  <c r="AE3434" i="36" s="1"/>
  <c r="N2837" i="36"/>
  <c r="N2740" i="36"/>
  <c r="N2691" i="36"/>
  <c r="R2838" i="36"/>
  <c r="R2690" i="36"/>
  <c r="T2439" i="36"/>
  <c r="V2439" i="36" s="1"/>
  <c r="AE2439" i="36" s="1"/>
  <c r="R2438" i="36"/>
  <c r="N2403" i="36"/>
  <c r="R2402" i="36"/>
  <c r="U2396" i="36"/>
  <c r="V2396" i="36" s="1"/>
  <c r="AE2396" i="36" s="1"/>
  <c r="U2398" i="36"/>
  <c r="V2398" i="36" s="1"/>
  <c r="AE2398" i="36" s="1"/>
  <c r="N2396" i="36"/>
  <c r="N2400" i="36"/>
  <c r="N2397" i="36"/>
  <c r="R2401" i="36"/>
  <c r="R2403" i="36"/>
  <c r="R2439" i="36"/>
  <c r="N2438" i="36"/>
  <c r="U2401" i="36"/>
  <c r="V2401" i="36" s="1"/>
  <c r="AE2401" i="36" s="1"/>
  <c r="N2401" i="36"/>
  <c r="R2397" i="36"/>
  <c r="R2399" i="36"/>
  <c r="U2403" i="36"/>
  <c r="V2403" i="36" s="1"/>
  <c r="AE2403" i="36" s="1"/>
  <c r="R2396" i="36"/>
  <c r="N2399" i="36"/>
  <c r="N2439" i="36"/>
  <c r="U2402" i="36"/>
  <c r="V2402" i="36" s="1"/>
  <c r="AE2402" i="36" s="1"/>
  <c r="N2402" i="36"/>
  <c r="U2397" i="36"/>
  <c r="V2397" i="36" s="1"/>
  <c r="AE2397" i="36" s="1"/>
  <c r="R2400" i="36"/>
  <c r="N2398" i="36"/>
  <c r="T2438" i="36"/>
  <c r="V2438" i="36" s="1"/>
  <c r="AE2438" i="36" s="1"/>
  <c r="R2398" i="36"/>
  <c r="U2400" i="36"/>
  <c r="V2400" i="36" s="1"/>
  <c r="AE2400" i="36" s="1"/>
  <c r="U3429" i="36"/>
  <c r="V3429" i="36" s="1"/>
  <c r="AE3429" i="36" s="1"/>
  <c r="Q2408" i="36"/>
  <c r="R943" i="36"/>
  <c r="S5306" i="36"/>
  <c r="T5305" i="36"/>
  <c r="N5305" i="36"/>
  <c r="Q5299" i="36"/>
  <c r="Q5298" i="36"/>
  <c r="Q5297" i="36"/>
  <c r="R5291" i="36"/>
  <c r="N5290" i="36"/>
  <c r="U5288" i="36"/>
  <c r="V5288" i="36" s="1"/>
  <c r="N5280" i="36"/>
  <c r="T5257" i="36"/>
  <c r="N5257" i="36"/>
  <c r="O5256" i="36"/>
  <c r="S5250" i="36"/>
  <c r="S5249" i="36"/>
  <c r="S5248" i="36"/>
  <c r="U5242" i="36"/>
  <c r="V5242" i="36" s="1"/>
  <c r="AE5242" i="36" s="1"/>
  <c r="R5241" i="36"/>
  <c r="N5240" i="36"/>
  <c r="R5231" i="36"/>
  <c r="O5208" i="36"/>
  <c r="R5207" i="36"/>
  <c r="T5201" i="36"/>
  <c r="T5200" i="36"/>
  <c r="T5199" i="36"/>
  <c r="U5192" i="36"/>
  <c r="V5192" i="36" s="1"/>
  <c r="AE5192" i="36" s="1"/>
  <c r="R5191" i="36"/>
  <c r="N5190" i="36"/>
  <c r="T5182" i="36"/>
  <c r="V5182" i="36" s="1"/>
  <c r="AE5182" i="36" s="1"/>
  <c r="R5159" i="36"/>
  <c r="S5158" i="36"/>
  <c r="N5152" i="36"/>
  <c r="N5151" i="36"/>
  <c r="N5150" i="36"/>
  <c r="N5144" i="36"/>
  <c r="U5142" i="36"/>
  <c r="V5142" i="36" s="1"/>
  <c r="AE5142" i="36" s="1"/>
  <c r="R5141" i="36"/>
  <c r="S5110" i="36"/>
  <c r="T5109" i="36"/>
  <c r="N5109" i="36"/>
  <c r="Q5103" i="36"/>
  <c r="Q5102" i="36"/>
  <c r="Q5101" i="36"/>
  <c r="R5095" i="36"/>
  <c r="N5094" i="36"/>
  <c r="U5092" i="36"/>
  <c r="V5092" i="36" s="1"/>
  <c r="N5084" i="36"/>
  <c r="T4767" i="36"/>
  <c r="N4767" i="36"/>
  <c r="O4766" i="36"/>
  <c r="S4760" i="36"/>
  <c r="S4759" i="36"/>
  <c r="S4758" i="36"/>
  <c r="U4752" i="36"/>
  <c r="V4752" i="36" s="1"/>
  <c r="AE4752" i="36" s="1"/>
  <c r="R4751" i="36"/>
  <c r="N4750" i="36"/>
  <c r="R4741" i="36"/>
  <c r="O4718" i="36"/>
  <c r="R4717" i="36"/>
  <c r="T4711" i="36"/>
  <c r="T4710" i="36"/>
  <c r="T4709" i="36"/>
  <c r="U4702" i="36"/>
  <c r="V4702" i="36" s="1"/>
  <c r="AE4702" i="36" s="1"/>
  <c r="R4701" i="36"/>
  <c r="N4700" i="36"/>
  <c r="T4692" i="36"/>
  <c r="V4692" i="36" s="1"/>
  <c r="AE4692" i="36" s="1"/>
  <c r="R4669" i="36"/>
  <c r="S4668" i="36"/>
  <c r="N4662" i="36"/>
  <c r="N4661" i="36"/>
  <c r="N4660" i="36"/>
  <c r="N4654" i="36"/>
  <c r="U4652" i="36"/>
  <c r="V4652" i="36" s="1"/>
  <c r="AE4652" i="36" s="1"/>
  <c r="R4651" i="36"/>
  <c r="S4620" i="36"/>
  <c r="T4619" i="36"/>
  <c r="N4619" i="36"/>
  <c r="Q4613" i="36"/>
  <c r="Q4612" i="36"/>
  <c r="Q4611" i="36"/>
  <c r="R4605" i="36"/>
  <c r="N4604" i="36"/>
  <c r="U4602" i="36"/>
  <c r="V4602" i="36" s="1"/>
  <c r="N4594" i="36"/>
  <c r="T4571" i="36"/>
  <c r="R5306" i="36"/>
  <c r="S5305" i="36"/>
  <c r="N5299" i="36"/>
  <c r="N5298" i="36"/>
  <c r="N5297" i="36"/>
  <c r="N5291" i="36"/>
  <c r="U5289" i="36"/>
  <c r="V5289" i="36" s="1"/>
  <c r="AE5289" i="36" s="1"/>
  <c r="R5288" i="36"/>
  <c r="S5257" i="36"/>
  <c r="T5256" i="36"/>
  <c r="N5256" i="36"/>
  <c r="Q5250" i="36"/>
  <c r="Q5249" i="36"/>
  <c r="Q5248" i="36"/>
  <c r="R5242" i="36"/>
  <c r="N5241" i="36"/>
  <c r="U5239" i="36"/>
  <c r="V5239" i="36" s="1"/>
  <c r="N5231" i="36"/>
  <c r="T5208" i="36"/>
  <c r="N5208" i="36"/>
  <c r="O5207" i="36"/>
  <c r="S5201" i="36"/>
  <c r="S5200" i="36"/>
  <c r="S5199" i="36"/>
  <c r="U5193" i="36"/>
  <c r="V5193" i="36" s="1"/>
  <c r="AE5193" i="36" s="1"/>
  <c r="R5192" i="36"/>
  <c r="N5191" i="36"/>
  <c r="R5182" i="36"/>
  <c r="O5159" i="36"/>
  <c r="R5158" i="36"/>
  <c r="T5152" i="36"/>
  <c r="T5151" i="36"/>
  <c r="T5150" i="36"/>
  <c r="U5143" i="36"/>
  <c r="V5143" i="36" s="1"/>
  <c r="AE5143" i="36" s="1"/>
  <c r="R5142" i="36"/>
  <c r="N5141" i="36"/>
  <c r="T5133" i="36"/>
  <c r="V5133" i="36" s="1"/>
  <c r="AE5133" i="36" s="1"/>
  <c r="R5110" i="36"/>
  <c r="S5109" i="36"/>
  <c r="N5103" i="36"/>
  <c r="N5102" i="36"/>
  <c r="N5101" i="36"/>
  <c r="N5095" i="36"/>
  <c r="U5093" i="36"/>
  <c r="V5093" i="36" s="1"/>
  <c r="AE5093" i="36" s="1"/>
  <c r="R5092" i="36"/>
  <c r="S4767" i="36"/>
  <c r="T4766" i="36"/>
  <c r="N4766" i="36"/>
  <c r="Q4760" i="36"/>
  <c r="Q4759" i="36"/>
  <c r="Q4758" i="36"/>
  <c r="R4752" i="36"/>
  <c r="N4751" i="36"/>
  <c r="U4749" i="36"/>
  <c r="V4749" i="36" s="1"/>
  <c r="N4741" i="36"/>
  <c r="T4718" i="36"/>
  <c r="N4718" i="36"/>
  <c r="O4717" i="36"/>
  <c r="S4711" i="36"/>
  <c r="S4710" i="36"/>
  <c r="S4709" i="36"/>
  <c r="U4703" i="36"/>
  <c r="V4703" i="36" s="1"/>
  <c r="AE4703" i="36" s="1"/>
  <c r="R4702" i="36"/>
  <c r="N4701" i="36"/>
  <c r="R4692" i="36"/>
  <c r="O4669" i="36"/>
  <c r="R4668" i="36"/>
  <c r="T4662" i="36"/>
  <c r="T4661" i="36"/>
  <c r="T4660" i="36"/>
  <c r="U4653" i="36"/>
  <c r="V4653" i="36" s="1"/>
  <c r="AE4653" i="36" s="1"/>
  <c r="R4652" i="36"/>
  <c r="N4651" i="36"/>
  <c r="T4643" i="36"/>
  <c r="V4643" i="36" s="1"/>
  <c r="AE4643" i="36" s="1"/>
  <c r="R4620" i="36"/>
  <c r="S4619" i="36"/>
  <c r="N4613" i="36"/>
  <c r="N4612" i="36"/>
  <c r="N4611" i="36"/>
  <c r="N4605" i="36"/>
  <c r="U4603" i="36"/>
  <c r="V4603" i="36" s="1"/>
  <c r="AE4603" i="36" s="1"/>
  <c r="R4602" i="36"/>
  <c r="S4571" i="36"/>
  <c r="T4570" i="36"/>
  <c r="N4570" i="36"/>
  <c r="O5306" i="36"/>
  <c r="R5305" i="36"/>
  <c r="T5299" i="36"/>
  <c r="T5298" i="36"/>
  <c r="T5297" i="36"/>
  <c r="U5290" i="36"/>
  <c r="V5290" i="36" s="1"/>
  <c r="AE5290" i="36" s="1"/>
  <c r="R5289" i="36"/>
  <c r="N5288" i="36"/>
  <c r="T5280" i="36"/>
  <c r="V5280" i="36" s="1"/>
  <c r="AE5280" i="36" s="1"/>
  <c r="R5257" i="36"/>
  <c r="S5256" i="36"/>
  <c r="N5250" i="36"/>
  <c r="N5249" i="36"/>
  <c r="N5248" i="36"/>
  <c r="N5242" i="36"/>
  <c r="U5240" i="36"/>
  <c r="V5240" i="36" s="1"/>
  <c r="AE5240" i="36" s="1"/>
  <c r="R5239" i="36"/>
  <c r="S5208" i="36"/>
  <c r="T5207" i="36"/>
  <c r="N5207" i="36"/>
  <c r="Q5201" i="36"/>
  <c r="Q5200" i="36"/>
  <c r="Q5199" i="36"/>
  <c r="R5193" i="36"/>
  <c r="N5192" i="36"/>
  <c r="U5190" i="36"/>
  <c r="V5190" i="36" s="1"/>
  <c r="N5182" i="36"/>
  <c r="T5159" i="36"/>
  <c r="N5159" i="36"/>
  <c r="O5158" i="36"/>
  <c r="S5152" i="36"/>
  <c r="S5151" i="36"/>
  <c r="S5150" i="36"/>
  <c r="U5144" i="36"/>
  <c r="V5144" i="36" s="1"/>
  <c r="AE5144" i="36" s="1"/>
  <c r="R5143" i="36"/>
  <c r="N5142" i="36"/>
  <c r="R5133" i="36"/>
  <c r="O5110" i="36"/>
  <c r="R5109" i="36"/>
  <c r="T5103" i="36"/>
  <c r="T5102" i="36"/>
  <c r="T5101" i="36"/>
  <c r="U5094" i="36"/>
  <c r="V5094" i="36" s="1"/>
  <c r="AE5094" i="36" s="1"/>
  <c r="R5093" i="36"/>
  <c r="N5092" i="36"/>
  <c r="T5084" i="36"/>
  <c r="V5084" i="36" s="1"/>
  <c r="AE5084" i="36" s="1"/>
  <c r="R4767" i="36"/>
  <c r="S4766" i="36"/>
  <c r="N4760" i="36"/>
  <c r="N4759" i="36"/>
  <c r="N4758" i="36"/>
  <c r="N4752" i="36"/>
  <c r="U4750" i="36"/>
  <c r="V4750" i="36" s="1"/>
  <c r="AE4750" i="36" s="1"/>
  <c r="R4749" i="36"/>
  <c r="S4718" i="36"/>
  <c r="T4717" i="36"/>
  <c r="N4717" i="36"/>
  <c r="Q4711" i="36"/>
  <c r="Q4710" i="36"/>
  <c r="Q4709" i="36"/>
  <c r="R4703" i="36"/>
  <c r="N4702" i="36"/>
  <c r="U4700" i="36"/>
  <c r="V4700" i="36" s="1"/>
  <c r="N4692" i="36"/>
  <c r="T4669" i="36"/>
  <c r="N4669" i="36"/>
  <c r="O4668" i="36"/>
  <c r="S4662" i="36"/>
  <c r="S4661" i="36"/>
  <c r="S4660" i="36"/>
  <c r="U4654" i="36"/>
  <c r="V4654" i="36" s="1"/>
  <c r="AE4654" i="36" s="1"/>
  <c r="R4653" i="36"/>
  <c r="N4652" i="36"/>
  <c r="R4643" i="36"/>
  <c r="O4620" i="36"/>
  <c r="R4619" i="36"/>
  <c r="T4613" i="36"/>
  <c r="T4612" i="36"/>
  <c r="T4611" i="36"/>
  <c r="U4604" i="36"/>
  <c r="V4604" i="36" s="1"/>
  <c r="AE4604" i="36" s="1"/>
  <c r="R4603" i="36"/>
  <c r="N4602" i="36"/>
  <c r="T4594" i="36"/>
  <c r="V4594" i="36" s="1"/>
  <c r="AE4594" i="36" s="1"/>
  <c r="R4571" i="36"/>
  <c r="S4570" i="36"/>
  <c r="N4564" i="36"/>
  <c r="N5306" i="36"/>
  <c r="S5298" i="36"/>
  <c r="R5290" i="36"/>
  <c r="T5250" i="36"/>
  <c r="U5241" i="36"/>
  <c r="V5241" i="36" s="1"/>
  <c r="AE5241" i="36" s="1"/>
  <c r="N5158" i="36"/>
  <c r="Q5150" i="36"/>
  <c r="U5141" i="36"/>
  <c r="V5141" i="36" s="1"/>
  <c r="N5133" i="36"/>
  <c r="T5110" i="36"/>
  <c r="S5103" i="36"/>
  <c r="U5095" i="36"/>
  <c r="V5095" i="36" s="1"/>
  <c r="AE5095" i="36" s="1"/>
  <c r="S4717" i="36"/>
  <c r="N4709" i="36"/>
  <c r="R4700" i="36"/>
  <c r="T4668" i="36"/>
  <c r="Q4661" i="36"/>
  <c r="N4653" i="36"/>
  <c r="N4571" i="36"/>
  <c r="T4564" i="36"/>
  <c r="S4563" i="36"/>
  <c r="S4562" i="36"/>
  <c r="U4556" i="36"/>
  <c r="V4556" i="36" s="1"/>
  <c r="AE4556" i="36" s="1"/>
  <c r="R4555" i="36"/>
  <c r="N4554" i="36"/>
  <c r="R4545" i="36"/>
  <c r="O4522" i="36"/>
  <c r="R4521" i="36"/>
  <c r="T4515" i="36"/>
  <c r="T4514" i="36"/>
  <c r="T4513" i="36"/>
  <c r="U4506" i="36"/>
  <c r="V4506" i="36" s="1"/>
  <c r="AE4506" i="36" s="1"/>
  <c r="R4505" i="36"/>
  <c r="N4504" i="36"/>
  <c r="T4496" i="36"/>
  <c r="V4496" i="36" s="1"/>
  <c r="AE4496" i="36" s="1"/>
  <c r="R4473" i="36"/>
  <c r="S4472" i="36"/>
  <c r="N4466" i="36"/>
  <c r="N4465" i="36"/>
  <c r="N4464" i="36"/>
  <c r="N4458" i="36"/>
  <c r="U4456" i="36"/>
  <c r="V4456" i="36" s="1"/>
  <c r="AE4456" i="36" s="1"/>
  <c r="R4455" i="36"/>
  <c r="S4424" i="36"/>
  <c r="T4423" i="36"/>
  <c r="N4423" i="36"/>
  <c r="Q4417" i="36"/>
  <c r="Q4416" i="36"/>
  <c r="Q4415" i="36"/>
  <c r="R4409" i="36"/>
  <c r="N4408" i="36"/>
  <c r="U4406" i="36"/>
  <c r="V4406" i="36" s="1"/>
  <c r="N4398" i="36"/>
  <c r="T4375" i="36"/>
  <c r="N4375" i="36"/>
  <c r="O4374" i="36"/>
  <c r="S4368" i="36"/>
  <c r="S4367" i="36"/>
  <c r="S4366" i="36"/>
  <c r="U4360" i="36"/>
  <c r="V4360" i="36" s="1"/>
  <c r="AE4360" i="36" s="1"/>
  <c r="R4359" i="36"/>
  <c r="N4358" i="36"/>
  <c r="R4349" i="36"/>
  <c r="O4326" i="36"/>
  <c r="R4325" i="36"/>
  <c r="T4319" i="36"/>
  <c r="T4318" i="36"/>
  <c r="T4317" i="36"/>
  <c r="U4310" i="36"/>
  <c r="V4310" i="36" s="1"/>
  <c r="AE4310" i="36" s="1"/>
  <c r="R4309" i="36"/>
  <c r="N4308" i="36"/>
  <c r="T4300" i="36"/>
  <c r="V4300" i="36" s="1"/>
  <c r="AE4300" i="36" s="1"/>
  <c r="R4277" i="36"/>
  <c r="S4276" i="36"/>
  <c r="N4270" i="36"/>
  <c r="N4269" i="36"/>
  <c r="N4268" i="36"/>
  <c r="N4262" i="36"/>
  <c r="U4260" i="36"/>
  <c r="V4260" i="36" s="1"/>
  <c r="AE4260" i="36" s="1"/>
  <c r="R4259" i="36"/>
  <c r="S4228" i="36"/>
  <c r="T4227" i="36"/>
  <c r="N4227" i="36"/>
  <c r="Q4221" i="36"/>
  <c r="O5305" i="36"/>
  <c r="S5297" i="36"/>
  <c r="N5289" i="36"/>
  <c r="R5280" i="36"/>
  <c r="O5257" i="36"/>
  <c r="T5249" i="36"/>
  <c r="R5240" i="36"/>
  <c r="N5201" i="36"/>
  <c r="N5193" i="36"/>
  <c r="N5110" i="36"/>
  <c r="S5102" i="36"/>
  <c r="R5094" i="36"/>
  <c r="T4760" i="36"/>
  <c r="U4751" i="36"/>
  <c r="V4751" i="36" s="1"/>
  <c r="AE4751" i="36" s="1"/>
  <c r="N4668" i="36"/>
  <c r="Q4660" i="36"/>
  <c r="U4651" i="36"/>
  <c r="V4651" i="36" s="1"/>
  <c r="N4643" i="36"/>
  <c r="T4620" i="36"/>
  <c r="S4613" i="36"/>
  <c r="U4605" i="36"/>
  <c r="V4605" i="36" s="1"/>
  <c r="AE4605" i="36" s="1"/>
  <c r="R4570" i="36"/>
  <c r="S4564" i="36"/>
  <c r="Q4563" i="36"/>
  <c r="Q4562" i="36"/>
  <c r="R4556" i="36"/>
  <c r="N4555" i="36"/>
  <c r="U4553" i="36"/>
  <c r="V4553" i="36" s="1"/>
  <c r="N4545" i="36"/>
  <c r="T4522" i="36"/>
  <c r="N4522" i="36"/>
  <c r="O4521" i="36"/>
  <c r="S4515" i="36"/>
  <c r="S4514" i="36"/>
  <c r="S4513" i="36"/>
  <c r="U4507" i="36"/>
  <c r="V4507" i="36" s="1"/>
  <c r="AE4507" i="36" s="1"/>
  <c r="R4506" i="36"/>
  <c r="N4505" i="36"/>
  <c r="R4496" i="36"/>
  <c r="O4473" i="36"/>
  <c r="R4472" i="36"/>
  <c r="T4466" i="36"/>
  <c r="T4465" i="36"/>
  <c r="T4464" i="36"/>
  <c r="U4457" i="36"/>
  <c r="V4457" i="36" s="1"/>
  <c r="AE4457" i="36" s="1"/>
  <c r="R4456" i="36"/>
  <c r="N4455" i="36"/>
  <c r="T4447" i="36"/>
  <c r="V4447" i="36" s="1"/>
  <c r="AE4447" i="36" s="1"/>
  <c r="R4424" i="36"/>
  <c r="S4423" i="36"/>
  <c r="N4417" i="36"/>
  <c r="N4416" i="36"/>
  <c r="N4415" i="36"/>
  <c r="N4409" i="36"/>
  <c r="U4407" i="36"/>
  <c r="V4407" i="36" s="1"/>
  <c r="AE4407" i="36" s="1"/>
  <c r="R4406" i="36"/>
  <c r="S4375" i="36"/>
  <c r="T4374" i="36"/>
  <c r="N4374" i="36"/>
  <c r="Q4368" i="36"/>
  <c r="Q4367" i="36"/>
  <c r="Q4366" i="36"/>
  <c r="R4360" i="36"/>
  <c r="N4359" i="36"/>
  <c r="U4357" i="36"/>
  <c r="V4357" i="36" s="1"/>
  <c r="N4349" i="36"/>
  <c r="T4326" i="36"/>
  <c r="N4326" i="36"/>
  <c r="O4325" i="36"/>
  <c r="S4319" i="36"/>
  <c r="S4318" i="36"/>
  <c r="S4317" i="36"/>
  <c r="U4311" i="36"/>
  <c r="V4311" i="36" s="1"/>
  <c r="AE4311" i="36" s="1"/>
  <c r="R4310" i="36"/>
  <c r="N4309" i="36"/>
  <c r="R4300" i="36"/>
  <c r="O4277" i="36"/>
  <c r="R4276" i="36"/>
  <c r="T4270" i="36"/>
  <c r="T4269" i="36"/>
  <c r="T4268" i="36"/>
  <c r="U4261" i="36"/>
  <c r="V4261" i="36" s="1"/>
  <c r="AE4261" i="36" s="1"/>
  <c r="R4260" i="36"/>
  <c r="N4259" i="36"/>
  <c r="T4251" i="36"/>
  <c r="V4251" i="36" s="1"/>
  <c r="AE4251" i="36" s="1"/>
  <c r="R4228" i="36"/>
  <c r="S4227" i="36"/>
  <c r="N4221" i="36"/>
  <c r="N4220" i="36"/>
  <c r="R5256" i="36"/>
  <c r="T5248" i="36"/>
  <c r="N5239" i="36"/>
  <c r="T5231" i="36"/>
  <c r="V5231" i="36" s="1"/>
  <c r="AE5231" i="36" s="1"/>
  <c r="R5208" i="36"/>
  <c r="N5200" i="36"/>
  <c r="U5191" i="36"/>
  <c r="V5191" i="36" s="1"/>
  <c r="AE5191" i="36" s="1"/>
  <c r="S5159" i="36"/>
  <c r="Q5152" i="36"/>
  <c r="R5144" i="36"/>
  <c r="O5109" i="36"/>
  <c r="S5101" i="36"/>
  <c r="N5093" i="36"/>
  <c r="R5084" i="36"/>
  <c r="O4767" i="36"/>
  <c r="T4759" i="36"/>
  <c r="R4750" i="36"/>
  <c r="N4711" i="36"/>
  <c r="N4703" i="36"/>
  <c r="N4620" i="36"/>
  <c r="S4612" i="36"/>
  <c r="R4604" i="36"/>
  <c r="O4570" i="36"/>
  <c r="Q4564" i="36"/>
  <c r="N4563" i="36"/>
  <c r="N4562" i="36"/>
  <c r="N4556" i="36"/>
  <c r="U4554" i="36"/>
  <c r="V4554" i="36" s="1"/>
  <c r="AE4554" i="36" s="1"/>
  <c r="R4553" i="36"/>
  <c r="S4522" i="36"/>
  <c r="T4521" i="36"/>
  <c r="N4521" i="36"/>
  <c r="Q4515" i="36"/>
  <c r="Q4514" i="36"/>
  <c r="Q4513" i="36"/>
  <c r="R4507" i="36"/>
  <c r="N4506" i="36"/>
  <c r="U4504" i="36"/>
  <c r="V4504" i="36" s="1"/>
  <c r="N4496" i="36"/>
  <c r="T4473" i="36"/>
  <c r="N4473" i="36"/>
  <c r="O4472" i="36"/>
  <c r="S4466" i="36"/>
  <c r="S4465" i="36"/>
  <c r="S4464" i="36"/>
  <c r="U4458" i="36"/>
  <c r="V4458" i="36" s="1"/>
  <c r="AE4458" i="36" s="1"/>
  <c r="R4457" i="36"/>
  <c r="N4456" i="36"/>
  <c r="R4447" i="36"/>
  <c r="O4424" i="36"/>
  <c r="R4423" i="36"/>
  <c r="T4417" i="36"/>
  <c r="T4416" i="36"/>
  <c r="T4415" i="36"/>
  <c r="U4408" i="36"/>
  <c r="V4408" i="36" s="1"/>
  <c r="AE4408" i="36" s="1"/>
  <c r="R4407" i="36"/>
  <c r="N4406" i="36"/>
  <c r="T4398" i="36"/>
  <c r="V4398" i="36" s="1"/>
  <c r="AE4398" i="36" s="1"/>
  <c r="R4375" i="36"/>
  <c r="S4374" i="36"/>
  <c r="N4368" i="36"/>
  <c r="N4367" i="36"/>
  <c r="N4366" i="36"/>
  <c r="N4360" i="36"/>
  <c r="U4358" i="36"/>
  <c r="V4358" i="36" s="1"/>
  <c r="AE4358" i="36" s="1"/>
  <c r="R4357" i="36"/>
  <c r="S4326" i="36"/>
  <c r="T4325" i="36"/>
  <c r="N4325" i="36"/>
  <c r="Q4319" i="36"/>
  <c r="Q4318" i="36"/>
  <c r="Q4317" i="36"/>
  <c r="R4311" i="36"/>
  <c r="N4310" i="36"/>
  <c r="U4308" i="36"/>
  <c r="V4308" i="36" s="1"/>
  <c r="N4300" i="36"/>
  <c r="T4277" i="36"/>
  <c r="N4277" i="36"/>
  <c r="O4276" i="36"/>
  <c r="S4270" i="36"/>
  <c r="S4269" i="36"/>
  <c r="S4268" i="36"/>
  <c r="U4262" i="36"/>
  <c r="V4262" i="36" s="1"/>
  <c r="AE4262" i="36" s="1"/>
  <c r="R4261" i="36"/>
  <c r="N4260" i="36"/>
  <c r="N5199" i="36"/>
  <c r="R4766" i="36"/>
  <c r="Q4662" i="36"/>
  <c r="T4562" i="36"/>
  <c r="V4562" i="36" s="1"/>
  <c r="N4553" i="36"/>
  <c r="T4545" i="36"/>
  <c r="V4545" i="36" s="1"/>
  <c r="AE4545" i="36" s="1"/>
  <c r="R4522" i="36"/>
  <c r="N4514" i="36"/>
  <c r="U4505" i="36"/>
  <c r="V4505" i="36" s="1"/>
  <c r="AE4505" i="36" s="1"/>
  <c r="S4473" i="36"/>
  <c r="Q4466" i="36"/>
  <c r="R4458" i="36"/>
  <c r="O4423" i="36"/>
  <c r="S4415" i="36"/>
  <c r="N4407" i="36"/>
  <c r="R4398" i="36"/>
  <c r="O4375" i="36"/>
  <c r="T4367" i="36"/>
  <c r="R4358" i="36"/>
  <c r="N4319" i="36"/>
  <c r="N4311" i="36"/>
  <c r="N4251" i="36"/>
  <c r="T4228" i="36"/>
  <c r="O4227" i="36"/>
  <c r="T4220" i="36"/>
  <c r="S4219" i="36"/>
  <c r="U4213" i="36"/>
  <c r="V4213" i="36" s="1"/>
  <c r="AE4213" i="36" s="1"/>
  <c r="R4212" i="36"/>
  <c r="N4211" i="36"/>
  <c r="R4202" i="36"/>
  <c r="T3446" i="36"/>
  <c r="N3446" i="36"/>
  <c r="N3441" i="36"/>
  <c r="U3421" i="36"/>
  <c r="V3421" i="36" s="1"/>
  <c r="AE3421" i="36" s="1"/>
  <c r="R3420" i="36"/>
  <c r="N3415" i="36"/>
  <c r="T3393" i="36"/>
  <c r="N3393" i="36"/>
  <c r="O3392" i="36"/>
  <c r="S3386" i="36"/>
  <c r="S3385" i="36"/>
  <c r="S3384" i="36"/>
  <c r="U3378" i="36"/>
  <c r="V3378" i="36" s="1"/>
  <c r="AE3378" i="36" s="1"/>
  <c r="R3377" i="36"/>
  <c r="N3376" i="36"/>
  <c r="R3367" i="36"/>
  <c r="O3344" i="36"/>
  <c r="R3343" i="36"/>
  <c r="T3337" i="36"/>
  <c r="T3336" i="36"/>
  <c r="T3335" i="36"/>
  <c r="U3328" i="36"/>
  <c r="V3328" i="36" s="1"/>
  <c r="AE3328" i="36" s="1"/>
  <c r="R3327" i="36"/>
  <c r="N3326" i="36"/>
  <c r="T3318" i="36"/>
  <c r="V3318" i="36" s="1"/>
  <c r="AE3318" i="36" s="1"/>
  <c r="R3295" i="36"/>
  <c r="S3294" i="36"/>
  <c r="N3288" i="36"/>
  <c r="N3287" i="36"/>
  <c r="N3286" i="36"/>
  <c r="N3280" i="36"/>
  <c r="U3278" i="36"/>
  <c r="V3278" i="36" s="1"/>
  <c r="AE3278" i="36" s="1"/>
  <c r="R3277" i="36"/>
  <c r="S3246" i="36"/>
  <c r="T3245" i="36"/>
  <c r="N3245" i="36"/>
  <c r="N3240" i="36"/>
  <c r="N3239" i="36"/>
  <c r="N3238" i="36"/>
  <c r="N3231" i="36"/>
  <c r="U3229" i="36"/>
  <c r="V3229" i="36" s="1"/>
  <c r="AE3229" i="36" s="1"/>
  <c r="R3228" i="36"/>
  <c r="T3221" i="36"/>
  <c r="V3221" i="36" s="1"/>
  <c r="AE3221" i="36" s="1"/>
  <c r="R3198" i="36"/>
  <c r="S3197" i="36"/>
  <c r="N3191" i="36"/>
  <c r="N3190" i="36"/>
  <c r="N3189" i="36"/>
  <c r="N3182" i="36"/>
  <c r="U3180" i="36"/>
  <c r="V3180" i="36" s="1"/>
  <c r="AE3180" i="36" s="1"/>
  <c r="R3179" i="36"/>
  <c r="S3148" i="36"/>
  <c r="T3147" i="36"/>
  <c r="N3147" i="36"/>
  <c r="Q3141" i="36"/>
  <c r="Q3140" i="36"/>
  <c r="Q3139" i="36"/>
  <c r="R3133" i="36"/>
  <c r="N3132" i="36"/>
  <c r="U3130" i="36"/>
  <c r="V3130" i="36" s="1"/>
  <c r="N3122" i="36"/>
  <c r="T3099" i="36"/>
  <c r="N3099" i="36"/>
  <c r="O3098" i="36"/>
  <c r="S3092" i="36"/>
  <c r="S3091" i="36"/>
  <c r="S3090" i="36"/>
  <c r="U3084" i="36"/>
  <c r="V3084" i="36" s="1"/>
  <c r="AE3084" i="36" s="1"/>
  <c r="R3083" i="36"/>
  <c r="N3082" i="36"/>
  <c r="R3073" i="36"/>
  <c r="O3050" i="36"/>
  <c r="R3049" i="36"/>
  <c r="T3043" i="36"/>
  <c r="T3042" i="36"/>
  <c r="T3041" i="36"/>
  <c r="U3034" i="36"/>
  <c r="V3034" i="36" s="1"/>
  <c r="AE3034" i="36" s="1"/>
  <c r="R3033" i="36"/>
  <c r="N3032" i="36"/>
  <c r="T3024" i="36"/>
  <c r="V3024" i="36" s="1"/>
  <c r="AE3024" i="36" s="1"/>
  <c r="R3001" i="36"/>
  <c r="S3000" i="36"/>
  <c r="N2994" i="36"/>
  <c r="N2993" i="36"/>
  <c r="N2992" i="36"/>
  <c r="N2986" i="36"/>
  <c r="U2984" i="36"/>
  <c r="V2984" i="36" s="1"/>
  <c r="AE2984" i="36" s="1"/>
  <c r="R2983" i="36"/>
  <c r="S2952" i="36"/>
  <c r="T2951" i="36"/>
  <c r="N2951" i="36"/>
  <c r="Q2945" i="36"/>
  <c r="Q2944" i="36"/>
  <c r="Q2943" i="36"/>
  <c r="R2937" i="36"/>
  <c r="N2936" i="36"/>
  <c r="U2934" i="36"/>
  <c r="V2934" i="36" s="1"/>
  <c r="N2926" i="36"/>
  <c r="T2903" i="36"/>
  <c r="N2903" i="36"/>
  <c r="O2902" i="36"/>
  <c r="S2896" i="36"/>
  <c r="S2895" i="36"/>
  <c r="S2894" i="36"/>
  <c r="U2888" i="36"/>
  <c r="V2888" i="36" s="1"/>
  <c r="AE2888" i="36" s="1"/>
  <c r="R2887" i="36"/>
  <c r="N2886" i="36"/>
  <c r="R2877" i="36"/>
  <c r="O2854" i="36"/>
  <c r="R2853" i="36"/>
  <c r="T2847" i="36"/>
  <c r="T2846" i="36"/>
  <c r="T2845" i="36"/>
  <c r="U2838" i="36"/>
  <c r="V2838" i="36" s="1"/>
  <c r="AE2838" i="36" s="1"/>
  <c r="N2828" i="36"/>
  <c r="T2805" i="36"/>
  <c r="N2805" i="36"/>
  <c r="O2804" i="36"/>
  <c r="S2798" i="36"/>
  <c r="S2797" i="36"/>
  <c r="S2796" i="36"/>
  <c r="U2790" i="36"/>
  <c r="V2790" i="36" s="1"/>
  <c r="AE2790" i="36" s="1"/>
  <c r="R2789" i="36"/>
  <c r="N2788" i="36"/>
  <c r="R2779" i="36"/>
  <c r="O2756" i="36"/>
  <c r="R2755" i="36"/>
  <c r="T2749" i="36"/>
  <c r="T2748" i="36"/>
  <c r="T2747" i="36"/>
  <c r="U2740" i="36"/>
  <c r="V2740" i="36" s="1"/>
  <c r="AE2740" i="36" s="1"/>
  <c r="N2738" i="36"/>
  <c r="T2730" i="36"/>
  <c r="V2730" i="36" s="1"/>
  <c r="AE2730" i="36" s="1"/>
  <c r="R2707" i="36"/>
  <c r="S2706" i="36"/>
  <c r="N2700" i="36"/>
  <c r="N2699" i="36"/>
  <c r="S5299" i="36"/>
  <c r="T5158" i="36"/>
  <c r="N5143" i="36"/>
  <c r="N4710" i="36"/>
  <c r="O4619" i="36"/>
  <c r="N4603" i="36"/>
  <c r="R4594" i="36"/>
  <c r="O4571" i="36"/>
  <c r="S4521" i="36"/>
  <c r="N4513" i="36"/>
  <c r="R4504" i="36"/>
  <c r="T4472" i="36"/>
  <c r="Q4465" i="36"/>
  <c r="N4457" i="36"/>
  <c r="R4374" i="36"/>
  <c r="T4366" i="36"/>
  <c r="N4357" i="36"/>
  <c r="T4349" i="36"/>
  <c r="V4349" i="36" s="1"/>
  <c r="AE4349" i="36" s="1"/>
  <c r="R4326" i="36"/>
  <c r="N4318" i="36"/>
  <c r="U4309" i="36"/>
  <c r="V4309" i="36" s="1"/>
  <c r="AE4309" i="36" s="1"/>
  <c r="S4277" i="36"/>
  <c r="Q4270" i="36"/>
  <c r="R4262" i="36"/>
  <c r="O4228" i="36"/>
  <c r="S4220" i="36"/>
  <c r="Q4219" i="36"/>
  <c r="R4213" i="36"/>
  <c r="N4212" i="36"/>
  <c r="U4210" i="36"/>
  <c r="V4210" i="36" s="1"/>
  <c r="N4202" i="36"/>
  <c r="S3446" i="36"/>
  <c r="T3441" i="36"/>
  <c r="U3422" i="36"/>
  <c r="V3422" i="36" s="1"/>
  <c r="AE3422" i="36" s="1"/>
  <c r="R3421" i="36"/>
  <c r="N3420" i="36"/>
  <c r="S3393" i="36"/>
  <c r="T3392" i="36"/>
  <c r="N3392" i="36"/>
  <c r="Q3386" i="36"/>
  <c r="Q3385" i="36"/>
  <c r="Q3384" i="36"/>
  <c r="R3378" i="36"/>
  <c r="N3377" i="36"/>
  <c r="U3375" i="36"/>
  <c r="V3375" i="36" s="1"/>
  <c r="N3367" i="36"/>
  <c r="T3344" i="36"/>
  <c r="N3344" i="36"/>
  <c r="O3343" i="36"/>
  <c r="S3337" i="36"/>
  <c r="S3336" i="36"/>
  <c r="S3335" i="36"/>
  <c r="U3329" i="36"/>
  <c r="V3329" i="36" s="1"/>
  <c r="AE3329" i="36" s="1"/>
  <c r="R3328" i="36"/>
  <c r="N3327" i="36"/>
  <c r="R3318" i="36"/>
  <c r="O3295" i="36"/>
  <c r="R3294" i="36"/>
  <c r="T3288" i="36"/>
  <c r="T3287" i="36"/>
  <c r="T3286" i="36"/>
  <c r="U3279" i="36"/>
  <c r="V3279" i="36" s="1"/>
  <c r="AE3279" i="36" s="1"/>
  <c r="R3278" i="36"/>
  <c r="N3277" i="36"/>
  <c r="T3269" i="36"/>
  <c r="V3269" i="36" s="1"/>
  <c r="AE3269" i="36" s="1"/>
  <c r="R3246" i="36"/>
  <c r="S3245" i="36"/>
  <c r="T3240" i="36"/>
  <c r="T3239" i="36"/>
  <c r="T3238" i="36"/>
  <c r="U3230" i="36"/>
  <c r="V3230" i="36" s="1"/>
  <c r="AE3230" i="36" s="1"/>
  <c r="R3229" i="36"/>
  <c r="N3228" i="36"/>
  <c r="R3221" i="36"/>
  <c r="O3198" i="36"/>
  <c r="R3197" i="36"/>
  <c r="T3191" i="36"/>
  <c r="T3190" i="36"/>
  <c r="T3189" i="36"/>
  <c r="U3181" i="36"/>
  <c r="V3181" i="36" s="1"/>
  <c r="AE3181" i="36" s="1"/>
  <c r="R3180" i="36"/>
  <c r="N3179" i="36"/>
  <c r="T3171" i="36"/>
  <c r="V3171" i="36" s="1"/>
  <c r="AE3171" i="36" s="1"/>
  <c r="R3148" i="36"/>
  <c r="S3147" i="36"/>
  <c r="N3141" i="36"/>
  <c r="N3140" i="36"/>
  <c r="N3139" i="36"/>
  <c r="N3133" i="36"/>
  <c r="U3131" i="36"/>
  <c r="V3131" i="36" s="1"/>
  <c r="AE3131" i="36" s="1"/>
  <c r="R3130" i="36"/>
  <c r="S3099" i="36"/>
  <c r="T3098" i="36"/>
  <c r="N3098" i="36"/>
  <c r="Q3092" i="36"/>
  <c r="Q3091" i="36"/>
  <c r="Q3090" i="36"/>
  <c r="R3084" i="36"/>
  <c r="N3083" i="36"/>
  <c r="U3081" i="36"/>
  <c r="V3081" i="36" s="1"/>
  <c r="N3073" i="36"/>
  <c r="T3050" i="36"/>
  <c r="N3050" i="36"/>
  <c r="O3049" i="36"/>
  <c r="S3043" i="36"/>
  <c r="S3042" i="36"/>
  <c r="S3041" i="36"/>
  <c r="U3035" i="36"/>
  <c r="V3035" i="36" s="1"/>
  <c r="AE3035" i="36" s="1"/>
  <c r="R3034" i="36"/>
  <c r="N3033" i="36"/>
  <c r="R3024" i="36"/>
  <c r="O3001" i="36"/>
  <c r="R3000" i="36"/>
  <c r="T2994" i="36"/>
  <c r="T2993" i="36"/>
  <c r="T2992" i="36"/>
  <c r="U2985" i="36"/>
  <c r="V2985" i="36" s="1"/>
  <c r="AE2985" i="36" s="1"/>
  <c r="R2984" i="36"/>
  <c r="N2983" i="36"/>
  <c r="T2975" i="36"/>
  <c r="V2975" i="36" s="1"/>
  <c r="AE2975" i="36" s="1"/>
  <c r="R2952" i="36"/>
  <c r="S2951" i="36"/>
  <c r="N2945" i="36"/>
  <c r="N2944" i="36"/>
  <c r="N2943" i="36"/>
  <c r="N2937" i="36"/>
  <c r="U2935" i="36"/>
  <c r="V2935" i="36" s="1"/>
  <c r="AE2935" i="36" s="1"/>
  <c r="R2934" i="36"/>
  <c r="S2903" i="36"/>
  <c r="T2902" i="36"/>
  <c r="N2902" i="36"/>
  <c r="Q2896" i="36"/>
  <c r="Q2895" i="36"/>
  <c r="Q2894" i="36"/>
  <c r="R2888" i="36"/>
  <c r="N2887" i="36"/>
  <c r="U2885" i="36"/>
  <c r="V2885" i="36" s="1"/>
  <c r="N2877" i="36"/>
  <c r="T2854" i="36"/>
  <c r="N2854" i="36"/>
  <c r="O2853" i="36"/>
  <c r="S2847" i="36"/>
  <c r="S2846" i="36"/>
  <c r="S2845" i="36"/>
  <c r="U2839" i="36"/>
  <c r="V2839" i="36" s="1"/>
  <c r="AE2839" i="36" s="1"/>
  <c r="U2837" i="36"/>
  <c r="V2837" i="36" s="1"/>
  <c r="AE2837" i="36" s="1"/>
  <c r="S2805" i="36"/>
  <c r="T2804" i="36"/>
  <c r="N2804" i="36"/>
  <c r="Q2798" i="36"/>
  <c r="Q2797" i="36"/>
  <c r="Q2796" i="36"/>
  <c r="R2790" i="36"/>
  <c r="N2789" i="36"/>
  <c r="U2787" i="36"/>
  <c r="V2787" i="36" s="1"/>
  <c r="N2779" i="36"/>
  <c r="T2756" i="36"/>
  <c r="N2756" i="36"/>
  <c r="O2755" i="36"/>
  <c r="S2749" i="36"/>
  <c r="S2748" i="36"/>
  <c r="S2747" i="36"/>
  <c r="U2741" i="36"/>
  <c r="V2741" i="36" s="1"/>
  <c r="AE2741" i="36" s="1"/>
  <c r="U2739" i="36"/>
  <c r="V2739" i="36" s="1"/>
  <c r="AE2739" i="36" s="1"/>
  <c r="R2730" i="36"/>
  <c r="O2707" i="36"/>
  <c r="R2706" i="36"/>
  <c r="T2700" i="36"/>
  <c r="S5207" i="36"/>
  <c r="R5190" i="36"/>
  <c r="T4758" i="36"/>
  <c r="S4669" i="36"/>
  <c r="R4654" i="36"/>
  <c r="U4555" i="36"/>
  <c r="V4555" i="36" s="1"/>
  <c r="AE4555" i="36" s="1"/>
  <c r="N4472" i="36"/>
  <c r="Q4464" i="36"/>
  <c r="U4455" i="36"/>
  <c r="V4455" i="36" s="1"/>
  <c r="N4447" i="36"/>
  <c r="T4424" i="36"/>
  <c r="S4417" i="36"/>
  <c r="U4409" i="36"/>
  <c r="V4409" i="36" s="1"/>
  <c r="AE4409" i="36" s="1"/>
  <c r="S4325" i="36"/>
  <c r="N4317" i="36"/>
  <c r="R4308" i="36"/>
  <c r="T4276" i="36"/>
  <c r="Q4269" i="36"/>
  <c r="N4261" i="36"/>
  <c r="N4228" i="36"/>
  <c r="T4221" i="36"/>
  <c r="Q4220" i="36"/>
  <c r="N4219" i="36"/>
  <c r="N4213" i="36"/>
  <c r="U4211" i="36"/>
  <c r="V4211" i="36" s="1"/>
  <c r="AE4211" i="36" s="1"/>
  <c r="R4210" i="36"/>
  <c r="R3446" i="36"/>
  <c r="S3441" i="36"/>
  <c r="R3422" i="36"/>
  <c r="N3421" i="36"/>
  <c r="T3415" i="36"/>
  <c r="V3415" i="36" s="1"/>
  <c r="AE3415" i="36" s="1"/>
  <c r="R3393" i="36"/>
  <c r="S3392" i="36"/>
  <c r="N3386" i="36"/>
  <c r="N3385" i="36"/>
  <c r="N3384" i="36"/>
  <c r="N3378" i="36"/>
  <c r="U3376" i="36"/>
  <c r="V3376" i="36" s="1"/>
  <c r="AE3376" i="36" s="1"/>
  <c r="R3375" i="36"/>
  <c r="S3344" i="36"/>
  <c r="T3343" i="36"/>
  <c r="N3343" i="36"/>
  <c r="Q3337" i="36"/>
  <c r="Q3336" i="36"/>
  <c r="Q3335" i="36"/>
  <c r="R3329" i="36"/>
  <c r="N3328" i="36"/>
  <c r="U3326" i="36"/>
  <c r="V3326" i="36" s="1"/>
  <c r="N3318" i="36"/>
  <c r="T3295" i="36"/>
  <c r="N3295" i="36"/>
  <c r="O3294" i="36"/>
  <c r="S3288" i="36"/>
  <c r="S3287" i="36"/>
  <c r="S3286" i="36"/>
  <c r="U3280" i="36"/>
  <c r="V3280" i="36" s="1"/>
  <c r="AE3280" i="36" s="1"/>
  <c r="R3279" i="36"/>
  <c r="N3278" i="36"/>
  <c r="R3269" i="36"/>
  <c r="O3246" i="36"/>
  <c r="R3245" i="36"/>
  <c r="S3240" i="36"/>
  <c r="S3239" i="36"/>
  <c r="S3238" i="36"/>
  <c r="U3231" i="36"/>
  <c r="V3231" i="36" s="1"/>
  <c r="AE3231" i="36" s="1"/>
  <c r="R3230" i="36"/>
  <c r="N3229" i="36"/>
  <c r="N3221" i="36"/>
  <c r="T3198" i="36"/>
  <c r="N3198" i="36"/>
  <c r="O3197" i="36"/>
  <c r="S3191" i="36"/>
  <c r="S3190" i="36"/>
  <c r="S3189" i="36"/>
  <c r="U3182" i="36"/>
  <c r="V3182" i="36" s="1"/>
  <c r="AE3182" i="36" s="1"/>
  <c r="R3181" i="36"/>
  <c r="N3180" i="36"/>
  <c r="R3171" i="36"/>
  <c r="O3148" i="36"/>
  <c r="R3147" i="36"/>
  <c r="T3141" i="36"/>
  <c r="T3140" i="36"/>
  <c r="T3139" i="36"/>
  <c r="U3132" i="36"/>
  <c r="V3132" i="36" s="1"/>
  <c r="AE3132" i="36" s="1"/>
  <c r="R3131" i="36"/>
  <c r="N3130" i="36"/>
  <c r="T3122" i="36"/>
  <c r="V3122" i="36" s="1"/>
  <c r="AE3122" i="36" s="1"/>
  <c r="R3099" i="36"/>
  <c r="S3098" i="36"/>
  <c r="N3092" i="36"/>
  <c r="N3091" i="36"/>
  <c r="N3090" i="36"/>
  <c r="N3084" i="36"/>
  <c r="U3082" i="36"/>
  <c r="V3082" i="36" s="1"/>
  <c r="AE3082" i="36" s="1"/>
  <c r="R3081" i="36"/>
  <c r="S3050" i="36"/>
  <c r="T3049" i="36"/>
  <c r="N3049" i="36"/>
  <c r="Q3043" i="36"/>
  <c r="Q3042" i="36"/>
  <c r="Q3041" i="36"/>
  <c r="R3035" i="36"/>
  <c r="N3034" i="36"/>
  <c r="U3032" i="36"/>
  <c r="V3032" i="36" s="1"/>
  <c r="N3024" i="36"/>
  <c r="T3001" i="36"/>
  <c r="N3001" i="36"/>
  <c r="O3000" i="36"/>
  <c r="S2994" i="36"/>
  <c r="S2993" i="36"/>
  <c r="S2992" i="36"/>
  <c r="U2986" i="36"/>
  <c r="V2986" i="36" s="1"/>
  <c r="AE2986" i="36" s="1"/>
  <c r="R2985" i="36"/>
  <c r="N2984" i="36"/>
  <c r="R2975" i="36"/>
  <c r="O2952" i="36"/>
  <c r="R2951" i="36"/>
  <c r="T2945" i="36"/>
  <c r="T2944" i="36"/>
  <c r="T2943" i="36"/>
  <c r="U2936" i="36"/>
  <c r="V2936" i="36" s="1"/>
  <c r="AE2936" i="36" s="1"/>
  <c r="R2935" i="36"/>
  <c r="N2934" i="36"/>
  <c r="T2926" i="36"/>
  <c r="V2926" i="36" s="1"/>
  <c r="AE2926" i="36" s="1"/>
  <c r="R2903" i="36"/>
  <c r="S2902" i="36"/>
  <c r="N2896" i="36"/>
  <c r="N2895" i="36"/>
  <c r="N2894" i="36"/>
  <c r="N2888" i="36"/>
  <c r="U2886" i="36"/>
  <c r="V2886" i="36" s="1"/>
  <c r="AE2886" i="36" s="1"/>
  <c r="R2885" i="36"/>
  <c r="S2854" i="36"/>
  <c r="T2853" i="36"/>
  <c r="N2853" i="36"/>
  <c r="Q2847" i="36"/>
  <c r="Q2846" i="36"/>
  <c r="Q2845" i="36"/>
  <c r="R2839" i="36"/>
  <c r="U2836" i="36"/>
  <c r="V2836" i="36" s="1"/>
  <c r="T2828" i="36"/>
  <c r="V2828" i="36" s="1"/>
  <c r="AE2828" i="36" s="1"/>
  <c r="R2805" i="36"/>
  <c r="S2804" i="36"/>
  <c r="N2798" i="36"/>
  <c r="N2797" i="36"/>
  <c r="N2796" i="36"/>
  <c r="N2790" i="36"/>
  <c r="U2788" i="36"/>
  <c r="V2788" i="36" s="1"/>
  <c r="AE2788" i="36" s="1"/>
  <c r="R2787" i="36"/>
  <c r="S2756" i="36"/>
  <c r="T2755" i="36"/>
  <c r="N2755" i="36"/>
  <c r="Q2749" i="36"/>
  <c r="Q2748" i="36"/>
  <c r="Q2747" i="36"/>
  <c r="R2741" i="36"/>
  <c r="U2738" i="36"/>
  <c r="V2738" i="36" s="1"/>
  <c r="N2730" i="36"/>
  <c r="T2707" i="36"/>
  <c r="N2707" i="36"/>
  <c r="O2706" i="36"/>
  <c r="S2700" i="36"/>
  <c r="S4416" i="36"/>
  <c r="U4359" i="36"/>
  <c r="V4359" i="36" s="1"/>
  <c r="AE4359" i="36" s="1"/>
  <c r="U4212" i="36"/>
  <c r="V4212" i="36" s="1"/>
  <c r="AE4212" i="36" s="1"/>
  <c r="U3420" i="36"/>
  <c r="V3420" i="36" s="1"/>
  <c r="AE3420" i="36" s="1"/>
  <c r="T3386" i="36"/>
  <c r="U3377" i="36"/>
  <c r="V3377" i="36" s="1"/>
  <c r="AE3377" i="36" s="1"/>
  <c r="N3294" i="36"/>
  <c r="Q3286" i="36"/>
  <c r="U3277" i="36"/>
  <c r="V3277" i="36" s="1"/>
  <c r="N3269" i="36"/>
  <c r="T3246" i="36"/>
  <c r="Q3239" i="36"/>
  <c r="U3228" i="36"/>
  <c r="V3228" i="36" s="1"/>
  <c r="N3197" i="36"/>
  <c r="Q3189" i="36"/>
  <c r="N3148" i="36"/>
  <c r="S3140" i="36"/>
  <c r="R3132" i="36"/>
  <c r="T3092" i="36"/>
  <c r="U3083" i="36"/>
  <c r="V3083" i="36" s="1"/>
  <c r="AE3083" i="36" s="1"/>
  <c r="N3000" i="36"/>
  <c r="Q2992" i="36"/>
  <c r="U2983" i="36"/>
  <c r="V2983" i="36" s="1"/>
  <c r="N2975" i="36"/>
  <c r="T2952" i="36"/>
  <c r="S2945" i="36"/>
  <c r="U2937" i="36"/>
  <c r="V2937" i="36" s="1"/>
  <c r="AE2937" i="36" s="1"/>
  <c r="S2853" i="36"/>
  <c r="N2845" i="36"/>
  <c r="S2755" i="36"/>
  <c r="N2747" i="36"/>
  <c r="N2706" i="36"/>
  <c r="S2699" i="36"/>
  <c r="Q2698" i="36"/>
  <c r="R2692" i="36"/>
  <c r="U2689" i="36"/>
  <c r="V2689" i="36" s="1"/>
  <c r="N2681" i="36"/>
  <c r="T2658" i="36"/>
  <c r="N2658" i="36"/>
  <c r="O2657" i="36"/>
  <c r="S2651" i="36"/>
  <c r="S2650" i="36"/>
  <c r="S2649" i="36"/>
  <c r="U2643" i="36"/>
  <c r="V2643" i="36" s="1"/>
  <c r="AE2643" i="36" s="1"/>
  <c r="R2642" i="36"/>
  <c r="N2641" i="36"/>
  <c r="R2632" i="36"/>
  <c r="T2414" i="36"/>
  <c r="N2414" i="36"/>
  <c r="O2413" i="36"/>
  <c r="N2408" i="36"/>
  <c r="N2395" i="36"/>
  <c r="U2393" i="36"/>
  <c r="V2393" i="36" s="1"/>
  <c r="AE2393" i="36" s="1"/>
  <c r="R2392" i="36"/>
  <c r="N2387" i="36"/>
  <c r="T2364" i="36"/>
  <c r="N2364" i="36"/>
  <c r="O2363" i="36"/>
  <c r="S2357" i="36"/>
  <c r="S2356" i="36"/>
  <c r="S2355" i="36"/>
  <c r="U2349" i="36"/>
  <c r="V2349" i="36" s="1"/>
  <c r="AE2349" i="36" s="1"/>
  <c r="R2348" i="36"/>
  <c r="N2347" i="36"/>
  <c r="R2338" i="36"/>
  <c r="O2315" i="36"/>
  <c r="R2314" i="36"/>
  <c r="T2308" i="36"/>
  <c r="T2307" i="36"/>
  <c r="T2306" i="36"/>
  <c r="U2299" i="36"/>
  <c r="V2299" i="36" s="1"/>
  <c r="AE2299" i="36" s="1"/>
  <c r="R2298" i="36"/>
  <c r="N2297" i="36"/>
  <c r="T2289" i="36"/>
  <c r="V2289" i="36" s="1"/>
  <c r="AE2289" i="36" s="1"/>
  <c r="R2266" i="36"/>
  <c r="S2265" i="36"/>
  <c r="N2259" i="36"/>
  <c r="N2258" i="36"/>
  <c r="N2257" i="36"/>
  <c r="N2251" i="36"/>
  <c r="U2249" i="36"/>
  <c r="V2249" i="36" s="1"/>
  <c r="AE2249" i="36" s="1"/>
  <c r="R2248" i="36"/>
  <c r="S2217" i="36"/>
  <c r="T2216" i="36"/>
  <c r="N2216" i="36"/>
  <c r="Q2210" i="36"/>
  <c r="Q2209" i="36"/>
  <c r="Q2208" i="36"/>
  <c r="R2202" i="36"/>
  <c r="N2201" i="36"/>
  <c r="U2199" i="36"/>
  <c r="V2199" i="36" s="1"/>
  <c r="N2191" i="36"/>
  <c r="T2168" i="36"/>
  <c r="N2168" i="36"/>
  <c r="O2167" i="36"/>
  <c r="S2161" i="36"/>
  <c r="S2160" i="36"/>
  <c r="S2159" i="36"/>
  <c r="U2153" i="36"/>
  <c r="V2153" i="36" s="1"/>
  <c r="AE2153" i="36" s="1"/>
  <c r="R2152" i="36"/>
  <c r="N2151" i="36"/>
  <c r="R2142" i="36"/>
  <c r="O2119" i="36"/>
  <c r="R2118" i="36"/>
  <c r="T2112" i="36"/>
  <c r="T2111" i="36"/>
  <c r="T2110" i="36"/>
  <c r="U2103" i="36"/>
  <c r="V2103" i="36" s="1"/>
  <c r="AE2103" i="36" s="1"/>
  <c r="R2102" i="36"/>
  <c r="N2101" i="36"/>
  <c r="T2093" i="36"/>
  <c r="V2093" i="36" s="1"/>
  <c r="AE2093" i="36" s="1"/>
  <c r="R2070" i="36"/>
  <c r="S2069" i="36"/>
  <c r="N2063" i="36"/>
  <c r="N2062" i="36"/>
  <c r="N2061" i="36"/>
  <c r="N2055" i="36"/>
  <c r="U2053" i="36"/>
  <c r="V2053" i="36" s="1"/>
  <c r="AE2053" i="36" s="1"/>
  <c r="R2052" i="36"/>
  <c r="S2021" i="36"/>
  <c r="T2020" i="36"/>
  <c r="N2020" i="36"/>
  <c r="Q2014" i="36"/>
  <c r="Q2013" i="36"/>
  <c r="Q2012" i="36"/>
  <c r="R2006" i="36"/>
  <c r="N2005" i="36"/>
  <c r="U2003" i="36"/>
  <c r="V2003" i="36" s="1"/>
  <c r="N1995" i="36"/>
  <c r="T1972" i="36"/>
  <c r="N1972" i="36"/>
  <c r="O1971" i="36"/>
  <c r="S1965" i="36"/>
  <c r="S1964" i="36"/>
  <c r="S1963" i="36"/>
  <c r="U1957" i="36"/>
  <c r="V1957" i="36" s="1"/>
  <c r="AE1957" i="36" s="1"/>
  <c r="R1956" i="36"/>
  <c r="N1955" i="36"/>
  <c r="R1946" i="36"/>
  <c r="O1923" i="36"/>
  <c r="R1922" i="36"/>
  <c r="T1916" i="36"/>
  <c r="T1915" i="36"/>
  <c r="T1914" i="36"/>
  <c r="U1907" i="36"/>
  <c r="V1907" i="36" s="1"/>
  <c r="AE1907" i="36" s="1"/>
  <c r="R1906" i="36"/>
  <c r="N1905" i="36"/>
  <c r="T1897" i="36"/>
  <c r="V1897" i="36" s="1"/>
  <c r="AE1897" i="36" s="1"/>
  <c r="R1874" i="36"/>
  <c r="S1873" i="36"/>
  <c r="N1867" i="36"/>
  <c r="N1866" i="36"/>
  <c r="N1865" i="36"/>
  <c r="N1859" i="36"/>
  <c r="U1857" i="36"/>
  <c r="V1857" i="36" s="1"/>
  <c r="AE1857" i="36" s="1"/>
  <c r="R1856" i="36"/>
  <c r="S1825" i="36"/>
  <c r="T1824" i="36"/>
  <c r="N1824" i="36"/>
  <c r="Q1818" i="36"/>
  <c r="Q1817" i="36"/>
  <c r="Q1816" i="36"/>
  <c r="R1810" i="36"/>
  <c r="N1809" i="36"/>
  <c r="R4554" i="36"/>
  <c r="N4515" i="36"/>
  <c r="Q4268" i="36"/>
  <c r="S4221" i="36"/>
  <c r="R4211" i="36"/>
  <c r="O3446" i="36"/>
  <c r="R3415" i="36"/>
  <c r="O3393" i="36"/>
  <c r="T3385" i="36"/>
  <c r="R3376" i="36"/>
  <c r="N3337" i="36"/>
  <c r="N3329" i="36"/>
  <c r="N3246" i="36"/>
  <c r="Q3238" i="36"/>
  <c r="R3182" i="36"/>
  <c r="O3147" i="36"/>
  <c r="S3139" i="36"/>
  <c r="N3131" i="36"/>
  <c r="R3122" i="36"/>
  <c r="O3099" i="36"/>
  <c r="T3091" i="36"/>
  <c r="R3082" i="36"/>
  <c r="N3043" i="36"/>
  <c r="N3035" i="36"/>
  <c r="N2952" i="36"/>
  <c r="S2944" i="36"/>
  <c r="R2936" i="36"/>
  <c r="T2896" i="36"/>
  <c r="U2887" i="36"/>
  <c r="V2887" i="36" s="1"/>
  <c r="AE2887" i="36" s="1"/>
  <c r="T2798" i="36"/>
  <c r="U2789" i="36"/>
  <c r="V2789" i="36" s="1"/>
  <c r="AE2789" i="36" s="1"/>
  <c r="Q2699" i="36"/>
  <c r="N2698" i="36"/>
  <c r="N2692" i="36"/>
  <c r="R2689" i="36"/>
  <c r="S2658" i="36"/>
  <c r="T2657" i="36"/>
  <c r="N2657" i="36"/>
  <c r="Q2651" i="36"/>
  <c r="Q2650" i="36"/>
  <c r="Q2649" i="36"/>
  <c r="R2643" i="36"/>
  <c r="N2642" i="36"/>
  <c r="U2640" i="36"/>
  <c r="V2640" i="36" s="1"/>
  <c r="N2632" i="36"/>
  <c r="S2414" i="36"/>
  <c r="T2413" i="36"/>
  <c r="N2413" i="36"/>
  <c r="U2394" i="36"/>
  <c r="V2394" i="36" s="1"/>
  <c r="AE2394" i="36" s="1"/>
  <c r="R2393" i="36"/>
  <c r="N2392" i="36"/>
  <c r="S2364" i="36"/>
  <c r="T2363" i="36"/>
  <c r="N2363" i="36"/>
  <c r="Q2357" i="36"/>
  <c r="Q2356" i="36"/>
  <c r="Q2355" i="36"/>
  <c r="R2349" i="36"/>
  <c r="N2348" i="36"/>
  <c r="U2346" i="36"/>
  <c r="V2346" i="36" s="1"/>
  <c r="N2338" i="36"/>
  <c r="T2315" i="36"/>
  <c r="N2315" i="36"/>
  <c r="O2314" i="36"/>
  <c r="S2308" i="36"/>
  <c r="S2307" i="36"/>
  <c r="S2306" i="36"/>
  <c r="U2300" i="36"/>
  <c r="V2300" i="36" s="1"/>
  <c r="AE2300" i="36" s="1"/>
  <c r="R2299" i="36"/>
  <c r="N2298" i="36"/>
  <c r="R2289" i="36"/>
  <c r="O2266" i="36"/>
  <c r="R2265" i="36"/>
  <c r="T2259" i="36"/>
  <c r="T2258" i="36"/>
  <c r="T2257" i="36"/>
  <c r="U2250" i="36"/>
  <c r="V2250" i="36" s="1"/>
  <c r="AE2250" i="36" s="1"/>
  <c r="R2249" i="36"/>
  <c r="N2248" i="36"/>
  <c r="T2240" i="36"/>
  <c r="V2240" i="36" s="1"/>
  <c r="AE2240" i="36" s="1"/>
  <c r="R2217" i="36"/>
  <c r="S2216" i="36"/>
  <c r="N2210" i="36"/>
  <c r="N2209" i="36"/>
  <c r="N2208" i="36"/>
  <c r="N2202" i="36"/>
  <c r="U2200" i="36"/>
  <c r="V2200" i="36" s="1"/>
  <c r="AE2200" i="36" s="1"/>
  <c r="R2199" i="36"/>
  <c r="S2168" i="36"/>
  <c r="T2167" i="36"/>
  <c r="N2167" i="36"/>
  <c r="Q2161" i="36"/>
  <c r="Q2160" i="36"/>
  <c r="Q2159" i="36"/>
  <c r="R2153" i="36"/>
  <c r="N2152" i="36"/>
  <c r="U2150" i="36"/>
  <c r="V2150" i="36" s="1"/>
  <c r="N2142" i="36"/>
  <c r="T2119" i="36"/>
  <c r="N2119" i="36"/>
  <c r="O2118" i="36"/>
  <c r="S2112" i="36"/>
  <c r="S2111" i="36"/>
  <c r="S2110" i="36"/>
  <c r="U2104" i="36"/>
  <c r="V2104" i="36" s="1"/>
  <c r="AE2104" i="36" s="1"/>
  <c r="R2103" i="36"/>
  <c r="N2102" i="36"/>
  <c r="R2093" i="36"/>
  <c r="O2070" i="36"/>
  <c r="R2069" i="36"/>
  <c r="T2063" i="36"/>
  <c r="T2062" i="36"/>
  <c r="T2061" i="36"/>
  <c r="U2054" i="36"/>
  <c r="V2054" i="36" s="1"/>
  <c r="AE2054" i="36" s="1"/>
  <c r="R2053" i="36"/>
  <c r="N2052" i="36"/>
  <c r="T2044" i="36"/>
  <c r="V2044" i="36" s="1"/>
  <c r="AE2044" i="36" s="1"/>
  <c r="R2021" i="36"/>
  <c r="S2020" i="36"/>
  <c r="N2014" i="36"/>
  <c r="N2013" i="36"/>
  <c r="N2012" i="36"/>
  <c r="N2006" i="36"/>
  <c r="U2004" i="36"/>
  <c r="V2004" i="36" s="1"/>
  <c r="AE2004" i="36" s="1"/>
  <c r="R2003" i="36"/>
  <c r="S1972" i="36"/>
  <c r="T1971" i="36"/>
  <c r="N1971" i="36"/>
  <c r="Q1965" i="36"/>
  <c r="Q1964" i="36"/>
  <c r="Q1963" i="36"/>
  <c r="R1957" i="36"/>
  <c r="N1956" i="36"/>
  <c r="U1954" i="36"/>
  <c r="V1954" i="36" s="1"/>
  <c r="N1946" i="36"/>
  <c r="T1923" i="36"/>
  <c r="N1923" i="36"/>
  <c r="O1922" i="36"/>
  <c r="S1916" i="36"/>
  <c r="S1915" i="36"/>
  <c r="S1914" i="36"/>
  <c r="U1908" i="36"/>
  <c r="V1908" i="36" s="1"/>
  <c r="AE1908" i="36" s="1"/>
  <c r="R1907" i="36"/>
  <c r="N1906" i="36"/>
  <c r="R1897" i="36"/>
  <c r="O1874" i="36"/>
  <c r="R1873" i="36"/>
  <c r="T1867" i="36"/>
  <c r="T1866" i="36"/>
  <c r="T1865" i="36"/>
  <c r="U1858" i="36"/>
  <c r="V1858" i="36" s="1"/>
  <c r="AE1858" i="36" s="1"/>
  <c r="R1857" i="36"/>
  <c r="N1856" i="36"/>
  <c r="T1848" i="36"/>
  <c r="V1848" i="36" s="1"/>
  <c r="AE1848" i="36" s="1"/>
  <c r="R1825" i="36"/>
  <c r="S1824" i="36"/>
  <c r="N1818" i="36"/>
  <c r="N1817" i="36"/>
  <c r="N1816" i="36"/>
  <c r="N1810" i="36"/>
  <c r="U1808" i="36"/>
  <c r="V1808" i="36" s="1"/>
  <c r="AE1808" i="36" s="1"/>
  <c r="U5291" i="36"/>
  <c r="V5291" i="36" s="1"/>
  <c r="AE5291" i="36" s="1"/>
  <c r="Q5151" i="36"/>
  <c r="U4701" i="36"/>
  <c r="V4701" i="36" s="1"/>
  <c r="AE4701" i="36" s="1"/>
  <c r="S4611" i="36"/>
  <c r="N4424" i="36"/>
  <c r="R4408" i="36"/>
  <c r="T4368" i="36"/>
  <c r="T4219" i="36"/>
  <c r="V4219" i="36" s="1"/>
  <c r="N4210" i="36"/>
  <c r="T4202" i="36"/>
  <c r="V4202" i="36" s="1"/>
  <c r="AE4202" i="36" s="1"/>
  <c r="Q3441" i="36"/>
  <c r="R3392" i="36"/>
  <c r="T3384" i="36"/>
  <c r="N3375" i="36"/>
  <c r="T3367" i="36"/>
  <c r="V3367" i="36" s="1"/>
  <c r="AE3367" i="36" s="1"/>
  <c r="R3344" i="36"/>
  <c r="N3336" i="36"/>
  <c r="U3327" i="36"/>
  <c r="V3327" i="36" s="1"/>
  <c r="AE3327" i="36" s="1"/>
  <c r="S3295" i="36"/>
  <c r="Q3288" i="36"/>
  <c r="R3280" i="36"/>
  <c r="O3245" i="36"/>
  <c r="R3231" i="36"/>
  <c r="S3198" i="36"/>
  <c r="Q3191" i="36"/>
  <c r="N3181" i="36"/>
  <c r="R3098" i="36"/>
  <c r="T3090" i="36"/>
  <c r="N3081" i="36"/>
  <c r="T3073" i="36"/>
  <c r="V3073" i="36" s="1"/>
  <c r="AE3073" i="36" s="1"/>
  <c r="R3050" i="36"/>
  <c r="N3042" i="36"/>
  <c r="U3033" i="36"/>
  <c r="V3033" i="36" s="1"/>
  <c r="AE3033" i="36" s="1"/>
  <c r="S3001" i="36"/>
  <c r="Q2994" i="36"/>
  <c r="R2986" i="36"/>
  <c r="O2951" i="36"/>
  <c r="S2943" i="36"/>
  <c r="N2935" i="36"/>
  <c r="R2926" i="36"/>
  <c r="O2903" i="36"/>
  <c r="T2895" i="36"/>
  <c r="R2886" i="36"/>
  <c r="N2847" i="36"/>
  <c r="N2839" i="36"/>
  <c r="R2828" i="36"/>
  <c r="O2805" i="36"/>
  <c r="T2797" i="36"/>
  <c r="V2797" i="36" s="1"/>
  <c r="AE2797" i="36" s="1"/>
  <c r="R2788" i="36"/>
  <c r="N2749" i="36"/>
  <c r="N2741" i="36"/>
  <c r="S2707" i="36"/>
  <c r="Q2700" i="36"/>
  <c r="T2698" i="36"/>
  <c r="U2691" i="36"/>
  <c r="V2691" i="36" s="1"/>
  <c r="AE2691" i="36" s="1"/>
  <c r="N2689" i="36"/>
  <c r="T2681" i="36"/>
  <c r="V2681" i="36" s="1"/>
  <c r="AE2681" i="36" s="1"/>
  <c r="R2658" i="36"/>
  <c r="S2657" i="36"/>
  <c r="N2651" i="36"/>
  <c r="N2650" i="36"/>
  <c r="N2649" i="36"/>
  <c r="N2643" i="36"/>
  <c r="U2641" i="36"/>
  <c r="V2641" i="36" s="1"/>
  <c r="AE2641" i="36" s="1"/>
  <c r="R2640" i="36"/>
  <c r="R2414" i="36"/>
  <c r="S2413" i="36"/>
  <c r="T2408" i="36"/>
  <c r="U2395" i="36"/>
  <c r="V2395" i="36" s="1"/>
  <c r="AE2395" i="36" s="1"/>
  <c r="R2394" i="36"/>
  <c r="N2393" i="36"/>
  <c r="T2387" i="36"/>
  <c r="V2387" i="36" s="1"/>
  <c r="AE2387" i="36" s="1"/>
  <c r="R2364" i="36"/>
  <c r="S2363" i="36"/>
  <c r="N2357" i="36"/>
  <c r="N2356" i="36"/>
  <c r="N2355" i="36"/>
  <c r="N2349" i="36"/>
  <c r="U2347" i="36"/>
  <c r="V2347" i="36" s="1"/>
  <c r="AE2347" i="36" s="1"/>
  <c r="R2346" i="36"/>
  <c r="S2315" i="36"/>
  <c r="T2314" i="36"/>
  <c r="N2314" i="36"/>
  <c r="Q2308" i="36"/>
  <c r="Q2307" i="36"/>
  <c r="Q2306" i="36"/>
  <c r="R2300" i="36"/>
  <c r="N2299" i="36"/>
  <c r="U2297" i="36"/>
  <c r="V2297" i="36" s="1"/>
  <c r="N2289" i="36"/>
  <c r="T2266" i="36"/>
  <c r="N2266" i="36"/>
  <c r="O2265" i="36"/>
  <c r="S2259" i="36"/>
  <c r="S2258" i="36"/>
  <c r="S2257" i="36"/>
  <c r="U2251" i="36"/>
  <c r="V2251" i="36" s="1"/>
  <c r="AE2251" i="36" s="1"/>
  <c r="R2250" i="36"/>
  <c r="N2249" i="36"/>
  <c r="R2240" i="36"/>
  <c r="O2217" i="36"/>
  <c r="R2216" i="36"/>
  <c r="T2210" i="36"/>
  <c r="T2209" i="36"/>
  <c r="T2208" i="36"/>
  <c r="U2201" i="36"/>
  <c r="V2201" i="36" s="1"/>
  <c r="AE2201" i="36" s="1"/>
  <c r="R2200" i="36"/>
  <c r="N2199" i="36"/>
  <c r="T2191" i="36"/>
  <c r="V2191" i="36" s="1"/>
  <c r="AE2191" i="36" s="1"/>
  <c r="R2168" i="36"/>
  <c r="S2167" i="36"/>
  <c r="N2161" i="36"/>
  <c r="N2160" i="36"/>
  <c r="N2159" i="36"/>
  <c r="N2153" i="36"/>
  <c r="U2151" i="36"/>
  <c r="V2151" i="36" s="1"/>
  <c r="AE2151" i="36" s="1"/>
  <c r="R2150" i="36"/>
  <c r="S2119" i="36"/>
  <c r="T2118" i="36"/>
  <c r="N2118" i="36"/>
  <c r="Q2112" i="36"/>
  <c r="Q2111" i="36"/>
  <c r="Q2110" i="36"/>
  <c r="R2104" i="36"/>
  <c r="N2103" i="36"/>
  <c r="U2101" i="36"/>
  <c r="V2101" i="36" s="1"/>
  <c r="N2093" i="36"/>
  <c r="T2070" i="36"/>
  <c r="N2070" i="36"/>
  <c r="O2069" i="36"/>
  <c r="S2063" i="36"/>
  <c r="S2062" i="36"/>
  <c r="S2061" i="36"/>
  <c r="U2055" i="36"/>
  <c r="V2055" i="36" s="1"/>
  <c r="AE2055" i="36" s="1"/>
  <c r="R2054" i="36"/>
  <c r="N2053" i="36"/>
  <c r="R2044" i="36"/>
  <c r="O2021" i="36"/>
  <c r="R2020" i="36"/>
  <c r="T2014" i="36"/>
  <c r="T2013" i="36"/>
  <c r="T2012" i="36"/>
  <c r="U2005" i="36"/>
  <c r="V2005" i="36" s="1"/>
  <c r="AE2005" i="36" s="1"/>
  <c r="R2004" i="36"/>
  <c r="N2003" i="36"/>
  <c r="T1995" i="36"/>
  <c r="V1995" i="36" s="1"/>
  <c r="AE1995" i="36" s="1"/>
  <c r="R1972" i="36"/>
  <c r="S1971" i="36"/>
  <c r="N1965" i="36"/>
  <c r="N1964" i="36"/>
  <c r="N1963" i="36"/>
  <c r="N1957" i="36"/>
  <c r="U1955" i="36"/>
  <c r="V1955" i="36" s="1"/>
  <c r="AE1955" i="36" s="1"/>
  <c r="R1954" i="36"/>
  <c r="S1923" i="36"/>
  <c r="T1922" i="36"/>
  <c r="N1922" i="36"/>
  <c r="Q1916" i="36"/>
  <c r="Q1915" i="36"/>
  <c r="Q1914" i="36"/>
  <c r="R1908" i="36"/>
  <c r="N1907" i="36"/>
  <c r="U1905" i="36"/>
  <c r="V1905" i="36" s="1"/>
  <c r="N1897" i="36"/>
  <c r="T1874" i="36"/>
  <c r="N1874" i="36"/>
  <c r="O1873" i="36"/>
  <c r="S1867" i="36"/>
  <c r="S1866" i="36"/>
  <c r="S1865" i="36"/>
  <c r="N4276" i="36"/>
  <c r="Q3287" i="36"/>
  <c r="T3197" i="36"/>
  <c r="N3041" i="36"/>
  <c r="R2902" i="36"/>
  <c r="N2885" i="36"/>
  <c r="T2877" i="36"/>
  <c r="V2877" i="36" s="1"/>
  <c r="AE2877" i="36" s="1"/>
  <c r="R2854" i="36"/>
  <c r="T2796" i="36"/>
  <c r="N2748" i="36"/>
  <c r="S2698" i="36"/>
  <c r="R2657" i="36"/>
  <c r="T2649" i="36"/>
  <c r="N2640" i="36"/>
  <c r="T2632" i="36"/>
  <c r="V2632" i="36" s="1"/>
  <c r="AE2632" i="36" s="1"/>
  <c r="R2413" i="36"/>
  <c r="U2392" i="36"/>
  <c r="V2392" i="36" s="1"/>
  <c r="AE2392" i="36" s="1"/>
  <c r="T2357" i="36"/>
  <c r="U2348" i="36"/>
  <c r="V2348" i="36" s="1"/>
  <c r="AE2348" i="36" s="1"/>
  <c r="N2265" i="36"/>
  <c r="Q2257" i="36"/>
  <c r="U2248" i="36"/>
  <c r="V2248" i="36" s="1"/>
  <c r="N2240" i="36"/>
  <c r="T2217" i="36"/>
  <c r="S2210" i="36"/>
  <c r="U2202" i="36"/>
  <c r="V2202" i="36" s="1"/>
  <c r="AE2202" i="36" s="1"/>
  <c r="S2118" i="36"/>
  <c r="N2110" i="36"/>
  <c r="R2101" i="36"/>
  <c r="T2069" i="36"/>
  <c r="Q2062" i="36"/>
  <c r="N2054" i="36"/>
  <c r="R1971" i="36"/>
  <c r="T1963" i="36"/>
  <c r="N1954" i="36"/>
  <c r="T1946" i="36"/>
  <c r="V1946" i="36" s="1"/>
  <c r="AE1946" i="36" s="1"/>
  <c r="R1923" i="36"/>
  <c r="N1915" i="36"/>
  <c r="U1906" i="36"/>
  <c r="V1906" i="36" s="1"/>
  <c r="AE1906" i="36" s="1"/>
  <c r="S1874" i="36"/>
  <c r="Q1867" i="36"/>
  <c r="U1859" i="36"/>
  <c r="V1859" i="36" s="1"/>
  <c r="AE1859" i="36" s="1"/>
  <c r="N1857" i="36"/>
  <c r="N1825" i="36"/>
  <c r="T1818" i="36"/>
  <c r="T1816" i="36"/>
  <c r="U1809" i="36"/>
  <c r="V1809" i="36" s="1"/>
  <c r="AE1809" i="36" s="1"/>
  <c r="U1807" i="36"/>
  <c r="V1807" i="36" s="1"/>
  <c r="N1799" i="36"/>
  <c r="T1776" i="36"/>
  <c r="N1776" i="36"/>
  <c r="O1775" i="36"/>
  <c r="S1769" i="36"/>
  <c r="S1768" i="36"/>
  <c r="S1767" i="36"/>
  <c r="U1761" i="36"/>
  <c r="V1761" i="36" s="1"/>
  <c r="AE1761" i="36" s="1"/>
  <c r="R1760" i="36"/>
  <c r="N1759" i="36"/>
  <c r="R1750" i="36"/>
  <c r="O1727" i="36"/>
  <c r="R1726" i="36"/>
  <c r="T1720" i="36"/>
  <c r="T1719" i="36"/>
  <c r="T1718" i="36"/>
  <c r="U1711" i="36"/>
  <c r="V1711" i="36" s="1"/>
  <c r="AE1711" i="36" s="1"/>
  <c r="R1710" i="36"/>
  <c r="N1709" i="36"/>
  <c r="T1701" i="36"/>
  <c r="V1701" i="36" s="1"/>
  <c r="AE1701" i="36" s="1"/>
  <c r="R1678" i="36"/>
  <c r="S1677" i="36"/>
  <c r="N1671" i="36"/>
  <c r="N1670" i="36"/>
  <c r="N1669" i="36"/>
  <c r="N1663" i="36"/>
  <c r="U1661" i="36"/>
  <c r="V1661" i="36" s="1"/>
  <c r="AE1661" i="36" s="1"/>
  <c r="R1660" i="36"/>
  <c r="S1629" i="36"/>
  <c r="T1628" i="36"/>
  <c r="N1628" i="36"/>
  <c r="Q1622" i="36"/>
  <c r="Q1621" i="36"/>
  <c r="Q1620" i="36"/>
  <c r="R1614" i="36"/>
  <c r="N1613" i="36"/>
  <c r="U1611" i="36"/>
  <c r="V1611" i="36" s="1"/>
  <c r="N1603" i="36"/>
  <c r="T1580" i="36"/>
  <c r="N1580" i="36"/>
  <c r="O1579" i="36"/>
  <c r="S1573" i="36"/>
  <c r="S1572" i="36"/>
  <c r="S1571" i="36"/>
  <c r="U1565" i="36"/>
  <c r="V1565" i="36" s="1"/>
  <c r="AE1565" i="36" s="1"/>
  <c r="R1564" i="36"/>
  <c r="N1563" i="36"/>
  <c r="R1554" i="36"/>
  <c r="O1531" i="36"/>
  <c r="R1530" i="36"/>
  <c r="T1524" i="36"/>
  <c r="T1523" i="36"/>
  <c r="T1522" i="36"/>
  <c r="U1515" i="36"/>
  <c r="V1515" i="36" s="1"/>
  <c r="AE1515" i="36" s="1"/>
  <c r="R1514" i="36"/>
  <c r="N1513" i="36"/>
  <c r="T1505" i="36"/>
  <c r="V1505" i="36" s="1"/>
  <c r="AE1505" i="36" s="1"/>
  <c r="R1482" i="36"/>
  <c r="S1481" i="36"/>
  <c r="N1475" i="36"/>
  <c r="N1474" i="36"/>
  <c r="N1473" i="36"/>
  <c r="N1467" i="36"/>
  <c r="U1465" i="36"/>
  <c r="V1465" i="36" s="1"/>
  <c r="AE1465" i="36" s="1"/>
  <c r="R1464" i="36"/>
  <c r="S1433" i="36"/>
  <c r="T1432" i="36"/>
  <c r="N1432" i="36"/>
  <c r="Q1426" i="36"/>
  <c r="Q1425" i="36"/>
  <c r="Q1424" i="36"/>
  <c r="R1418" i="36"/>
  <c r="N1417" i="36"/>
  <c r="U1415" i="36"/>
  <c r="V1415" i="36" s="1"/>
  <c r="N1407" i="36"/>
  <c r="T1384" i="36"/>
  <c r="N1384" i="36"/>
  <c r="O1383" i="36"/>
  <c r="S1377" i="36"/>
  <c r="S1376" i="36"/>
  <c r="S1375" i="36"/>
  <c r="U1369" i="36"/>
  <c r="V1369" i="36" s="1"/>
  <c r="AE1369" i="36" s="1"/>
  <c r="R1368" i="36"/>
  <c r="N1367" i="36"/>
  <c r="R1358" i="36"/>
  <c r="O1335" i="36"/>
  <c r="R1334" i="36"/>
  <c r="T1328" i="36"/>
  <c r="T1327" i="36"/>
  <c r="T1326" i="36"/>
  <c r="U1319" i="36"/>
  <c r="V1319" i="36" s="1"/>
  <c r="AE1319" i="36" s="1"/>
  <c r="R1318" i="36"/>
  <c r="N1317" i="36"/>
  <c r="T1309" i="36"/>
  <c r="V1309" i="36" s="1"/>
  <c r="AE1309" i="36" s="1"/>
  <c r="R1286" i="36"/>
  <c r="S1285" i="36"/>
  <c r="N1279" i="36"/>
  <c r="N1278" i="36"/>
  <c r="N1277" i="36"/>
  <c r="N1271" i="36"/>
  <c r="U1269" i="36"/>
  <c r="V1269" i="36" s="1"/>
  <c r="AE1269" i="36" s="1"/>
  <c r="R1268" i="36"/>
  <c r="S1237" i="36"/>
  <c r="T1236" i="36"/>
  <c r="N1236" i="36"/>
  <c r="Q1230" i="36"/>
  <c r="Q1229" i="36"/>
  <c r="Q1228" i="36"/>
  <c r="R1222" i="36"/>
  <c r="N1221" i="36"/>
  <c r="U1219" i="36"/>
  <c r="V1219" i="36" s="1"/>
  <c r="N1211" i="36"/>
  <c r="T1188" i="36"/>
  <c r="N1188" i="36"/>
  <c r="O1187" i="36"/>
  <c r="S1181" i="36"/>
  <c r="S1180" i="36"/>
  <c r="S1179" i="36"/>
  <c r="U1173" i="36"/>
  <c r="V1173" i="36" s="1"/>
  <c r="AE1173" i="36" s="1"/>
  <c r="R1172" i="36"/>
  <c r="N1171" i="36"/>
  <c r="R1162" i="36"/>
  <c r="N4749" i="36"/>
  <c r="T4741" i="36"/>
  <c r="V4741" i="36" s="1"/>
  <c r="AE4741" i="36" s="1"/>
  <c r="R4718" i="36"/>
  <c r="N4507" i="36"/>
  <c r="N3335" i="36"/>
  <c r="Q3240" i="36"/>
  <c r="S3141" i="36"/>
  <c r="T3000" i="36"/>
  <c r="N2985" i="36"/>
  <c r="T2706" i="36"/>
  <c r="S2408" i="36"/>
  <c r="R2387" i="36"/>
  <c r="O2364" i="36"/>
  <c r="T2356" i="36"/>
  <c r="R2347" i="36"/>
  <c r="N2308" i="36"/>
  <c r="N2300" i="36"/>
  <c r="N2217" i="36"/>
  <c r="S2209" i="36"/>
  <c r="R2201" i="36"/>
  <c r="T2161" i="36"/>
  <c r="U2152" i="36"/>
  <c r="V2152" i="36" s="1"/>
  <c r="AE2152" i="36" s="1"/>
  <c r="N2069" i="36"/>
  <c r="Q2061" i="36"/>
  <c r="U2052" i="36"/>
  <c r="V2052" i="36" s="1"/>
  <c r="N2044" i="36"/>
  <c r="T2021" i="36"/>
  <c r="S2014" i="36"/>
  <c r="U2006" i="36"/>
  <c r="V2006" i="36" s="1"/>
  <c r="AE2006" i="36" s="1"/>
  <c r="S1922" i="36"/>
  <c r="N1914" i="36"/>
  <c r="R1905" i="36"/>
  <c r="T1873" i="36"/>
  <c r="Q1866" i="36"/>
  <c r="R1859" i="36"/>
  <c r="U1856" i="36"/>
  <c r="V1856" i="36" s="1"/>
  <c r="R1848" i="36"/>
  <c r="R1824" i="36"/>
  <c r="S1818" i="36"/>
  <c r="S1816" i="36"/>
  <c r="R1809" i="36"/>
  <c r="R1807" i="36"/>
  <c r="S1776" i="36"/>
  <c r="T1775" i="36"/>
  <c r="N1775" i="36"/>
  <c r="Q1769" i="36"/>
  <c r="Q1768" i="36"/>
  <c r="Q1767" i="36"/>
  <c r="R1761" i="36"/>
  <c r="N1760" i="36"/>
  <c r="U1758" i="36"/>
  <c r="V1758" i="36" s="1"/>
  <c r="N1750" i="36"/>
  <c r="T1727" i="36"/>
  <c r="N1727" i="36"/>
  <c r="O1726" i="36"/>
  <c r="S1720" i="36"/>
  <c r="S1719" i="36"/>
  <c r="S1718" i="36"/>
  <c r="U1712" i="36"/>
  <c r="V1712" i="36" s="1"/>
  <c r="AE1712" i="36" s="1"/>
  <c r="R1711" i="36"/>
  <c r="N1710" i="36"/>
  <c r="R1701" i="36"/>
  <c r="O1678" i="36"/>
  <c r="R1677" i="36"/>
  <c r="T1671" i="36"/>
  <c r="T1670" i="36"/>
  <c r="T1669" i="36"/>
  <c r="U1662" i="36"/>
  <c r="V1662" i="36" s="1"/>
  <c r="AE1662" i="36" s="1"/>
  <c r="R1661" i="36"/>
  <c r="N1660" i="36"/>
  <c r="T1652" i="36"/>
  <c r="V1652" i="36" s="1"/>
  <c r="AE1652" i="36" s="1"/>
  <c r="R1629" i="36"/>
  <c r="S1628" i="36"/>
  <c r="N1622" i="36"/>
  <c r="N1621" i="36"/>
  <c r="N1620" i="36"/>
  <c r="N1614" i="36"/>
  <c r="U1612" i="36"/>
  <c r="V1612" i="36" s="1"/>
  <c r="AE1612" i="36" s="1"/>
  <c r="R1611" i="36"/>
  <c r="S1580" i="36"/>
  <c r="T1579" i="36"/>
  <c r="N1579" i="36"/>
  <c r="Q1573" i="36"/>
  <c r="Q1572" i="36"/>
  <c r="Q1571" i="36"/>
  <c r="R1565" i="36"/>
  <c r="N1564" i="36"/>
  <c r="U1562" i="36"/>
  <c r="V1562" i="36" s="1"/>
  <c r="N1554" i="36"/>
  <c r="T1531" i="36"/>
  <c r="N1531" i="36"/>
  <c r="O1530" i="36"/>
  <c r="S1524" i="36"/>
  <c r="S1523" i="36"/>
  <c r="S1522" i="36"/>
  <c r="U1516" i="36"/>
  <c r="V1516" i="36" s="1"/>
  <c r="AE1516" i="36" s="1"/>
  <c r="R1515" i="36"/>
  <c r="N1514" i="36"/>
  <c r="R1505" i="36"/>
  <c r="O1482" i="36"/>
  <c r="R1481" i="36"/>
  <c r="T1475" i="36"/>
  <c r="T1474" i="36"/>
  <c r="T1473" i="36"/>
  <c r="U1466" i="36"/>
  <c r="V1466" i="36" s="1"/>
  <c r="AE1466" i="36" s="1"/>
  <c r="R1465" i="36"/>
  <c r="N1464" i="36"/>
  <c r="T1456" i="36"/>
  <c r="V1456" i="36" s="1"/>
  <c r="AE1456" i="36" s="1"/>
  <c r="R1433" i="36"/>
  <c r="S1432" i="36"/>
  <c r="N1426" i="36"/>
  <c r="N1425" i="36"/>
  <c r="N1424" i="36"/>
  <c r="N1418" i="36"/>
  <c r="U1416" i="36"/>
  <c r="V1416" i="36" s="1"/>
  <c r="AE1416" i="36" s="1"/>
  <c r="R1415" i="36"/>
  <c r="S1384" i="36"/>
  <c r="T1383" i="36"/>
  <c r="N1383" i="36"/>
  <c r="Q1377" i="36"/>
  <c r="Q1376" i="36"/>
  <c r="Q1375" i="36"/>
  <c r="R1369" i="36"/>
  <c r="N1368" i="36"/>
  <c r="U1366" i="36"/>
  <c r="V1366" i="36" s="1"/>
  <c r="N1358" i="36"/>
  <c r="T1335" i="36"/>
  <c r="N1335" i="36"/>
  <c r="O1334" i="36"/>
  <c r="S1328" i="36"/>
  <c r="S1327" i="36"/>
  <c r="S1326" i="36"/>
  <c r="U1320" i="36"/>
  <c r="V1320" i="36" s="1"/>
  <c r="AE1320" i="36" s="1"/>
  <c r="R1319" i="36"/>
  <c r="N1318" i="36"/>
  <c r="R1309" i="36"/>
  <c r="O1286" i="36"/>
  <c r="R1285" i="36"/>
  <c r="T1279" i="36"/>
  <c r="T1278" i="36"/>
  <c r="T1277" i="36"/>
  <c r="U1270" i="36"/>
  <c r="V1270" i="36" s="1"/>
  <c r="AE1270" i="36" s="1"/>
  <c r="R1269" i="36"/>
  <c r="N1268" i="36"/>
  <c r="T1260" i="36"/>
  <c r="V1260" i="36" s="1"/>
  <c r="AE1260" i="36" s="1"/>
  <c r="R1237" i="36"/>
  <c r="S1236" i="36"/>
  <c r="N1230" i="36"/>
  <c r="N1229" i="36"/>
  <c r="N1228" i="36"/>
  <c r="N1222" i="36"/>
  <c r="U1220" i="36"/>
  <c r="V1220" i="36" s="1"/>
  <c r="AE1220" i="36" s="1"/>
  <c r="R1219" i="36"/>
  <c r="S1188" i="36"/>
  <c r="T1187" i="36"/>
  <c r="N1187" i="36"/>
  <c r="Q1181" i="36"/>
  <c r="Q1180" i="36"/>
  <c r="Q1179" i="36"/>
  <c r="R1173" i="36"/>
  <c r="N1172" i="36"/>
  <c r="U1170" i="36"/>
  <c r="V1170" i="36" s="1"/>
  <c r="N1162" i="36"/>
  <c r="T3294" i="36"/>
  <c r="N3279" i="36"/>
  <c r="N3230" i="36"/>
  <c r="Q3190" i="36"/>
  <c r="S3049" i="36"/>
  <c r="R3032" i="36"/>
  <c r="T2894" i="36"/>
  <c r="N2846" i="36"/>
  <c r="R2804" i="36"/>
  <c r="N2787" i="36"/>
  <c r="T2779" i="36"/>
  <c r="V2779" i="36" s="1"/>
  <c r="AE2779" i="36" s="1"/>
  <c r="R2756" i="36"/>
  <c r="R2738" i="36"/>
  <c r="U2692" i="36"/>
  <c r="V2692" i="36" s="1"/>
  <c r="AE2692" i="36" s="1"/>
  <c r="T2651" i="36"/>
  <c r="U2642" i="36"/>
  <c r="V2642" i="36" s="1"/>
  <c r="AE2642" i="36" s="1"/>
  <c r="R2395" i="36"/>
  <c r="R2363" i="36"/>
  <c r="T2355" i="36"/>
  <c r="N2346" i="36"/>
  <c r="T2338" i="36"/>
  <c r="V2338" i="36" s="1"/>
  <c r="AE2338" i="36" s="1"/>
  <c r="R2315" i="36"/>
  <c r="U2315" i="36" s="1"/>
  <c r="V2315" i="36" s="1"/>
  <c r="AE2315" i="36" s="1"/>
  <c r="N2307" i="36"/>
  <c r="U2298" i="36"/>
  <c r="V2298" i="36" s="1"/>
  <c r="AE2298" i="36" s="1"/>
  <c r="S2266" i="36"/>
  <c r="Q2259" i="36"/>
  <c r="R2251" i="36"/>
  <c r="O2216" i="36"/>
  <c r="S2208" i="36"/>
  <c r="N2200" i="36"/>
  <c r="R2191" i="36"/>
  <c r="O2168" i="36"/>
  <c r="T2160" i="36"/>
  <c r="R2151" i="36"/>
  <c r="N2112" i="36"/>
  <c r="N2104" i="36"/>
  <c r="N2021" i="36"/>
  <c r="S2013" i="36"/>
  <c r="R2005" i="36"/>
  <c r="T1965" i="36"/>
  <c r="U1956" i="36"/>
  <c r="V1956" i="36" s="1"/>
  <c r="AE1956" i="36" s="1"/>
  <c r="N1873" i="36"/>
  <c r="Q1865" i="36"/>
  <c r="R1858" i="36"/>
  <c r="N1848" i="36"/>
  <c r="T1825" i="36"/>
  <c r="O1824" i="36"/>
  <c r="T1817" i="36"/>
  <c r="R1808" i="36"/>
  <c r="N1807" i="36"/>
  <c r="T1799" i="36"/>
  <c r="V1799" i="36" s="1"/>
  <c r="AE1799" i="36" s="1"/>
  <c r="R1776" i="36"/>
  <c r="S1775" i="36"/>
  <c r="N1769" i="36"/>
  <c r="N1768" i="36"/>
  <c r="N1767" i="36"/>
  <c r="N1761" i="36"/>
  <c r="U1759" i="36"/>
  <c r="V1759" i="36" s="1"/>
  <c r="AE1759" i="36" s="1"/>
  <c r="R1758" i="36"/>
  <c r="S1727" i="36"/>
  <c r="T1726" i="36"/>
  <c r="N1726" i="36"/>
  <c r="Q1720" i="36"/>
  <c r="Q1719" i="36"/>
  <c r="Q1718" i="36"/>
  <c r="R1712" i="36"/>
  <c r="N1711" i="36"/>
  <c r="U1709" i="36"/>
  <c r="V1709" i="36" s="1"/>
  <c r="N1701" i="36"/>
  <c r="T1678" i="36"/>
  <c r="N1678" i="36"/>
  <c r="O1677" i="36"/>
  <c r="S1671" i="36"/>
  <c r="S1670" i="36"/>
  <c r="S1669" i="36"/>
  <c r="U1663" i="36"/>
  <c r="V1663" i="36" s="1"/>
  <c r="AE1663" i="36" s="1"/>
  <c r="R1662" i="36"/>
  <c r="N1661" i="36"/>
  <c r="R1652" i="36"/>
  <c r="O1629" i="36"/>
  <c r="R1628" i="36"/>
  <c r="T1622" i="36"/>
  <c r="T1621" i="36"/>
  <c r="T1620" i="36"/>
  <c r="U1613" i="36"/>
  <c r="V1613" i="36" s="1"/>
  <c r="AE1613" i="36" s="1"/>
  <c r="R1612" i="36"/>
  <c r="N1611" i="36"/>
  <c r="T1603" i="36"/>
  <c r="V1603" i="36" s="1"/>
  <c r="AE1603" i="36" s="1"/>
  <c r="R1580" i="36"/>
  <c r="S1579" i="36"/>
  <c r="N1573" i="36"/>
  <c r="N1572" i="36"/>
  <c r="N1571" i="36"/>
  <c r="N1565" i="36"/>
  <c r="U1563" i="36"/>
  <c r="V1563" i="36" s="1"/>
  <c r="AE1563" i="36" s="1"/>
  <c r="R1562" i="36"/>
  <c r="S1531" i="36"/>
  <c r="T1530" i="36"/>
  <c r="N1530" i="36"/>
  <c r="Q1524" i="36"/>
  <c r="Q1523" i="36"/>
  <c r="Q1522" i="36"/>
  <c r="R1516" i="36"/>
  <c r="N1515" i="36"/>
  <c r="U1513" i="36"/>
  <c r="V1513" i="36" s="1"/>
  <c r="N1505" i="36"/>
  <c r="T1482" i="36"/>
  <c r="N1482" i="36"/>
  <c r="O1481" i="36"/>
  <c r="S1475" i="36"/>
  <c r="S1474" i="36"/>
  <c r="S1473" i="36"/>
  <c r="U1467" i="36"/>
  <c r="V1467" i="36" s="1"/>
  <c r="AE1467" i="36" s="1"/>
  <c r="R1466" i="36"/>
  <c r="N1465" i="36"/>
  <c r="R1456" i="36"/>
  <c r="O1433" i="36"/>
  <c r="R1432" i="36"/>
  <c r="T1426" i="36"/>
  <c r="T1425" i="36"/>
  <c r="T1424" i="36"/>
  <c r="U1417" i="36"/>
  <c r="V1417" i="36" s="1"/>
  <c r="AE1417" i="36" s="1"/>
  <c r="R1416" i="36"/>
  <c r="N1415" i="36"/>
  <c r="T1407" i="36"/>
  <c r="V1407" i="36" s="1"/>
  <c r="AE1407" i="36" s="1"/>
  <c r="R1384" i="36"/>
  <c r="S1383" i="36"/>
  <c r="N1377" i="36"/>
  <c r="N1376" i="36"/>
  <c r="N1375" i="36"/>
  <c r="N1369" i="36"/>
  <c r="U1367" i="36"/>
  <c r="V1367" i="36" s="1"/>
  <c r="AE1367" i="36" s="1"/>
  <c r="R1366" i="36"/>
  <c r="S1335" i="36"/>
  <c r="T1334" i="36"/>
  <c r="N1334" i="36"/>
  <c r="Q1328" i="36"/>
  <c r="Q1327" i="36"/>
  <c r="Q1326" i="36"/>
  <c r="R1320" i="36"/>
  <c r="N1319" i="36"/>
  <c r="U1317" i="36"/>
  <c r="V1317" i="36" s="1"/>
  <c r="N1309" i="36"/>
  <c r="T1286" i="36"/>
  <c r="N1286" i="36"/>
  <c r="O1285" i="36"/>
  <c r="S1279" i="36"/>
  <c r="S1278" i="36"/>
  <c r="S1277" i="36"/>
  <c r="U1271" i="36"/>
  <c r="V1271" i="36" s="1"/>
  <c r="AE1271" i="36" s="1"/>
  <c r="R1270" i="36"/>
  <c r="N1269" i="36"/>
  <c r="R1260" i="36"/>
  <c r="O1237" i="36"/>
  <c r="R1236" i="36"/>
  <c r="T1230" i="36"/>
  <c r="T1229" i="36"/>
  <c r="T1228" i="36"/>
  <c r="U1221" i="36"/>
  <c r="V1221" i="36" s="1"/>
  <c r="AE1221" i="36" s="1"/>
  <c r="R1220" i="36"/>
  <c r="N1219" i="36"/>
  <c r="T1211" i="36"/>
  <c r="V1211" i="36" s="1"/>
  <c r="AE1211" i="36" s="1"/>
  <c r="R1188" i="36"/>
  <c r="S1187" i="36"/>
  <c r="N1181" i="36"/>
  <c r="N1180" i="36"/>
  <c r="N1179" i="36"/>
  <c r="N1173" i="36"/>
  <c r="U1171" i="36"/>
  <c r="V1171" i="36" s="1"/>
  <c r="AE1171" i="36" s="1"/>
  <c r="R1170" i="36"/>
  <c r="S1139" i="36"/>
  <c r="T4563" i="36"/>
  <c r="U2690" i="36"/>
  <c r="V2690" i="36" s="1"/>
  <c r="AE2690" i="36" s="1"/>
  <c r="R2681" i="36"/>
  <c r="O2658" i="36"/>
  <c r="R2641" i="36"/>
  <c r="Q2258" i="36"/>
  <c r="S2070" i="36"/>
  <c r="R2055" i="36"/>
  <c r="S1726" i="36"/>
  <c r="N1718" i="36"/>
  <c r="R1709" i="36"/>
  <c r="T1677" i="36"/>
  <c r="Q1670" i="36"/>
  <c r="N1662" i="36"/>
  <c r="R1579" i="36"/>
  <c r="U1579" i="36" s="1"/>
  <c r="V1579" i="36" s="1"/>
  <c r="T1571" i="36"/>
  <c r="N1562" i="36"/>
  <c r="T1554" i="36"/>
  <c r="V1554" i="36" s="1"/>
  <c r="AE1554" i="36" s="1"/>
  <c r="R1531" i="36"/>
  <c r="N1523" i="36"/>
  <c r="U1514" i="36"/>
  <c r="V1514" i="36" s="1"/>
  <c r="AE1514" i="36" s="1"/>
  <c r="S1482" i="36"/>
  <c r="Q1475" i="36"/>
  <c r="R1467" i="36"/>
  <c r="O1432" i="36"/>
  <c r="S1424" i="36"/>
  <c r="N1416" i="36"/>
  <c r="R1407" i="36"/>
  <c r="O1384" i="36"/>
  <c r="T1376" i="36"/>
  <c r="R1367" i="36"/>
  <c r="N1328" i="36"/>
  <c r="N1320" i="36"/>
  <c r="N1237" i="36"/>
  <c r="S1229" i="36"/>
  <c r="R1221" i="36"/>
  <c r="T1181" i="36"/>
  <c r="U1172" i="36"/>
  <c r="V1172" i="36" s="1"/>
  <c r="AE1172" i="36" s="1"/>
  <c r="O1139" i="36"/>
  <c r="R1138" i="36"/>
  <c r="T1132" i="36"/>
  <c r="T1131" i="36"/>
  <c r="T1130" i="36"/>
  <c r="U1123" i="36"/>
  <c r="V1123" i="36" s="1"/>
  <c r="AE1123" i="36" s="1"/>
  <c r="R1122" i="36"/>
  <c r="N1121" i="36"/>
  <c r="T1113" i="36"/>
  <c r="V1113" i="36" s="1"/>
  <c r="AE1113" i="36" s="1"/>
  <c r="R1090" i="36"/>
  <c r="S1089" i="36"/>
  <c r="N1083" i="36"/>
  <c r="N1082" i="36"/>
  <c r="N1081" i="36"/>
  <c r="N1075" i="36"/>
  <c r="U1073" i="36"/>
  <c r="V1073" i="36" s="1"/>
  <c r="AE1073" i="36" s="1"/>
  <c r="R1072" i="36"/>
  <c r="S1041" i="36"/>
  <c r="T1040" i="36"/>
  <c r="N1040" i="36"/>
  <c r="Q1034" i="36"/>
  <c r="Q1033" i="36"/>
  <c r="Q1032" i="36"/>
  <c r="R1026" i="36"/>
  <c r="N1025" i="36"/>
  <c r="U1023" i="36"/>
  <c r="V1023" i="36" s="1"/>
  <c r="N1015" i="36"/>
  <c r="T992" i="36"/>
  <c r="N992" i="36"/>
  <c r="O991" i="36"/>
  <c r="S985" i="36"/>
  <c r="S984" i="36"/>
  <c r="S983" i="36"/>
  <c r="U977" i="36"/>
  <c r="V977" i="36" s="1"/>
  <c r="AE977" i="36" s="1"/>
  <c r="R976" i="36"/>
  <c r="N975" i="36"/>
  <c r="R966" i="36"/>
  <c r="N943" i="36"/>
  <c r="O942" i="36"/>
  <c r="S936" i="36"/>
  <c r="S935" i="36"/>
  <c r="S934" i="36"/>
  <c r="U928" i="36"/>
  <c r="V928" i="36" s="1"/>
  <c r="AE928" i="36" s="1"/>
  <c r="R927" i="36"/>
  <c r="N926" i="36"/>
  <c r="R917" i="36"/>
  <c r="O894" i="36"/>
  <c r="R893" i="36"/>
  <c r="T887" i="36"/>
  <c r="T886" i="36"/>
  <c r="T885" i="36"/>
  <c r="U878" i="36"/>
  <c r="V878" i="36" s="1"/>
  <c r="AE878" i="36" s="1"/>
  <c r="R877" i="36"/>
  <c r="N876" i="36"/>
  <c r="T868" i="36"/>
  <c r="V868" i="36" s="1"/>
  <c r="AE868" i="36" s="1"/>
  <c r="R845" i="36"/>
  <c r="S844" i="36"/>
  <c r="N838" i="36"/>
  <c r="N837" i="36"/>
  <c r="N836" i="36"/>
  <c r="N830" i="36"/>
  <c r="U828" i="36"/>
  <c r="V828" i="36" s="1"/>
  <c r="AE828" i="36" s="1"/>
  <c r="R827" i="36"/>
  <c r="R361" i="36"/>
  <c r="S360" i="36"/>
  <c r="N354" i="36"/>
  <c r="N353" i="36"/>
  <c r="N352" i="36"/>
  <c r="N346" i="36"/>
  <c r="U344" i="36"/>
  <c r="V344" i="36" s="1"/>
  <c r="AE344" i="36" s="1"/>
  <c r="N343" i="36"/>
  <c r="R336" i="36"/>
  <c r="N335" i="36"/>
  <c r="N336" i="36"/>
  <c r="N344" i="36"/>
  <c r="T5306" i="36"/>
  <c r="N2004" i="36"/>
  <c r="R1955" i="36"/>
  <c r="R1775" i="36"/>
  <c r="T1750" i="36"/>
  <c r="V1750" i="36" s="1"/>
  <c r="AE1750" i="36" s="1"/>
  <c r="U1710" i="36"/>
  <c r="V1710" i="36" s="1"/>
  <c r="AE1710" i="36" s="1"/>
  <c r="R1663" i="36"/>
  <c r="N1612" i="36"/>
  <c r="T1572" i="36"/>
  <c r="N1516" i="36"/>
  <c r="R1417" i="36"/>
  <c r="U1368" i="36"/>
  <c r="V1368" i="36" s="1"/>
  <c r="AE1368" i="36" s="1"/>
  <c r="Q1277" i="36"/>
  <c r="T1237" i="36"/>
  <c r="R1139" i="36"/>
  <c r="N1131" i="36"/>
  <c r="U1122" i="36"/>
  <c r="V1122" i="36" s="1"/>
  <c r="AE1122" i="36" s="1"/>
  <c r="T1089" i="36"/>
  <c r="Q1082" i="36"/>
  <c r="N1074" i="36"/>
  <c r="T1041" i="36"/>
  <c r="S1034" i="36"/>
  <c r="U1026" i="36"/>
  <c r="V1026" i="36" s="1"/>
  <c r="AE1026" i="36" s="1"/>
  <c r="R1015" i="36"/>
  <c r="T985" i="36"/>
  <c r="U976" i="36"/>
  <c r="V976" i="36" s="1"/>
  <c r="AE976" i="36" s="1"/>
  <c r="T966" i="36"/>
  <c r="V966" i="36" s="1"/>
  <c r="AE966" i="36" s="1"/>
  <c r="T936" i="36"/>
  <c r="U927" i="36"/>
  <c r="V927" i="36" s="1"/>
  <c r="AE927" i="36" s="1"/>
  <c r="T917" i="36"/>
  <c r="V917" i="36" s="1"/>
  <c r="AE917" i="36" s="1"/>
  <c r="N887" i="36"/>
  <c r="N879" i="36"/>
  <c r="R876" i="36"/>
  <c r="N844" i="36"/>
  <c r="Q836" i="36"/>
  <c r="U827" i="36"/>
  <c r="V827" i="36" s="1"/>
  <c r="T360" i="36"/>
  <c r="Q353" i="36"/>
  <c r="R346" i="36"/>
  <c r="T336" i="36"/>
  <c r="V336" i="36" s="1"/>
  <c r="AE336" i="36" s="1"/>
  <c r="R3326" i="36"/>
  <c r="U3133" i="36"/>
  <c r="V3133" i="36" s="1"/>
  <c r="AE3133" i="36" s="1"/>
  <c r="Q2993" i="36"/>
  <c r="N2306" i="36"/>
  <c r="R2167" i="36"/>
  <c r="N2150" i="36"/>
  <c r="T2142" i="36"/>
  <c r="V2142" i="36" s="1"/>
  <c r="AE2142" i="36" s="1"/>
  <c r="R2119" i="36"/>
  <c r="U2102" i="36"/>
  <c r="V2102" i="36" s="1"/>
  <c r="AE2102" i="36" s="1"/>
  <c r="S2012" i="36"/>
  <c r="T1964" i="36"/>
  <c r="N1908" i="36"/>
  <c r="O1825" i="36"/>
  <c r="U1810" i="36"/>
  <c r="V1810" i="36" s="1"/>
  <c r="AE1810" i="36" s="1"/>
  <c r="T1769" i="36"/>
  <c r="U1760" i="36"/>
  <c r="V1760" i="36" s="1"/>
  <c r="AE1760" i="36" s="1"/>
  <c r="N1677" i="36"/>
  <c r="Q1669" i="36"/>
  <c r="U1660" i="36"/>
  <c r="V1660" i="36" s="1"/>
  <c r="N1652" i="36"/>
  <c r="T1629" i="36"/>
  <c r="S1622" i="36"/>
  <c r="U1614" i="36"/>
  <c r="V1614" i="36" s="1"/>
  <c r="AE1614" i="36" s="1"/>
  <c r="S1530" i="36"/>
  <c r="N1522" i="36"/>
  <c r="R1513" i="36"/>
  <c r="T1481" i="36"/>
  <c r="Q1474" i="36"/>
  <c r="N1466" i="36"/>
  <c r="R1383" i="36"/>
  <c r="T1375" i="36"/>
  <c r="N1366" i="36"/>
  <c r="T1358" i="36"/>
  <c r="V1358" i="36" s="1"/>
  <c r="AE1358" i="36" s="1"/>
  <c r="R1335" i="36"/>
  <c r="N1327" i="36"/>
  <c r="U1318" i="36"/>
  <c r="V1318" i="36" s="1"/>
  <c r="AE1318" i="36" s="1"/>
  <c r="S1286" i="36"/>
  <c r="Q1279" i="36"/>
  <c r="R1271" i="36"/>
  <c r="O1236" i="36"/>
  <c r="S1228" i="36"/>
  <c r="N1220" i="36"/>
  <c r="R1211" i="36"/>
  <c r="O1188" i="36"/>
  <c r="T1180" i="36"/>
  <c r="R1171" i="36"/>
  <c r="N1139" i="36"/>
  <c r="O1138" i="36"/>
  <c r="S1132" i="36"/>
  <c r="S1131" i="36"/>
  <c r="S1130" i="36"/>
  <c r="U1124" i="36"/>
  <c r="V1124" i="36" s="1"/>
  <c r="AE1124" i="36" s="1"/>
  <c r="R1123" i="36"/>
  <c r="N1122" i="36"/>
  <c r="R1113" i="36"/>
  <c r="O1090" i="36"/>
  <c r="R1089" i="36"/>
  <c r="T1083" i="36"/>
  <c r="T1082" i="36"/>
  <c r="T1081" i="36"/>
  <c r="U1074" i="36"/>
  <c r="V1074" i="36" s="1"/>
  <c r="AE1074" i="36" s="1"/>
  <c r="R1073" i="36"/>
  <c r="N1072" i="36"/>
  <c r="T1064" i="36"/>
  <c r="V1064" i="36" s="1"/>
  <c r="AE1064" i="36" s="1"/>
  <c r="R1041" i="36"/>
  <c r="S1040" i="36"/>
  <c r="N1034" i="36"/>
  <c r="N1033" i="36"/>
  <c r="N1032" i="36"/>
  <c r="N1026" i="36"/>
  <c r="U1024" i="36"/>
  <c r="V1024" i="36" s="1"/>
  <c r="AE1024" i="36" s="1"/>
  <c r="R1023" i="36"/>
  <c r="S992" i="36"/>
  <c r="T991" i="36"/>
  <c r="N991" i="36"/>
  <c r="Q985" i="36"/>
  <c r="Q984" i="36"/>
  <c r="Q983" i="36"/>
  <c r="R977" i="36"/>
  <c r="N976" i="36"/>
  <c r="U974" i="36"/>
  <c r="V974" i="36" s="1"/>
  <c r="N966" i="36"/>
  <c r="T943" i="36"/>
  <c r="T942" i="36"/>
  <c r="N942" i="36"/>
  <c r="Q936" i="36"/>
  <c r="Q935" i="36"/>
  <c r="Q934" i="36"/>
  <c r="R928" i="36"/>
  <c r="N927" i="36"/>
  <c r="U925" i="36"/>
  <c r="V925" i="36" s="1"/>
  <c r="N917" i="36"/>
  <c r="T894" i="36"/>
  <c r="N894" i="36"/>
  <c r="O893" i="36"/>
  <c r="S887" i="36"/>
  <c r="S886" i="36"/>
  <c r="S885" i="36"/>
  <c r="U879" i="36"/>
  <c r="V879" i="36" s="1"/>
  <c r="AE879" i="36" s="1"/>
  <c r="R878" i="36"/>
  <c r="N877" i="36"/>
  <c r="R868" i="36"/>
  <c r="O845" i="36"/>
  <c r="R844" i="36"/>
  <c r="T838" i="36"/>
  <c r="T837" i="36"/>
  <c r="T836" i="36"/>
  <c r="U829" i="36"/>
  <c r="V829" i="36" s="1"/>
  <c r="AE829" i="36" s="1"/>
  <c r="R828" i="36"/>
  <c r="N827" i="36"/>
  <c r="T819" i="36"/>
  <c r="V819" i="36" s="1"/>
  <c r="AE819" i="36" s="1"/>
  <c r="O361" i="36"/>
  <c r="R360" i="36"/>
  <c r="T354" i="36"/>
  <c r="T353" i="36"/>
  <c r="T352" i="36"/>
  <c r="U345" i="36"/>
  <c r="V345" i="36" s="1"/>
  <c r="AE345" i="36" s="1"/>
  <c r="R344" i="36"/>
  <c r="U346" i="36"/>
  <c r="V346" i="36" s="1"/>
  <c r="AE346" i="36" s="1"/>
  <c r="T335" i="36"/>
  <c r="V335" i="36" s="1"/>
  <c r="AE335" i="36" s="1"/>
  <c r="R2297" i="36"/>
  <c r="N2111" i="36"/>
  <c r="R1995" i="36"/>
  <c r="N1916" i="36"/>
  <c r="T1767" i="36"/>
  <c r="R1727" i="36"/>
  <c r="S1678" i="36"/>
  <c r="O1628" i="36"/>
  <c r="R1603" i="36"/>
  <c r="R1563" i="36"/>
  <c r="N1433" i="36"/>
  <c r="T1377" i="36"/>
  <c r="U1268" i="36"/>
  <c r="V1268" i="36" s="1"/>
  <c r="S1230" i="36"/>
  <c r="N1132" i="36"/>
  <c r="N1124" i="36"/>
  <c r="R1121" i="36"/>
  <c r="N1089" i="36"/>
  <c r="Q1081" i="36"/>
  <c r="U1072" i="36"/>
  <c r="V1072" i="36" s="1"/>
  <c r="N1041" i="36"/>
  <c r="S1033" i="36"/>
  <c r="R1025" i="36"/>
  <c r="O992" i="36"/>
  <c r="T984" i="36"/>
  <c r="V984" i="36" s="1"/>
  <c r="AE984" i="36" s="1"/>
  <c r="R975" i="36"/>
  <c r="O943" i="36"/>
  <c r="T935" i="36"/>
  <c r="N925" i="36"/>
  <c r="S893" i="36"/>
  <c r="N885" i="36"/>
  <c r="S845" i="36"/>
  <c r="Q838" i="36"/>
  <c r="R830" i="36"/>
  <c r="N819" i="36"/>
  <c r="N360" i="36"/>
  <c r="Q352" i="36"/>
  <c r="R343" i="36"/>
  <c r="U4259" i="36"/>
  <c r="V4259" i="36" s="1"/>
  <c r="R4251" i="36"/>
  <c r="R4227" i="36"/>
  <c r="N3422" i="36"/>
  <c r="S3343" i="36"/>
  <c r="U3179" i="36"/>
  <c r="V3179" i="36" s="1"/>
  <c r="N3171" i="36"/>
  <c r="T3148" i="36"/>
  <c r="T2699" i="36"/>
  <c r="T2650" i="36"/>
  <c r="O2414" i="36"/>
  <c r="T2265" i="36"/>
  <c r="N2250" i="36"/>
  <c r="Q2063" i="36"/>
  <c r="N1858" i="36"/>
  <c r="N1808" i="36"/>
  <c r="R1799" i="36"/>
  <c r="O1776" i="36"/>
  <c r="T1768" i="36"/>
  <c r="V1768" i="36" s="1"/>
  <c r="AE1768" i="36" s="1"/>
  <c r="R1759" i="36"/>
  <c r="N1720" i="36"/>
  <c r="N1712" i="36"/>
  <c r="N1629" i="36"/>
  <c r="S1621" i="36"/>
  <c r="R1613" i="36"/>
  <c r="T1573" i="36"/>
  <c r="U1564" i="36"/>
  <c r="V1564" i="36" s="1"/>
  <c r="AE1564" i="36" s="1"/>
  <c r="N1481" i="36"/>
  <c r="Q1473" i="36"/>
  <c r="U1464" i="36"/>
  <c r="V1464" i="36" s="1"/>
  <c r="N1456" i="36"/>
  <c r="T1433" i="36"/>
  <c r="S1426" i="36"/>
  <c r="U1418" i="36"/>
  <c r="V1418" i="36" s="1"/>
  <c r="AE1418" i="36" s="1"/>
  <c r="S1334" i="36"/>
  <c r="N1326" i="36"/>
  <c r="R1317" i="36"/>
  <c r="T1285" i="36"/>
  <c r="Q1278" i="36"/>
  <c r="N1270" i="36"/>
  <c r="R1187" i="36"/>
  <c r="T1179" i="36"/>
  <c r="N1170" i="36"/>
  <c r="T1162" i="36"/>
  <c r="V1162" i="36" s="1"/>
  <c r="AE1162" i="36" s="1"/>
  <c r="T1139" i="36"/>
  <c r="T1138" i="36"/>
  <c r="N1138" i="36"/>
  <c r="Q1132" i="36"/>
  <c r="Q1131" i="36"/>
  <c r="Q1130" i="36"/>
  <c r="R1124" i="36"/>
  <c r="N1123" i="36"/>
  <c r="U1121" i="36"/>
  <c r="V1121" i="36" s="1"/>
  <c r="N1113" i="36"/>
  <c r="T1090" i="36"/>
  <c r="N1090" i="36"/>
  <c r="O1089" i="36"/>
  <c r="S1083" i="36"/>
  <c r="S1082" i="36"/>
  <c r="S1081" i="36"/>
  <c r="U1075" i="36"/>
  <c r="V1075" i="36" s="1"/>
  <c r="AE1075" i="36" s="1"/>
  <c r="R1074" i="36"/>
  <c r="N1073" i="36"/>
  <c r="R1064" i="36"/>
  <c r="O1041" i="36"/>
  <c r="R1040" i="36"/>
  <c r="T1034" i="36"/>
  <c r="T1033" i="36"/>
  <c r="V1033" i="36" s="1"/>
  <c r="AE1033" i="36" s="1"/>
  <c r="T1032" i="36"/>
  <c r="U1025" i="36"/>
  <c r="V1025" i="36" s="1"/>
  <c r="AE1025" i="36" s="1"/>
  <c r="R1024" i="36"/>
  <c r="N1023" i="36"/>
  <c r="T1015" i="36"/>
  <c r="V1015" i="36" s="1"/>
  <c r="AE1015" i="36" s="1"/>
  <c r="R992" i="36"/>
  <c r="S991" i="36"/>
  <c r="N985" i="36"/>
  <c r="N984" i="36"/>
  <c r="N983" i="36"/>
  <c r="N977" i="36"/>
  <c r="U975" i="36"/>
  <c r="V975" i="36" s="1"/>
  <c r="AE975" i="36" s="1"/>
  <c r="R974" i="36"/>
  <c r="S943" i="36"/>
  <c r="S942" i="36"/>
  <c r="N936" i="36"/>
  <c r="N935" i="36"/>
  <c r="N934" i="36"/>
  <c r="N928" i="36"/>
  <c r="U926" i="36"/>
  <c r="V926" i="36" s="1"/>
  <c r="AE926" i="36" s="1"/>
  <c r="R925" i="36"/>
  <c r="S894" i="36"/>
  <c r="T893" i="36"/>
  <c r="N893" i="36"/>
  <c r="Q887" i="36"/>
  <c r="Q886" i="36"/>
  <c r="Q885" i="36"/>
  <c r="R879" i="36"/>
  <c r="N878" i="36"/>
  <c r="U876" i="36"/>
  <c r="V876" i="36" s="1"/>
  <c r="N868" i="36"/>
  <c r="T845" i="36"/>
  <c r="N845" i="36"/>
  <c r="O844" i="36"/>
  <c r="S838" i="36"/>
  <c r="S837" i="36"/>
  <c r="S836" i="36"/>
  <c r="U830" i="36"/>
  <c r="V830" i="36" s="1"/>
  <c r="AE830" i="36" s="1"/>
  <c r="R829" i="36"/>
  <c r="N828" i="36"/>
  <c r="R819" i="36"/>
  <c r="T361" i="36"/>
  <c r="N361" i="36"/>
  <c r="O360" i="36"/>
  <c r="S354" i="36"/>
  <c r="S353" i="36"/>
  <c r="S352" i="36"/>
  <c r="R345" i="36"/>
  <c r="N2394" i="36"/>
  <c r="S2314" i="36"/>
  <c r="T2159" i="36"/>
  <c r="O2020" i="36"/>
  <c r="O1972" i="36"/>
  <c r="S1817" i="36"/>
  <c r="N1758" i="36"/>
  <c r="N1719" i="36"/>
  <c r="Q1671" i="36"/>
  <c r="S1620" i="36"/>
  <c r="O1580" i="36"/>
  <c r="N1524" i="36"/>
  <c r="S1425" i="36"/>
  <c r="N1285" i="36"/>
  <c r="N1260" i="36"/>
  <c r="U1222" i="36"/>
  <c r="V1222" i="36" s="1"/>
  <c r="AE1222" i="36" s="1"/>
  <c r="S1138" i="36"/>
  <c r="N1130" i="36"/>
  <c r="S1090" i="36"/>
  <c r="Q1083" i="36"/>
  <c r="R1075" i="36"/>
  <c r="N1064" i="36"/>
  <c r="O1040" i="36"/>
  <c r="S1032" i="36"/>
  <c r="N1024" i="36"/>
  <c r="R991" i="36"/>
  <c r="T983" i="36"/>
  <c r="N974" i="36"/>
  <c r="R942" i="36"/>
  <c r="T934" i="36"/>
  <c r="R926" i="36"/>
  <c r="R894" i="36"/>
  <c r="N886" i="36"/>
  <c r="U877" i="36"/>
  <c r="V877" i="36" s="1"/>
  <c r="AE877" i="36" s="1"/>
  <c r="T844" i="36"/>
  <c r="Q837" i="36"/>
  <c r="N829" i="36"/>
  <c r="S361" i="36"/>
  <c r="Q354" i="36"/>
  <c r="N345" i="36"/>
  <c r="R335" i="36"/>
  <c r="R4949" i="36"/>
  <c r="N4949" i="36"/>
  <c r="U3818" i="36"/>
  <c r="V3818" i="36" s="1"/>
  <c r="O5061" i="36"/>
  <c r="N5054" i="36"/>
  <c r="N5053" i="36"/>
  <c r="N5052" i="36"/>
  <c r="N5046" i="36"/>
  <c r="U5044" i="36"/>
  <c r="V5044" i="36" s="1"/>
  <c r="AE5044" i="36" s="1"/>
  <c r="R5043" i="36"/>
  <c r="N5012" i="36"/>
  <c r="T5005" i="36"/>
  <c r="T5004" i="36"/>
  <c r="T5003" i="36"/>
  <c r="U4996" i="36"/>
  <c r="V4996" i="36" s="1"/>
  <c r="AE4996" i="36" s="1"/>
  <c r="R4995" i="36"/>
  <c r="N4994" i="36"/>
  <c r="T4986" i="36"/>
  <c r="V4986" i="36" s="1"/>
  <c r="AE4986" i="36" s="1"/>
  <c r="O4963" i="36"/>
  <c r="N4956" i="36"/>
  <c r="N4955" i="36"/>
  <c r="N4954" i="36"/>
  <c r="U4947" i="36"/>
  <c r="V4947" i="36" s="1"/>
  <c r="AE4947" i="36" s="1"/>
  <c r="R4946" i="36"/>
  <c r="N4939" i="36"/>
  <c r="T4937" i="36"/>
  <c r="V4937" i="36" s="1"/>
  <c r="AE4937" i="36" s="1"/>
  <c r="N4179" i="36"/>
  <c r="T4172" i="36"/>
  <c r="T4171" i="36"/>
  <c r="T4170" i="36"/>
  <c r="U4163" i="36"/>
  <c r="V4163" i="36" s="1"/>
  <c r="AE4163" i="36" s="1"/>
  <c r="R4162" i="36"/>
  <c r="R4153" i="36"/>
  <c r="R313" i="36"/>
  <c r="N312" i="36"/>
  <c r="Q306" i="36"/>
  <c r="Q305" i="36"/>
  <c r="Q304" i="36"/>
  <c r="R298" i="36"/>
  <c r="R296" i="36"/>
  <c r="N295" i="36"/>
  <c r="R288" i="36"/>
  <c r="N2608" i="36"/>
  <c r="Q2602" i="36"/>
  <c r="Q2601" i="36"/>
  <c r="Q2600" i="36"/>
  <c r="R2594" i="36"/>
  <c r="U2592" i="36"/>
  <c r="V2592" i="36" s="1"/>
  <c r="AE2592" i="36" s="1"/>
  <c r="N2591" i="36"/>
  <c r="T2583" i="36"/>
  <c r="V2583" i="36" s="1"/>
  <c r="AE2583" i="36" s="1"/>
  <c r="R2560" i="36"/>
  <c r="S2559" i="36"/>
  <c r="N2553" i="36"/>
  <c r="N2552" i="36"/>
  <c r="N2551" i="36"/>
  <c r="N2545" i="36"/>
  <c r="R2543" i="36"/>
  <c r="R2534" i="36"/>
  <c r="T5061" i="36"/>
  <c r="N5061" i="36"/>
  <c r="T5054" i="36"/>
  <c r="T5053" i="36"/>
  <c r="T5052" i="36"/>
  <c r="U5045" i="36"/>
  <c r="V5045" i="36" s="1"/>
  <c r="AE5045" i="36" s="1"/>
  <c r="R5044" i="36"/>
  <c r="N5043" i="36"/>
  <c r="T5035" i="36"/>
  <c r="V5035" i="36" s="1"/>
  <c r="AE5035" i="36" s="1"/>
  <c r="O5011" i="36"/>
  <c r="S5005" i="36"/>
  <c r="S5004" i="36"/>
  <c r="S5003" i="36"/>
  <c r="U4997" i="36"/>
  <c r="V4997" i="36" s="1"/>
  <c r="AE4997" i="36" s="1"/>
  <c r="R4996" i="36"/>
  <c r="N4995" i="36"/>
  <c r="R4986" i="36"/>
  <c r="N4963" i="36"/>
  <c r="T4956" i="36"/>
  <c r="T4955" i="36"/>
  <c r="T4954" i="36"/>
  <c r="U4948" i="36"/>
  <c r="V4948" i="36" s="1"/>
  <c r="AE4948" i="36" s="1"/>
  <c r="R4947" i="36"/>
  <c r="N4946" i="36"/>
  <c r="T4938" i="36"/>
  <c r="V4938" i="36" s="1"/>
  <c r="AE4938" i="36" s="1"/>
  <c r="R4937" i="36"/>
  <c r="O4178" i="36"/>
  <c r="S4172" i="36"/>
  <c r="S4171" i="36"/>
  <c r="S4170" i="36"/>
  <c r="U4164" i="36"/>
  <c r="V4164" i="36" s="1"/>
  <c r="AE4164" i="36" s="1"/>
  <c r="R4163" i="36"/>
  <c r="N4162" i="36"/>
  <c r="N4153" i="36"/>
  <c r="O313" i="36"/>
  <c r="N306" i="36"/>
  <c r="N305" i="36"/>
  <c r="N304" i="36"/>
  <c r="N298" i="36"/>
  <c r="N296" i="36"/>
  <c r="N288" i="36"/>
  <c r="O2609" i="36"/>
  <c r="N2602" i="36"/>
  <c r="N2601" i="36"/>
  <c r="N2600" i="36"/>
  <c r="N2594" i="36"/>
  <c r="R2592" i="36"/>
  <c r="R2583" i="36"/>
  <c r="O2560" i="36"/>
  <c r="R2559" i="36"/>
  <c r="T2553" i="36"/>
  <c r="T2552" i="36"/>
  <c r="T2551" i="36"/>
  <c r="R2544" i="36"/>
  <c r="N2543" i="36"/>
  <c r="N2534" i="36"/>
  <c r="S5061" i="36"/>
  <c r="O5060" i="36"/>
  <c r="S5054" i="36"/>
  <c r="S5053" i="36"/>
  <c r="S5052" i="36"/>
  <c r="U5046" i="36"/>
  <c r="V5046" i="36" s="1"/>
  <c r="AE5046" i="36" s="1"/>
  <c r="R5045" i="36"/>
  <c r="N5044" i="36"/>
  <c r="R5035" i="36"/>
  <c r="N5011" i="36"/>
  <c r="Q5005" i="36"/>
  <c r="Q5004" i="36"/>
  <c r="Q5003" i="36"/>
  <c r="R4997" i="36"/>
  <c r="N4996" i="36"/>
  <c r="U4994" i="36"/>
  <c r="V4994" i="36" s="1"/>
  <c r="N4986" i="36"/>
  <c r="O4962" i="36"/>
  <c r="S4956" i="36"/>
  <c r="S4955" i="36"/>
  <c r="S4954" i="36"/>
  <c r="R4948" i="36"/>
  <c r="N4947" i="36"/>
  <c r="R4938" i="36"/>
  <c r="N4937" i="36"/>
  <c r="N4178" i="36"/>
  <c r="Q4172" i="36"/>
  <c r="Q4171" i="36"/>
  <c r="Q4170" i="36"/>
  <c r="R4164" i="36"/>
  <c r="N4163" i="36"/>
  <c r="R4161" i="36"/>
  <c r="T313" i="36"/>
  <c r="N313" i="36"/>
  <c r="T306" i="36"/>
  <c r="T305" i="36"/>
  <c r="T304" i="36"/>
  <c r="R297" i="36"/>
  <c r="U295" i="36"/>
  <c r="V295" i="36" s="1"/>
  <c r="U2542" i="36"/>
  <c r="V2542" i="36" s="1"/>
  <c r="AE2542" i="36" s="1"/>
  <c r="N2609" i="36"/>
  <c r="T2602" i="36"/>
  <c r="T2601" i="36"/>
  <c r="T2600" i="36"/>
  <c r="R2593" i="36"/>
  <c r="N2592" i="36"/>
  <c r="N2583" i="36"/>
  <c r="T2560" i="36"/>
  <c r="N2560" i="36"/>
  <c r="O2559" i="36"/>
  <c r="S2553" i="36"/>
  <c r="S2552" i="36"/>
  <c r="S2551" i="36"/>
  <c r="U2545" i="36"/>
  <c r="V2545" i="36" s="1"/>
  <c r="AE2545" i="36" s="1"/>
  <c r="N2544" i="36"/>
  <c r="R2542" i="36"/>
  <c r="T2534" i="36"/>
  <c r="V2534" i="36" s="1"/>
  <c r="AE2534" i="36" s="1"/>
  <c r="R5061" i="36"/>
  <c r="N5060" i="36"/>
  <c r="Q5054" i="36"/>
  <c r="Q5053" i="36"/>
  <c r="Q5052" i="36"/>
  <c r="R5046" i="36"/>
  <c r="N5045" i="36"/>
  <c r="U5043" i="36"/>
  <c r="V5043" i="36" s="1"/>
  <c r="N5035" i="36"/>
  <c r="O5012" i="36"/>
  <c r="N5005" i="36"/>
  <c r="N5004" i="36"/>
  <c r="N5003" i="36"/>
  <c r="N4997" i="36"/>
  <c r="U4995" i="36"/>
  <c r="V4995" i="36" s="1"/>
  <c r="AE4995" i="36" s="1"/>
  <c r="R4994" i="36"/>
  <c r="N4962" i="36"/>
  <c r="Q4956" i="36"/>
  <c r="Q4955" i="36"/>
  <c r="Q4954" i="36"/>
  <c r="N4948" i="36"/>
  <c r="U4946" i="36"/>
  <c r="V4946" i="36" s="1"/>
  <c r="AE4946" i="36" s="1"/>
  <c r="N4938" i="36"/>
  <c r="O4179" i="36"/>
  <c r="N4172" i="36"/>
  <c r="N4171" i="36"/>
  <c r="N4170" i="36"/>
  <c r="N4164" i="36"/>
  <c r="U4162" i="36"/>
  <c r="V4162" i="36" s="1"/>
  <c r="AE4162" i="36" s="1"/>
  <c r="N4161" i="36"/>
  <c r="T4153" i="36"/>
  <c r="V4153" i="36" s="1"/>
  <c r="AE4153" i="36" s="1"/>
  <c r="S313" i="36"/>
  <c r="O312" i="36"/>
  <c r="S306" i="36"/>
  <c r="S305" i="36"/>
  <c r="S304" i="36"/>
  <c r="U298" i="36"/>
  <c r="V298" i="36" s="1"/>
  <c r="AE298" i="36" s="1"/>
  <c r="N297" i="36"/>
  <c r="R295" i="36"/>
  <c r="T288" i="36"/>
  <c r="V288" i="36" s="1"/>
  <c r="AE288" i="36" s="1"/>
  <c r="O2608" i="36"/>
  <c r="S2602" i="36"/>
  <c r="S2601" i="36"/>
  <c r="S2600" i="36"/>
  <c r="U2594" i="36"/>
  <c r="V2594" i="36" s="1"/>
  <c r="AE2594" i="36" s="1"/>
  <c r="N2593" i="36"/>
  <c r="R2591" i="36"/>
  <c r="S2560" i="36"/>
  <c r="T2559" i="36"/>
  <c r="N2559" i="36"/>
  <c r="Q2553" i="36"/>
  <c r="Q2552" i="36"/>
  <c r="Q2551" i="36"/>
  <c r="R2545" i="36"/>
  <c r="U2543" i="36"/>
  <c r="V2543" i="36" s="1"/>
  <c r="AE2543" i="36" s="1"/>
  <c r="N2542" i="36"/>
  <c r="U296" i="36"/>
  <c r="V296" i="36" s="1"/>
  <c r="AE296" i="36" s="1"/>
  <c r="R265" i="36"/>
  <c r="N264" i="36"/>
  <c r="Q258" i="36"/>
  <c r="Q257" i="36"/>
  <c r="Q256" i="36"/>
  <c r="R250" i="36"/>
  <c r="T240" i="36"/>
  <c r="V240" i="36" s="1"/>
  <c r="AE240" i="36" s="1"/>
  <c r="O265" i="36"/>
  <c r="N258" i="36"/>
  <c r="N257" i="36"/>
  <c r="N256" i="36"/>
  <c r="N250" i="36"/>
  <c r="R248" i="36"/>
  <c r="N247" i="36"/>
  <c r="R240" i="36"/>
  <c r="N239" i="36"/>
  <c r="T265" i="36"/>
  <c r="N265" i="36"/>
  <c r="T258" i="36"/>
  <c r="T257" i="36"/>
  <c r="T256" i="36"/>
  <c r="R249" i="36"/>
  <c r="N248" i="36"/>
  <c r="N240" i="36"/>
  <c r="U248" i="36"/>
  <c r="V248" i="36" s="1"/>
  <c r="AE248" i="36" s="1"/>
  <c r="R239" i="36"/>
  <c r="S265" i="36"/>
  <c r="O264" i="36"/>
  <c r="S258" i="36"/>
  <c r="S257" i="36"/>
  <c r="S256" i="36"/>
  <c r="U250" i="36"/>
  <c r="V250" i="36" s="1"/>
  <c r="AE250" i="36" s="1"/>
  <c r="N249" i="36"/>
  <c r="U247" i="36"/>
  <c r="V247" i="36" s="1"/>
  <c r="T239" i="36"/>
  <c r="V239" i="36" s="1"/>
  <c r="AE239" i="36" s="1"/>
  <c r="R247" i="36"/>
  <c r="U297" i="36"/>
  <c r="V297" i="36" s="1"/>
  <c r="AE297" i="36" s="1"/>
  <c r="U249" i="36"/>
  <c r="V249" i="36" s="1"/>
  <c r="AE249" i="36" s="1"/>
  <c r="S38" i="36"/>
  <c r="V38" i="36" s="1"/>
  <c r="U2591" i="36"/>
  <c r="V2591" i="36" s="1"/>
  <c r="AE2591" i="36" s="1"/>
  <c r="S2609" i="36"/>
  <c r="N770" i="36"/>
  <c r="T2502" i="36"/>
  <c r="V2502" i="36" s="1"/>
  <c r="AE2502" i="36" s="1"/>
  <c r="Q3876" i="36"/>
  <c r="Q3925" i="36"/>
  <c r="Q3974" i="36"/>
  <c r="Q4023" i="36"/>
  <c r="Q4072" i="36"/>
  <c r="Q4121" i="36"/>
  <c r="U2544" i="36"/>
  <c r="V2544" i="36" s="1"/>
  <c r="AE2544" i="36" s="1"/>
  <c r="O74" i="34"/>
  <c r="S74" i="34" s="1"/>
  <c r="I224" i="35"/>
  <c r="K224" i="35" s="1"/>
  <c r="Q224" i="35" s="1"/>
  <c r="I231" i="35"/>
  <c r="I228" i="35"/>
  <c r="K228" i="35" s="1"/>
  <c r="Q228" i="35" s="1"/>
  <c r="N4245" i="36"/>
  <c r="N862" i="36"/>
  <c r="O16" i="34"/>
  <c r="S16" i="34" s="1"/>
  <c r="O52" i="34"/>
  <c r="S52" i="34" s="1"/>
  <c r="O38" i="34"/>
  <c r="S38" i="34" s="1"/>
  <c r="R215" i="36"/>
  <c r="U215" i="36" s="1"/>
  <c r="V215" i="36" s="1"/>
  <c r="T698" i="36"/>
  <c r="T746" i="36"/>
  <c r="S649" i="36"/>
  <c r="S5012" i="36"/>
  <c r="S312" i="36"/>
  <c r="S4963" i="36"/>
  <c r="S4179" i="36"/>
  <c r="S264" i="36"/>
  <c r="I225" i="35"/>
  <c r="R2608" i="36"/>
  <c r="U2608" i="36" s="1"/>
  <c r="V2608" i="36" s="1"/>
  <c r="I232" i="35"/>
  <c r="K232" i="35" s="1"/>
  <c r="Q232" i="35" s="1"/>
  <c r="I219" i="35"/>
  <c r="R4178" i="36"/>
  <c r="R5060" i="36"/>
  <c r="R4962" i="36"/>
  <c r="R5011" i="36"/>
  <c r="I226" i="35"/>
  <c r="R2609" i="36"/>
  <c r="S5060" i="36"/>
  <c r="S4962" i="36"/>
  <c r="S5011" i="36"/>
  <c r="S4178" i="36"/>
  <c r="T4179" i="36"/>
  <c r="T4963" i="36"/>
  <c r="T312" i="36"/>
  <c r="T5012" i="36"/>
  <c r="T264" i="36"/>
  <c r="T89" i="36"/>
  <c r="T649" i="36"/>
  <c r="T46" i="36"/>
  <c r="T175" i="36"/>
  <c r="T216" i="36"/>
  <c r="T552" i="36"/>
  <c r="U552" i="36" s="1"/>
  <c r="V552" i="36" s="1"/>
  <c r="AE552" i="36" s="1"/>
  <c r="T600" i="36"/>
  <c r="T5011" i="36"/>
  <c r="T5060" i="36"/>
  <c r="T4178" i="36"/>
  <c r="T4962" i="36"/>
  <c r="I220" i="35"/>
  <c r="R4963" i="36"/>
  <c r="R312" i="36"/>
  <c r="R5012" i="36"/>
  <c r="R4179" i="36"/>
  <c r="R264" i="36"/>
  <c r="I222" i="35"/>
  <c r="I227" i="35"/>
  <c r="I229" i="35"/>
  <c r="K229" i="35" s="1"/>
  <c r="Q229" i="35" s="1"/>
  <c r="O11" i="34"/>
  <c r="S11" i="34" s="1"/>
  <c r="O44" i="34"/>
  <c r="S44" i="34" s="1"/>
  <c r="O81" i="34"/>
  <c r="S81" i="34" s="1"/>
  <c r="O87" i="34"/>
  <c r="S87" i="34" s="1"/>
  <c r="O25" i="34"/>
  <c r="S25" i="34" s="1"/>
  <c r="O69" i="34"/>
  <c r="S69" i="34" s="1"/>
  <c r="K374" i="35"/>
  <c r="Q374" i="35" s="1"/>
  <c r="K456" i="35"/>
  <c r="Q456" i="35" s="1"/>
  <c r="O33" i="34"/>
  <c r="S33" i="34" s="1"/>
  <c r="O60" i="34"/>
  <c r="S60" i="34" s="1"/>
  <c r="N2577" i="36"/>
  <c r="N2626" i="36" s="1"/>
  <c r="N618" i="36"/>
  <c r="C618" i="36" s="1"/>
  <c r="D628" i="36" s="1"/>
  <c r="E637" i="36" s="1"/>
  <c r="F645" i="36" s="1"/>
  <c r="J648" i="36" s="1"/>
  <c r="J649" i="36" s="1"/>
  <c r="O18" i="34"/>
  <c r="S18" i="34" s="1"/>
  <c r="O34" i="34"/>
  <c r="S34" i="34" s="1"/>
  <c r="O53" i="34"/>
  <c r="S53" i="34" s="1"/>
  <c r="O70" i="34"/>
  <c r="S70" i="34" s="1"/>
  <c r="O85" i="34"/>
  <c r="S85" i="34" s="1"/>
  <c r="O12" i="34"/>
  <c r="S12" i="34" s="1"/>
  <c r="O26" i="34"/>
  <c r="S26" i="34" s="1"/>
  <c r="O40" i="34"/>
  <c r="S40" i="34" s="1"/>
  <c r="O48" i="34"/>
  <c r="S48" i="34" s="1"/>
  <c r="S55" i="34" s="1"/>
  <c r="O62" i="34"/>
  <c r="S62" i="34" s="1"/>
  <c r="O77" i="34"/>
  <c r="S77" i="34" s="1"/>
  <c r="V2436" i="36"/>
  <c r="AE2436" i="36" s="1"/>
  <c r="O14" i="34"/>
  <c r="S14" i="34" s="1"/>
  <c r="O22" i="34"/>
  <c r="S22" i="34" s="1"/>
  <c r="S29" i="34" s="1"/>
  <c r="O27" i="34"/>
  <c r="S27" i="34" s="1"/>
  <c r="O36" i="34"/>
  <c r="S36" i="34" s="1"/>
  <c r="O41" i="34"/>
  <c r="S41" i="34" s="1"/>
  <c r="O49" i="34"/>
  <c r="S49" i="34" s="1"/>
  <c r="O58" i="34"/>
  <c r="S58" i="34" s="1"/>
  <c r="O63" i="34"/>
  <c r="S63" i="34" s="1"/>
  <c r="O71" i="34"/>
  <c r="S71" i="34" s="1"/>
  <c r="O79" i="34"/>
  <c r="S79" i="34" s="1"/>
  <c r="O10" i="34"/>
  <c r="S10" i="34" s="1"/>
  <c r="S20" i="34" s="1"/>
  <c r="O15" i="34"/>
  <c r="S15" i="34" s="1"/>
  <c r="O23" i="34"/>
  <c r="S23" i="34" s="1"/>
  <c r="O32" i="34"/>
  <c r="S32" i="34" s="1"/>
  <c r="O37" i="34"/>
  <c r="S37" i="34" s="1"/>
  <c r="O42" i="34"/>
  <c r="S42" i="34" s="1"/>
  <c r="O51" i="34"/>
  <c r="S51" i="34" s="1"/>
  <c r="O59" i="34"/>
  <c r="S59" i="34" s="1"/>
  <c r="O64" i="34"/>
  <c r="S64" i="34" s="1"/>
  <c r="O73" i="34"/>
  <c r="S73" i="34" s="1"/>
  <c r="O80" i="34"/>
  <c r="S80" i="34" s="1"/>
  <c r="O88" i="34"/>
  <c r="S88" i="34" s="1"/>
  <c r="C2480" i="36"/>
  <c r="D2490" i="36" s="1"/>
  <c r="E2499" i="36" s="1"/>
  <c r="F2507" i="36" s="1"/>
  <c r="J2510" i="36" s="1"/>
  <c r="J2511" i="36" s="1"/>
  <c r="N2529" i="36"/>
  <c r="N2578" i="36" s="1"/>
  <c r="N2627" i="36" s="1"/>
  <c r="N2676" i="36" s="1"/>
  <c r="N2725" i="36" s="1"/>
  <c r="N2774" i="36" s="1"/>
  <c r="N2823" i="36" s="1"/>
  <c r="N2872" i="36" s="1"/>
  <c r="N2921" i="36" s="1"/>
  <c r="N2970" i="36" s="1"/>
  <c r="N3019" i="36" s="1"/>
  <c r="N3068" i="36" s="1"/>
  <c r="N3117" i="36" s="1"/>
  <c r="N3166" i="36" s="1"/>
  <c r="N3216" i="36" s="1"/>
  <c r="N3264" i="36" s="1"/>
  <c r="N3313" i="36" s="1"/>
  <c r="N3362" i="36" s="1"/>
  <c r="N3411" i="36" s="1"/>
  <c r="N3462" i="36" s="1"/>
  <c r="C11" i="1"/>
  <c r="J132" i="36"/>
  <c r="J133" i="36" s="1"/>
  <c r="G136" i="36"/>
  <c r="H138" i="36" s="1"/>
  <c r="E34" i="36"/>
  <c r="N3952" i="36"/>
  <c r="C3903" i="36"/>
  <c r="D3913" i="36" s="1"/>
  <c r="E3922" i="36" s="1"/>
  <c r="F3930" i="36" s="1"/>
  <c r="J3933" i="36" s="1"/>
  <c r="J3934" i="36" s="1"/>
  <c r="J552" i="36"/>
  <c r="J553" i="36" s="1"/>
  <c r="G555" i="36"/>
  <c r="H557" i="36" s="1"/>
  <c r="I566" i="36" s="1"/>
  <c r="K505" i="35"/>
  <c r="Q505" i="35" s="1"/>
  <c r="K512" i="35"/>
  <c r="Q512" i="35" s="1"/>
  <c r="K604" i="35"/>
  <c r="Q604" i="35" s="1"/>
  <c r="K614" i="35"/>
  <c r="O614" i="35" s="1"/>
  <c r="K617" i="35"/>
  <c r="Q617" i="35" s="1"/>
  <c r="K646" i="35"/>
  <c r="Q646" i="35" s="1"/>
  <c r="K789" i="35"/>
  <c r="Q789" i="35" s="1"/>
  <c r="K804" i="35"/>
  <c r="Q804" i="35" s="1"/>
  <c r="K911" i="35"/>
  <c r="Q911" i="35" s="1"/>
  <c r="K915" i="35"/>
  <c r="Q915" i="35" s="1"/>
  <c r="C3854" i="36"/>
  <c r="D3864" i="36" s="1"/>
  <c r="E3873" i="36" s="1"/>
  <c r="F3881" i="36" s="1"/>
  <c r="G3888" i="36" s="1"/>
  <c r="H3890" i="36" s="1"/>
  <c r="I3899" i="36" s="1"/>
  <c r="O13" i="34"/>
  <c r="S13" i="34" s="1"/>
  <c r="O17" i="34"/>
  <c r="S17" i="34" s="1"/>
  <c r="O24" i="34"/>
  <c r="S24" i="34" s="1"/>
  <c r="O31" i="34"/>
  <c r="S31" i="34" s="1"/>
  <c r="S46" i="34" s="1"/>
  <c r="O35" i="34"/>
  <c r="S35" i="34" s="1"/>
  <c r="O39" i="34"/>
  <c r="S39" i="34" s="1"/>
  <c r="O43" i="34"/>
  <c r="S43" i="34" s="1"/>
  <c r="O50" i="34"/>
  <c r="S50" i="34" s="1"/>
  <c r="O57" i="34"/>
  <c r="S57" i="34" s="1"/>
  <c r="S66" i="34" s="1"/>
  <c r="O61" i="34"/>
  <c r="S61" i="34" s="1"/>
  <c r="O68" i="34"/>
  <c r="S68" i="34" s="1"/>
  <c r="S90" i="34" s="1"/>
  <c r="O72" i="34"/>
  <c r="S72" i="34" s="1"/>
  <c r="O78" i="34"/>
  <c r="S78" i="34" s="1"/>
  <c r="O82" i="34"/>
  <c r="S82" i="34" s="1"/>
  <c r="K454" i="35"/>
  <c r="Q454" i="35" s="1"/>
  <c r="K458" i="35"/>
  <c r="Q458" i="35" s="1"/>
  <c r="B6" i="43"/>
  <c r="H6" i="43"/>
  <c r="K227" i="35"/>
  <c r="Q227" i="35" s="1"/>
  <c r="S175" i="36"/>
  <c r="S600" i="36"/>
  <c r="R648" i="36"/>
  <c r="U648" i="36" s="1"/>
  <c r="V648" i="36" s="1"/>
  <c r="S698" i="36"/>
  <c r="K230" i="35"/>
  <c r="Q230" i="35" s="1"/>
  <c r="S746" i="36"/>
  <c r="R2461" i="36"/>
  <c r="U2461" i="36" s="1"/>
  <c r="V2461" i="36" s="1"/>
  <c r="K223" i="35"/>
  <c r="Q223" i="35" s="1"/>
  <c r="H233" i="35"/>
  <c r="I233" i="35" s="1"/>
  <c r="K233" i="35" s="1"/>
  <c r="K221" i="35"/>
  <c r="Q221" i="35" s="1"/>
  <c r="S46" i="36"/>
  <c r="S132" i="36"/>
  <c r="S216" i="36"/>
  <c r="S89" i="36"/>
  <c r="R697" i="36"/>
  <c r="U697" i="36" s="1"/>
  <c r="V697" i="36" s="1"/>
  <c r="K222" i="35"/>
  <c r="O222" i="35" s="1"/>
  <c r="I234" i="35"/>
  <c r="K234" i="35" s="1"/>
  <c r="F82" i="37"/>
  <c r="O13" i="36"/>
  <c r="U27" i="36"/>
  <c r="V27" i="36" s="1"/>
  <c r="AE27" i="36" s="1"/>
  <c r="V56" i="36"/>
  <c r="R70" i="36"/>
  <c r="O99" i="36"/>
  <c r="U113" i="36"/>
  <c r="V113" i="36" s="1"/>
  <c r="AE113" i="36" s="1"/>
  <c r="R157" i="36"/>
  <c r="N168" i="36"/>
  <c r="N198" i="36"/>
  <c r="U200" i="36"/>
  <c r="V200" i="36" s="1"/>
  <c r="AE200" i="36" s="1"/>
  <c r="T207" i="36"/>
  <c r="T209" i="36"/>
  <c r="N529" i="36"/>
  <c r="R535" i="36"/>
  <c r="N538" i="36"/>
  <c r="S544" i="36"/>
  <c r="S546" i="36"/>
  <c r="O553" i="36"/>
  <c r="N584" i="36"/>
  <c r="U586" i="36"/>
  <c r="V586" i="36" s="1"/>
  <c r="N593" i="36"/>
  <c r="S601" i="36"/>
  <c r="R623" i="36"/>
  <c r="R631" i="36"/>
  <c r="N634" i="36"/>
  <c r="S640" i="36"/>
  <c r="S642" i="36"/>
  <c r="R672" i="36"/>
  <c r="R680" i="36"/>
  <c r="N683" i="36"/>
  <c r="S689" i="36"/>
  <c r="S691" i="36"/>
  <c r="T721" i="36"/>
  <c r="V721" i="36" s="1"/>
  <c r="AE721" i="36" s="1"/>
  <c r="N729" i="36"/>
  <c r="U731" i="36"/>
  <c r="V731" i="36" s="1"/>
  <c r="AE731" i="36" s="1"/>
  <c r="N739" i="36"/>
  <c r="T747" i="36"/>
  <c r="R2446" i="36"/>
  <c r="R114" i="36"/>
  <c r="R147" i="36"/>
  <c r="R155" i="36"/>
  <c r="N158" i="36"/>
  <c r="U198" i="36"/>
  <c r="V198" i="36" s="1"/>
  <c r="AE198" i="36" s="1"/>
  <c r="R201" i="36"/>
  <c r="Q208" i="36"/>
  <c r="N536" i="36"/>
  <c r="U538" i="36"/>
  <c r="V538" i="36" s="1"/>
  <c r="N545" i="36"/>
  <c r="S553" i="36"/>
  <c r="U584" i="36"/>
  <c r="V584" i="36" s="1"/>
  <c r="AE584" i="36" s="1"/>
  <c r="S593" i="36"/>
  <c r="N632" i="36"/>
  <c r="U634" i="36"/>
  <c r="V634" i="36" s="1"/>
  <c r="AE634" i="36" s="1"/>
  <c r="N641" i="36"/>
  <c r="N681" i="36"/>
  <c r="U683" i="36"/>
  <c r="V683" i="36" s="1"/>
  <c r="N690" i="36"/>
  <c r="U729" i="36"/>
  <c r="V729" i="36" s="1"/>
  <c r="AE729" i="36" s="1"/>
  <c r="R732" i="36"/>
  <c r="S739" i="36"/>
  <c r="R2437" i="36"/>
  <c r="R2444" i="36"/>
  <c r="N2447" i="36"/>
  <c r="T2453" i="36"/>
  <c r="R112" i="36"/>
  <c r="N115" i="36"/>
  <c r="V142" i="36"/>
  <c r="N156" i="36"/>
  <c r="U158" i="36"/>
  <c r="V158" i="36" s="1"/>
  <c r="AE158" i="36" s="1"/>
  <c r="T168" i="36"/>
  <c r="R199" i="36"/>
  <c r="T208" i="36"/>
  <c r="U536" i="36"/>
  <c r="V536" i="36" s="1"/>
  <c r="S545" i="36"/>
  <c r="R585" i="36"/>
  <c r="N592" i="36"/>
  <c r="N594" i="36"/>
  <c r="U632" i="36"/>
  <c r="V632" i="36" s="1"/>
  <c r="AE632" i="36" s="1"/>
  <c r="S641" i="36"/>
  <c r="U681" i="36"/>
  <c r="V681" i="36" s="1"/>
  <c r="AE681" i="36" s="1"/>
  <c r="S690" i="36"/>
  <c r="R730" i="36"/>
  <c r="N740" i="36"/>
  <c r="N747" i="36"/>
  <c r="N2445" i="36"/>
  <c r="U2447" i="36"/>
  <c r="V2447" i="36" s="1"/>
  <c r="AE2447" i="36" s="1"/>
  <c r="T2454" i="36"/>
  <c r="V13" i="36"/>
  <c r="U26" i="36"/>
  <c r="V26" i="36" s="1"/>
  <c r="N28" i="36"/>
  <c r="R29" i="36"/>
  <c r="N70" i="36"/>
  <c r="R71" i="36"/>
  <c r="U72" i="36"/>
  <c r="V72" i="36" s="1"/>
  <c r="AE72" i="36" s="1"/>
  <c r="N112" i="36"/>
  <c r="R113" i="36"/>
  <c r="U114" i="36"/>
  <c r="V114" i="36" s="1"/>
  <c r="AE114" i="36" s="1"/>
  <c r="T147" i="36"/>
  <c r="V147" i="36" s="1"/>
  <c r="AE147" i="36" s="1"/>
  <c r="N155" i="36"/>
  <c r="R156" i="36"/>
  <c r="U157" i="36"/>
  <c r="V157" i="36" s="1"/>
  <c r="AE157" i="36" s="1"/>
  <c r="S168" i="36"/>
  <c r="R198" i="36"/>
  <c r="U199" i="36"/>
  <c r="V199" i="36" s="1"/>
  <c r="N201" i="36"/>
  <c r="N207" i="36"/>
  <c r="N208" i="36"/>
  <c r="N209" i="36"/>
  <c r="T528" i="36"/>
  <c r="V528" i="36" s="1"/>
  <c r="AE528" i="36" s="1"/>
  <c r="U535" i="36"/>
  <c r="V535" i="36" s="1"/>
  <c r="AE535" i="36" s="1"/>
  <c r="N537" i="36"/>
  <c r="R538" i="36"/>
  <c r="Q544" i="36"/>
  <c r="Q545" i="36"/>
  <c r="Q546" i="36"/>
  <c r="R553" i="36"/>
  <c r="N576" i="36"/>
  <c r="U583" i="36"/>
  <c r="V583" i="36" s="1"/>
  <c r="AE583" i="36" s="1"/>
  <c r="N585" i="36"/>
  <c r="R586" i="36"/>
  <c r="Q592" i="36"/>
  <c r="Q593" i="36"/>
  <c r="Q594" i="36"/>
  <c r="R601" i="36"/>
  <c r="T623" i="36"/>
  <c r="V623" i="36" s="1"/>
  <c r="AE623" i="36" s="1"/>
  <c r="N631" i="36"/>
  <c r="R632" i="36"/>
  <c r="U633" i="36"/>
  <c r="V633" i="36" s="1"/>
  <c r="AE633" i="36" s="1"/>
  <c r="T640" i="36"/>
  <c r="T641" i="36"/>
  <c r="T642" i="36"/>
  <c r="N672" i="36"/>
  <c r="U680" i="36"/>
  <c r="V680" i="36" s="1"/>
  <c r="AE680" i="36" s="1"/>
  <c r="N682" i="36"/>
  <c r="R683" i="36"/>
  <c r="Q689" i="36"/>
  <c r="Q690" i="36"/>
  <c r="Q691" i="36"/>
  <c r="R729" i="36"/>
  <c r="U730" i="36"/>
  <c r="V730" i="36" s="1"/>
  <c r="AE730" i="36" s="1"/>
  <c r="N732" i="36"/>
  <c r="T739" i="36"/>
  <c r="T740" i="36"/>
  <c r="V740" i="36" s="1"/>
  <c r="O747" i="36"/>
  <c r="N2437" i="36"/>
  <c r="U2444" i="36"/>
  <c r="V2444" i="36" s="1"/>
  <c r="AE2444" i="36" s="1"/>
  <c r="N2446" i="36"/>
  <c r="R2447" i="36"/>
  <c r="N2453" i="36"/>
  <c r="N2454" i="36"/>
  <c r="N2455" i="36"/>
  <c r="Q2455" i="36"/>
  <c r="Q2453" i="36"/>
  <c r="Q2454" i="36"/>
  <c r="N26" i="36"/>
  <c r="R27" i="36"/>
  <c r="U28" i="36"/>
  <c r="V28" i="36" s="1"/>
  <c r="AE28" i="36" s="1"/>
  <c r="O56" i="36"/>
  <c r="R69" i="36"/>
  <c r="U70" i="36"/>
  <c r="V70" i="36" s="1"/>
  <c r="AE70" i="36" s="1"/>
  <c r="N72" i="36"/>
  <c r="V99" i="36"/>
  <c r="U112" i="36"/>
  <c r="V112" i="36" s="1"/>
  <c r="AE112" i="36" s="1"/>
  <c r="N114" i="36"/>
  <c r="R115" i="36"/>
  <c r="O142" i="36"/>
  <c r="N147" i="36"/>
  <c r="U155" i="36"/>
  <c r="V155" i="36" s="1"/>
  <c r="AE155" i="36" s="1"/>
  <c r="N157" i="36"/>
  <c r="R158" i="36"/>
  <c r="Q168" i="36"/>
  <c r="N199" i="36"/>
  <c r="R200" i="36"/>
  <c r="U201" i="36"/>
  <c r="V201" i="36" s="1"/>
  <c r="AE201" i="36" s="1"/>
  <c r="S207" i="36"/>
  <c r="S208" i="36"/>
  <c r="S209" i="36"/>
  <c r="N528" i="36"/>
  <c r="R529" i="36"/>
  <c r="N535" i="36"/>
  <c r="R536" i="36"/>
  <c r="U537" i="36"/>
  <c r="V537" i="36" s="1"/>
  <c r="AE537" i="36" s="1"/>
  <c r="T544" i="36"/>
  <c r="T545" i="36"/>
  <c r="T546" i="36"/>
  <c r="N553" i="36"/>
  <c r="T553" i="36"/>
  <c r="T576" i="36"/>
  <c r="V576" i="36" s="1"/>
  <c r="AE576" i="36" s="1"/>
  <c r="N583" i="36"/>
  <c r="R584" i="36"/>
  <c r="U585" i="36"/>
  <c r="V585" i="36" s="1"/>
  <c r="AE585" i="36" s="1"/>
  <c r="T592" i="36"/>
  <c r="V592" i="36" s="1"/>
  <c r="T593" i="36"/>
  <c r="T594" i="36"/>
  <c r="V594" i="36" s="1"/>
  <c r="N601" i="36"/>
  <c r="T601" i="36"/>
  <c r="N623" i="36"/>
  <c r="U631" i="36"/>
  <c r="V631" i="36" s="1"/>
  <c r="N633" i="36"/>
  <c r="R634" i="36"/>
  <c r="Q640" i="36"/>
  <c r="Q641" i="36"/>
  <c r="Q642" i="36"/>
  <c r="T672" i="36"/>
  <c r="V672" i="36" s="1"/>
  <c r="AE672" i="36" s="1"/>
  <c r="N680" i="36"/>
  <c r="R681" i="36"/>
  <c r="U682" i="36"/>
  <c r="V682" i="36" s="1"/>
  <c r="AE682" i="36" s="1"/>
  <c r="T689" i="36"/>
  <c r="T690" i="36"/>
  <c r="T691" i="36"/>
  <c r="R721" i="36"/>
  <c r="N730" i="36"/>
  <c r="R731" i="36"/>
  <c r="U732" i="36"/>
  <c r="V732" i="36" s="1"/>
  <c r="AE732" i="36" s="1"/>
  <c r="Q739" i="36"/>
  <c r="Q740" i="36"/>
  <c r="S747" i="36"/>
  <c r="T2437" i="36"/>
  <c r="V2437" i="36" s="1"/>
  <c r="AE2437" i="36" s="1"/>
  <c r="N2444" i="36"/>
  <c r="R2445" i="36"/>
  <c r="U2446" i="36"/>
  <c r="V2446" i="36" s="1"/>
  <c r="AE2446" i="36" s="1"/>
  <c r="S2453" i="36"/>
  <c r="S2454" i="36"/>
  <c r="R4130" i="36"/>
  <c r="N779" i="36"/>
  <c r="R780" i="36"/>
  <c r="U781" i="36"/>
  <c r="V781" i="36" s="1"/>
  <c r="AE781" i="36" s="1"/>
  <c r="Q788" i="36"/>
  <c r="Q789" i="36"/>
  <c r="N795" i="36"/>
  <c r="T795" i="36"/>
  <c r="S796" i="36"/>
  <c r="T2485" i="36"/>
  <c r="V2485" i="36" s="1"/>
  <c r="AE2485" i="36" s="1"/>
  <c r="N2493" i="36"/>
  <c r="R2494" i="36"/>
  <c r="U2495" i="36"/>
  <c r="V2495" i="36" s="1"/>
  <c r="AE2495" i="36" s="1"/>
  <c r="S2503" i="36"/>
  <c r="S2504" i="36"/>
  <c r="O2510" i="36"/>
  <c r="N2511" i="36"/>
  <c r="T2511" i="36"/>
  <c r="R3859" i="36"/>
  <c r="N3868" i="36"/>
  <c r="R3869" i="36"/>
  <c r="U3870" i="36"/>
  <c r="V3870" i="36" s="1"/>
  <c r="AE3870" i="36" s="1"/>
  <c r="Q3877" i="36"/>
  <c r="Q3878" i="36"/>
  <c r="N3884" i="36"/>
  <c r="T3884" i="36"/>
  <c r="S3885" i="36"/>
  <c r="R3916" i="36"/>
  <c r="U3917" i="36"/>
  <c r="V3917" i="36" s="1"/>
  <c r="AE3917" i="36" s="1"/>
  <c r="N3919" i="36"/>
  <c r="T3926" i="36"/>
  <c r="T3927" i="36"/>
  <c r="R3933" i="36"/>
  <c r="O3934" i="36"/>
  <c r="R3957" i="36"/>
  <c r="N3966" i="36"/>
  <c r="R3967" i="36"/>
  <c r="U3968" i="36"/>
  <c r="V3968" i="36" s="1"/>
  <c r="AE3968" i="36" s="1"/>
  <c r="Q3975" i="36"/>
  <c r="Q3976" i="36"/>
  <c r="N3982" i="36"/>
  <c r="T3982" i="36"/>
  <c r="S3983" i="36"/>
  <c r="T4006" i="36"/>
  <c r="V4006" i="36" s="1"/>
  <c r="AE4006" i="36" s="1"/>
  <c r="N4014" i="36"/>
  <c r="R4015" i="36"/>
  <c r="U4016" i="36"/>
  <c r="V4016" i="36" s="1"/>
  <c r="AE4016" i="36" s="1"/>
  <c r="S4024" i="36"/>
  <c r="S4025" i="36"/>
  <c r="O4031" i="36"/>
  <c r="N4032" i="36"/>
  <c r="T4032" i="36"/>
  <c r="R4063" i="36"/>
  <c r="U4064" i="36"/>
  <c r="V4064" i="36" s="1"/>
  <c r="AE4064" i="36" s="1"/>
  <c r="N4066" i="36"/>
  <c r="T4073" i="36"/>
  <c r="T4074" i="36"/>
  <c r="R4080" i="36"/>
  <c r="O4081" i="36"/>
  <c r="R4104" i="36"/>
  <c r="N4113" i="36"/>
  <c r="R4114" i="36"/>
  <c r="U4115" i="36"/>
  <c r="V4115" i="36" s="1"/>
  <c r="AE4115" i="36" s="1"/>
  <c r="Q4122" i="36"/>
  <c r="Q4123" i="36"/>
  <c r="N4129" i="36"/>
  <c r="T4129" i="36"/>
  <c r="S4130" i="36"/>
  <c r="N778" i="36"/>
  <c r="R779" i="36"/>
  <c r="U780" i="36"/>
  <c r="V780" i="36" s="1"/>
  <c r="AE780" i="36" s="1"/>
  <c r="S787" i="36"/>
  <c r="S788" i="36"/>
  <c r="S789" i="36"/>
  <c r="O795" i="36"/>
  <c r="N796" i="36"/>
  <c r="T796" i="36"/>
  <c r="R2493" i="36"/>
  <c r="U2494" i="36"/>
  <c r="V2494" i="36" s="1"/>
  <c r="AE2494" i="36" s="1"/>
  <c r="N2496" i="36"/>
  <c r="T2503" i="36"/>
  <c r="T2504" i="36"/>
  <c r="R2510" i="36"/>
  <c r="O2511" i="36"/>
  <c r="T3859" i="36"/>
  <c r="V3859" i="36" s="1"/>
  <c r="AE3859" i="36" s="1"/>
  <c r="N3867" i="36"/>
  <c r="R3868" i="36"/>
  <c r="U3869" i="36"/>
  <c r="V3869" i="36" s="1"/>
  <c r="AE3869" i="36" s="1"/>
  <c r="S3877" i="36"/>
  <c r="S3878" i="36"/>
  <c r="O3884" i="36"/>
  <c r="N3885" i="36"/>
  <c r="T3885" i="36"/>
  <c r="N3908" i="36"/>
  <c r="U3916" i="36"/>
  <c r="V3916" i="36" s="1"/>
  <c r="AE3916" i="36" s="1"/>
  <c r="N3918" i="36"/>
  <c r="R3919" i="36"/>
  <c r="N3926" i="36"/>
  <c r="N3927" i="36"/>
  <c r="S3933" i="36"/>
  <c r="R3934" i="36"/>
  <c r="T3957" i="36"/>
  <c r="V3957" i="36" s="1"/>
  <c r="AE3957" i="36" s="1"/>
  <c r="N3965" i="36"/>
  <c r="R3966" i="36"/>
  <c r="U3967" i="36"/>
  <c r="V3967" i="36" s="1"/>
  <c r="AE3967" i="36" s="1"/>
  <c r="S3975" i="36"/>
  <c r="S3976" i="36"/>
  <c r="O3982" i="36"/>
  <c r="N3983" i="36"/>
  <c r="T3983" i="36"/>
  <c r="R4014" i="36"/>
  <c r="U4015" i="36"/>
  <c r="V4015" i="36" s="1"/>
  <c r="AE4015" i="36" s="1"/>
  <c r="N4017" i="36"/>
  <c r="T4024" i="36"/>
  <c r="T4025" i="36"/>
  <c r="R4031" i="36"/>
  <c r="O4032" i="36"/>
  <c r="N4055" i="36"/>
  <c r="N4065" i="36"/>
  <c r="R4066" i="36"/>
  <c r="N4073" i="36"/>
  <c r="N4074" i="36"/>
  <c r="S4080" i="36"/>
  <c r="R4081" i="36"/>
  <c r="T4104" i="36"/>
  <c r="V4104" i="36" s="1"/>
  <c r="AE4104" i="36" s="1"/>
  <c r="N4112" i="36"/>
  <c r="R4113" i="36"/>
  <c r="U4114" i="36"/>
  <c r="V4114" i="36" s="1"/>
  <c r="AE4114" i="36" s="1"/>
  <c r="S4122" i="36"/>
  <c r="S4123" i="36"/>
  <c r="O4129" i="36"/>
  <c r="N4130" i="36"/>
  <c r="T4130" i="36"/>
  <c r="R778" i="36"/>
  <c r="U779" i="36"/>
  <c r="V779" i="36" s="1"/>
  <c r="AE779" i="36" s="1"/>
  <c r="N781" i="36"/>
  <c r="N787" i="36"/>
  <c r="T787" i="36"/>
  <c r="T788" i="36"/>
  <c r="T789" i="36"/>
  <c r="R795" i="36"/>
  <c r="O796" i="36"/>
  <c r="N2485" i="36"/>
  <c r="U2493" i="36"/>
  <c r="V2493" i="36" s="1"/>
  <c r="N2495" i="36"/>
  <c r="R2496" i="36"/>
  <c r="N2503" i="36"/>
  <c r="N2504" i="36"/>
  <c r="S2510" i="36"/>
  <c r="R2511" i="36"/>
  <c r="R3867" i="36"/>
  <c r="U3868" i="36"/>
  <c r="V3868" i="36" s="1"/>
  <c r="AE3868" i="36" s="1"/>
  <c r="N3870" i="36"/>
  <c r="T3877" i="36"/>
  <c r="T3878" i="36"/>
  <c r="R3884" i="36"/>
  <c r="O3885" i="36"/>
  <c r="R3908" i="36"/>
  <c r="N3917" i="36"/>
  <c r="R3918" i="36"/>
  <c r="U3919" i="36"/>
  <c r="V3919" i="36" s="1"/>
  <c r="AE3919" i="36" s="1"/>
  <c r="Q3926" i="36"/>
  <c r="Q3927" i="36"/>
  <c r="N3933" i="36"/>
  <c r="T3933" i="36"/>
  <c r="S3934" i="36"/>
  <c r="R3965" i="36"/>
  <c r="U3966" i="36"/>
  <c r="V3966" i="36" s="1"/>
  <c r="AE3966" i="36" s="1"/>
  <c r="N3968" i="36"/>
  <c r="T3975" i="36"/>
  <c r="T3976" i="36"/>
  <c r="R3982" i="36"/>
  <c r="O3983" i="36"/>
  <c r="N4006" i="36"/>
  <c r="U4014" i="36"/>
  <c r="V4014" i="36" s="1"/>
  <c r="N4016" i="36"/>
  <c r="R4017" i="36"/>
  <c r="N4024" i="36"/>
  <c r="N4025" i="36"/>
  <c r="S4031" i="36"/>
  <c r="R4032" i="36"/>
  <c r="R4055" i="36"/>
  <c r="N4064" i="36"/>
  <c r="R4065" i="36"/>
  <c r="U4066" i="36"/>
  <c r="V4066" i="36" s="1"/>
  <c r="AE4066" i="36" s="1"/>
  <c r="Q4073" i="36"/>
  <c r="Q4074" i="36"/>
  <c r="N4080" i="36"/>
  <c r="T4080" i="36"/>
  <c r="S4081" i="36"/>
  <c r="R4112" i="36"/>
  <c r="U4113" i="36"/>
  <c r="V4113" i="36" s="1"/>
  <c r="AE4113" i="36" s="1"/>
  <c r="N4115" i="36"/>
  <c r="T4122" i="36"/>
  <c r="T4123" i="36"/>
  <c r="R4129" i="36"/>
  <c r="O4130" i="36"/>
  <c r="U778" i="36"/>
  <c r="V778" i="36" s="1"/>
  <c r="AE778" i="36" s="1"/>
  <c r="N780" i="36"/>
  <c r="R781" i="36"/>
  <c r="Q787" i="36"/>
  <c r="N788" i="36"/>
  <c r="N789" i="36"/>
  <c r="S795" i="36"/>
  <c r="R796" i="36"/>
  <c r="R2485" i="36"/>
  <c r="N2494" i="36"/>
  <c r="R2495" i="36"/>
  <c r="U2496" i="36"/>
  <c r="V2496" i="36" s="1"/>
  <c r="AE2496" i="36" s="1"/>
  <c r="Q2503" i="36"/>
  <c r="Q2504" i="36"/>
  <c r="N2510" i="36"/>
  <c r="T2510" i="36"/>
  <c r="S2511" i="36"/>
  <c r="N3859" i="36"/>
  <c r="U3867" i="36"/>
  <c r="V3867" i="36" s="1"/>
  <c r="N3869" i="36"/>
  <c r="R3870" i="36"/>
  <c r="N3877" i="36"/>
  <c r="N3878" i="36"/>
  <c r="S3884" i="36"/>
  <c r="R3885" i="36"/>
  <c r="T3908" i="36"/>
  <c r="V3908" i="36" s="1"/>
  <c r="AE3908" i="36" s="1"/>
  <c r="N3916" i="36"/>
  <c r="R3917" i="36"/>
  <c r="U3918" i="36"/>
  <c r="V3918" i="36" s="1"/>
  <c r="AE3918" i="36" s="1"/>
  <c r="S3926" i="36"/>
  <c r="S3927" i="36"/>
  <c r="O3933" i="36"/>
  <c r="N3934" i="36"/>
  <c r="T3934" i="36"/>
  <c r="N3957" i="36"/>
  <c r="N3967" i="36"/>
  <c r="R3968" i="36"/>
  <c r="N3975" i="36"/>
  <c r="N3976" i="36"/>
  <c r="S3982" i="36"/>
  <c r="R3983" i="36"/>
  <c r="R4006" i="36"/>
  <c r="N4015" i="36"/>
  <c r="R4016" i="36"/>
  <c r="U4017" i="36"/>
  <c r="V4017" i="36" s="1"/>
  <c r="AE4017" i="36" s="1"/>
  <c r="Q4024" i="36"/>
  <c r="Q4025" i="36"/>
  <c r="N4031" i="36"/>
  <c r="T4031" i="36"/>
  <c r="S4032" i="36"/>
  <c r="T4055" i="36"/>
  <c r="V4055" i="36" s="1"/>
  <c r="AE4055" i="36" s="1"/>
  <c r="N4063" i="36"/>
  <c r="R4064" i="36"/>
  <c r="U4065" i="36"/>
  <c r="V4065" i="36" s="1"/>
  <c r="AE4065" i="36" s="1"/>
  <c r="S4073" i="36"/>
  <c r="S4074" i="36"/>
  <c r="O4080" i="36"/>
  <c r="N4081" i="36"/>
  <c r="T4081" i="36"/>
  <c r="N4104" i="36"/>
  <c r="U4112" i="36"/>
  <c r="V4112" i="36" s="1"/>
  <c r="N4114" i="36"/>
  <c r="R4115" i="36"/>
  <c r="N4122" i="36"/>
  <c r="N4123" i="36"/>
  <c r="S4129" i="36"/>
  <c r="G219" i="36"/>
  <c r="H221" i="36" s="1"/>
  <c r="I230" i="36" s="1"/>
  <c r="J215" i="36"/>
  <c r="J216" i="36" s="1"/>
  <c r="J2461" i="36"/>
  <c r="J2462" i="36" s="1"/>
  <c r="G2465" i="36"/>
  <c r="H2467" i="36" s="1"/>
  <c r="I2476" i="36" s="1"/>
  <c r="G93" i="36"/>
  <c r="H95" i="36" s="1"/>
  <c r="E163" i="36"/>
  <c r="O84" i="34"/>
  <c r="S84" i="34" s="1"/>
  <c r="O83" i="34"/>
  <c r="S83" i="34" s="1"/>
  <c r="O76" i="34"/>
  <c r="S76" i="34" s="1"/>
  <c r="O75" i="34"/>
  <c r="S75" i="34" s="1"/>
  <c r="G603" i="36"/>
  <c r="H605" i="36" s="1"/>
  <c r="I614" i="36" s="1"/>
  <c r="J600" i="36"/>
  <c r="J601" i="36" s="1"/>
  <c r="K455" i="35"/>
  <c r="Q455" i="35" s="1"/>
  <c r="K504" i="35"/>
  <c r="Q504" i="35" s="1"/>
  <c r="K507" i="35"/>
  <c r="Q507" i="35" s="1"/>
  <c r="K549" i="35"/>
  <c r="Q549" i="35" s="1"/>
  <c r="K603" i="35"/>
  <c r="Q603" i="35" s="1"/>
  <c r="K657" i="35"/>
  <c r="Q657" i="35" s="1"/>
  <c r="K660" i="35"/>
  <c r="O660" i="35" s="1"/>
  <c r="K803" i="35"/>
  <c r="Q803" i="35" s="1"/>
  <c r="K910" i="35"/>
  <c r="Q910" i="35" s="1"/>
  <c r="K914" i="35"/>
  <c r="Q914" i="35" s="1"/>
  <c r="D4" i="37"/>
  <c r="K427" i="35"/>
  <c r="Q427" i="35" s="1"/>
  <c r="K457" i="35"/>
  <c r="Q457" i="35" s="1"/>
  <c r="K525" i="35"/>
  <c r="Q525" i="35" s="1"/>
  <c r="K547" i="35"/>
  <c r="Q547" i="35" s="1"/>
  <c r="K601" i="35"/>
  <c r="Q601" i="35" s="1"/>
  <c r="K615" i="35"/>
  <c r="Q615" i="35" s="1"/>
  <c r="K618" i="35"/>
  <c r="Q618" i="35" s="1"/>
  <c r="K630" i="35"/>
  <c r="Q630" i="35" s="1"/>
  <c r="K787" i="35"/>
  <c r="Q787" i="35" s="1"/>
  <c r="K790" i="35"/>
  <c r="Q790" i="35" s="1"/>
  <c r="K801" i="35"/>
  <c r="Q801" i="35" s="1"/>
  <c r="K805" i="35"/>
  <c r="Q805" i="35" s="1"/>
  <c r="K908" i="35"/>
  <c r="Q908" i="35" s="1"/>
  <c r="K912" i="35"/>
  <c r="Q912" i="35" s="1"/>
  <c r="O876" i="35"/>
  <c r="O880" i="35"/>
  <c r="O888" i="35"/>
  <c r="O892" i="35"/>
  <c r="O896" i="35"/>
  <c r="O15" i="35"/>
  <c r="O32" i="35"/>
  <c r="O67" i="35"/>
  <c r="O422" i="35"/>
  <c r="O602" i="35"/>
  <c r="O730" i="35"/>
  <c r="O564" i="35"/>
  <c r="O686" i="35"/>
  <c r="O450" i="35"/>
  <c r="O27" i="35"/>
  <c r="O116" i="35"/>
  <c r="O213" i="35"/>
  <c r="O552" i="35"/>
  <c r="O241" i="35"/>
  <c r="O542" i="35"/>
  <c r="O592" i="35"/>
  <c r="O64" i="35"/>
  <c r="O72" i="35"/>
  <c r="O90" i="35"/>
  <c r="Q116" i="35"/>
  <c r="O176" i="35"/>
  <c r="O328" i="35"/>
  <c r="O378" i="35"/>
  <c r="O573" i="35"/>
  <c r="O785" i="35"/>
  <c r="O817" i="35"/>
  <c r="Q690" i="35"/>
  <c r="O690" i="35"/>
  <c r="Q172" i="35"/>
  <c r="O172" i="35"/>
  <c r="V125" i="36"/>
  <c r="AE125" i="36" s="1"/>
  <c r="O59" i="35"/>
  <c r="O495" i="35"/>
  <c r="O70" i="35"/>
  <c r="O144" i="35"/>
  <c r="O184" i="35"/>
  <c r="O188" i="35"/>
  <c r="O250" i="35"/>
  <c r="O339" i="35"/>
  <c r="O409" i="35"/>
  <c r="O426" i="35"/>
  <c r="O643" i="35"/>
  <c r="O651" i="35"/>
  <c r="O897" i="35"/>
  <c r="O48" i="35"/>
  <c r="O249" i="35"/>
  <c r="O534" i="35"/>
  <c r="O560" i="35"/>
  <c r="O565" i="35"/>
  <c r="O580" i="35"/>
  <c r="O597" i="35"/>
  <c r="O714" i="35"/>
  <c r="O716" i="35"/>
  <c r="O731" i="35"/>
  <c r="O784" i="35"/>
  <c r="Q117" i="35"/>
  <c r="O117" i="35"/>
  <c r="V82" i="36"/>
  <c r="AE82" i="36" s="1"/>
  <c r="O77" i="35"/>
  <c r="O79" i="35"/>
  <c r="O91" i="35"/>
  <c r="O168" i="35"/>
  <c r="Q176" i="35"/>
  <c r="O177" i="35"/>
  <c r="Q533" i="35"/>
  <c r="O533" i="35"/>
  <c r="Q596" i="35"/>
  <c r="O596" i="35"/>
  <c r="Q882" i="35"/>
  <c r="O882" i="35"/>
  <c r="O23" i="35"/>
  <c r="O55" i="35"/>
  <c r="Q70" i="35"/>
  <c r="O83" i="35"/>
  <c r="O103" i="35"/>
  <c r="O124" i="35"/>
  <c r="Q213" i="35"/>
  <c r="Q425" i="35"/>
  <c r="O425" i="35"/>
  <c r="O622" i="35"/>
  <c r="Q622" i="35"/>
  <c r="V81" i="36"/>
  <c r="Z81" i="36" s="1"/>
  <c r="V167" i="36"/>
  <c r="AE167" i="36" s="1"/>
  <c r="U2462" i="36"/>
  <c r="V2462" i="36" s="1"/>
  <c r="O22" i="35"/>
  <c r="O38" i="35"/>
  <c r="O54" i="35"/>
  <c r="O71" i="35"/>
  <c r="O107" i="35"/>
  <c r="O128" i="35"/>
  <c r="O152" i="35"/>
  <c r="O260" i="35"/>
  <c r="O338" i="35"/>
  <c r="O347" i="35"/>
  <c r="O357" i="35"/>
  <c r="O368" i="35"/>
  <c r="O370" i="35"/>
  <c r="O384" i="35"/>
  <c r="O390" i="35"/>
  <c r="O400" i="35"/>
  <c r="O406" i="35"/>
  <c r="O416" i="35"/>
  <c r="O430" i="35"/>
  <c r="O451" i="35"/>
  <c r="O493" i="35"/>
  <c r="O548" i="35"/>
  <c r="O589" i="35"/>
  <c r="O675" i="35"/>
  <c r="O687" i="35"/>
  <c r="O706" i="35"/>
  <c r="O732" i="35"/>
  <c r="O773" i="35"/>
  <c r="O777" i="35"/>
  <c r="O781" i="35"/>
  <c r="O793" i="35"/>
  <c r="O835" i="35"/>
  <c r="O850" i="35"/>
  <c r="O878" i="35"/>
  <c r="O883" i="35"/>
  <c r="O890" i="35"/>
  <c r="O333" i="35"/>
  <c r="O337" i="35"/>
  <c r="O443" i="35"/>
  <c r="O584" i="35"/>
  <c r="O829" i="35"/>
  <c r="O900" i="35"/>
  <c r="O156" i="35"/>
  <c r="O252" i="35"/>
  <c r="O268" i="35"/>
  <c r="O272" i="35"/>
  <c r="O330" i="35"/>
  <c r="O373" i="35"/>
  <c r="O381" i="35"/>
  <c r="O397" i="35"/>
  <c r="O410" i="35"/>
  <c r="O413" i="35"/>
  <c r="O431" i="35"/>
  <c r="O442" i="35"/>
  <c r="O468" i="35"/>
  <c r="O481" i="35"/>
  <c r="O492" i="35"/>
  <c r="O500" i="35"/>
  <c r="O557" i="35"/>
  <c r="O581" i="35"/>
  <c r="O632" i="35"/>
  <c r="O649" i="35"/>
  <c r="O674" i="35"/>
  <c r="O698" i="35"/>
  <c r="O724" i="35"/>
  <c r="O727" i="35"/>
  <c r="O733" i="35"/>
  <c r="O768" i="35"/>
  <c r="O776" i="35"/>
  <c r="O864" i="35"/>
  <c r="O884" i="35"/>
  <c r="Y90" i="36"/>
  <c r="AB90" i="36" s="1"/>
  <c r="Z90" i="36"/>
  <c r="Y73" i="36"/>
  <c r="AB73" i="36" s="1"/>
  <c r="Z63" i="36"/>
  <c r="Y61" i="36"/>
  <c r="AB61" i="36" s="1"/>
  <c r="Y75" i="36"/>
  <c r="AB75" i="36" s="1"/>
  <c r="Y80" i="36"/>
  <c r="AB80" i="36" s="1"/>
  <c r="Y82" i="36"/>
  <c r="AB82" i="36" s="1"/>
  <c r="O21" i="35"/>
  <c r="O37" i="35"/>
  <c r="O53" i="35"/>
  <c r="O161" i="35"/>
  <c r="O193" i="35"/>
  <c r="O261" i="35"/>
  <c r="V37" i="36"/>
  <c r="V39" i="36"/>
  <c r="AE39" i="36" s="1"/>
  <c r="Y69" i="36"/>
  <c r="AB69" i="36" s="1"/>
  <c r="Y81" i="36"/>
  <c r="AB81" i="36" s="1"/>
  <c r="Z83" i="36"/>
  <c r="V166" i="36"/>
  <c r="AE166" i="36" s="1"/>
  <c r="Z61" i="36"/>
  <c r="Y64" i="36"/>
  <c r="AB64" i="36" s="1"/>
  <c r="Z74" i="36"/>
  <c r="Q75" i="35"/>
  <c r="O75" i="35"/>
  <c r="O253" i="35"/>
  <c r="O269" i="35"/>
  <c r="Y62" i="36"/>
  <c r="AB62" i="36" s="1"/>
  <c r="Y71" i="36"/>
  <c r="AB71" i="36" s="1"/>
  <c r="Y84" i="36"/>
  <c r="AB84" i="36" s="1"/>
  <c r="Y91" i="36"/>
  <c r="AB91" i="36" s="1"/>
  <c r="V190" i="36"/>
  <c r="AE575" i="36"/>
  <c r="O133" i="35"/>
  <c r="O242" i="35"/>
  <c r="O80" i="35"/>
  <c r="O100" i="35"/>
  <c r="O149" i="35"/>
  <c r="O158" i="35"/>
  <c r="O169" i="35"/>
  <c r="O173" i="35"/>
  <c r="Q556" i="35"/>
  <c r="O556" i="35"/>
  <c r="Q830" i="35"/>
  <c r="O830" i="35"/>
  <c r="Q874" i="35"/>
  <c r="O874" i="35"/>
  <c r="V80" i="36"/>
  <c r="Z80" i="36" s="1"/>
  <c r="V123" i="36"/>
  <c r="AE123" i="36" s="1"/>
  <c r="V124" i="36"/>
  <c r="AE124" i="36" s="1"/>
  <c r="O29" i="35"/>
  <c r="O61" i="35"/>
  <c r="O87" i="35"/>
  <c r="O93" i="35"/>
  <c r="O95" i="35"/>
  <c r="O96" i="35"/>
  <c r="O99" i="35"/>
  <c r="O104" i="35"/>
  <c r="O108" i="35"/>
  <c r="O132" i="35"/>
  <c r="O142" i="35"/>
  <c r="O153" i="35"/>
  <c r="O157" i="35"/>
  <c r="O159" i="35"/>
  <c r="O192" i="35"/>
  <c r="O197" i="35"/>
  <c r="O206" i="35"/>
  <c r="O209" i="35"/>
  <c r="O239" i="35"/>
  <c r="O247" i="35"/>
  <c r="O258" i="35"/>
  <c r="O266" i="35"/>
  <c r="O274" i="35"/>
  <c r="O331" i="35"/>
  <c r="O342" i="35"/>
  <c r="O361" i="35"/>
  <c r="O445" i="35"/>
  <c r="O453" i="35"/>
  <c r="O508" i="35"/>
  <c r="O510" i="35"/>
  <c r="Q517" i="35"/>
  <c r="O517" i="35"/>
  <c r="O545" i="35"/>
  <c r="O568" i="35"/>
  <c r="Q572" i="35"/>
  <c r="O572" i="35"/>
  <c r="O702" i="35"/>
  <c r="O76" i="35"/>
  <c r="O88" i="35"/>
  <c r="O121" i="35"/>
  <c r="O130" i="35"/>
  <c r="O136" i="35"/>
  <c r="O137" i="35"/>
  <c r="O140" i="35"/>
  <c r="Q144" i="35"/>
  <c r="O145" i="35"/>
  <c r="O181" i="35"/>
  <c r="O190" i="35"/>
  <c r="O200" i="35"/>
  <c r="O201" i="35"/>
  <c r="O204" i="35"/>
  <c r="O205" i="35"/>
  <c r="O240" i="35"/>
  <c r="O248" i="35"/>
  <c r="O259" i="35"/>
  <c r="O267" i="35"/>
  <c r="O275" i="35"/>
  <c r="O334" i="35"/>
  <c r="O341" i="35"/>
  <c r="O360" i="35"/>
  <c r="O367" i="35"/>
  <c r="O377" i="35"/>
  <c r="Q588" i="35"/>
  <c r="O588" i="35"/>
  <c r="O12" i="35"/>
  <c r="O24" i="35"/>
  <c r="O40" i="35"/>
  <c r="O46" i="35"/>
  <c r="O56" i="35"/>
  <c r="O62" i="35"/>
  <c r="O68" i="35"/>
  <c r="O84" i="35"/>
  <c r="O92" i="35"/>
  <c r="O125" i="35"/>
  <c r="O129" i="35"/>
  <c r="O131" i="35"/>
  <c r="O160" i="35"/>
  <c r="O165" i="35"/>
  <c r="O174" i="35"/>
  <c r="O185" i="35"/>
  <c r="O189" i="35"/>
  <c r="O191" i="35"/>
  <c r="O327" i="35"/>
  <c r="O521" i="35"/>
  <c r="Q541" i="35"/>
  <c r="O541" i="35"/>
  <c r="O600" i="35"/>
  <c r="O429" i="35"/>
  <c r="O437" i="35"/>
  <c r="O553" i="35"/>
  <c r="O569" i="35"/>
  <c r="O585" i="35"/>
  <c r="O619" i="35"/>
  <c r="O683" i="35"/>
  <c r="O691" i="35"/>
  <c r="O694" i="35"/>
  <c r="O703" i="35"/>
  <c r="O707" i="35"/>
  <c r="O710" i="35"/>
  <c r="Q716" i="35"/>
  <c r="Q724" i="35"/>
  <c r="O744" i="35"/>
  <c r="Q906" i="35"/>
  <c r="O906" i="35"/>
  <c r="O403" i="35"/>
  <c r="O419" i="35"/>
  <c r="O473" i="35"/>
  <c r="O641" i="35"/>
  <c r="O653" i="35"/>
  <c r="O655" i="35"/>
  <c r="O659" i="35"/>
  <c r="O682" i="35"/>
  <c r="O699" i="35"/>
  <c r="O728" i="35"/>
  <c r="Q762" i="35"/>
  <c r="O762" i="35"/>
  <c r="O769" i="35"/>
  <c r="Q797" i="35"/>
  <c r="O797" i="35"/>
  <c r="Q827" i="35"/>
  <c r="O827" i="35"/>
  <c r="O375" i="35"/>
  <c r="O380" i="35"/>
  <c r="O391" i="35"/>
  <c r="O396" i="35"/>
  <c r="O407" i="35"/>
  <c r="O412" i="35"/>
  <c r="O423" i="35"/>
  <c r="O432" i="35"/>
  <c r="O494" i="35"/>
  <c r="O506" i="35"/>
  <c r="O546" i="35"/>
  <c r="O561" i="35"/>
  <c r="O593" i="35"/>
  <c r="O645" i="35"/>
  <c r="O666" i="35"/>
  <c r="O671" i="35"/>
  <c r="O918" i="35"/>
  <c r="O924" i="35"/>
  <c r="O726" i="35"/>
  <c r="O770" i="35"/>
  <c r="O774" i="35"/>
  <c r="O818" i="35"/>
  <c r="O832" i="35"/>
  <c r="O834" i="35"/>
  <c r="O840" i="35"/>
  <c r="O847" i="35"/>
  <c r="O877" i="35"/>
  <c r="O889" i="35"/>
  <c r="O895" i="35"/>
  <c r="O923" i="35"/>
  <c r="O831" i="35"/>
  <c r="O836" i="35"/>
  <c r="O839" i="35"/>
  <c r="O846" i="35"/>
  <c r="O903" i="35"/>
  <c r="O920" i="35"/>
  <c r="O679" i="35"/>
  <c r="O695" i="35"/>
  <c r="O711" i="35"/>
  <c r="O718" i="35"/>
  <c r="O720" i="35"/>
  <c r="O729" i="35"/>
  <c r="O816" i="35"/>
  <c r="O851" i="35"/>
  <c r="O879" i="35"/>
  <c r="O885" i="35"/>
  <c r="O891" i="35"/>
  <c r="O899" i="35"/>
  <c r="O902" i="35"/>
  <c r="O919" i="35"/>
  <c r="Q441" i="35"/>
  <c r="O441" i="35"/>
  <c r="Q449" i="35"/>
  <c r="O449" i="35"/>
  <c r="O195" i="35"/>
  <c r="Q195" i="35"/>
  <c r="O86" i="35"/>
  <c r="Q86" i="35"/>
  <c r="O147" i="35"/>
  <c r="Q147" i="35"/>
  <c r="Q405" i="35"/>
  <c r="O405" i="35"/>
  <c r="Q421" i="35"/>
  <c r="O421" i="35"/>
  <c r="AE29" i="36"/>
  <c r="AE69" i="36"/>
  <c r="V738" i="36"/>
  <c r="AE2445" i="36"/>
  <c r="O179" i="35"/>
  <c r="Q179" i="35"/>
  <c r="Q31" i="35"/>
  <c r="O31" i="35"/>
  <c r="Q47" i="35"/>
  <c r="O47" i="35"/>
  <c r="Q63" i="35"/>
  <c r="O63" i="35"/>
  <c r="O102" i="35"/>
  <c r="Q102" i="35"/>
  <c r="O106" i="35"/>
  <c r="Q106" i="35"/>
  <c r="O163" i="35"/>
  <c r="Q163" i="35"/>
  <c r="O681" i="35"/>
  <c r="Q681" i="35"/>
  <c r="Z62" i="36"/>
  <c r="Y63" i="36"/>
  <c r="AB63" i="36" s="1"/>
  <c r="Z71" i="36"/>
  <c r="Y72" i="36"/>
  <c r="Z75" i="36"/>
  <c r="Y83" i="36"/>
  <c r="AB83" i="36" s="1"/>
  <c r="Y89" i="36"/>
  <c r="Z91" i="36"/>
  <c r="O13" i="35"/>
  <c r="O16" i="35"/>
  <c r="O18" i="35"/>
  <c r="O19" i="35"/>
  <c r="O25" i="35"/>
  <c r="O28" i="35"/>
  <c r="O34" i="35"/>
  <c r="O35" i="35"/>
  <c r="O44" i="35"/>
  <c r="O50" i="35"/>
  <c r="O51" i="35"/>
  <c r="O57" i="35"/>
  <c r="O60" i="35"/>
  <c r="Q66" i="35"/>
  <c r="O66" i="35"/>
  <c r="Q94" i="35"/>
  <c r="O94" i="35"/>
  <c r="Q98" i="35"/>
  <c r="O98" i="35"/>
  <c r="Q131" i="35"/>
  <c r="Q159" i="35"/>
  <c r="Q191" i="35"/>
  <c r="O212" i="35"/>
  <c r="Q212" i="35"/>
  <c r="Q332" i="35"/>
  <c r="O332" i="35"/>
  <c r="Q359" i="35"/>
  <c r="O359" i="35"/>
  <c r="O697" i="35"/>
  <c r="Q697" i="35"/>
  <c r="Q901" i="35"/>
  <c r="O901" i="35"/>
  <c r="O904" i="35"/>
  <c r="Q904" i="35"/>
  <c r="Q921" i="35"/>
  <c r="O921" i="35"/>
  <c r="Q120" i="35"/>
  <c r="O120" i="35"/>
  <c r="Q148" i="35"/>
  <c r="O148" i="35"/>
  <c r="Q164" i="35"/>
  <c r="O164" i="35"/>
  <c r="Q180" i="35"/>
  <c r="O180" i="35"/>
  <c r="Q196" i="35"/>
  <c r="O196" i="35"/>
  <c r="Q244" i="35"/>
  <c r="O244" i="35"/>
  <c r="Q255" i="35"/>
  <c r="O255" i="35"/>
  <c r="Q263" i="35"/>
  <c r="O263" i="35"/>
  <c r="Q271" i="35"/>
  <c r="O271" i="35"/>
  <c r="Q491" i="35"/>
  <c r="O491" i="35"/>
  <c r="Q499" i="35"/>
  <c r="O499" i="35"/>
  <c r="Z64" i="36"/>
  <c r="Z69" i="36"/>
  <c r="Y70" i="36"/>
  <c r="Z73" i="36"/>
  <c r="Y74" i="36"/>
  <c r="AB74" i="36" s="1"/>
  <c r="Z84" i="36"/>
  <c r="O20" i="35"/>
  <c r="O26" i="35"/>
  <c r="O33" i="35"/>
  <c r="O42" i="35"/>
  <c r="O49" i="35"/>
  <c r="O52" i="35"/>
  <c r="O58" i="35"/>
  <c r="Q78" i="35"/>
  <c r="O78" i="35"/>
  <c r="Q82" i="35"/>
  <c r="O82" i="35"/>
  <c r="N215" i="35"/>
  <c r="O123" i="35"/>
  <c r="Q123" i="35"/>
  <c r="O127" i="35"/>
  <c r="Q127" i="35"/>
  <c r="O139" i="35"/>
  <c r="Q139" i="35"/>
  <c r="O151" i="35"/>
  <c r="Q151" i="35"/>
  <c r="O155" i="35"/>
  <c r="Q155" i="35"/>
  <c r="O167" i="35"/>
  <c r="Q167" i="35"/>
  <c r="O171" i="35"/>
  <c r="Q171" i="35"/>
  <c r="O183" i="35"/>
  <c r="Q183" i="35"/>
  <c r="O187" i="35"/>
  <c r="Q187" i="35"/>
  <c r="O199" i="35"/>
  <c r="Q199" i="35"/>
  <c r="O203" i="35"/>
  <c r="Q203" i="35"/>
  <c r="O65" i="35"/>
  <c r="O81" i="35"/>
  <c r="O97" i="35"/>
  <c r="O105" i="35"/>
  <c r="O126" i="35"/>
  <c r="O138" i="35"/>
  <c r="O154" i="35"/>
  <c r="O170" i="35"/>
  <c r="O186" i="35"/>
  <c r="O202" i="35"/>
  <c r="Q208" i="35"/>
  <c r="O208" i="35"/>
  <c r="Q246" i="35"/>
  <c r="O246" i="35"/>
  <c r="Q257" i="35"/>
  <c r="O257" i="35"/>
  <c r="Q265" i="35"/>
  <c r="O265" i="35"/>
  <c r="Q273" i="35"/>
  <c r="O273" i="35"/>
  <c r="Q336" i="35"/>
  <c r="O336" i="35"/>
  <c r="Q366" i="35"/>
  <c r="O366" i="35"/>
  <c r="Q428" i="35"/>
  <c r="O428" i="35"/>
  <c r="O69" i="35"/>
  <c r="O85" i="35"/>
  <c r="O101" i="35"/>
  <c r="N110" i="35"/>
  <c r="O122" i="35"/>
  <c r="O150" i="35"/>
  <c r="O166" i="35"/>
  <c r="O182" i="35"/>
  <c r="O198" i="35"/>
  <c r="Q210" i="35"/>
  <c r="O210" i="35"/>
  <c r="O73" i="35"/>
  <c r="O89" i="35"/>
  <c r="O118" i="35"/>
  <c r="O146" i="35"/>
  <c r="O162" i="35"/>
  <c r="O178" i="35"/>
  <c r="O194" i="35"/>
  <c r="O207" i="35"/>
  <c r="N235" i="35"/>
  <c r="O245" i="35"/>
  <c r="O256" i="35"/>
  <c r="O264" i="35"/>
  <c r="Q340" i="35"/>
  <c r="O340" i="35"/>
  <c r="Q348" i="35"/>
  <c r="O348" i="35"/>
  <c r="O353" i="35"/>
  <c r="O356" i="35"/>
  <c r="O369" i="35"/>
  <c r="O376" i="35"/>
  <c r="O383" i="35"/>
  <c r="O386" i="35"/>
  <c r="O399" i="35"/>
  <c r="O402" i="35"/>
  <c r="O408" i="35"/>
  <c r="O415" i="35"/>
  <c r="O418" i="35"/>
  <c r="O424" i="35"/>
  <c r="O433" i="35"/>
  <c r="O436" i="35"/>
  <c r="O211" i="35"/>
  <c r="O243" i="35"/>
  <c r="N308" i="35"/>
  <c r="O254" i="35"/>
  <c r="O262" i="35"/>
  <c r="O270" i="35"/>
  <c r="O326" i="35"/>
  <c r="O358" i="35"/>
  <c r="O365" i="35"/>
  <c r="O372" i="35"/>
  <c r="O379" i="35"/>
  <c r="O382" i="35"/>
  <c r="O395" i="35"/>
  <c r="O398" i="35"/>
  <c r="O404" i="35"/>
  <c r="O411" i="35"/>
  <c r="O414" i="35"/>
  <c r="O420" i="35"/>
  <c r="Q435" i="35"/>
  <c r="O435" i="35"/>
  <c r="Q480" i="35"/>
  <c r="O480" i="35"/>
  <c r="K308" i="35"/>
  <c r="Q331" i="35"/>
  <c r="Q339" i="35"/>
  <c r="Q347" i="35"/>
  <c r="O385" i="35"/>
  <c r="O401" i="35"/>
  <c r="O417" i="35"/>
  <c r="Q439" i="35"/>
  <c r="O439" i="35"/>
  <c r="O434" i="35"/>
  <c r="O440" i="35"/>
  <c r="O448" i="35"/>
  <c r="O463" i="35"/>
  <c r="O471" i="35"/>
  <c r="O479" i="35"/>
  <c r="O490" i="35"/>
  <c r="O498" i="35"/>
  <c r="O514" i="35"/>
  <c r="O518" i="35"/>
  <c r="O522" i="35"/>
  <c r="O526" i="35"/>
  <c r="O532" i="35"/>
  <c r="O536" i="35"/>
  <c r="O540" i="35"/>
  <c r="O544" i="35"/>
  <c r="O555" i="35"/>
  <c r="O559" i="35"/>
  <c r="O563" i="35"/>
  <c r="O567" i="35"/>
  <c r="O571" i="35"/>
  <c r="O575" i="35"/>
  <c r="O583" i="35"/>
  <c r="O587" i="35"/>
  <c r="O591" i="35"/>
  <c r="O595" i="35"/>
  <c r="Q640" i="35"/>
  <c r="O640" i="35"/>
  <c r="Q652" i="35"/>
  <c r="O652" i="35"/>
  <c r="O693" i="35"/>
  <c r="Q693" i="35"/>
  <c r="O438" i="35"/>
  <c r="O446" i="35"/>
  <c r="O496" i="35"/>
  <c r="O511" i="35"/>
  <c r="O516" i="35"/>
  <c r="O520" i="35"/>
  <c r="O524" i="35"/>
  <c r="Q535" i="35"/>
  <c r="O535" i="35"/>
  <c r="Q539" i="35"/>
  <c r="O539" i="35"/>
  <c r="Q543" i="35"/>
  <c r="O543" i="35"/>
  <c r="Q554" i="35"/>
  <c r="O554" i="35"/>
  <c r="Q558" i="35"/>
  <c r="O558" i="35"/>
  <c r="Q562" i="35"/>
  <c r="O562" i="35"/>
  <c r="Q566" i="35"/>
  <c r="O566" i="35"/>
  <c r="Q570" i="35"/>
  <c r="O570" i="35"/>
  <c r="Q574" i="35"/>
  <c r="O574" i="35"/>
  <c r="Q582" i="35"/>
  <c r="O582" i="35"/>
  <c r="Q586" i="35"/>
  <c r="O586" i="35"/>
  <c r="Q590" i="35"/>
  <c r="O590" i="35"/>
  <c r="Q594" i="35"/>
  <c r="O594" i="35"/>
  <c r="Q598" i="35"/>
  <c r="O598" i="35"/>
  <c r="O605" i="35"/>
  <c r="O673" i="35"/>
  <c r="Q673" i="35"/>
  <c r="O689" i="35"/>
  <c r="Q689" i="35"/>
  <c r="O705" i="35"/>
  <c r="Q705" i="35"/>
  <c r="O444" i="35"/>
  <c r="O447" i="35"/>
  <c r="O452" i="35"/>
  <c r="O459" i="35"/>
  <c r="O467" i="35"/>
  <c r="O478" i="35"/>
  <c r="O483" i="35"/>
  <c r="O497" i="35"/>
  <c r="O509" i="35"/>
  <c r="O513" i="35"/>
  <c r="Q515" i="35"/>
  <c r="O515" i="35"/>
  <c r="Q519" i="35"/>
  <c r="O519" i="35"/>
  <c r="Q523" i="35"/>
  <c r="O523" i="35"/>
  <c r="Q620" i="35"/>
  <c r="O620" i="35"/>
  <c r="Q656" i="35"/>
  <c r="O656" i="35"/>
  <c r="O685" i="35"/>
  <c r="Q685" i="35"/>
  <c r="O701" i="35"/>
  <c r="Q701" i="35"/>
  <c r="O621" i="35"/>
  <c r="O715" i="35"/>
  <c r="O719" i="35"/>
  <c r="O723" i="35"/>
  <c r="Q748" i="35"/>
  <c r="O748" i="35"/>
  <c r="O616" i="35"/>
  <c r="O633" i="35"/>
  <c r="Q651" i="35"/>
  <c r="Q655" i="35"/>
  <c r="O667" i="35"/>
  <c r="O672" i="35"/>
  <c r="O684" i="35"/>
  <c r="O688" i="35"/>
  <c r="O692" i="35"/>
  <c r="O696" i="35"/>
  <c r="O700" i="35"/>
  <c r="O704" i="35"/>
  <c r="O708" i="35"/>
  <c r="O717" i="35"/>
  <c r="O721" i="35"/>
  <c r="O725" i="35"/>
  <c r="O747" i="35"/>
  <c r="O755" i="35"/>
  <c r="O763" i="35"/>
  <c r="Q767" i="35"/>
  <c r="O767" i="35"/>
  <c r="Q775" i="35"/>
  <c r="O775" i="35"/>
  <c r="Q783" i="35"/>
  <c r="O783" i="35"/>
  <c r="O794" i="35"/>
  <c r="O798" i="35"/>
  <c r="O802" i="35"/>
  <c r="O745" i="35"/>
  <c r="O753" i="35"/>
  <c r="O757" i="35"/>
  <c r="O792" i="35"/>
  <c r="O796" i="35"/>
  <c r="O738" i="35"/>
  <c r="O754" i="35"/>
  <c r="Q756" i="35"/>
  <c r="O756" i="35"/>
  <c r="Q760" i="35"/>
  <c r="O760" i="35"/>
  <c r="O786" i="35"/>
  <c r="Q795" i="35"/>
  <c r="O795" i="35"/>
  <c r="O806" i="35"/>
  <c r="O822" i="35"/>
  <c r="O820" i="35"/>
  <c r="O837" i="35"/>
  <c r="Q837" i="35"/>
  <c r="Q842" i="35"/>
  <c r="O842" i="35"/>
  <c r="O844" i="35"/>
  <c r="Q844" i="35"/>
  <c r="Q849" i="35"/>
  <c r="O849" i="35"/>
  <c r="O852" i="35"/>
  <c r="Q852" i="35"/>
  <c r="O859" i="35"/>
  <c r="O875" i="35"/>
  <c r="O881" i="35"/>
  <c r="O887" i="35"/>
  <c r="O893" i="35"/>
  <c r="O907" i="35"/>
  <c r="O917" i="35"/>
  <c r="Q922" i="35"/>
  <c r="O922" i="35"/>
  <c r="O828" i="35"/>
  <c r="O841" i="35"/>
  <c r="Q841" i="35"/>
  <c r="Q845" i="35"/>
  <c r="O845" i="35"/>
  <c r="O848" i="35"/>
  <c r="Q848" i="35"/>
  <c r="O905" i="35"/>
  <c r="O909" i="35"/>
  <c r="O913" i="35"/>
  <c r="O916" i="35"/>
  <c r="Q916" i="35"/>
  <c r="Q864" i="35"/>
  <c r="Q876" i="35"/>
  <c r="Q880" i="35"/>
  <c r="Q884" i="35"/>
  <c r="Q888" i="35"/>
  <c r="Q892" i="35"/>
  <c r="Q896" i="35"/>
  <c r="Q900" i="35"/>
  <c r="Q924" i="35"/>
  <c r="O886" i="35"/>
  <c r="O894" i="35"/>
  <c r="O898" i="35"/>
  <c r="U1923" i="36" l="1"/>
  <c r="V1923" i="36" s="1"/>
  <c r="AE1923" i="36" s="1"/>
  <c r="V1571" i="36"/>
  <c r="V4121" i="36"/>
  <c r="V2160" i="36"/>
  <c r="AE2160" i="36" s="1"/>
  <c r="V3484" i="36"/>
  <c r="AE3484" i="36" s="1"/>
  <c r="V4858" i="36"/>
  <c r="AE4858" i="36" s="1"/>
  <c r="V497" i="36"/>
  <c r="AE497" i="36" s="1"/>
  <c r="U5596" i="36"/>
  <c r="V5596" i="36" s="1"/>
  <c r="AE5596" i="36" s="1"/>
  <c r="V5931" i="36"/>
  <c r="AE5931" i="36" s="1"/>
  <c r="V5932" i="36"/>
  <c r="AE5932" i="36" s="1"/>
  <c r="U2902" i="36"/>
  <c r="V2902" i="36" s="1"/>
  <c r="AE2902" i="36" s="1"/>
  <c r="V5347" i="36"/>
  <c r="AE5347" i="36" s="1"/>
  <c r="V448" i="36"/>
  <c r="AE448" i="36" s="1"/>
  <c r="V496" i="36"/>
  <c r="AE496" i="36" s="1"/>
  <c r="V4857" i="36"/>
  <c r="AE4857" i="36" s="1"/>
  <c r="U505" i="36"/>
  <c r="V505" i="36" s="1"/>
  <c r="AE505" i="36" s="1"/>
  <c r="V5930" i="36"/>
  <c r="AE5930" i="36" s="1"/>
  <c r="V5348" i="36"/>
  <c r="AE5348" i="36" s="1"/>
  <c r="V5783" i="36"/>
  <c r="AE5783" i="36" s="1"/>
  <c r="V4856" i="36"/>
  <c r="AE4856" i="36" s="1"/>
  <c r="V400" i="36"/>
  <c r="AE400" i="36" s="1"/>
  <c r="V450" i="36"/>
  <c r="AE450" i="36" s="1"/>
  <c r="V4906" i="36"/>
  <c r="AE4906" i="36" s="1"/>
  <c r="V5736" i="36"/>
  <c r="AE5736" i="36" s="1"/>
  <c r="V5883" i="36"/>
  <c r="AE5883" i="36" s="1"/>
  <c r="V5397" i="36"/>
  <c r="AE5397" i="36" s="1"/>
  <c r="V5834" i="36"/>
  <c r="AE5834" i="36" s="1"/>
  <c r="AE5913" i="36"/>
  <c r="V5917" i="36"/>
  <c r="V5918" i="36" s="1"/>
  <c r="AE383" i="36"/>
  <c r="V387" i="36"/>
  <c r="V388" i="36" s="1"/>
  <c r="V5828" i="36"/>
  <c r="V5829" i="36" s="1"/>
  <c r="AE5823" i="36"/>
  <c r="V5926" i="36"/>
  <c r="V5927" i="36" s="1"/>
  <c r="AE5921" i="36"/>
  <c r="AE4888" i="36"/>
  <c r="V4892" i="36"/>
  <c r="V4893" i="36" s="1"/>
  <c r="AE4790" i="36"/>
  <c r="V4794" i="36"/>
  <c r="V4795" i="36" s="1"/>
  <c r="AE4847" i="36"/>
  <c r="V4852" i="36"/>
  <c r="V4853" i="36" s="1"/>
  <c r="V5342" i="36"/>
  <c r="V5343" i="36" s="1"/>
  <c r="AE5337" i="36"/>
  <c r="AE5717" i="36"/>
  <c r="V5721" i="36"/>
  <c r="V5722" i="36" s="1"/>
  <c r="AE5815" i="36"/>
  <c r="V5819" i="36"/>
  <c r="V5820" i="36" s="1"/>
  <c r="V5832" i="36"/>
  <c r="AE4808" i="36"/>
  <c r="AE5329" i="36"/>
  <c r="V5333" i="36"/>
  <c r="V5334" i="36" s="1"/>
  <c r="AE5378" i="36"/>
  <c r="V5382" i="36"/>
  <c r="V5383" i="36" s="1"/>
  <c r="V5877" i="36"/>
  <c r="V5878" i="36" s="1"/>
  <c r="AE5872" i="36"/>
  <c r="V4907" i="36"/>
  <c r="AE4907" i="36" s="1"/>
  <c r="AE4839" i="36"/>
  <c r="V4843" i="36"/>
  <c r="V4844" i="36" s="1"/>
  <c r="AE4798" i="36"/>
  <c r="V4803" i="36"/>
  <c r="V4804" i="36" s="1"/>
  <c r="AE431" i="36"/>
  <c r="V435" i="36"/>
  <c r="V436" i="36" s="1"/>
  <c r="V402" i="36"/>
  <c r="AE402" i="36" s="1"/>
  <c r="V5785" i="36"/>
  <c r="AE5785" i="36" s="1"/>
  <c r="V401" i="36"/>
  <c r="AE401" i="36" s="1"/>
  <c r="V5784" i="36"/>
  <c r="AE5784" i="36" s="1"/>
  <c r="V5734" i="36"/>
  <c r="AE5864" i="36"/>
  <c r="V5868" i="36"/>
  <c r="V5869" i="36" s="1"/>
  <c r="V5881" i="36"/>
  <c r="V5395" i="36"/>
  <c r="V5833" i="36"/>
  <c r="AE5833" i="36" s="1"/>
  <c r="U504" i="36"/>
  <c r="V504" i="36" s="1"/>
  <c r="AE5766" i="36"/>
  <c r="V5770" i="36"/>
  <c r="V5771" i="36" s="1"/>
  <c r="V498" i="36"/>
  <c r="AE498" i="36" s="1"/>
  <c r="V449" i="36"/>
  <c r="AE449" i="36" s="1"/>
  <c r="AE5774" i="36"/>
  <c r="V5779" i="36"/>
  <c r="V5780" i="36" s="1"/>
  <c r="V4809" i="36"/>
  <c r="AE4809" i="36" s="1"/>
  <c r="V4905" i="36"/>
  <c r="AE487" i="36"/>
  <c r="V492" i="36"/>
  <c r="V493" i="36" s="1"/>
  <c r="V5735" i="36"/>
  <c r="AE5735" i="36" s="1"/>
  <c r="V5882" i="36"/>
  <c r="AE5882" i="36" s="1"/>
  <c r="AE5386" i="36"/>
  <c r="V5391" i="36"/>
  <c r="V5392" i="36" s="1"/>
  <c r="V5396" i="36"/>
  <c r="AE5396" i="36" s="1"/>
  <c r="V3925" i="36"/>
  <c r="AE3925" i="36" s="1"/>
  <c r="V3974" i="36"/>
  <c r="AE3974" i="36" s="1"/>
  <c r="U132" i="36"/>
  <c r="V132" i="36" s="1"/>
  <c r="V135" i="36" s="1"/>
  <c r="V136" i="36" s="1"/>
  <c r="V2699" i="36"/>
  <c r="AE2699" i="36" s="1"/>
  <c r="V2894" i="36"/>
  <c r="AE2894" i="36" s="1"/>
  <c r="V3876" i="36"/>
  <c r="AE3876" i="36" s="1"/>
  <c r="V4563" i="36"/>
  <c r="AE4563" i="36" s="1"/>
  <c r="U4718" i="36"/>
  <c r="V4718" i="36" s="1"/>
  <c r="AE4718" i="36" s="1"/>
  <c r="V2159" i="36"/>
  <c r="AE2159" i="36" s="1"/>
  <c r="V2650" i="36"/>
  <c r="AE2650" i="36" s="1"/>
  <c r="V4023" i="36"/>
  <c r="AE4023" i="36" s="1"/>
  <c r="V4072" i="36"/>
  <c r="AE4072" i="36" s="1"/>
  <c r="U4227" i="36"/>
  <c r="V4227" i="36" s="1"/>
  <c r="AE4227" i="36" s="1"/>
  <c r="V1964" i="36"/>
  <c r="AE1964" i="36" s="1"/>
  <c r="V2355" i="36"/>
  <c r="AE2355" i="36" s="1"/>
  <c r="V2651" i="36"/>
  <c r="AE2651" i="36" s="1"/>
  <c r="U2854" i="36"/>
  <c r="V2854" i="36" s="1"/>
  <c r="AE2854" i="36" s="1"/>
  <c r="U2168" i="36"/>
  <c r="V2168" i="36" s="1"/>
  <c r="AE2168" i="36" s="1"/>
  <c r="U5208" i="36"/>
  <c r="V5208" i="36" s="1"/>
  <c r="AE5208" i="36" s="1"/>
  <c r="V3384" i="36"/>
  <c r="AE3384" i="36" s="1"/>
  <c r="V4759" i="36"/>
  <c r="AE4759" i="36" s="1"/>
  <c r="V3633" i="36"/>
  <c r="AE3633" i="36" s="1"/>
  <c r="U992" i="36"/>
  <c r="V992" i="36" s="1"/>
  <c r="AE992" i="36" s="1"/>
  <c r="V1179" i="36"/>
  <c r="AE1179" i="36" s="1"/>
  <c r="V1573" i="36"/>
  <c r="AE1573" i="36" s="1"/>
  <c r="V936" i="36"/>
  <c r="AE936" i="36" s="1"/>
  <c r="U1775" i="36"/>
  <c r="V1775" i="36" s="1"/>
  <c r="AE1775" i="36" s="1"/>
  <c r="U1776" i="36"/>
  <c r="V1776" i="36" s="1"/>
  <c r="AE1776" i="36" s="1"/>
  <c r="V1965" i="36"/>
  <c r="AE1965" i="36" s="1"/>
  <c r="U2805" i="36"/>
  <c r="V2805" i="36" s="1"/>
  <c r="AE2805" i="36" s="1"/>
  <c r="V5248" i="36"/>
  <c r="AE5248" i="36" s="1"/>
  <c r="V3486" i="36"/>
  <c r="AE3486" i="36" s="1"/>
  <c r="U5061" i="36"/>
  <c r="V5061" i="36" s="1"/>
  <c r="AE5061" i="36" s="1"/>
  <c r="V257" i="36"/>
  <c r="AE257" i="36" s="1"/>
  <c r="U942" i="36"/>
  <c r="V942" i="36" s="1"/>
  <c r="AE942" i="36" s="1"/>
  <c r="U1187" i="36"/>
  <c r="V1187" i="36" s="1"/>
  <c r="AE1187" i="36" s="1"/>
  <c r="V1375" i="36"/>
  <c r="AE1375" i="36" s="1"/>
  <c r="V1769" i="36"/>
  <c r="AE1769" i="36" s="1"/>
  <c r="U1188" i="36"/>
  <c r="V1188" i="36" s="1"/>
  <c r="AE1188" i="36" s="1"/>
  <c r="U1236" i="36"/>
  <c r="V1236" i="36" s="1"/>
  <c r="AE1236" i="36" s="1"/>
  <c r="U1824" i="36"/>
  <c r="V1824" i="36" s="1"/>
  <c r="AE1824" i="36" s="1"/>
  <c r="V2356" i="36"/>
  <c r="AE2356" i="36" s="1"/>
  <c r="U2216" i="36"/>
  <c r="V2216" i="36" s="1"/>
  <c r="AE2216" i="36" s="1"/>
  <c r="U2414" i="36"/>
  <c r="V2414" i="36" s="1"/>
  <c r="AE2414" i="36" s="1"/>
  <c r="U2658" i="36"/>
  <c r="V2658" i="36" s="1"/>
  <c r="AE2658" i="36" s="1"/>
  <c r="V2895" i="36"/>
  <c r="AE2895" i="36" s="1"/>
  <c r="U5693" i="36"/>
  <c r="V5693" i="36" s="1"/>
  <c r="AE5693" i="36" s="1"/>
  <c r="U1727" i="36"/>
  <c r="V1727" i="36" s="1"/>
  <c r="AE1727" i="36" s="1"/>
  <c r="U1335" i="36"/>
  <c r="V1335" i="36" s="1"/>
  <c r="AE1335" i="36" s="1"/>
  <c r="V2161" i="36"/>
  <c r="AE2161" i="36" s="1"/>
  <c r="U2364" i="36"/>
  <c r="V2364" i="36" s="1"/>
  <c r="AE2364" i="36" s="1"/>
  <c r="V2798" i="36"/>
  <c r="AE2798" i="36" s="1"/>
  <c r="V4366" i="36"/>
  <c r="AE4366" i="36" s="1"/>
  <c r="V4760" i="36"/>
  <c r="AE4760" i="36" s="1"/>
  <c r="V3090" i="36"/>
  <c r="AE3090" i="36" s="1"/>
  <c r="V3092" i="36"/>
  <c r="AE3092" i="36" s="1"/>
  <c r="U2903" i="36"/>
  <c r="V2903" i="36" s="1"/>
  <c r="AE2903" i="36" s="1"/>
  <c r="U3245" i="36"/>
  <c r="V3245" i="36" s="1"/>
  <c r="AE3245" i="36" s="1"/>
  <c r="U5256" i="36"/>
  <c r="V5256" i="36" s="1"/>
  <c r="AE5256" i="36" s="1"/>
  <c r="V5249" i="36"/>
  <c r="AE5249" i="36" s="1"/>
  <c r="U4571" i="36"/>
  <c r="V4571" i="36" s="1"/>
  <c r="AE4571" i="36" s="1"/>
  <c r="U4619" i="36"/>
  <c r="V4619" i="36" s="1"/>
  <c r="AE4619" i="36" s="1"/>
  <c r="U2363" i="36"/>
  <c r="V2363" i="36" s="1"/>
  <c r="AE2363" i="36" s="1"/>
  <c r="V1180" i="36"/>
  <c r="AE1180" i="36" s="1"/>
  <c r="U1383" i="36"/>
  <c r="V1383" i="36" s="1"/>
  <c r="AE1383" i="36" s="1"/>
  <c r="U1531" i="36"/>
  <c r="V1531" i="36" s="1"/>
  <c r="AE1531" i="36" s="1"/>
  <c r="U1384" i="36"/>
  <c r="V1384" i="36" s="1"/>
  <c r="AE1384" i="36" s="1"/>
  <c r="U3099" i="36"/>
  <c r="V3099" i="36" s="1"/>
  <c r="AE3099" i="36" s="1"/>
  <c r="U3147" i="36"/>
  <c r="V3147" i="36" s="1"/>
  <c r="AE3147" i="36" s="1"/>
  <c r="U3393" i="36"/>
  <c r="V3393" i="36" s="1"/>
  <c r="AE3393" i="36" s="1"/>
  <c r="U3640" i="36"/>
  <c r="V3640" i="36" s="1"/>
  <c r="AE3640" i="36" s="1"/>
  <c r="V983" i="36"/>
  <c r="AE983" i="36" s="1"/>
  <c r="V1767" i="36"/>
  <c r="AE1767" i="36" s="1"/>
  <c r="U2167" i="36"/>
  <c r="V2167" i="36" s="1"/>
  <c r="AE2167" i="36" s="1"/>
  <c r="V1572" i="36"/>
  <c r="AE1572" i="36" s="1"/>
  <c r="U2804" i="36"/>
  <c r="V2804" i="36" s="1"/>
  <c r="U3344" i="36"/>
  <c r="V3344" i="36" s="1"/>
  <c r="AE3344" i="36" s="1"/>
  <c r="V3091" i="36"/>
  <c r="AE3091" i="36" s="1"/>
  <c r="V4758" i="36"/>
  <c r="AE4758" i="36" s="1"/>
  <c r="V2601" i="36"/>
  <c r="AE2601" i="36" s="1"/>
  <c r="V4171" i="36"/>
  <c r="AE4171" i="36" s="1"/>
  <c r="V5004" i="36"/>
  <c r="AE5004" i="36" s="1"/>
  <c r="V934" i="36"/>
  <c r="U991" i="36"/>
  <c r="V991" i="36" s="1"/>
  <c r="U1040" i="36"/>
  <c r="V1040" i="36" s="1"/>
  <c r="AE1040" i="36" s="1"/>
  <c r="V935" i="36"/>
  <c r="AE935" i="36" s="1"/>
  <c r="V1377" i="36"/>
  <c r="AE1377" i="36" s="1"/>
  <c r="U2119" i="36"/>
  <c r="V2119" i="36" s="1"/>
  <c r="AE2119" i="36" s="1"/>
  <c r="V1181" i="36"/>
  <c r="AE1181" i="36" s="1"/>
  <c r="U2756" i="36"/>
  <c r="V2756" i="36" s="1"/>
  <c r="AE2756" i="36" s="1"/>
  <c r="U1971" i="36"/>
  <c r="V1971" i="36" s="1"/>
  <c r="V2649" i="36"/>
  <c r="AE2649" i="36" s="1"/>
  <c r="V2796" i="36"/>
  <c r="AE2796" i="36" s="1"/>
  <c r="U1972" i="36"/>
  <c r="V1972" i="36" s="1"/>
  <c r="AE1972" i="36" s="1"/>
  <c r="U2020" i="36"/>
  <c r="V2020" i="36" s="1"/>
  <c r="AE2020" i="36" s="1"/>
  <c r="U3050" i="36"/>
  <c r="V3050" i="36" s="1"/>
  <c r="AE3050" i="36" s="1"/>
  <c r="U3098" i="36"/>
  <c r="V3098" i="36" s="1"/>
  <c r="AE3098" i="36" s="1"/>
  <c r="V4368" i="36"/>
  <c r="AE4368" i="36" s="1"/>
  <c r="V2896" i="36"/>
  <c r="AE2896" i="36" s="1"/>
  <c r="V2945" i="36"/>
  <c r="AE2945" i="36" s="1"/>
  <c r="V3140" i="36"/>
  <c r="AE3140" i="36" s="1"/>
  <c r="V5444" i="36"/>
  <c r="AE5444" i="36" s="1"/>
  <c r="V5589" i="36"/>
  <c r="AE5589" i="36" s="1"/>
  <c r="V5636" i="36"/>
  <c r="AE5636" i="36" s="1"/>
  <c r="U5694" i="36"/>
  <c r="V5694" i="36" s="1"/>
  <c r="AE5694" i="36" s="1"/>
  <c r="V5538" i="36"/>
  <c r="AE5538" i="36" s="1"/>
  <c r="V3632" i="36"/>
  <c r="AE3632" i="36" s="1"/>
  <c r="U3492" i="36"/>
  <c r="V3492" i="36" s="1"/>
  <c r="AE3492" i="36" s="1"/>
  <c r="U3591" i="36"/>
  <c r="V3591" i="36" s="1"/>
  <c r="AE3591" i="36" s="1"/>
  <c r="V3485" i="36"/>
  <c r="AE3485" i="36" s="1"/>
  <c r="U2951" i="36"/>
  <c r="V2951" i="36" s="1"/>
  <c r="AE2951" i="36" s="1"/>
  <c r="U4570" i="36"/>
  <c r="V4570" i="36" s="1"/>
  <c r="AE4570" i="36" s="1"/>
  <c r="V258" i="36"/>
  <c r="AE258" i="36" s="1"/>
  <c r="U1432" i="36"/>
  <c r="V1432" i="36" s="1"/>
  <c r="AE1432" i="36" s="1"/>
  <c r="U4522" i="36"/>
  <c r="V4522" i="36" s="1"/>
  <c r="AE4522" i="36" s="1"/>
  <c r="U4767" i="36"/>
  <c r="V4767" i="36" s="1"/>
  <c r="AE4767" i="36" s="1"/>
  <c r="U5109" i="36"/>
  <c r="V5109" i="36" s="1"/>
  <c r="AE5109" i="36" s="1"/>
  <c r="U5498" i="36"/>
  <c r="V5498" i="36" s="1"/>
  <c r="AE5498" i="36" s="1"/>
  <c r="V5587" i="36"/>
  <c r="AE5587" i="36" s="1"/>
  <c r="U3639" i="36"/>
  <c r="V3639" i="36" s="1"/>
  <c r="AE3639" i="36" s="1"/>
  <c r="U3787" i="36"/>
  <c r="V3787" i="36" s="1"/>
  <c r="AE3787" i="36" s="1"/>
  <c r="U3688" i="36"/>
  <c r="V3688" i="36" s="1"/>
  <c r="V1034" i="36"/>
  <c r="AE1034" i="36" s="1"/>
  <c r="U360" i="36"/>
  <c r="V360" i="36" s="1"/>
  <c r="AE360" i="36" s="1"/>
  <c r="U1041" i="36"/>
  <c r="V1041" i="36" s="1"/>
  <c r="AE1041" i="36" s="1"/>
  <c r="U1089" i="36"/>
  <c r="V1089" i="36" s="1"/>
  <c r="V1376" i="36"/>
  <c r="AE1376" i="36" s="1"/>
  <c r="U1580" i="36"/>
  <c r="V1580" i="36" s="1"/>
  <c r="AE1580" i="36" s="1"/>
  <c r="U1628" i="36"/>
  <c r="V1628" i="36" s="1"/>
  <c r="AE1628" i="36" s="1"/>
  <c r="V1963" i="36"/>
  <c r="V2357" i="36"/>
  <c r="AE2357" i="36" s="1"/>
  <c r="U3392" i="36"/>
  <c r="V3392" i="36" s="1"/>
  <c r="AE3392" i="36" s="1"/>
  <c r="V3385" i="36"/>
  <c r="AE3385" i="36" s="1"/>
  <c r="V3386" i="36"/>
  <c r="AE3386" i="36" s="1"/>
  <c r="U3446" i="36"/>
  <c r="V3446" i="36" s="1"/>
  <c r="AE3446" i="36" s="1"/>
  <c r="U4326" i="36"/>
  <c r="V4326" i="36" s="1"/>
  <c r="AE4326" i="36" s="1"/>
  <c r="U4374" i="36"/>
  <c r="V4374" i="36" s="1"/>
  <c r="AE4374" i="36" s="1"/>
  <c r="V4367" i="36"/>
  <c r="AE4367" i="36" s="1"/>
  <c r="U4766" i="36"/>
  <c r="V4766" i="36" s="1"/>
  <c r="AE4766" i="36" s="1"/>
  <c r="U4375" i="36"/>
  <c r="V4375" i="36" s="1"/>
  <c r="AE4375" i="36" s="1"/>
  <c r="U4423" i="36"/>
  <c r="V4423" i="36" s="1"/>
  <c r="AE4423" i="36" s="1"/>
  <c r="V5250" i="36"/>
  <c r="AE5250" i="36" s="1"/>
  <c r="U5257" i="36"/>
  <c r="V5257" i="36" s="1"/>
  <c r="AE5257" i="36" s="1"/>
  <c r="U5305" i="36"/>
  <c r="V5305" i="36" s="1"/>
  <c r="AE5305" i="36" s="1"/>
  <c r="V5588" i="36"/>
  <c r="AE5588" i="36" s="1"/>
  <c r="U3493" i="36"/>
  <c r="V3493" i="36" s="1"/>
  <c r="AE3493" i="36" s="1"/>
  <c r="V2547" i="36"/>
  <c r="V2548" i="36" s="1"/>
  <c r="AE5043" i="36"/>
  <c r="V5048" i="36"/>
  <c r="V5049" i="36" s="1"/>
  <c r="U2609" i="36"/>
  <c r="V2609" i="36" s="1"/>
  <c r="AE2609" i="36" s="1"/>
  <c r="AE247" i="36"/>
  <c r="V252" i="36"/>
  <c r="V253" i="36" s="1"/>
  <c r="V2600" i="36"/>
  <c r="V2596" i="36"/>
  <c r="V2597" i="36" s="1"/>
  <c r="V256" i="36"/>
  <c r="U265" i="36"/>
  <c r="V265" i="36" s="1"/>
  <c r="AE265" i="36" s="1"/>
  <c r="AE295" i="36"/>
  <c r="V300" i="36"/>
  <c r="V301" i="36" s="1"/>
  <c r="V306" i="36"/>
  <c r="AE306" i="36" s="1"/>
  <c r="V2553" i="36"/>
  <c r="AE2553" i="36" s="1"/>
  <c r="V4956" i="36"/>
  <c r="AE4956" i="36" s="1"/>
  <c r="V5054" i="36"/>
  <c r="AE5054" i="36" s="1"/>
  <c r="V2602" i="36"/>
  <c r="AE2602" i="36" s="1"/>
  <c r="U2559" i="36"/>
  <c r="V2559" i="36" s="1"/>
  <c r="V4172" i="36"/>
  <c r="AE4172" i="36" s="1"/>
  <c r="V5005" i="36"/>
  <c r="AE5005" i="36" s="1"/>
  <c r="V1032" i="36"/>
  <c r="AE1121" i="36"/>
  <c r="V1126" i="36"/>
  <c r="V1127" i="36" s="1"/>
  <c r="V4264" i="36"/>
  <c r="V4265" i="36" s="1"/>
  <c r="AE4259" i="36"/>
  <c r="V353" i="36"/>
  <c r="AE353" i="36" s="1"/>
  <c r="V836" i="36"/>
  <c r="V930" i="36"/>
  <c r="V931" i="36" s="1"/>
  <c r="AE925" i="36"/>
  <c r="V1082" i="36"/>
  <c r="AE1082" i="36" s="1"/>
  <c r="V1665" i="36"/>
  <c r="V1666" i="36" s="1"/>
  <c r="AE1660" i="36"/>
  <c r="U1139" i="36"/>
  <c r="V1139" i="36" s="1"/>
  <c r="AE1139" i="36" s="1"/>
  <c r="V886" i="36"/>
  <c r="AE886" i="36" s="1"/>
  <c r="V1028" i="36"/>
  <c r="V1029" i="36" s="1"/>
  <c r="AE1023" i="36"/>
  <c r="U1090" i="36"/>
  <c r="V1090" i="36" s="1"/>
  <c r="AE1090" i="36" s="1"/>
  <c r="U1138" i="36"/>
  <c r="V1138" i="36" s="1"/>
  <c r="AE1571" i="36"/>
  <c r="V1426" i="36"/>
  <c r="AE1426" i="36" s="1"/>
  <c r="V1621" i="36"/>
  <c r="AE1621" i="36" s="1"/>
  <c r="AE1170" i="36"/>
  <c r="V1175" i="36"/>
  <c r="V1176" i="36" s="1"/>
  <c r="U1237" i="36"/>
  <c r="V1237" i="36" s="1"/>
  <c r="AE1237" i="36" s="1"/>
  <c r="U1285" i="36"/>
  <c r="V1285" i="36" s="1"/>
  <c r="V1475" i="36"/>
  <c r="AE1475" i="36" s="1"/>
  <c r="V1670" i="36"/>
  <c r="AE1670" i="36" s="1"/>
  <c r="V1328" i="36"/>
  <c r="AE1328" i="36" s="1"/>
  <c r="V1523" i="36"/>
  <c r="AE1523" i="36" s="1"/>
  <c r="V1718" i="36"/>
  <c r="V1812" i="36"/>
  <c r="V1813" i="36" s="1"/>
  <c r="AE1807" i="36"/>
  <c r="U2413" i="36"/>
  <c r="V2413" i="36" s="1"/>
  <c r="U2657" i="36"/>
  <c r="V2657" i="36" s="1"/>
  <c r="V2012" i="36"/>
  <c r="AE2101" i="36"/>
  <c r="V2106" i="36"/>
  <c r="V2107" i="36" s="1"/>
  <c r="V2698" i="36"/>
  <c r="U1825" i="36"/>
  <c r="V1825" i="36" s="1"/>
  <c r="AE1825" i="36" s="1"/>
  <c r="U1873" i="36"/>
  <c r="V1873" i="36" s="1"/>
  <c r="V2063" i="36"/>
  <c r="AE2063" i="36" s="1"/>
  <c r="V2258" i="36"/>
  <c r="AE2258" i="36" s="1"/>
  <c r="V1915" i="36"/>
  <c r="AE1915" i="36" s="1"/>
  <c r="V2110" i="36"/>
  <c r="V2204" i="36"/>
  <c r="V2205" i="36" s="1"/>
  <c r="AE2199" i="36"/>
  <c r="U2266" i="36"/>
  <c r="V2266" i="36" s="1"/>
  <c r="AE2266" i="36" s="1"/>
  <c r="U2314" i="36"/>
  <c r="V2314" i="36" s="1"/>
  <c r="V2988" i="36"/>
  <c r="V2989" i="36" s="1"/>
  <c r="AE2983" i="36"/>
  <c r="V2743" i="36"/>
  <c r="V2744" i="36" s="1"/>
  <c r="AE2738" i="36"/>
  <c r="V3141" i="36"/>
  <c r="AE3141" i="36" s="1"/>
  <c r="V4221" i="36"/>
  <c r="AE4221" i="36" s="1"/>
  <c r="AE4455" i="36"/>
  <c r="V4460" i="36"/>
  <c r="V4461" i="36" s="1"/>
  <c r="AE2885" i="36"/>
  <c r="V2890" i="36"/>
  <c r="V2891" i="36" s="1"/>
  <c r="U2952" i="36"/>
  <c r="V2952" i="36" s="1"/>
  <c r="AE2952" i="36" s="1"/>
  <c r="U3000" i="36"/>
  <c r="V3000" i="36" s="1"/>
  <c r="V3191" i="36"/>
  <c r="AE3191" i="36" s="1"/>
  <c r="V3239" i="36"/>
  <c r="AE3239" i="36" s="1"/>
  <c r="V3286" i="36"/>
  <c r="V3380" i="36"/>
  <c r="V3381" i="36" s="1"/>
  <c r="AE3375" i="36"/>
  <c r="V3441" i="36"/>
  <c r="U2707" i="36"/>
  <c r="V2707" i="36" s="1"/>
  <c r="AE2707" i="36" s="1"/>
  <c r="V2747" i="36"/>
  <c r="U2853" i="36"/>
  <c r="V2853" i="36" s="1"/>
  <c r="V3043" i="36"/>
  <c r="AE3043" i="36" s="1"/>
  <c r="U3295" i="36"/>
  <c r="V3295" i="36" s="1"/>
  <c r="AE3295" i="36" s="1"/>
  <c r="U3343" i="36"/>
  <c r="V3343" i="36" s="1"/>
  <c r="AE4562" i="36"/>
  <c r="V4416" i="36"/>
  <c r="AE4416" i="36" s="1"/>
  <c r="U4228" i="36"/>
  <c r="V4228" i="36" s="1"/>
  <c r="AE4228" i="36" s="1"/>
  <c r="U4276" i="36"/>
  <c r="V4276" i="36" s="1"/>
  <c r="V4466" i="36"/>
  <c r="AE4466" i="36" s="1"/>
  <c r="V4319" i="36"/>
  <c r="AE4319" i="36" s="1"/>
  <c r="V4514" i="36"/>
  <c r="AE4514" i="36" s="1"/>
  <c r="V5103" i="36"/>
  <c r="AE5103" i="36" s="1"/>
  <c r="V5298" i="36"/>
  <c r="AE5298" i="36" s="1"/>
  <c r="V4661" i="36"/>
  <c r="AE4661" i="36" s="1"/>
  <c r="V5150" i="36"/>
  <c r="AE5239" i="36"/>
  <c r="V5244" i="36"/>
  <c r="V5245" i="36" s="1"/>
  <c r="U5306" i="36"/>
  <c r="V5306" i="36" s="1"/>
  <c r="AE5306" i="36" s="1"/>
  <c r="V4709" i="36"/>
  <c r="V5097" i="36"/>
  <c r="V5098" i="36" s="1"/>
  <c r="AE5092" i="36"/>
  <c r="U5159" i="36"/>
  <c r="V5159" i="36" s="1"/>
  <c r="AE5159" i="36" s="1"/>
  <c r="U5207" i="36"/>
  <c r="V5207" i="36" s="1"/>
  <c r="V5445" i="36"/>
  <c r="AE5445" i="36" s="1"/>
  <c r="U5595" i="36"/>
  <c r="V5595" i="36" s="1"/>
  <c r="V5637" i="36"/>
  <c r="AE5637" i="36" s="1"/>
  <c r="V5539" i="36"/>
  <c r="AE5539" i="36" s="1"/>
  <c r="AE3631" i="36"/>
  <c r="V3682" i="36"/>
  <c r="AE3682" i="36" s="1"/>
  <c r="V3533" i="36"/>
  <c r="V3627" i="36"/>
  <c r="V3628" i="36" s="1"/>
  <c r="AE3622" i="36"/>
  <c r="U3689" i="36"/>
  <c r="V3689" i="36" s="1"/>
  <c r="AE3689" i="36" s="1"/>
  <c r="U3737" i="36"/>
  <c r="V3737" i="36" s="1"/>
  <c r="V3725" i="36"/>
  <c r="V3726" i="36" s="1"/>
  <c r="AE3720" i="36"/>
  <c r="V3829" i="36"/>
  <c r="AE3829" i="36" s="1"/>
  <c r="V3583" i="36"/>
  <c r="AE3583" i="36" s="1"/>
  <c r="V3778" i="36"/>
  <c r="V304" i="36"/>
  <c r="V2551" i="36"/>
  <c r="V4954" i="36"/>
  <c r="V5052" i="36"/>
  <c r="U2560" i="36"/>
  <c r="V2560" i="36" s="1"/>
  <c r="AE2560" i="36" s="1"/>
  <c r="AE3818" i="36"/>
  <c r="V3823" i="36"/>
  <c r="V3824" i="36" s="1"/>
  <c r="U894" i="36"/>
  <c r="V894" i="36" s="1"/>
  <c r="AE894" i="36" s="1"/>
  <c r="V354" i="36"/>
  <c r="AE354" i="36" s="1"/>
  <c r="V837" i="36"/>
  <c r="AE837" i="36" s="1"/>
  <c r="V1083" i="36"/>
  <c r="AE1083" i="36" s="1"/>
  <c r="V887" i="36"/>
  <c r="AE887" i="36" s="1"/>
  <c r="V1130" i="36"/>
  <c r="AE1579" i="36"/>
  <c r="V1228" i="36"/>
  <c r="AE1317" i="36"/>
  <c r="V1322" i="36"/>
  <c r="V1323" i="36" s="1"/>
  <c r="V1622" i="36"/>
  <c r="AE1622" i="36" s="1"/>
  <c r="V1277" i="36"/>
  <c r="AE1366" i="36"/>
  <c r="V1371" i="36"/>
  <c r="V1372" i="36" s="1"/>
  <c r="U1433" i="36"/>
  <c r="V1433" i="36" s="1"/>
  <c r="AE1433" i="36" s="1"/>
  <c r="U1481" i="36"/>
  <c r="V1481" i="36" s="1"/>
  <c r="V1671" i="36"/>
  <c r="AE1671" i="36" s="1"/>
  <c r="V2057" i="36"/>
  <c r="V2058" i="36" s="1"/>
  <c r="AE2052" i="36"/>
  <c r="V1224" i="36"/>
  <c r="V1225" i="36" s="1"/>
  <c r="AE1219" i="36"/>
  <c r="U1286" i="36"/>
  <c r="V1286" i="36" s="1"/>
  <c r="AE1286" i="36" s="1"/>
  <c r="U1334" i="36"/>
  <c r="V1334" i="36" s="1"/>
  <c r="V1524" i="36"/>
  <c r="AE1524" i="36" s="1"/>
  <c r="V1719" i="36"/>
  <c r="AE1719" i="36" s="1"/>
  <c r="V2013" i="36"/>
  <c r="AE2013" i="36" s="1"/>
  <c r="V2208" i="36"/>
  <c r="AE2297" i="36"/>
  <c r="V2302" i="36"/>
  <c r="V2303" i="36" s="1"/>
  <c r="V1865" i="36"/>
  <c r="AE1954" i="36"/>
  <c r="V1959" i="36"/>
  <c r="V1960" i="36" s="1"/>
  <c r="U2021" i="36"/>
  <c r="V2021" i="36" s="1"/>
  <c r="AE2021" i="36" s="1"/>
  <c r="U2069" i="36"/>
  <c r="V2069" i="36" s="1"/>
  <c r="V2259" i="36"/>
  <c r="AE2259" i="36" s="1"/>
  <c r="V1916" i="36"/>
  <c r="AE1916" i="36" s="1"/>
  <c r="V2111" i="36"/>
  <c r="AE2111" i="36" s="1"/>
  <c r="V2306" i="36"/>
  <c r="AE2836" i="36"/>
  <c r="V2841" i="36"/>
  <c r="V2842" i="36" s="1"/>
  <c r="V2943" i="36"/>
  <c r="V3037" i="36"/>
  <c r="V3038" i="36" s="1"/>
  <c r="AE3032" i="36"/>
  <c r="V3331" i="36"/>
  <c r="V3332" i="36" s="1"/>
  <c r="AE3326" i="36"/>
  <c r="V2700" i="36"/>
  <c r="AE2700" i="36" s="1"/>
  <c r="V2992" i="36"/>
  <c r="V3086" i="36"/>
  <c r="V3087" i="36" s="1"/>
  <c r="AE3081" i="36"/>
  <c r="U3148" i="36"/>
  <c r="V3148" i="36" s="1"/>
  <c r="AE3148" i="36" s="1"/>
  <c r="U3197" i="36"/>
  <c r="V3197" i="36" s="1"/>
  <c r="V3240" i="36"/>
  <c r="AE3240" i="36" s="1"/>
  <c r="V3287" i="36"/>
  <c r="AE3287" i="36" s="1"/>
  <c r="V2748" i="36"/>
  <c r="AE2748" i="36" s="1"/>
  <c r="V2845" i="36"/>
  <c r="V2939" i="36"/>
  <c r="V2940" i="36" s="1"/>
  <c r="AE2934" i="36"/>
  <c r="U3001" i="36"/>
  <c r="V3001" i="36" s="1"/>
  <c r="AE3001" i="36" s="1"/>
  <c r="U3049" i="36"/>
  <c r="V3049" i="36" s="1"/>
  <c r="V3335" i="36"/>
  <c r="V4417" i="36"/>
  <c r="AE4417" i="36" s="1"/>
  <c r="V4268" i="36"/>
  <c r="AE4357" i="36"/>
  <c r="V4362" i="36"/>
  <c r="V4363" i="36" s="1"/>
  <c r="U4424" i="36"/>
  <c r="V4424" i="36" s="1"/>
  <c r="AE4424" i="36" s="1"/>
  <c r="U4472" i="36"/>
  <c r="V4472" i="36" s="1"/>
  <c r="V4656" i="36"/>
  <c r="V4657" i="36" s="1"/>
  <c r="AE4651" i="36"/>
  <c r="U4277" i="36"/>
  <c r="V4277" i="36" s="1"/>
  <c r="AE4277" i="36" s="1"/>
  <c r="U4325" i="36"/>
  <c r="V4325" i="36" s="1"/>
  <c r="V4515" i="36"/>
  <c r="AE4515" i="36" s="1"/>
  <c r="V4611" i="36"/>
  <c r="AE4700" i="36"/>
  <c r="V4705" i="36"/>
  <c r="V4706" i="36" s="1"/>
  <c r="V5299" i="36"/>
  <c r="AE5299" i="36" s="1"/>
  <c r="V4662" i="36"/>
  <c r="AE4662" i="36" s="1"/>
  <c r="V5151" i="36"/>
  <c r="AE5151" i="36" s="1"/>
  <c r="V4710" i="36"/>
  <c r="AE4710" i="36" s="1"/>
  <c r="V5199" i="36"/>
  <c r="V5293" i="36"/>
  <c r="V5294" i="36" s="1"/>
  <c r="AE5288" i="36"/>
  <c r="V5446" i="36"/>
  <c r="AE5446" i="36" s="1"/>
  <c r="AE5481" i="36"/>
  <c r="V5489" i="36"/>
  <c r="V5490" i="36" s="1"/>
  <c r="U5453" i="36"/>
  <c r="V5453" i="36" s="1"/>
  <c r="AE5453" i="36" s="1"/>
  <c r="V5493" i="36"/>
  <c r="U5547" i="36"/>
  <c r="V5547" i="36" s="1"/>
  <c r="AE5547" i="36" s="1"/>
  <c r="V5685" i="36"/>
  <c r="V5638" i="36"/>
  <c r="AE5638" i="36" s="1"/>
  <c r="V5540" i="36"/>
  <c r="AE5540" i="36" s="1"/>
  <c r="V3529" i="36"/>
  <c r="V3530" i="36" s="1"/>
  <c r="AE3524" i="36"/>
  <c r="V3578" i="36"/>
  <c r="V3579" i="36" s="1"/>
  <c r="AE3573" i="36"/>
  <c r="V3480" i="36"/>
  <c r="V3481" i="36" s="1"/>
  <c r="AE3475" i="36"/>
  <c r="V3534" i="36"/>
  <c r="AE3534" i="36" s="1"/>
  <c r="V3729" i="36"/>
  <c r="V3828" i="36"/>
  <c r="AE3828" i="36" s="1"/>
  <c r="V3584" i="36"/>
  <c r="AE3584" i="36" s="1"/>
  <c r="V3779" i="36"/>
  <c r="AE3779" i="36" s="1"/>
  <c r="V305" i="36"/>
  <c r="AE305" i="36" s="1"/>
  <c r="AE4994" i="36"/>
  <c r="V4999" i="36"/>
  <c r="V5000" i="36" s="1"/>
  <c r="V2552" i="36"/>
  <c r="AE2552" i="36" s="1"/>
  <c r="V4955" i="36"/>
  <c r="AE4955" i="36" s="1"/>
  <c r="V5053" i="36"/>
  <c r="AE5053" i="36" s="1"/>
  <c r="U313" i="36"/>
  <c r="V313" i="36" s="1"/>
  <c r="AE313" i="36" s="1"/>
  <c r="V4170" i="36"/>
  <c r="V5003" i="36"/>
  <c r="AE1268" i="36"/>
  <c r="V1273" i="36"/>
  <c r="V1274" i="36" s="1"/>
  <c r="V838" i="36"/>
  <c r="AE838" i="36" s="1"/>
  <c r="V979" i="36"/>
  <c r="V980" i="36" s="1"/>
  <c r="AE974" i="36"/>
  <c r="V985" i="36"/>
  <c r="AE985" i="36" s="1"/>
  <c r="U361" i="36"/>
  <c r="V361" i="36" s="1"/>
  <c r="AE361" i="36" s="1"/>
  <c r="U845" i="36"/>
  <c r="V845" i="36" s="1"/>
  <c r="AE845" i="36" s="1"/>
  <c r="U893" i="36"/>
  <c r="V893" i="36" s="1"/>
  <c r="V1131" i="36"/>
  <c r="AE1131" i="36" s="1"/>
  <c r="V1229" i="36"/>
  <c r="AE1229" i="36" s="1"/>
  <c r="V1424" i="36"/>
  <c r="V1518" i="36"/>
  <c r="V1519" i="36" s="1"/>
  <c r="AE1513" i="36"/>
  <c r="V1278" i="36"/>
  <c r="AE1278" i="36" s="1"/>
  <c r="V1473" i="36"/>
  <c r="AE1562" i="36"/>
  <c r="V1567" i="36"/>
  <c r="V1568" i="36" s="1"/>
  <c r="U1629" i="36"/>
  <c r="V1629" i="36" s="1"/>
  <c r="AE1629" i="36" s="1"/>
  <c r="U1677" i="36"/>
  <c r="V1677" i="36" s="1"/>
  <c r="V1861" i="36"/>
  <c r="V1862" i="36" s="1"/>
  <c r="AE1856" i="36"/>
  <c r="V1326" i="36"/>
  <c r="V1420" i="36"/>
  <c r="V1421" i="36" s="1"/>
  <c r="AE1415" i="36"/>
  <c r="U1482" i="36"/>
  <c r="V1482" i="36" s="1"/>
  <c r="AE1482" i="36" s="1"/>
  <c r="U1530" i="36"/>
  <c r="V1530" i="36" s="1"/>
  <c r="V1720" i="36"/>
  <c r="AE1720" i="36" s="1"/>
  <c r="V1816" i="36"/>
  <c r="AE2248" i="36"/>
  <c r="V2253" i="36"/>
  <c r="V2254" i="36" s="1"/>
  <c r="V2014" i="36"/>
  <c r="AE2014" i="36" s="1"/>
  <c r="V2209" i="36"/>
  <c r="AE2209" i="36" s="1"/>
  <c r="V2408" i="36"/>
  <c r="AE4219" i="36"/>
  <c r="V1866" i="36"/>
  <c r="AE1866" i="36" s="1"/>
  <c r="V2061" i="36"/>
  <c r="AE2150" i="36"/>
  <c r="V2155" i="36"/>
  <c r="V2156" i="36" s="1"/>
  <c r="U2217" i="36"/>
  <c r="V2217" i="36" s="1"/>
  <c r="AE2217" i="36" s="1"/>
  <c r="U2265" i="36"/>
  <c r="V2265" i="36" s="1"/>
  <c r="U1874" i="36"/>
  <c r="V1874" i="36" s="1"/>
  <c r="AE1874" i="36" s="1"/>
  <c r="U1922" i="36"/>
  <c r="V1922" i="36" s="1"/>
  <c r="V2112" i="36"/>
  <c r="AE2112" i="36" s="1"/>
  <c r="V2307" i="36"/>
  <c r="AE2307" i="36" s="1"/>
  <c r="V3234" i="36"/>
  <c r="V3235" i="36" s="1"/>
  <c r="AE3228" i="36"/>
  <c r="V3282" i="36"/>
  <c r="V3283" i="36" s="1"/>
  <c r="AE3277" i="36"/>
  <c r="V2944" i="36"/>
  <c r="AE2944" i="36" s="1"/>
  <c r="V3139" i="36"/>
  <c r="U2706" i="36"/>
  <c r="V2706" i="36" s="1"/>
  <c r="AE2787" i="36"/>
  <c r="V2792" i="36"/>
  <c r="V2793" i="36" s="1"/>
  <c r="V2993" i="36"/>
  <c r="AE2993" i="36" s="1"/>
  <c r="V3189" i="36"/>
  <c r="V3288" i="36"/>
  <c r="AE3288" i="36" s="1"/>
  <c r="V2749" i="36"/>
  <c r="AE2749" i="36" s="1"/>
  <c r="V2846" i="36"/>
  <c r="AE2846" i="36" s="1"/>
  <c r="V3041" i="36"/>
  <c r="V3135" i="36"/>
  <c r="V3136" i="36" s="1"/>
  <c r="AE3130" i="36"/>
  <c r="U3198" i="36"/>
  <c r="V3198" i="36" s="1"/>
  <c r="AE3198" i="36" s="1"/>
  <c r="V3336" i="36"/>
  <c r="AE3336" i="36" s="1"/>
  <c r="V4313" i="36"/>
  <c r="V4314" i="36" s="1"/>
  <c r="AE4308" i="36"/>
  <c r="V4269" i="36"/>
  <c r="AE4269" i="36" s="1"/>
  <c r="V4464" i="36"/>
  <c r="AE4553" i="36"/>
  <c r="V4558" i="36"/>
  <c r="V4559" i="36" s="1"/>
  <c r="V4317" i="36"/>
  <c r="V4411" i="36"/>
  <c r="V4412" i="36" s="1"/>
  <c r="AE4406" i="36"/>
  <c r="U4473" i="36"/>
  <c r="V4473" i="36" s="1"/>
  <c r="AE4473" i="36" s="1"/>
  <c r="U4521" i="36"/>
  <c r="V4521" i="36" s="1"/>
  <c r="V4564" i="36"/>
  <c r="AE4564" i="36" s="1"/>
  <c r="V5146" i="36"/>
  <c r="V5147" i="36" s="1"/>
  <c r="AE5141" i="36"/>
  <c r="V4612" i="36"/>
  <c r="AE4612" i="36" s="1"/>
  <c r="V5101" i="36"/>
  <c r="AE5190" i="36"/>
  <c r="V5195" i="36"/>
  <c r="V5196" i="36" s="1"/>
  <c r="U4620" i="36"/>
  <c r="V4620" i="36" s="1"/>
  <c r="AE4620" i="36" s="1"/>
  <c r="U4668" i="36"/>
  <c r="V4668" i="36" s="1"/>
  <c r="V5152" i="36"/>
  <c r="AE5152" i="36" s="1"/>
  <c r="V4711" i="36"/>
  <c r="AE4711" i="36" s="1"/>
  <c r="V5200" i="36"/>
  <c r="AE5200" i="36" s="1"/>
  <c r="U943" i="36"/>
  <c r="V943" i="36" s="1"/>
  <c r="AE943" i="36" s="1"/>
  <c r="U5452" i="36"/>
  <c r="V5452" i="36" s="1"/>
  <c r="V5686" i="36"/>
  <c r="AE5686" i="36" s="1"/>
  <c r="U5644" i="36"/>
  <c r="V5644" i="36" s="1"/>
  <c r="U5546" i="36"/>
  <c r="V5546" i="36" s="1"/>
  <c r="V3680" i="36"/>
  <c r="V3774" i="36"/>
  <c r="V3775" i="36" s="1"/>
  <c r="AE3769" i="36"/>
  <c r="U3836" i="36"/>
  <c r="V3836" i="36" s="1"/>
  <c r="AE3836" i="36" s="1"/>
  <c r="V3535" i="36"/>
  <c r="AE3535" i="36" s="1"/>
  <c r="V3730" i="36"/>
  <c r="AE3730" i="36" s="1"/>
  <c r="V3827" i="36"/>
  <c r="U3542" i="36"/>
  <c r="V3542" i="36" s="1"/>
  <c r="AE3542" i="36" s="1"/>
  <c r="U3590" i="36"/>
  <c r="V3590" i="36" s="1"/>
  <c r="V3780" i="36"/>
  <c r="AE3780" i="36" s="1"/>
  <c r="AE876" i="36"/>
  <c r="V881" i="36"/>
  <c r="V882" i="36" s="1"/>
  <c r="V1469" i="36"/>
  <c r="V1470" i="36" s="1"/>
  <c r="AE1464" i="36"/>
  <c r="V3185" i="36"/>
  <c r="V3186" i="36" s="1"/>
  <c r="AE3179" i="36"/>
  <c r="V1077" i="36"/>
  <c r="V1078" i="36" s="1"/>
  <c r="AE1072" i="36"/>
  <c r="V352" i="36"/>
  <c r="U844" i="36"/>
  <c r="V844" i="36" s="1"/>
  <c r="V1081" i="36"/>
  <c r="V832" i="36"/>
  <c r="V833" i="36" s="1"/>
  <c r="AE827" i="36"/>
  <c r="V885" i="36"/>
  <c r="V1132" i="36"/>
  <c r="AE1132" i="36" s="1"/>
  <c r="V1230" i="36"/>
  <c r="AE1230" i="36" s="1"/>
  <c r="V1425" i="36"/>
  <c r="AE1425" i="36" s="1"/>
  <c r="V1620" i="36"/>
  <c r="V1714" i="36"/>
  <c r="V1715" i="36" s="1"/>
  <c r="AE1709" i="36"/>
  <c r="V1817" i="36"/>
  <c r="AE1817" i="36" s="1"/>
  <c r="V1279" i="36"/>
  <c r="AE1279" i="36" s="1"/>
  <c r="V1474" i="36"/>
  <c r="AE1474" i="36" s="1"/>
  <c r="V1669" i="36"/>
  <c r="AE1758" i="36"/>
  <c r="V1763" i="36"/>
  <c r="V1764" i="36" s="1"/>
  <c r="V1327" i="36"/>
  <c r="AE1327" i="36" s="1"/>
  <c r="V1522" i="36"/>
  <c r="AE1611" i="36"/>
  <c r="V1616" i="36"/>
  <c r="V1617" i="36" s="1"/>
  <c r="U1678" i="36"/>
  <c r="V1678" i="36" s="1"/>
  <c r="AE1678" i="36" s="1"/>
  <c r="U1726" i="36"/>
  <c r="V1726" i="36" s="1"/>
  <c r="V1818" i="36"/>
  <c r="AE1818" i="36" s="1"/>
  <c r="V1910" i="36"/>
  <c r="V1911" i="36" s="1"/>
  <c r="AE1905" i="36"/>
  <c r="V2210" i="36"/>
  <c r="AE2210" i="36" s="1"/>
  <c r="V1867" i="36"/>
  <c r="AE1867" i="36" s="1"/>
  <c r="V2062" i="36"/>
  <c r="AE2062" i="36" s="1"/>
  <c r="V2257" i="36"/>
  <c r="V2351" i="36"/>
  <c r="V2352" i="36" s="1"/>
  <c r="AE2346" i="36"/>
  <c r="V2645" i="36"/>
  <c r="V2646" i="36" s="1"/>
  <c r="AE2640" i="36"/>
  <c r="V1914" i="36"/>
  <c r="V2008" i="36"/>
  <c r="V2009" i="36" s="1"/>
  <c r="AE2003" i="36"/>
  <c r="U2070" i="36"/>
  <c r="V2070" i="36" s="1"/>
  <c r="AE2070" i="36" s="1"/>
  <c r="U2118" i="36"/>
  <c r="V2118" i="36" s="1"/>
  <c r="V2308" i="36"/>
  <c r="AE2308" i="36" s="1"/>
  <c r="V2694" i="36"/>
  <c r="V2695" i="36" s="1"/>
  <c r="AE2689" i="36"/>
  <c r="V2994" i="36"/>
  <c r="AE2994" i="36" s="1"/>
  <c r="V3190" i="36"/>
  <c r="AE3190" i="36" s="1"/>
  <c r="V3238" i="36"/>
  <c r="U3246" i="36"/>
  <c r="V3246" i="36" s="1"/>
  <c r="AE3246" i="36" s="1"/>
  <c r="U3294" i="36"/>
  <c r="V3294" i="36" s="1"/>
  <c r="AE4210" i="36"/>
  <c r="V4215" i="36"/>
  <c r="V4216" i="36" s="1"/>
  <c r="U2755" i="36"/>
  <c r="V2755" i="36" s="1"/>
  <c r="V2847" i="36"/>
  <c r="AE2847" i="36" s="1"/>
  <c r="V3042" i="36"/>
  <c r="AE3042" i="36" s="1"/>
  <c r="V3337" i="36"/>
  <c r="AE3337" i="36" s="1"/>
  <c r="V4220" i="36"/>
  <c r="AE4220" i="36" s="1"/>
  <c r="V4415" i="36"/>
  <c r="AE4504" i="36"/>
  <c r="V4509" i="36"/>
  <c r="V4510" i="36" s="1"/>
  <c r="V4270" i="36"/>
  <c r="AE4270" i="36" s="1"/>
  <c r="V4465" i="36"/>
  <c r="AE4465" i="36" s="1"/>
  <c r="V4318" i="36"/>
  <c r="AE4318" i="36" s="1"/>
  <c r="V4513" i="36"/>
  <c r="V4613" i="36"/>
  <c r="AE4613" i="36" s="1"/>
  <c r="V5102" i="36"/>
  <c r="AE5102" i="36" s="1"/>
  <c r="V5297" i="36"/>
  <c r="V4660" i="36"/>
  <c r="V4754" i="36"/>
  <c r="V4755" i="36" s="1"/>
  <c r="AE4749" i="36"/>
  <c r="U5110" i="36"/>
  <c r="V5110" i="36" s="1"/>
  <c r="AE5110" i="36" s="1"/>
  <c r="U5158" i="36"/>
  <c r="V5158" i="36" s="1"/>
  <c r="V4607" i="36"/>
  <c r="V4608" i="36" s="1"/>
  <c r="AE4602" i="36"/>
  <c r="U4669" i="36"/>
  <c r="V4669" i="36" s="1"/>
  <c r="AE4669" i="36" s="1"/>
  <c r="U4717" i="36"/>
  <c r="V4717" i="36" s="1"/>
  <c r="V5201" i="36"/>
  <c r="AE5201" i="36" s="1"/>
  <c r="U5499" i="36"/>
  <c r="V5499" i="36" s="1"/>
  <c r="AE5499" i="36" s="1"/>
  <c r="V5687" i="36"/>
  <c r="AE5687" i="36" s="1"/>
  <c r="U5645" i="36"/>
  <c r="V5645" i="36" s="1"/>
  <c r="AE5645" i="36" s="1"/>
  <c r="U3541" i="36"/>
  <c r="V3541" i="36" s="1"/>
  <c r="V3731" i="36"/>
  <c r="AE3731" i="36" s="1"/>
  <c r="U3835" i="36"/>
  <c r="V3835" i="36" s="1"/>
  <c r="V3582" i="36"/>
  <c r="AE3671" i="36"/>
  <c r="V3676" i="36"/>
  <c r="V3677" i="36" s="1"/>
  <c r="U3738" i="36"/>
  <c r="V3738" i="36" s="1"/>
  <c r="AE3738" i="36" s="1"/>
  <c r="U3786" i="36"/>
  <c r="V3786" i="36" s="1"/>
  <c r="N3511" i="36"/>
  <c r="C3462" i="36"/>
  <c r="D3472" i="36" s="1"/>
  <c r="E3481" i="36" s="1"/>
  <c r="F3489" i="36" s="1"/>
  <c r="G3937" i="36"/>
  <c r="H3939" i="36" s="1"/>
  <c r="I3948" i="36" s="1"/>
  <c r="J3884" i="36"/>
  <c r="J3885" i="36" s="1"/>
  <c r="V544" i="36"/>
  <c r="AE544" i="36" s="1"/>
  <c r="G652" i="36"/>
  <c r="H654" i="36" s="1"/>
  <c r="I663" i="36" s="1"/>
  <c r="U312" i="36"/>
  <c r="V312" i="36" s="1"/>
  <c r="AE312" i="36" s="1"/>
  <c r="U698" i="36"/>
  <c r="V698" i="36" s="1"/>
  <c r="V700" i="36" s="1"/>
  <c r="V701" i="36" s="1"/>
  <c r="O456" i="35"/>
  <c r="U216" i="36"/>
  <c r="V216" i="36" s="1"/>
  <c r="AE216" i="36" s="1"/>
  <c r="O20" i="34"/>
  <c r="U89" i="36"/>
  <c r="V89" i="36" s="1"/>
  <c r="V92" i="36" s="1"/>
  <c r="V93" i="36" s="1"/>
  <c r="AB93" i="36" s="1"/>
  <c r="N4294" i="36"/>
  <c r="C3411" i="36"/>
  <c r="D3417" i="36" s="1"/>
  <c r="E3438" i="36" s="1"/>
  <c r="F3443" i="36" s="1"/>
  <c r="C3362" i="36"/>
  <c r="D3372" i="36" s="1"/>
  <c r="E3381" i="36" s="1"/>
  <c r="F3389" i="36" s="1"/>
  <c r="C3313" i="36"/>
  <c r="D3323" i="36" s="1"/>
  <c r="E3332" i="36" s="1"/>
  <c r="F3340" i="36" s="1"/>
  <c r="C3264" i="36"/>
  <c r="D3274" i="36" s="1"/>
  <c r="E3283" i="36" s="1"/>
  <c r="F3291" i="36" s="1"/>
  <c r="C3216" i="36"/>
  <c r="D3225" i="36" s="1"/>
  <c r="E3235" i="36" s="1"/>
  <c r="F3242" i="36" s="1"/>
  <c r="C3166" i="36"/>
  <c r="D3176" i="36" s="1"/>
  <c r="E3186" i="36" s="1"/>
  <c r="F3194" i="36" s="1"/>
  <c r="C3117" i="36"/>
  <c r="D3127" i="36" s="1"/>
  <c r="E3136" i="36" s="1"/>
  <c r="F3144" i="36" s="1"/>
  <c r="C3068" i="36"/>
  <c r="D3078" i="36" s="1"/>
  <c r="E3087" i="36" s="1"/>
  <c r="F3095" i="36" s="1"/>
  <c r="C3019" i="36"/>
  <c r="D3029" i="36" s="1"/>
  <c r="E3038" i="36" s="1"/>
  <c r="F3046" i="36" s="1"/>
  <c r="C2970" i="36"/>
  <c r="D2980" i="36" s="1"/>
  <c r="E2989" i="36" s="1"/>
  <c r="F2997" i="36" s="1"/>
  <c r="C2921" i="36"/>
  <c r="D2931" i="36" s="1"/>
  <c r="E2940" i="36" s="1"/>
  <c r="F2948" i="36" s="1"/>
  <c r="G2514" i="36"/>
  <c r="H2516" i="36" s="1"/>
  <c r="I2525" i="36" s="1"/>
  <c r="C2872" i="36"/>
  <c r="D2882" i="36" s="1"/>
  <c r="E2891" i="36" s="1"/>
  <c r="F2899" i="36" s="1"/>
  <c r="C2823" i="36"/>
  <c r="D2833" i="36" s="1"/>
  <c r="E2842" i="36" s="1"/>
  <c r="F2850" i="36" s="1"/>
  <c r="C2774" i="36"/>
  <c r="D2784" i="36" s="1"/>
  <c r="E2793" i="36" s="1"/>
  <c r="F2801" i="36" s="1"/>
  <c r="C2725" i="36"/>
  <c r="D2735" i="36" s="1"/>
  <c r="E2744" i="36" s="1"/>
  <c r="F2752" i="36" s="1"/>
  <c r="C2676" i="36"/>
  <c r="D2686" i="36" s="1"/>
  <c r="E2695" i="36" s="1"/>
  <c r="F2703" i="36" s="1"/>
  <c r="N2675" i="36"/>
  <c r="C2627" i="36"/>
  <c r="D2637" i="36" s="1"/>
  <c r="E2646" i="36" s="1"/>
  <c r="F2654" i="36" s="1"/>
  <c r="N911" i="36"/>
  <c r="U746" i="36"/>
  <c r="V746" i="36" s="1"/>
  <c r="AE746" i="36" s="1"/>
  <c r="U46" i="36"/>
  <c r="V46" i="36" s="1"/>
  <c r="U600" i="36"/>
  <c r="V600" i="36" s="1"/>
  <c r="AE600" i="36" s="1"/>
  <c r="U4179" i="36"/>
  <c r="V4179" i="36" s="1"/>
  <c r="AE4179" i="36" s="1"/>
  <c r="U649" i="36"/>
  <c r="V649" i="36" s="1"/>
  <c r="AE649" i="36" s="1"/>
  <c r="U5012" i="36"/>
  <c r="V5012" i="36" s="1"/>
  <c r="AE5012" i="36" s="1"/>
  <c r="U4963" i="36"/>
  <c r="V4963" i="36" s="1"/>
  <c r="AE4963" i="36" s="1"/>
  <c r="U4962" i="36"/>
  <c r="V4962" i="36" s="1"/>
  <c r="U175" i="36"/>
  <c r="V175" i="36" s="1"/>
  <c r="V178" i="36" s="1"/>
  <c r="V179" i="36" s="1"/>
  <c r="U5060" i="36"/>
  <c r="V5060" i="36" s="1"/>
  <c r="AE2608" i="36"/>
  <c r="U4178" i="36"/>
  <c r="V4178" i="36" s="1"/>
  <c r="U264" i="36"/>
  <c r="V264" i="36" s="1"/>
  <c r="U5011" i="36"/>
  <c r="V5011" i="36" s="1"/>
  <c r="O90" i="34"/>
  <c r="O915" i="35"/>
  <c r="O374" i="35"/>
  <c r="C12" i="1"/>
  <c r="O29" i="34"/>
  <c r="N667" i="36"/>
  <c r="O55" i="34"/>
  <c r="C2578" i="36"/>
  <c r="D2588" i="36" s="1"/>
  <c r="E2597" i="36" s="1"/>
  <c r="F2605" i="36" s="1"/>
  <c r="Q614" i="35"/>
  <c r="C2529" i="36"/>
  <c r="D2539" i="36" s="1"/>
  <c r="E2548" i="36" s="1"/>
  <c r="F2556" i="36" s="1"/>
  <c r="O454" i="35"/>
  <c r="O512" i="35"/>
  <c r="O646" i="35"/>
  <c r="O789" i="35"/>
  <c r="O617" i="35"/>
  <c r="S92" i="34"/>
  <c r="O804" i="35"/>
  <c r="O458" i="35"/>
  <c r="O227" i="35"/>
  <c r="O46" i="34"/>
  <c r="O228" i="35"/>
  <c r="O911" i="35"/>
  <c r="O505" i="35"/>
  <c r="O230" i="35"/>
  <c r="F43" i="36"/>
  <c r="O66" i="34"/>
  <c r="O604" i="35"/>
  <c r="N4001" i="36"/>
  <c r="C3952" i="36"/>
  <c r="D3962" i="36" s="1"/>
  <c r="E3971" i="36" s="1"/>
  <c r="F3979" i="36" s="1"/>
  <c r="V640" i="36"/>
  <c r="AE640" i="36" s="1"/>
  <c r="O223" i="35"/>
  <c r="O224" i="35"/>
  <c r="O221" i="35"/>
  <c r="O229" i="35"/>
  <c r="Q222" i="35"/>
  <c r="O232" i="35"/>
  <c r="V2504" i="36"/>
  <c r="AE2504" i="36" s="1"/>
  <c r="V641" i="36"/>
  <c r="AE641" i="36" s="1"/>
  <c r="V3878" i="36"/>
  <c r="AE3878" i="36" s="1"/>
  <c r="V3877" i="36"/>
  <c r="AE3877" i="36" s="1"/>
  <c r="AE26" i="36"/>
  <c r="AB70" i="36"/>
  <c r="Z70" i="36"/>
  <c r="U4130" i="36"/>
  <c r="V4130" i="36" s="1"/>
  <c r="AE4130" i="36" s="1"/>
  <c r="V4024" i="36"/>
  <c r="AE4024" i="36" s="1"/>
  <c r="U553" i="36"/>
  <c r="V553" i="36" s="1"/>
  <c r="V4025" i="36"/>
  <c r="AE4025" i="36" s="1"/>
  <c r="U747" i="36"/>
  <c r="V747" i="36" s="1"/>
  <c r="AE747" i="36" s="1"/>
  <c r="V546" i="36"/>
  <c r="AE546" i="36" s="1"/>
  <c r="V207" i="36"/>
  <c r="AE207" i="36" s="1"/>
  <c r="V642" i="36"/>
  <c r="AE642" i="36" s="1"/>
  <c r="V208" i="36"/>
  <c r="AE208" i="36" s="1"/>
  <c r="V739" i="36"/>
  <c r="V742" i="36" s="1"/>
  <c r="V743" i="36" s="1"/>
  <c r="V2453" i="36"/>
  <c r="AE2453" i="36" s="1"/>
  <c r="V691" i="36"/>
  <c r="AE691" i="36" s="1"/>
  <c r="V689" i="36"/>
  <c r="AE689" i="36" s="1"/>
  <c r="V76" i="36"/>
  <c r="V77" i="36" s="1"/>
  <c r="AB77" i="36" s="1"/>
  <c r="V690" i="36"/>
  <c r="AE690" i="36" s="1"/>
  <c r="U601" i="36"/>
  <c r="V601" i="36" s="1"/>
  <c r="V162" i="36"/>
  <c r="V163" i="36" s="1"/>
  <c r="V2503" i="36"/>
  <c r="AE2503" i="36" s="1"/>
  <c r="V203" i="36"/>
  <c r="V204" i="36" s="1"/>
  <c r="AB72" i="36"/>
  <c r="Z72" i="36"/>
  <c r="V593" i="36"/>
  <c r="AE593" i="36" s="1"/>
  <c r="V2454" i="36"/>
  <c r="AE2454" i="36" s="1"/>
  <c r="V119" i="36"/>
  <c r="V120" i="36" s="1"/>
  <c r="V33" i="36"/>
  <c r="V34" i="36" s="1"/>
  <c r="V545" i="36"/>
  <c r="AE545" i="36" s="1"/>
  <c r="V168" i="36"/>
  <c r="AE168" i="36" s="1"/>
  <c r="V588" i="36"/>
  <c r="V589" i="36" s="1"/>
  <c r="V209" i="36"/>
  <c r="AE209" i="36" s="1"/>
  <c r="V3872" i="36"/>
  <c r="V3873" i="36" s="1"/>
  <c r="V788" i="36"/>
  <c r="AE788" i="36" s="1"/>
  <c r="AE4112" i="36"/>
  <c r="AE2493" i="36"/>
  <c r="U4129" i="36"/>
  <c r="V4129" i="36" s="1"/>
  <c r="U3934" i="36"/>
  <c r="V3934" i="36" s="1"/>
  <c r="AE3934" i="36" s="1"/>
  <c r="U3885" i="36"/>
  <c r="V3885" i="36" s="1"/>
  <c r="AE3885" i="36" s="1"/>
  <c r="V4117" i="36"/>
  <c r="V4118" i="36" s="1"/>
  <c r="U3982" i="36"/>
  <c r="V3982" i="36" s="1"/>
  <c r="V4123" i="36"/>
  <c r="AE4123" i="36" s="1"/>
  <c r="U2510" i="36"/>
  <c r="U795" i="36"/>
  <c r="V795" i="36" s="1"/>
  <c r="AE795" i="36" s="1"/>
  <c r="V4122" i="36"/>
  <c r="AE4122" i="36" s="1"/>
  <c r="U3983" i="36"/>
  <c r="V3983" i="36" s="1"/>
  <c r="AE3983" i="36" s="1"/>
  <c r="V787" i="36"/>
  <c r="AE787" i="36" s="1"/>
  <c r="V4073" i="36"/>
  <c r="AE4073" i="36" s="1"/>
  <c r="U2511" i="36"/>
  <c r="V2511" i="36" s="1"/>
  <c r="AE2511" i="36" s="1"/>
  <c r="U4032" i="36"/>
  <c r="V4032" i="36" s="1"/>
  <c r="AE4032" i="36" s="1"/>
  <c r="V3927" i="36"/>
  <c r="AE3927" i="36" s="1"/>
  <c r="AE3867" i="36"/>
  <c r="V789" i="36"/>
  <c r="AE789" i="36" s="1"/>
  <c r="U4080" i="36"/>
  <c r="U3884" i="36"/>
  <c r="V3884" i="36" s="1"/>
  <c r="AE3884" i="36" s="1"/>
  <c r="V783" i="36"/>
  <c r="V784" i="36" s="1"/>
  <c r="U4081" i="36"/>
  <c r="V4081" i="36" s="1"/>
  <c r="AE4081" i="36" s="1"/>
  <c r="V2498" i="36"/>
  <c r="V2499" i="36" s="1"/>
  <c r="V4019" i="36"/>
  <c r="V4020" i="36" s="1"/>
  <c r="U796" i="36"/>
  <c r="V796" i="36" s="1"/>
  <c r="AE796" i="36" s="1"/>
  <c r="AE4014" i="36"/>
  <c r="V3926" i="36"/>
  <c r="AE3926" i="36" s="1"/>
  <c r="U4031" i="36"/>
  <c r="U3933" i="36"/>
  <c r="V3976" i="36"/>
  <c r="AE3976" i="36" s="1"/>
  <c r="V3921" i="36"/>
  <c r="V3922" i="36" s="1"/>
  <c r="V3975" i="36"/>
  <c r="AE3975" i="36" s="1"/>
  <c r="V4074" i="36"/>
  <c r="AE4074" i="36" s="1"/>
  <c r="AE4121" i="36"/>
  <c r="O603" i="35"/>
  <c r="O601" i="35"/>
  <c r="O507" i="35"/>
  <c r="O457" i="35"/>
  <c r="O630" i="35"/>
  <c r="Q660" i="35"/>
  <c r="O504" i="35"/>
  <c r="O908" i="35"/>
  <c r="O615" i="35"/>
  <c r="O790" i="35"/>
  <c r="O803" i="35"/>
  <c r="O618" i="35"/>
  <c r="O914" i="35"/>
  <c r="O787" i="35"/>
  <c r="O910" i="35"/>
  <c r="O427" i="35"/>
  <c r="O657" i="35"/>
  <c r="O801" i="35"/>
  <c r="O525" i="35"/>
  <c r="O912" i="35"/>
  <c r="O805" i="35"/>
  <c r="O549" i="35"/>
  <c r="O455" i="35"/>
  <c r="O547" i="35"/>
  <c r="P88" i="34"/>
  <c r="P85" i="34"/>
  <c r="P83" i="34"/>
  <c r="P81" i="34"/>
  <c r="P79" i="34"/>
  <c r="P77" i="34"/>
  <c r="P75" i="34"/>
  <c r="P73" i="34"/>
  <c r="P82" i="34"/>
  <c r="P74" i="34"/>
  <c r="P71" i="34"/>
  <c r="P69" i="34"/>
  <c r="P64" i="34"/>
  <c r="P62" i="34"/>
  <c r="P60" i="34"/>
  <c r="P58" i="34"/>
  <c r="P53" i="34"/>
  <c r="P51" i="34"/>
  <c r="P49" i="34"/>
  <c r="P44" i="34"/>
  <c r="P42" i="34"/>
  <c r="P40" i="34"/>
  <c r="P38" i="34"/>
  <c r="P36" i="34"/>
  <c r="P34" i="34"/>
  <c r="P32" i="34"/>
  <c r="P27" i="34"/>
  <c r="P25" i="34"/>
  <c r="P23" i="34"/>
  <c r="P18" i="34"/>
  <c r="P84" i="34"/>
  <c r="P78" i="34"/>
  <c r="P63" i="34"/>
  <c r="P52" i="34"/>
  <c r="P41" i="34"/>
  <c r="P33" i="34"/>
  <c r="P22" i="34"/>
  <c r="P29" i="34" s="1"/>
  <c r="P16" i="34"/>
  <c r="P14" i="34"/>
  <c r="P12" i="34"/>
  <c r="P10" i="34"/>
  <c r="P20" i="34" s="1"/>
  <c r="P87" i="34"/>
  <c r="P80" i="34"/>
  <c r="P70" i="34"/>
  <c r="P59" i="34"/>
  <c r="P48" i="34"/>
  <c r="P55" i="34" s="1"/>
  <c r="P37" i="34"/>
  <c r="P26" i="34"/>
  <c r="P17" i="34"/>
  <c r="P15" i="34"/>
  <c r="P13" i="34"/>
  <c r="P11" i="34"/>
  <c r="P76" i="34"/>
  <c r="P72" i="34"/>
  <c r="P50" i="34"/>
  <c r="P31" i="34"/>
  <c r="P46" i="34" s="1"/>
  <c r="F172" i="36"/>
  <c r="P43" i="34"/>
  <c r="P24" i="34"/>
  <c r="P57" i="34"/>
  <c r="P66" i="34" s="1"/>
  <c r="P35" i="34"/>
  <c r="P61" i="34"/>
  <c r="P39" i="34"/>
  <c r="P68" i="34"/>
  <c r="P90" i="34" s="1"/>
  <c r="N87" i="34"/>
  <c r="N84" i="34"/>
  <c r="N82" i="34"/>
  <c r="N80" i="34"/>
  <c r="N78" i="34"/>
  <c r="N76" i="34"/>
  <c r="N74" i="34"/>
  <c r="N85" i="34"/>
  <c r="N77" i="34"/>
  <c r="N72" i="34"/>
  <c r="N70" i="34"/>
  <c r="N68" i="34"/>
  <c r="N90" i="34" s="1"/>
  <c r="N63" i="34"/>
  <c r="N61" i="34"/>
  <c r="N59" i="34"/>
  <c r="N57" i="34"/>
  <c r="N66" i="34" s="1"/>
  <c r="N52" i="34"/>
  <c r="N50" i="34"/>
  <c r="N48" i="34"/>
  <c r="N55" i="34" s="1"/>
  <c r="N43" i="34"/>
  <c r="N41" i="34"/>
  <c r="N39" i="34"/>
  <c r="N37" i="34"/>
  <c r="N35" i="34"/>
  <c r="N33" i="34"/>
  <c r="N31" i="34"/>
  <c r="N46" i="34" s="1"/>
  <c r="N26" i="34"/>
  <c r="N24" i="34"/>
  <c r="N22" i="34"/>
  <c r="N29" i="34" s="1"/>
  <c r="N83" i="34"/>
  <c r="N69" i="34"/>
  <c r="N58" i="34"/>
  <c r="N44" i="34"/>
  <c r="N36" i="34"/>
  <c r="N25" i="34"/>
  <c r="N17" i="34"/>
  <c r="N15" i="34"/>
  <c r="N13" i="34"/>
  <c r="N11" i="34"/>
  <c r="N79" i="34"/>
  <c r="N73" i="34"/>
  <c r="N62" i="34"/>
  <c r="N51" i="34"/>
  <c r="N40" i="34"/>
  <c r="N32" i="34"/>
  <c r="N18" i="34"/>
  <c r="N16" i="34"/>
  <c r="N14" i="34"/>
  <c r="N12" i="34"/>
  <c r="N10" i="34"/>
  <c r="N20" i="34" s="1"/>
  <c r="N88" i="34"/>
  <c r="N81" i="34"/>
  <c r="N64" i="34"/>
  <c r="N42" i="34"/>
  <c r="N23" i="34"/>
  <c r="N71" i="34"/>
  <c r="N49" i="34"/>
  <c r="N27" i="34"/>
  <c r="N38" i="34"/>
  <c r="N75" i="34"/>
  <c r="N53" i="34"/>
  <c r="N34" i="34"/>
  <c r="N60" i="34"/>
  <c r="AC73" i="36"/>
  <c r="AC91" i="36"/>
  <c r="V734" i="36"/>
  <c r="V735" i="36" s="1"/>
  <c r="AC71" i="36"/>
  <c r="AC62" i="36"/>
  <c r="AE38" i="36"/>
  <c r="AC74" i="36"/>
  <c r="AC64" i="36"/>
  <c r="Z82" i="36"/>
  <c r="AC82" i="36" s="1"/>
  <c r="AC63" i="36"/>
  <c r="V540" i="36"/>
  <c r="V541" i="36" s="1"/>
  <c r="AE81" i="36"/>
  <c r="V2449" i="36"/>
  <c r="V2450" i="36" s="1"/>
  <c r="AC75" i="36"/>
  <c r="V85" i="36"/>
  <c r="V86" i="36" s="1"/>
  <c r="AB86" i="36" s="1"/>
  <c r="V42" i="36"/>
  <c r="V43" i="36" s="1"/>
  <c r="AC84" i="36"/>
  <c r="V128" i="36"/>
  <c r="V129" i="36" s="1"/>
  <c r="AC83" i="36"/>
  <c r="AC61" i="36"/>
  <c r="AE37" i="36"/>
  <c r="AC81" i="36"/>
  <c r="AC90" i="36"/>
  <c r="AE80" i="36"/>
  <c r="AE586" i="36"/>
  <c r="AE538" i="36"/>
  <c r="AE190" i="36"/>
  <c r="AE199" i="36"/>
  <c r="AE215" i="36"/>
  <c r="AE738" i="36"/>
  <c r="AE740" i="36"/>
  <c r="O308" i="35"/>
  <c r="AE2461" i="36"/>
  <c r="V2464" i="36"/>
  <c r="V2465" i="36" s="1"/>
  <c r="AE594" i="36"/>
  <c r="AE648" i="36"/>
  <c r="V636" i="36"/>
  <c r="V637" i="36" s="1"/>
  <c r="AE631" i="36"/>
  <c r="AE592" i="36"/>
  <c r="AE536" i="36"/>
  <c r="AE697" i="36"/>
  <c r="AE2462" i="36"/>
  <c r="AE2455" i="36"/>
  <c r="AE683" i="36"/>
  <c r="V685" i="36"/>
  <c r="V686" i="36" s="1"/>
  <c r="AC80" i="36"/>
  <c r="AC69" i="36"/>
  <c r="V4860" i="36" l="1"/>
  <c r="V4861" i="36" s="1"/>
  <c r="V5350" i="36"/>
  <c r="V5351" i="36" s="1"/>
  <c r="U5360" i="36" s="1"/>
  <c r="V5934" i="36"/>
  <c r="V5935" i="36" s="1"/>
  <c r="U5944" i="36" s="1"/>
  <c r="V500" i="36"/>
  <c r="V501" i="36" s="1"/>
  <c r="U4870" i="36"/>
  <c r="V506" i="36"/>
  <c r="V507" i="36" s="1"/>
  <c r="AE504" i="36"/>
  <c r="AE5395" i="36"/>
  <c r="V5399" i="36"/>
  <c r="V5400" i="36" s="1"/>
  <c r="U5409" i="36" s="1"/>
  <c r="AE5734" i="36"/>
  <c r="V5738" i="36"/>
  <c r="V5739" i="36" s="1"/>
  <c r="AE5832" i="36"/>
  <c r="V5836" i="36"/>
  <c r="V5837" i="36" s="1"/>
  <c r="U5846" i="36" s="1"/>
  <c r="AE5881" i="36"/>
  <c r="V5885" i="36"/>
  <c r="V5886" i="36" s="1"/>
  <c r="U5895" i="36" s="1"/>
  <c r="V5787" i="36"/>
  <c r="V5788" i="36" s="1"/>
  <c r="U5797" i="36" s="1"/>
  <c r="AE4905" i="36"/>
  <c r="V4909" i="36"/>
  <c r="V4910" i="36" s="1"/>
  <c r="V404" i="36"/>
  <c r="V405" i="36" s="1"/>
  <c r="V452" i="36"/>
  <c r="V453" i="36" s="1"/>
  <c r="V4811" i="36"/>
  <c r="V4812" i="36" s="1"/>
  <c r="U4821" i="36" s="1"/>
  <c r="AE132" i="36"/>
  <c r="V2905" i="36"/>
  <c r="V2906" i="36" s="1"/>
  <c r="T2876" i="36" s="1"/>
  <c r="V2876" i="36" s="1"/>
  <c r="V2163" i="36"/>
  <c r="V2164" i="36" s="1"/>
  <c r="V1043" i="36"/>
  <c r="V1044" i="36" s="1"/>
  <c r="T1014" i="36" s="1"/>
  <c r="V1014" i="36" s="1"/>
  <c r="V2170" i="36"/>
  <c r="V2171" i="36" s="1"/>
  <c r="T2141" i="36" s="1"/>
  <c r="V2141" i="36" s="1"/>
  <c r="V3395" i="36"/>
  <c r="V3396" i="36" s="1"/>
  <c r="T3366" i="36" s="1"/>
  <c r="V3366" i="36" s="1"/>
  <c r="V1771" i="36"/>
  <c r="V1772" i="36" s="1"/>
  <c r="V1778" i="36"/>
  <c r="V1779" i="36" s="1"/>
  <c r="T1749" i="36" s="1"/>
  <c r="V1749" i="36" s="1"/>
  <c r="V2800" i="36"/>
  <c r="V2801" i="36" s="1"/>
  <c r="V994" i="36"/>
  <c r="V995" i="36" s="1"/>
  <c r="T965" i="36" s="1"/>
  <c r="V965" i="36" s="1"/>
  <c r="V1967" i="36"/>
  <c r="V1968" i="36" s="1"/>
  <c r="V2807" i="36"/>
  <c r="V2808" i="36" s="1"/>
  <c r="T2778" i="36" s="1"/>
  <c r="V2778" i="36" s="1"/>
  <c r="V4573" i="36"/>
  <c r="V4574" i="36" s="1"/>
  <c r="T4544" i="36" s="1"/>
  <c r="V4544" i="36" s="1"/>
  <c r="V1974" i="36"/>
  <c r="V1975" i="36" s="1"/>
  <c r="T1945" i="36" s="1"/>
  <c r="V1945" i="36" s="1"/>
  <c r="V938" i="36"/>
  <c r="V939" i="36" s="1"/>
  <c r="V4762" i="36"/>
  <c r="V4763" i="36" s="1"/>
  <c r="V3094" i="36"/>
  <c r="V3095" i="36" s="1"/>
  <c r="V1183" i="36"/>
  <c r="V1184" i="36" s="1"/>
  <c r="V1190" i="36"/>
  <c r="V1191" i="36" s="1"/>
  <c r="T1161" i="36" s="1"/>
  <c r="V1161" i="36" s="1"/>
  <c r="V5696" i="36"/>
  <c r="V5697" i="36" s="1"/>
  <c r="T5667" i="36" s="1"/>
  <c r="V5667" i="36" s="1"/>
  <c r="AE5667" i="36" s="1"/>
  <c r="V3101" i="36"/>
  <c r="V3102" i="36" s="1"/>
  <c r="T3072" i="36" s="1"/>
  <c r="V3072" i="36" s="1"/>
  <c r="V1575" i="36"/>
  <c r="V1576" i="36" s="1"/>
  <c r="AE1971" i="36"/>
  <c r="AE991" i="36"/>
  <c r="V5591" i="36"/>
  <c r="V5592" i="36" s="1"/>
  <c r="V3635" i="36"/>
  <c r="V3636" i="36" s="1"/>
  <c r="V4377" i="36"/>
  <c r="V4378" i="36" s="1"/>
  <c r="T4348" i="36" s="1"/>
  <c r="V4348" i="36" s="1"/>
  <c r="V1092" i="36"/>
  <c r="V1093" i="36" s="1"/>
  <c r="T1063" i="36" s="1"/>
  <c r="V1063" i="36" s="1"/>
  <c r="V3150" i="36"/>
  <c r="V3151" i="36" s="1"/>
  <c r="T3121" i="36" s="1"/>
  <c r="V3121" i="36" s="1"/>
  <c r="V5542" i="36"/>
  <c r="V5543" i="36" s="1"/>
  <c r="AE934" i="36"/>
  <c r="V4370" i="36"/>
  <c r="V4371" i="36" s="1"/>
  <c r="V3388" i="36"/>
  <c r="V3389" i="36" s="1"/>
  <c r="V2366" i="36"/>
  <c r="V2367" i="36" s="1"/>
  <c r="T2337" i="36" s="1"/>
  <c r="V2337" i="36" s="1"/>
  <c r="V2898" i="36"/>
  <c r="V2899" i="36" s="1"/>
  <c r="AE1963" i="36"/>
  <c r="V3642" i="36"/>
  <c r="V3643" i="36" s="1"/>
  <c r="T3613" i="36" s="1"/>
  <c r="V3613" i="36" s="1"/>
  <c r="V4769" i="36"/>
  <c r="V4770" i="36" s="1"/>
  <c r="T4740" i="36" s="1"/>
  <c r="V4740" i="36" s="1"/>
  <c r="V2653" i="36"/>
  <c r="V2654" i="36" s="1"/>
  <c r="V3447" i="36"/>
  <c r="V3448" i="36" s="1"/>
  <c r="T3414" i="36" s="1"/>
  <c r="V3414" i="36" s="1"/>
  <c r="V3416" i="36" s="1"/>
  <c r="V3417" i="36" s="1"/>
  <c r="AE2804" i="36"/>
  <c r="V3691" i="36"/>
  <c r="V3692" i="36" s="1"/>
  <c r="T3662" i="36" s="1"/>
  <c r="V3662" i="36" s="1"/>
  <c r="V4230" i="36"/>
  <c r="V4231" i="36" s="1"/>
  <c r="T4201" i="36" s="1"/>
  <c r="V4201" i="36" s="1"/>
  <c r="V1386" i="36"/>
  <c r="V1387" i="36" s="1"/>
  <c r="T1357" i="36" s="1"/>
  <c r="V1357" i="36" s="1"/>
  <c r="V3488" i="36"/>
  <c r="V3489" i="36" s="1"/>
  <c r="V5259" i="36"/>
  <c r="V5260" i="36" s="1"/>
  <c r="T5230" i="36" s="1"/>
  <c r="V5230" i="36" s="1"/>
  <c r="V1379" i="36"/>
  <c r="V1380" i="36" s="1"/>
  <c r="V4426" i="36"/>
  <c r="V4427" i="36" s="1"/>
  <c r="T4397" i="36" s="1"/>
  <c r="V4397" i="36" s="1"/>
  <c r="V2359" i="36"/>
  <c r="V2360" i="36" s="1"/>
  <c r="V1239" i="36"/>
  <c r="V1240" i="36" s="1"/>
  <c r="T1210" i="36" s="1"/>
  <c r="V1210" i="36" s="1"/>
  <c r="V5252" i="36"/>
  <c r="V5253" i="36" s="1"/>
  <c r="V2023" i="36"/>
  <c r="V2024" i="36" s="1"/>
  <c r="T1994" i="36" s="1"/>
  <c r="V1994" i="36" s="1"/>
  <c r="V5308" i="36"/>
  <c r="V5309" i="36" s="1"/>
  <c r="T5279" i="36" s="1"/>
  <c r="V5279" i="36" s="1"/>
  <c r="AE1089" i="36"/>
  <c r="AE3688" i="36"/>
  <c r="V2611" i="36"/>
  <c r="V2612" i="36" s="1"/>
  <c r="T2582" i="36" s="1"/>
  <c r="V2582" i="36" s="1"/>
  <c r="V2587" i="36" s="1"/>
  <c r="V2588" i="36" s="1"/>
  <c r="V3495" i="36"/>
  <c r="V3496" i="36" s="1"/>
  <c r="T3466" i="36" s="1"/>
  <c r="V3466" i="36" s="1"/>
  <c r="V5640" i="36"/>
  <c r="V5641" i="36" s="1"/>
  <c r="V5448" i="36"/>
  <c r="V5449" i="36" s="1"/>
  <c r="V362" i="36"/>
  <c r="V363" i="36" s="1"/>
  <c r="T334" i="36" s="1"/>
  <c r="V334" i="36" s="1"/>
  <c r="AE334" i="36" s="1"/>
  <c r="V1582" i="36"/>
  <c r="V1583" i="36" s="1"/>
  <c r="T1553" i="36" s="1"/>
  <c r="V1553" i="36" s="1"/>
  <c r="AE3541" i="36"/>
  <c r="V3544" i="36"/>
  <c r="V3545" i="36" s="1"/>
  <c r="AE1081" i="36"/>
  <c r="V1085" i="36"/>
  <c r="V1086" i="36" s="1"/>
  <c r="V3593" i="36"/>
  <c r="V3594" i="36" s="1"/>
  <c r="AE3590" i="36"/>
  <c r="AE3680" i="36"/>
  <c r="V3684" i="36"/>
  <c r="V3685" i="36" s="1"/>
  <c r="AE3139" i="36"/>
  <c r="V3143" i="36"/>
  <c r="V3144" i="36" s="1"/>
  <c r="AE1922" i="36"/>
  <c r="V1925" i="36"/>
  <c r="V1926" i="36" s="1"/>
  <c r="V4223" i="36"/>
  <c r="V4224" i="36" s="1"/>
  <c r="AE5003" i="36"/>
  <c r="V5007" i="36"/>
  <c r="V5008" i="36" s="1"/>
  <c r="AE3729" i="36"/>
  <c r="V3733" i="36"/>
  <c r="V3734" i="36" s="1"/>
  <c r="AE5199" i="36"/>
  <c r="V5203" i="36"/>
  <c r="V5204" i="36" s="1"/>
  <c r="AE3197" i="36"/>
  <c r="V3200" i="36"/>
  <c r="V3201" i="36" s="1"/>
  <c r="AE2992" i="36"/>
  <c r="V2996" i="36"/>
  <c r="V2997" i="36" s="1"/>
  <c r="V2947" i="36"/>
  <c r="V2948" i="36" s="1"/>
  <c r="AE2943" i="36"/>
  <c r="AE2208" i="36"/>
  <c r="V2212" i="36"/>
  <c r="V2213" i="36" s="1"/>
  <c r="V1337" i="36"/>
  <c r="V1338" i="36" s="1"/>
  <c r="AE1334" i="36"/>
  <c r="AE304" i="36"/>
  <c r="V308" i="36"/>
  <c r="V309" i="36" s="1"/>
  <c r="AE5595" i="36"/>
  <c r="V5598" i="36"/>
  <c r="V5599" i="36" s="1"/>
  <c r="T5569" i="36" s="1"/>
  <c r="V5569" i="36" s="1"/>
  <c r="AE4276" i="36"/>
  <c r="V4279" i="36"/>
  <c r="V4280" i="36" s="1"/>
  <c r="AE3286" i="36"/>
  <c r="V3290" i="36"/>
  <c r="V3291" i="36" s="1"/>
  <c r="AE2413" i="36"/>
  <c r="V2415" i="36"/>
  <c r="V2416" i="36" s="1"/>
  <c r="T2386" i="36" s="1"/>
  <c r="V2386" i="36" s="1"/>
  <c r="AE1138" i="36"/>
  <c r="V1141" i="36"/>
  <c r="V1142" i="36" s="1"/>
  <c r="V3789" i="36"/>
  <c r="V3790" i="36" s="1"/>
  <c r="AE3786" i="36"/>
  <c r="AE3582" i="36"/>
  <c r="V3586" i="36"/>
  <c r="V3587" i="36" s="1"/>
  <c r="AE4717" i="36"/>
  <c r="V4720" i="36"/>
  <c r="V4721" i="36" s="1"/>
  <c r="AE5158" i="36"/>
  <c r="V5161" i="36"/>
  <c r="V5162" i="36" s="1"/>
  <c r="AE4660" i="36"/>
  <c r="V4664" i="36"/>
  <c r="V4665" i="36" s="1"/>
  <c r="AE4513" i="36"/>
  <c r="V4517" i="36"/>
  <c r="V4518" i="36" s="1"/>
  <c r="AE4415" i="36"/>
  <c r="V4419" i="36"/>
  <c r="V4420" i="36" s="1"/>
  <c r="V3297" i="36"/>
  <c r="V3298" i="36" s="1"/>
  <c r="AE3294" i="36"/>
  <c r="AE2118" i="36"/>
  <c r="V2121" i="36"/>
  <c r="V2122" i="36" s="1"/>
  <c r="AE1914" i="36"/>
  <c r="V1918" i="36"/>
  <c r="V1919" i="36" s="1"/>
  <c r="AE1726" i="36"/>
  <c r="V1729" i="36"/>
  <c r="V1730" i="36" s="1"/>
  <c r="AE1522" i="36"/>
  <c r="V1526" i="36"/>
  <c r="V1527" i="36" s="1"/>
  <c r="AE1669" i="36"/>
  <c r="V1673" i="36"/>
  <c r="V1674" i="36" s="1"/>
  <c r="V847" i="36"/>
  <c r="V848" i="36" s="1"/>
  <c r="AE844" i="36"/>
  <c r="AE5546" i="36"/>
  <c r="V5549" i="36"/>
  <c r="V5550" i="36" s="1"/>
  <c r="T5520" i="36" s="1"/>
  <c r="V5520" i="36" s="1"/>
  <c r="AE5101" i="36"/>
  <c r="V5105" i="36"/>
  <c r="V5106" i="36" s="1"/>
  <c r="AE4464" i="36"/>
  <c r="V4468" i="36"/>
  <c r="V4469" i="36" s="1"/>
  <c r="AE3041" i="36"/>
  <c r="V3045" i="36"/>
  <c r="V3046" i="36" s="1"/>
  <c r="AE1816" i="36"/>
  <c r="V1820" i="36"/>
  <c r="V1821" i="36" s="1"/>
  <c r="AE893" i="36"/>
  <c r="V896" i="36"/>
  <c r="V897" i="36" s="1"/>
  <c r="AE4170" i="36"/>
  <c r="V4174" i="36"/>
  <c r="V4175" i="36" s="1"/>
  <c r="V5500" i="36"/>
  <c r="V5501" i="36" s="1"/>
  <c r="T5475" i="36" s="1"/>
  <c r="V5475" i="36" s="1"/>
  <c r="AE4611" i="36"/>
  <c r="V4615" i="36"/>
  <c r="V4616" i="36" s="1"/>
  <c r="AE3335" i="36"/>
  <c r="V3339" i="36"/>
  <c r="V3340" i="36" s="1"/>
  <c r="AE5052" i="36"/>
  <c r="V5056" i="36"/>
  <c r="V5057" i="36" s="1"/>
  <c r="V3782" i="36"/>
  <c r="V3783" i="36" s="1"/>
  <c r="AE3778" i="36"/>
  <c r="AE5207" i="36"/>
  <c r="V5210" i="36"/>
  <c r="V5211" i="36" s="1"/>
  <c r="AE4709" i="36"/>
  <c r="V4713" i="36"/>
  <c r="V4714" i="36" s="1"/>
  <c r="AE5150" i="36"/>
  <c r="V5154" i="36"/>
  <c r="V5155" i="36" s="1"/>
  <c r="V4622" i="36"/>
  <c r="V4623" i="36" s="1"/>
  <c r="V4566" i="36"/>
  <c r="V4567" i="36" s="1"/>
  <c r="AE3441" i="36"/>
  <c r="V3442" i="36"/>
  <c r="V3443" i="36" s="1"/>
  <c r="AE2698" i="36"/>
  <c r="V2702" i="36"/>
  <c r="V2703" i="36" s="1"/>
  <c r="AE836" i="36"/>
  <c r="V840" i="36"/>
  <c r="V841" i="36" s="1"/>
  <c r="AE1032" i="36"/>
  <c r="V1036" i="36"/>
  <c r="V1037" i="36" s="1"/>
  <c r="AE2600" i="36"/>
  <c r="V2604" i="36"/>
  <c r="V2605" i="36" s="1"/>
  <c r="AE3835" i="36"/>
  <c r="V3838" i="36"/>
  <c r="V3839" i="36" s="1"/>
  <c r="T3809" i="36" s="1"/>
  <c r="V3809" i="36" s="1"/>
  <c r="AE5297" i="36"/>
  <c r="V5301" i="36"/>
  <c r="V5302" i="36" s="1"/>
  <c r="AE2755" i="36"/>
  <c r="V2758" i="36"/>
  <c r="V2759" i="36" s="1"/>
  <c r="AE2257" i="36"/>
  <c r="V2261" i="36"/>
  <c r="V2262" i="36" s="1"/>
  <c r="AE352" i="36"/>
  <c r="V356" i="36"/>
  <c r="V357" i="36" s="1"/>
  <c r="AE3827" i="36"/>
  <c r="V3831" i="36"/>
  <c r="V3832" i="36" s="1"/>
  <c r="AE5644" i="36"/>
  <c r="V5647" i="36"/>
  <c r="V5648" i="36" s="1"/>
  <c r="T5618" i="36" s="1"/>
  <c r="V5618" i="36" s="1"/>
  <c r="V5455" i="36"/>
  <c r="V5456" i="36" s="1"/>
  <c r="T5426" i="36" s="1"/>
  <c r="V5426" i="36" s="1"/>
  <c r="AE5452" i="36"/>
  <c r="AE4521" i="36"/>
  <c r="V4524" i="36"/>
  <c r="V4525" i="36" s="1"/>
  <c r="AE4317" i="36"/>
  <c r="V4321" i="36"/>
  <c r="V4322" i="36" s="1"/>
  <c r="AE2265" i="36"/>
  <c r="V2268" i="36"/>
  <c r="V2269" i="36" s="1"/>
  <c r="AE2061" i="36"/>
  <c r="V2065" i="36"/>
  <c r="V2066" i="36" s="1"/>
  <c r="AE2408" i="36"/>
  <c r="V2409" i="36"/>
  <c r="V2410" i="36" s="1"/>
  <c r="AE1677" i="36"/>
  <c r="V1680" i="36"/>
  <c r="V1681" i="36" s="1"/>
  <c r="AE1473" i="36"/>
  <c r="V1477" i="36"/>
  <c r="V1478" i="36" s="1"/>
  <c r="V1631" i="36"/>
  <c r="V1632" i="36" s="1"/>
  <c r="AE1424" i="36"/>
  <c r="V1428" i="36"/>
  <c r="V1429" i="36" s="1"/>
  <c r="V987" i="36"/>
  <c r="V988" i="36" s="1"/>
  <c r="AE5685" i="36"/>
  <c r="V5689" i="36"/>
  <c r="V5690" i="36" s="1"/>
  <c r="AE5493" i="36"/>
  <c r="V5494" i="36"/>
  <c r="V5495" i="36" s="1"/>
  <c r="V5112" i="36"/>
  <c r="V5113" i="36" s="1"/>
  <c r="AE3049" i="36"/>
  <c r="V3052" i="36"/>
  <c r="V3053" i="36" s="1"/>
  <c r="V2849" i="36"/>
  <c r="V2850" i="36" s="1"/>
  <c r="AE2845" i="36"/>
  <c r="AE1130" i="36"/>
  <c r="V1134" i="36"/>
  <c r="V1135" i="36" s="1"/>
  <c r="AE4954" i="36"/>
  <c r="V4958" i="36"/>
  <c r="V4959" i="36" s="1"/>
  <c r="AE3737" i="36"/>
  <c r="V3740" i="36"/>
  <c r="V3741" i="36" s="1"/>
  <c r="AE3533" i="36"/>
  <c r="V3537" i="36"/>
  <c r="V3538" i="36" s="1"/>
  <c r="AE2853" i="36"/>
  <c r="V2856" i="36"/>
  <c r="V2857" i="36" s="1"/>
  <c r="V3248" i="36"/>
  <c r="V3249" i="36" s="1"/>
  <c r="V2954" i="36"/>
  <c r="V2955" i="36" s="1"/>
  <c r="V2219" i="36"/>
  <c r="V2220" i="36" s="1"/>
  <c r="AE2012" i="36"/>
  <c r="V2016" i="36"/>
  <c r="V2017" i="36" s="1"/>
  <c r="V1827" i="36"/>
  <c r="V1828" i="36" s="1"/>
  <c r="AE1285" i="36"/>
  <c r="V1288" i="36"/>
  <c r="V1289" i="36" s="1"/>
  <c r="V945" i="36"/>
  <c r="V946" i="36" s="1"/>
  <c r="AE2559" i="36"/>
  <c r="V2562" i="36"/>
  <c r="V2563" i="36" s="1"/>
  <c r="T2533" i="36" s="1"/>
  <c r="V2533" i="36" s="1"/>
  <c r="AE3238" i="36"/>
  <c r="V3241" i="36"/>
  <c r="V3242" i="36" s="1"/>
  <c r="AE1620" i="36"/>
  <c r="V1624" i="36"/>
  <c r="V1625" i="36" s="1"/>
  <c r="AE885" i="36"/>
  <c r="V889" i="36"/>
  <c r="V890" i="36" s="1"/>
  <c r="V4671" i="36"/>
  <c r="V4672" i="36" s="1"/>
  <c r="AE4668" i="36"/>
  <c r="AE3189" i="36"/>
  <c r="V3193" i="36"/>
  <c r="V3194" i="36" s="1"/>
  <c r="AE2706" i="36"/>
  <c r="V2709" i="36"/>
  <c r="V2710" i="36" s="1"/>
  <c r="V1533" i="36"/>
  <c r="V1534" i="36" s="1"/>
  <c r="AE1530" i="36"/>
  <c r="AE1326" i="36"/>
  <c r="V1330" i="36"/>
  <c r="V1331" i="36" s="1"/>
  <c r="AE4325" i="36"/>
  <c r="V4328" i="36"/>
  <c r="V4329" i="36" s="1"/>
  <c r="V4475" i="36"/>
  <c r="V4476" i="36" s="1"/>
  <c r="AE4472" i="36"/>
  <c r="AE4268" i="36"/>
  <c r="V4272" i="36"/>
  <c r="V4273" i="36" s="1"/>
  <c r="AE2306" i="36"/>
  <c r="V2310" i="36"/>
  <c r="V2311" i="36" s="1"/>
  <c r="AE2069" i="36"/>
  <c r="V2072" i="36"/>
  <c r="V2073" i="36" s="1"/>
  <c r="AE1865" i="36"/>
  <c r="V1869" i="36"/>
  <c r="V1870" i="36" s="1"/>
  <c r="AE1481" i="36"/>
  <c r="V1484" i="36"/>
  <c r="V1485" i="36" s="1"/>
  <c r="AE1277" i="36"/>
  <c r="V1281" i="36"/>
  <c r="V1282" i="36" s="1"/>
  <c r="V1435" i="36"/>
  <c r="V1436" i="36" s="1"/>
  <c r="AE1228" i="36"/>
  <c r="V1232" i="36"/>
  <c r="V1233" i="36" s="1"/>
  <c r="AE2551" i="36"/>
  <c r="V2555" i="36"/>
  <c r="V2556" i="36" s="1"/>
  <c r="V3346" i="36"/>
  <c r="V3347" i="36" s="1"/>
  <c r="AE3343" i="36"/>
  <c r="AE2747" i="36"/>
  <c r="V2751" i="36"/>
  <c r="V2752" i="36" s="1"/>
  <c r="AE3000" i="36"/>
  <c r="V3003" i="36"/>
  <c r="V3004" i="36" s="1"/>
  <c r="V2317" i="36"/>
  <c r="V2318" i="36" s="1"/>
  <c r="AE2314" i="36"/>
  <c r="AE2110" i="36"/>
  <c r="V2114" i="36"/>
  <c r="V2115" i="36" s="1"/>
  <c r="AE1873" i="36"/>
  <c r="V1876" i="36"/>
  <c r="V1877" i="36" s="1"/>
  <c r="V2660" i="36"/>
  <c r="V2661" i="36" s="1"/>
  <c r="AE2657" i="36"/>
  <c r="AE1718" i="36"/>
  <c r="V1722" i="36"/>
  <c r="V1723" i="36" s="1"/>
  <c r="AE256" i="36"/>
  <c r="V260" i="36"/>
  <c r="V261" i="36" s="1"/>
  <c r="G3496" i="36"/>
  <c r="H3498" i="36" s="1"/>
  <c r="I3507" i="36" s="1"/>
  <c r="J3492" i="36"/>
  <c r="J3493" i="36" s="1"/>
  <c r="N3560" i="36"/>
  <c r="C3511" i="36"/>
  <c r="D3521" i="36" s="1"/>
  <c r="E3530" i="36" s="1"/>
  <c r="F3538" i="36" s="1"/>
  <c r="C13" i="1"/>
  <c r="C14" i="1" s="1"/>
  <c r="AE698" i="36"/>
  <c r="V314" i="36"/>
  <c r="V315" i="36" s="1"/>
  <c r="T286" i="36" s="1"/>
  <c r="V286" i="36" s="1"/>
  <c r="V218" i="36"/>
  <c r="V219" i="36" s="1"/>
  <c r="T189" i="36" s="1"/>
  <c r="V189" i="36" s="1"/>
  <c r="T60" i="36"/>
  <c r="V60" i="36" s="1"/>
  <c r="Z60" i="36" s="1"/>
  <c r="Z65" i="36" s="1"/>
  <c r="Z66" i="36" s="1"/>
  <c r="AE89" i="36"/>
  <c r="AB89" i="36"/>
  <c r="Z89" i="36"/>
  <c r="Z92" i="36" s="1"/>
  <c r="Z93" i="36" s="1"/>
  <c r="AC93" i="36" s="1"/>
  <c r="N4343" i="36"/>
  <c r="J3446" i="36"/>
  <c r="G3448" i="36"/>
  <c r="H3450" i="36" s="1"/>
  <c r="I3458" i="36" s="1"/>
  <c r="J3392" i="36"/>
  <c r="J3393" i="36" s="1"/>
  <c r="G3396" i="36"/>
  <c r="H3398" i="36" s="1"/>
  <c r="I3407" i="36" s="1"/>
  <c r="J3343" i="36"/>
  <c r="J3344" i="36" s="1"/>
  <c r="G3347" i="36"/>
  <c r="H3349" i="36" s="1"/>
  <c r="I3358" i="36" s="1"/>
  <c r="J3294" i="36"/>
  <c r="J3295" i="36" s="1"/>
  <c r="G3298" i="36"/>
  <c r="H3300" i="36" s="1"/>
  <c r="I3309" i="36" s="1"/>
  <c r="J3245" i="36"/>
  <c r="J3246" i="36" s="1"/>
  <c r="G3249" i="36"/>
  <c r="H3251" i="36" s="1"/>
  <c r="I3260" i="36" s="1"/>
  <c r="J3197" i="36"/>
  <c r="J3198" i="36" s="1"/>
  <c r="G3201" i="36"/>
  <c r="H3203" i="36" s="1"/>
  <c r="I3212" i="36" s="1"/>
  <c r="J3147" i="36"/>
  <c r="J3148" i="36" s="1"/>
  <c r="G3151" i="36"/>
  <c r="H3153" i="36" s="1"/>
  <c r="I3162" i="36" s="1"/>
  <c r="J3098" i="36"/>
  <c r="J3099" i="36" s="1"/>
  <c r="G3102" i="36"/>
  <c r="H3104" i="36" s="1"/>
  <c r="I3113" i="36" s="1"/>
  <c r="J3049" i="36"/>
  <c r="J3050" i="36" s="1"/>
  <c r="G3053" i="36"/>
  <c r="H3055" i="36" s="1"/>
  <c r="I3064" i="36" s="1"/>
  <c r="J3000" i="36"/>
  <c r="J3001" i="36" s="1"/>
  <c r="G3004" i="36"/>
  <c r="H3006" i="36" s="1"/>
  <c r="I3015" i="36" s="1"/>
  <c r="J2951" i="36"/>
  <c r="J2952" i="36" s="1"/>
  <c r="G2955" i="36"/>
  <c r="H2957" i="36" s="1"/>
  <c r="I2966" i="36" s="1"/>
  <c r="J2902" i="36"/>
  <c r="J2903" i="36" s="1"/>
  <c r="G2906" i="36"/>
  <c r="H2908" i="36" s="1"/>
  <c r="I2917" i="36" s="1"/>
  <c r="J2853" i="36"/>
  <c r="J2854" i="36" s="1"/>
  <c r="G2857" i="36"/>
  <c r="H2859" i="36" s="1"/>
  <c r="I2868" i="36" s="1"/>
  <c r="J2804" i="36"/>
  <c r="J2805" i="36" s="1"/>
  <c r="G2808" i="36"/>
  <c r="H2810" i="36" s="1"/>
  <c r="I2819" i="36" s="1"/>
  <c r="J2755" i="36"/>
  <c r="J2756" i="36" s="1"/>
  <c r="G2759" i="36"/>
  <c r="H2761" i="36" s="1"/>
  <c r="I2770" i="36" s="1"/>
  <c r="N2724" i="36"/>
  <c r="J2706" i="36"/>
  <c r="J2707" i="36" s="1"/>
  <c r="G2710" i="36"/>
  <c r="H2712" i="36" s="1"/>
  <c r="I2721" i="36" s="1"/>
  <c r="J2657" i="36"/>
  <c r="J2658" i="36" s="1"/>
  <c r="G2661" i="36"/>
  <c r="H2663" i="36" s="1"/>
  <c r="I2672" i="36" s="1"/>
  <c r="V651" i="36"/>
  <c r="V652" i="36" s="1"/>
  <c r="T622" i="36" s="1"/>
  <c r="V622" i="36" s="1"/>
  <c r="N960" i="36"/>
  <c r="AE46" i="36"/>
  <c r="AE175" i="36"/>
  <c r="V49" i="36"/>
  <c r="V50" i="36" s="1"/>
  <c r="T17" i="36" s="1"/>
  <c r="V17" i="36" s="1"/>
  <c r="V22" i="36" s="1"/>
  <c r="V23" i="36" s="1"/>
  <c r="V602" i="36"/>
  <c r="V603" i="36" s="1"/>
  <c r="T574" i="36" s="1"/>
  <c r="V574" i="36" s="1"/>
  <c r="AE4178" i="36"/>
  <c r="V4181" i="36"/>
  <c r="V4182" i="36" s="1"/>
  <c r="T4152" i="36" s="1"/>
  <c r="V4152" i="36" s="1"/>
  <c r="AE5060" i="36"/>
  <c r="V5063" i="36"/>
  <c r="V5064" i="36" s="1"/>
  <c r="V5014" i="36"/>
  <c r="V5015" i="36" s="1"/>
  <c r="AE5011" i="36"/>
  <c r="V266" i="36"/>
  <c r="V267" i="36" s="1"/>
  <c r="AE264" i="36"/>
  <c r="V4965" i="36"/>
  <c r="V4966" i="36" s="1"/>
  <c r="T4936" i="36" s="1"/>
  <c r="V4936" i="36" s="1"/>
  <c r="AE4962" i="36"/>
  <c r="N716" i="36"/>
  <c r="C667" i="36"/>
  <c r="D677" i="36" s="1"/>
  <c r="O92" i="34"/>
  <c r="J2608" i="36"/>
  <c r="J2609" i="36" s="1"/>
  <c r="G2612" i="36"/>
  <c r="H2614" i="36" s="1"/>
  <c r="I2623" i="36" s="1"/>
  <c r="J2559" i="36"/>
  <c r="J2560" i="36" s="1"/>
  <c r="G2563" i="36"/>
  <c r="H2565" i="36" s="1"/>
  <c r="I2574" i="36" s="1"/>
  <c r="N4050" i="36"/>
  <c r="C4001" i="36"/>
  <c r="D4011" i="36" s="1"/>
  <c r="E4020" i="36" s="1"/>
  <c r="F4028" i="36" s="1"/>
  <c r="J46" i="36"/>
  <c r="J47" i="36" s="1"/>
  <c r="G50" i="36"/>
  <c r="J3982" i="36"/>
  <c r="J3983" i="36" s="1"/>
  <c r="G3986" i="36"/>
  <c r="H3988" i="36" s="1"/>
  <c r="I3997" i="36" s="1"/>
  <c r="V596" i="36"/>
  <c r="V597" i="36" s="1"/>
  <c r="AE739" i="36"/>
  <c r="V644" i="36"/>
  <c r="V645" i="36" s="1"/>
  <c r="AC70" i="36"/>
  <c r="V749" i="36"/>
  <c r="V750" i="36" s="1"/>
  <c r="T720" i="36" s="1"/>
  <c r="V720" i="36" s="1"/>
  <c r="V3880" i="36"/>
  <c r="V3881" i="36" s="1"/>
  <c r="Z76" i="36"/>
  <c r="Z77" i="36" s="1"/>
  <c r="AC77" i="36" s="1"/>
  <c r="V4027" i="36"/>
  <c r="V4028" i="36" s="1"/>
  <c r="V693" i="36"/>
  <c r="V694" i="36" s="1"/>
  <c r="V2506" i="36"/>
  <c r="V2507" i="36" s="1"/>
  <c r="AC72" i="36"/>
  <c r="V2457" i="36"/>
  <c r="V2458" i="36" s="1"/>
  <c r="V211" i="36"/>
  <c r="V212" i="36" s="1"/>
  <c r="AE3982" i="36"/>
  <c r="V4080" i="36"/>
  <c r="V548" i="36"/>
  <c r="V549" i="36" s="1"/>
  <c r="V4132" i="36"/>
  <c r="V4133" i="36" s="1"/>
  <c r="V2510" i="36"/>
  <c r="V3985" i="36"/>
  <c r="V3986" i="36" s="1"/>
  <c r="AE4129" i="36"/>
  <c r="V171" i="36"/>
  <c r="V172" i="36" s="1"/>
  <c r="V4125" i="36"/>
  <c r="V4126" i="36" s="1"/>
  <c r="V798" i="36"/>
  <c r="V799" i="36" s="1"/>
  <c r="T769" i="36" s="1"/>
  <c r="V769" i="36" s="1"/>
  <c r="V3929" i="36"/>
  <c r="V3930" i="36" s="1"/>
  <c r="V4076" i="36"/>
  <c r="V4077" i="36" s="1"/>
  <c r="V791" i="36"/>
  <c r="V792" i="36" s="1"/>
  <c r="V3887" i="36"/>
  <c r="V3888" i="36" s="1"/>
  <c r="V3933" i="36"/>
  <c r="V4031" i="36"/>
  <c r="V3978" i="36"/>
  <c r="V3979" i="36" s="1"/>
  <c r="P92" i="34"/>
  <c r="N92" i="34"/>
  <c r="G179" i="36"/>
  <c r="J175" i="36"/>
  <c r="Q81" i="34"/>
  <c r="Q80" i="34"/>
  <c r="Q73" i="34"/>
  <c r="Q87" i="34"/>
  <c r="Q85" i="34"/>
  <c r="Q79" i="34"/>
  <c r="Q72" i="34"/>
  <c r="Q62" i="34"/>
  <c r="Q61" i="34"/>
  <c r="Q51" i="34"/>
  <c r="Q50" i="34"/>
  <c r="Q40" i="34"/>
  <c r="Q39" i="34"/>
  <c r="Q32" i="34"/>
  <c r="Q31" i="34"/>
  <c r="Q46" i="34" s="1"/>
  <c r="Q18" i="34"/>
  <c r="Q88" i="34"/>
  <c r="Q82" i="34"/>
  <c r="Q76" i="34"/>
  <c r="Q75" i="34"/>
  <c r="Q69" i="34"/>
  <c r="Q68" i="34"/>
  <c r="Q90" i="34" s="1"/>
  <c r="Q58" i="34"/>
  <c r="Q57" i="34"/>
  <c r="Q66" i="34" s="1"/>
  <c r="Q44" i="34"/>
  <c r="Q43" i="34"/>
  <c r="Q36" i="34"/>
  <c r="Q35" i="34"/>
  <c r="Q25" i="34"/>
  <c r="Q24" i="34"/>
  <c r="Q84" i="34"/>
  <c r="Q78" i="34"/>
  <c r="Q59" i="34"/>
  <c r="Q53" i="34"/>
  <c r="Q37" i="34"/>
  <c r="Q34" i="34"/>
  <c r="Q15" i="34"/>
  <c r="Q11" i="34"/>
  <c r="Q71" i="34"/>
  <c r="Q14" i="34"/>
  <c r="Q83" i="34"/>
  <c r="Q63" i="34"/>
  <c r="Q60" i="34"/>
  <c r="Q41" i="34"/>
  <c r="Q38" i="34"/>
  <c r="Q22" i="34"/>
  <c r="Q29" i="34" s="1"/>
  <c r="Q16" i="34"/>
  <c r="Q12" i="34"/>
  <c r="Q49" i="34"/>
  <c r="Q33" i="34"/>
  <c r="Q77" i="34"/>
  <c r="Q70" i="34"/>
  <c r="Q64" i="34"/>
  <c r="Q48" i="34"/>
  <c r="Q55" i="34" s="1"/>
  <c r="Q42" i="34"/>
  <c r="Q26" i="34"/>
  <c r="Q23" i="34"/>
  <c r="Q17" i="34"/>
  <c r="Q13" i="34"/>
  <c r="Q74" i="34"/>
  <c r="Q52" i="34"/>
  <c r="Q27" i="34"/>
  <c r="Q10" i="34"/>
  <c r="Q20" i="34" s="1"/>
  <c r="Z85" i="36"/>
  <c r="Z86" i="36" s="1"/>
  <c r="T2435" i="36"/>
  <c r="V2435" i="36" s="1"/>
  <c r="T103" i="36"/>
  <c r="V103" i="36" s="1"/>
  <c r="T146" i="36"/>
  <c r="V146" i="36" s="1"/>
  <c r="T671" i="36"/>
  <c r="V671" i="36" s="1"/>
  <c r="AE601" i="36"/>
  <c r="AE553" i="36"/>
  <c r="V554" i="36"/>
  <c r="V555" i="36" s="1"/>
  <c r="U5950" i="36" l="1"/>
  <c r="U5949" i="36"/>
  <c r="U5947" i="36"/>
  <c r="U5948" i="36"/>
  <c r="U5802" i="36"/>
  <c r="U5803" i="36"/>
  <c r="U5801" i="36"/>
  <c r="U5800" i="36"/>
  <c r="U5414" i="36"/>
  <c r="U5415" i="36"/>
  <c r="U5412" i="36"/>
  <c r="U5413" i="36"/>
  <c r="T478" i="36"/>
  <c r="V478" i="36" s="1"/>
  <c r="U4827" i="36"/>
  <c r="U4826" i="36"/>
  <c r="U4824" i="36"/>
  <c r="U4825" i="36"/>
  <c r="U5850" i="36"/>
  <c r="U5851" i="36"/>
  <c r="U5852" i="36"/>
  <c r="U5849" i="36"/>
  <c r="U4874" i="36"/>
  <c r="U4875" i="36"/>
  <c r="U4873" i="36"/>
  <c r="U4876" i="36"/>
  <c r="U5365" i="36"/>
  <c r="U5363" i="36"/>
  <c r="U5366" i="36"/>
  <c r="U5364" i="36"/>
  <c r="U5900" i="36"/>
  <c r="U5898" i="36"/>
  <c r="U5901" i="36"/>
  <c r="U5899" i="36"/>
  <c r="V5672" i="36"/>
  <c r="V5673" i="36" s="1"/>
  <c r="AE3414" i="36"/>
  <c r="C15" i="1"/>
  <c r="E14" i="1"/>
  <c r="D14" i="1"/>
  <c r="V14" i="1" s="1"/>
  <c r="F14" i="1"/>
  <c r="AE2582" i="36"/>
  <c r="V339" i="36"/>
  <c r="V340" i="36" s="1"/>
  <c r="U2614" i="36"/>
  <c r="U2617" i="36" s="1"/>
  <c r="T2288" i="36"/>
  <c r="V2288" i="36" s="1"/>
  <c r="T2827" i="36"/>
  <c r="V2827" i="36" s="1"/>
  <c r="AE4201" i="36"/>
  <c r="V4206" i="36"/>
  <c r="V4207" i="36" s="1"/>
  <c r="U4233" i="36" s="1"/>
  <c r="AE3662" i="36"/>
  <c r="V3667" i="36"/>
  <c r="V3668" i="36" s="1"/>
  <c r="U3694" i="36" s="1"/>
  <c r="V1754" i="36"/>
  <c r="V1755" i="36" s="1"/>
  <c r="U1781" i="36" s="1"/>
  <c r="AE1749" i="36"/>
  <c r="AE1994" i="36"/>
  <c r="V1999" i="36"/>
  <c r="V2000" i="36" s="1"/>
  <c r="U2026" i="36" s="1"/>
  <c r="T3760" i="36"/>
  <c r="V3760" i="36" s="1"/>
  <c r="AE1210" i="36"/>
  <c r="V1215" i="36"/>
  <c r="V1216" i="36" s="1"/>
  <c r="U1242" i="36" s="1"/>
  <c r="V1362" i="36"/>
  <c r="V1363" i="36" s="1"/>
  <c r="U1389" i="36" s="1"/>
  <c r="AE1357" i="36"/>
  <c r="V2342" i="36"/>
  <c r="V2343" i="36" s="1"/>
  <c r="U2369" i="36" s="1"/>
  <c r="AE2337" i="36"/>
  <c r="V3126" i="36"/>
  <c r="V3127" i="36" s="1"/>
  <c r="U3153" i="36" s="1"/>
  <c r="AE3121" i="36"/>
  <c r="T1896" i="36"/>
  <c r="V1896" i="36" s="1"/>
  <c r="AE4397" i="36"/>
  <c r="V4402" i="36"/>
  <c r="V4403" i="36" s="1"/>
  <c r="U4429" i="36" s="1"/>
  <c r="T1259" i="36"/>
  <c r="V1259" i="36" s="1"/>
  <c r="T2239" i="36"/>
  <c r="V2239" i="36" s="1"/>
  <c r="T2974" i="36"/>
  <c r="V2974" i="36" s="1"/>
  <c r="T4446" i="36"/>
  <c r="V4446" i="36" s="1"/>
  <c r="T2680" i="36"/>
  <c r="V2680" i="36" s="1"/>
  <c r="T916" i="36"/>
  <c r="V916" i="36" s="1"/>
  <c r="T2190" i="36"/>
  <c r="V2190" i="36" s="1"/>
  <c r="V4549" i="36"/>
  <c r="V4550" i="36" s="1"/>
  <c r="U4576" i="36" s="1"/>
  <c r="AE4544" i="36"/>
  <c r="T5083" i="36"/>
  <c r="V5083" i="36" s="1"/>
  <c r="T1602" i="36"/>
  <c r="V1602" i="36" s="1"/>
  <c r="AE3366" i="36"/>
  <c r="V3371" i="36"/>
  <c r="V3372" i="36" s="1"/>
  <c r="U3398" i="36" s="1"/>
  <c r="V5431" i="36"/>
  <c r="V5432" i="36" s="1"/>
  <c r="AE5426" i="36"/>
  <c r="V1950" i="36"/>
  <c r="V1951" i="36" s="1"/>
  <c r="U1977" i="36" s="1"/>
  <c r="AE1945" i="36"/>
  <c r="T4593" i="36"/>
  <c r="V4593" i="36" s="1"/>
  <c r="T1700" i="36"/>
  <c r="V1700" i="36" s="1"/>
  <c r="T5132" i="36"/>
  <c r="V5132" i="36" s="1"/>
  <c r="T1112" i="36"/>
  <c r="V1112" i="36" s="1"/>
  <c r="AE2386" i="36"/>
  <c r="V2388" i="36"/>
  <c r="V2389" i="36" s="1"/>
  <c r="T4250" i="36"/>
  <c r="V4250" i="36" s="1"/>
  <c r="V970" i="36"/>
  <c r="V971" i="36" s="1"/>
  <c r="U997" i="36" s="1"/>
  <c r="AE965" i="36"/>
  <c r="AE2876" i="36"/>
  <c r="V2881" i="36"/>
  <c r="V2882" i="36" s="1"/>
  <c r="U2908" i="36" s="1"/>
  <c r="T1504" i="36"/>
  <c r="V1504" i="36" s="1"/>
  <c r="AE1014" i="36"/>
  <c r="V1019" i="36"/>
  <c r="V1020" i="36" s="1"/>
  <c r="U1046" i="36" s="1"/>
  <c r="T1651" i="36"/>
  <c r="V1651" i="36" s="1"/>
  <c r="V3814" i="36"/>
  <c r="V3815" i="36" s="1"/>
  <c r="U3841" i="36" s="1"/>
  <c r="AE3809" i="36"/>
  <c r="T2631" i="36"/>
  <c r="V2631" i="36" s="1"/>
  <c r="T3317" i="36"/>
  <c r="V3317" i="36" s="1"/>
  <c r="T1455" i="36"/>
  <c r="V1455" i="36" s="1"/>
  <c r="T2043" i="36"/>
  <c r="V2043" i="36" s="1"/>
  <c r="T4299" i="36"/>
  <c r="V4299" i="36" s="1"/>
  <c r="V4745" i="36"/>
  <c r="V4746" i="36" s="1"/>
  <c r="U4772" i="36" s="1"/>
  <c r="AE4740" i="36"/>
  <c r="T4642" i="36"/>
  <c r="V4642" i="36" s="1"/>
  <c r="T1798" i="36"/>
  <c r="V1798" i="36" s="1"/>
  <c r="T2925" i="36"/>
  <c r="V2925" i="36" s="1"/>
  <c r="T3711" i="36"/>
  <c r="V3711" i="36" s="1"/>
  <c r="V2146" i="36"/>
  <c r="V2147" i="36" s="1"/>
  <c r="U2173" i="36" s="1"/>
  <c r="AE2141" i="36"/>
  <c r="T4495" i="36"/>
  <c r="V4495" i="36" s="1"/>
  <c r="V5623" i="36"/>
  <c r="V5624" i="36" s="1"/>
  <c r="AE5618" i="36"/>
  <c r="T2729" i="36"/>
  <c r="V2729" i="36" s="1"/>
  <c r="T5181" i="36"/>
  <c r="V5181" i="36" s="1"/>
  <c r="V5477" i="36"/>
  <c r="V5478" i="36" s="1"/>
  <c r="U5503" i="36" s="1"/>
  <c r="AE5475" i="36"/>
  <c r="AE2778" i="36"/>
  <c r="V2783" i="36"/>
  <c r="V2784" i="36" s="1"/>
  <c r="U2810" i="36" s="1"/>
  <c r="V4353" i="36"/>
  <c r="V4354" i="36" s="1"/>
  <c r="U4380" i="36" s="1"/>
  <c r="AE4348" i="36"/>
  <c r="AE5279" i="36"/>
  <c r="V5284" i="36"/>
  <c r="V5285" i="36" s="1"/>
  <c r="U5311" i="36" s="1"/>
  <c r="T818" i="36"/>
  <c r="V818" i="36" s="1"/>
  <c r="T3268" i="36"/>
  <c r="V3268" i="36" s="1"/>
  <c r="V1558" i="36"/>
  <c r="V1559" i="36" s="1"/>
  <c r="U1585" i="36" s="1"/>
  <c r="AE1553" i="36"/>
  <c r="T1308" i="36"/>
  <c r="V1308" i="36" s="1"/>
  <c r="V3618" i="36"/>
  <c r="V3619" i="36" s="1"/>
  <c r="U3645" i="36" s="1"/>
  <c r="AE3613" i="36"/>
  <c r="V1068" i="36"/>
  <c r="V1069" i="36" s="1"/>
  <c r="U1095" i="36" s="1"/>
  <c r="AE1063" i="36"/>
  <c r="T3515" i="36"/>
  <c r="V3515" i="36" s="1"/>
  <c r="T1847" i="36"/>
  <c r="V1847" i="36" s="1"/>
  <c r="T1406" i="36"/>
  <c r="V1406" i="36" s="1"/>
  <c r="AE2533" i="36"/>
  <c r="V2538" i="36"/>
  <c r="V2539" i="36" s="1"/>
  <c r="U2565" i="36" s="1"/>
  <c r="V1166" i="36"/>
  <c r="V1167" i="36" s="1"/>
  <c r="U1193" i="36" s="1"/>
  <c r="AE1161" i="36"/>
  <c r="T3220" i="36"/>
  <c r="V3220" i="36" s="1"/>
  <c r="V5235" i="36"/>
  <c r="V5236" i="36" s="1"/>
  <c r="U5262" i="36" s="1"/>
  <c r="AE5230" i="36"/>
  <c r="T3023" i="36"/>
  <c r="V3023" i="36" s="1"/>
  <c r="AE3072" i="36"/>
  <c r="V3077" i="36"/>
  <c r="V3078" i="36" s="1"/>
  <c r="U3104" i="36" s="1"/>
  <c r="AE3466" i="36"/>
  <c r="V3471" i="36"/>
  <c r="V3472" i="36" s="1"/>
  <c r="U3498" i="36" s="1"/>
  <c r="T867" i="36"/>
  <c r="V867" i="36" s="1"/>
  <c r="V5525" i="36"/>
  <c r="V5526" i="36" s="1"/>
  <c r="AE5520" i="36"/>
  <c r="T2092" i="36"/>
  <c r="V2092" i="36" s="1"/>
  <c r="T4691" i="36"/>
  <c r="V4691" i="36" s="1"/>
  <c r="AE5569" i="36"/>
  <c r="V5574" i="36"/>
  <c r="V5575" i="36" s="1"/>
  <c r="T3170" i="36"/>
  <c r="V3170" i="36" s="1"/>
  <c r="T3564" i="36"/>
  <c r="V3564" i="36" s="1"/>
  <c r="N3609" i="36"/>
  <c r="C3560" i="36"/>
  <c r="D3570" i="36" s="1"/>
  <c r="E3579" i="36" s="1"/>
  <c r="F3587" i="36" s="1"/>
  <c r="J3541" i="36"/>
  <c r="J3542" i="36" s="1"/>
  <c r="G3545" i="36"/>
  <c r="H3547" i="36" s="1"/>
  <c r="I3556" i="36" s="1"/>
  <c r="AE60" i="36"/>
  <c r="V65" i="36"/>
  <c r="V66" i="36" s="1"/>
  <c r="U95" i="36" s="1"/>
  <c r="W56" i="36" s="1"/>
  <c r="I313" i="35" s="1"/>
  <c r="K313" i="35" s="1"/>
  <c r="AC89" i="36"/>
  <c r="AE17" i="36"/>
  <c r="N4392" i="36"/>
  <c r="N2773" i="36"/>
  <c r="N1009" i="36"/>
  <c r="T4985" i="36"/>
  <c r="V4985" i="36" s="1"/>
  <c r="AE286" i="36"/>
  <c r="V291" i="36"/>
  <c r="V292" i="36" s="1"/>
  <c r="U317" i="36" s="1"/>
  <c r="T5034" i="36"/>
  <c r="V5034" i="36" s="1"/>
  <c r="V4157" i="36"/>
  <c r="V4158" i="36" s="1"/>
  <c r="AE4152" i="36"/>
  <c r="AE4936" i="36"/>
  <c r="V4941" i="36"/>
  <c r="V4942" i="36" s="1"/>
  <c r="T238" i="36"/>
  <c r="V238" i="36" s="1"/>
  <c r="E686" i="36"/>
  <c r="N765" i="36"/>
  <c r="C716" i="36"/>
  <c r="D726" i="36" s="1"/>
  <c r="E735" i="36" s="1"/>
  <c r="F743" i="36" s="1"/>
  <c r="J4031" i="36"/>
  <c r="J4032" i="36" s="1"/>
  <c r="G4035" i="36"/>
  <c r="H4037" i="36" s="1"/>
  <c r="I4046" i="36" s="1"/>
  <c r="H52" i="36"/>
  <c r="N4099" i="36"/>
  <c r="N4148" i="36" s="1"/>
  <c r="C4050" i="36"/>
  <c r="D4060" i="36" s="1"/>
  <c r="E4069" i="36" s="1"/>
  <c r="F4077" i="36" s="1"/>
  <c r="T4103" i="36"/>
  <c r="V4103" i="36" s="1"/>
  <c r="AE4103" i="36" s="1"/>
  <c r="V4083" i="36"/>
  <c r="V4084" i="36" s="1"/>
  <c r="T3956" i="36"/>
  <c r="V3956" i="36" s="1"/>
  <c r="V3961" i="36" s="1"/>
  <c r="V3962" i="36" s="1"/>
  <c r="AE2510" i="36"/>
  <c r="AE4080" i="36"/>
  <c r="V2513" i="36"/>
  <c r="V2514" i="36" s="1"/>
  <c r="T2484" i="36" s="1"/>
  <c r="V2484" i="36" s="1"/>
  <c r="AE2484" i="36" s="1"/>
  <c r="V4034" i="36"/>
  <c r="V4035" i="36" s="1"/>
  <c r="T3858" i="36"/>
  <c r="V3858" i="36" s="1"/>
  <c r="V3863" i="36" s="1"/>
  <c r="V3864" i="36" s="1"/>
  <c r="AE3933" i="36"/>
  <c r="V3936" i="36"/>
  <c r="V3937" i="36" s="1"/>
  <c r="AE4031" i="36"/>
  <c r="Q92" i="34"/>
  <c r="R87" i="34"/>
  <c r="R84" i="34"/>
  <c r="R82" i="34"/>
  <c r="R80" i="34"/>
  <c r="R78" i="34"/>
  <c r="R76" i="34"/>
  <c r="R74" i="34"/>
  <c r="R88" i="34"/>
  <c r="R79" i="34"/>
  <c r="R72" i="34"/>
  <c r="R70" i="34"/>
  <c r="R68" i="34"/>
  <c r="R90" i="34" s="1"/>
  <c r="R63" i="34"/>
  <c r="R61" i="34"/>
  <c r="R59" i="34"/>
  <c r="R57" i="34"/>
  <c r="R66" i="34" s="1"/>
  <c r="R52" i="34"/>
  <c r="R50" i="34"/>
  <c r="R48" i="34"/>
  <c r="R55" i="34" s="1"/>
  <c r="R43" i="34"/>
  <c r="R41" i="34"/>
  <c r="R39" i="34"/>
  <c r="R37" i="34"/>
  <c r="R35" i="34"/>
  <c r="R33" i="34"/>
  <c r="R31" i="34"/>
  <c r="R46" i="34" s="1"/>
  <c r="R26" i="34"/>
  <c r="R24" i="34"/>
  <c r="R22" i="34"/>
  <c r="R29" i="34" s="1"/>
  <c r="R73" i="34"/>
  <c r="R71" i="34"/>
  <c r="R60" i="34"/>
  <c r="R49" i="34"/>
  <c r="R38" i="34"/>
  <c r="R27" i="34"/>
  <c r="R17" i="34"/>
  <c r="R15" i="34"/>
  <c r="R13" i="34"/>
  <c r="R11" i="34"/>
  <c r="R81" i="34"/>
  <c r="R83" i="34"/>
  <c r="R77" i="34"/>
  <c r="R64" i="34"/>
  <c r="R53" i="34"/>
  <c r="R42" i="34"/>
  <c r="R34" i="34"/>
  <c r="R23" i="34"/>
  <c r="R16" i="34"/>
  <c r="R14" i="34"/>
  <c r="R12" i="34"/>
  <c r="R10" i="34"/>
  <c r="R20" i="34" s="1"/>
  <c r="R69" i="34"/>
  <c r="R44" i="34"/>
  <c r="R25" i="34"/>
  <c r="R62" i="34"/>
  <c r="R40" i="34"/>
  <c r="R18" i="34"/>
  <c r="R75" i="34"/>
  <c r="R51" i="34"/>
  <c r="R32" i="34"/>
  <c r="H181" i="36"/>
  <c r="R85" i="34"/>
  <c r="R58" i="34"/>
  <c r="R36" i="34"/>
  <c r="V774" i="36"/>
  <c r="V775" i="36" s="1"/>
  <c r="AE769" i="36"/>
  <c r="J176" i="36"/>
  <c r="F67" i="42" s="1"/>
  <c r="Z95" i="36"/>
  <c r="V627" i="36"/>
  <c r="V628" i="36" s="1"/>
  <c r="AE622" i="36"/>
  <c r="U52" i="36"/>
  <c r="W13" i="36" s="1"/>
  <c r="I317" i="35" s="1"/>
  <c r="U4896" i="36" s="1"/>
  <c r="V4896" i="36" s="1"/>
  <c r="V725" i="36"/>
  <c r="V726" i="36" s="1"/>
  <c r="AE720" i="36"/>
  <c r="V108" i="36"/>
  <c r="V109" i="36" s="1"/>
  <c r="AE103" i="36"/>
  <c r="V2440" i="36"/>
  <c r="V2441" i="36" s="1"/>
  <c r="AE2435" i="36"/>
  <c r="AE189" i="36"/>
  <c r="V194" i="36"/>
  <c r="V195" i="36" s="1"/>
  <c r="AE671" i="36"/>
  <c r="V676" i="36"/>
  <c r="V677" i="36" s="1"/>
  <c r="T526" i="36"/>
  <c r="V526" i="36" s="1"/>
  <c r="V151" i="36"/>
  <c r="V152" i="36" s="1"/>
  <c r="AE146" i="36"/>
  <c r="V579" i="36"/>
  <c r="V580" i="36" s="1"/>
  <c r="AE574" i="36"/>
  <c r="U5951" i="36" l="1"/>
  <c r="U5953" i="36" s="1"/>
  <c r="U5416" i="36"/>
  <c r="U5418" i="36" s="1"/>
  <c r="U5804" i="36"/>
  <c r="U5806" i="36" s="1"/>
  <c r="U5853" i="36"/>
  <c r="U5855" i="36" s="1"/>
  <c r="U5902" i="36"/>
  <c r="U5904" i="36" s="1"/>
  <c r="U5367" i="36"/>
  <c r="U5369" i="36" s="1"/>
  <c r="U4877" i="36"/>
  <c r="U4879" i="36" s="1"/>
  <c r="U4828" i="36"/>
  <c r="U4830" i="36" s="1"/>
  <c r="AE478" i="36"/>
  <c r="V483" i="36"/>
  <c r="V484" i="36" s="1"/>
  <c r="U509" i="36" s="1"/>
  <c r="AE4896" i="36"/>
  <c r="C16" i="1"/>
  <c r="B18" i="1" s="1"/>
  <c r="C18" i="1" s="1"/>
  <c r="U2618" i="36"/>
  <c r="F15" i="1"/>
  <c r="E15" i="1"/>
  <c r="D15" i="1"/>
  <c r="V15" i="1" s="1"/>
  <c r="U2620" i="36"/>
  <c r="U2619" i="36"/>
  <c r="U5316" i="36"/>
  <c r="U5314" i="36"/>
  <c r="U5317" i="36"/>
  <c r="U5315" i="36"/>
  <c r="U2031" i="36"/>
  <c r="U2029" i="36"/>
  <c r="U2032" i="36"/>
  <c r="U2030" i="36"/>
  <c r="U3699" i="36"/>
  <c r="U3697" i="36"/>
  <c r="U3700" i="36"/>
  <c r="U3698" i="36"/>
  <c r="U1051" i="36"/>
  <c r="U1049" i="36"/>
  <c r="U1052" i="36"/>
  <c r="U1050" i="36"/>
  <c r="U1247" i="36"/>
  <c r="U1245" i="36"/>
  <c r="U1246" i="36"/>
  <c r="U1248" i="36"/>
  <c r="U3109" i="36"/>
  <c r="U3107" i="36"/>
  <c r="U3110" i="36"/>
  <c r="U3108" i="36"/>
  <c r="U3845" i="36"/>
  <c r="U3847" i="36"/>
  <c r="U3844" i="36"/>
  <c r="U3846" i="36"/>
  <c r="V2930" i="36"/>
  <c r="V2931" i="36" s="1"/>
  <c r="U2957" i="36" s="1"/>
  <c r="AE2925" i="36"/>
  <c r="V4647" i="36"/>
  <c r="V4648" i="36" s="1"/>
  <c r="U4674" i="36" s="1"/>
  <c r="AE4642" i="36"/>
  <c r="AE4299" i="36"/>
  <c r="V4304" i="36"/>
  <c r="V4305" i="36" s="1"/>
  <c r="U4331" i="36" s="1"/>
  <c r="V1460" i="36"/>
  <c r="V1461" i="36" s="1"/>
  <c r="U1487" i="36" s="1"/>
  <c r="AE1455" i="36"/>
  <c r="V2636" i="36"/>
  <c r="V2637" i="36" s="1"/>
  <c r="U2663" i="36" s="1"/>
  <c r="AE2631" i="36"/>
  <c r="V1656" i="36"/>
  <c r="V1657" i="36" s="1"/>
  <c r="U1683" i="36" s="1"/>
  <c r="AE1651" i="36"/>
  <c r="AE1504" i="36"/>
  <c r="V1509" i="36"/>
  <c r="V1510" i="36" s="1"/>
  <c r="U1536" i="36" s="1"/>
  <c r="U1002" i="36"/>
  <c r="U1001" i="36"/>
  <c r="U1000" i="36"/>
  <c r="U1003" i="36"/>
  <c r="V5137" i="36"/>
  <c r="V5138" i="36" s="1"/>
  <c r="U5164" i="36" s="1"/>
  <c r="AE5132" i="36"/>
  <c r="AE4593" i="36"/>
  <c r="V4598" i="36"/>
  <c r="V4599" i="36" s="1"/>
  <c r="U4625" i="36" s="1"/>
  <c r="AE1602" i="36"/>
  <c r="V1607" i="36"/>
  <c r="V1608" i="36" s="1"/>
  <c r="U1634" i="36" s="1"/>
  <c r="U4579" i="36"/>
  <c r="U4581" i="36"/>
  <c r="U4580" i="36"/>
  <c r="U4582" i="36"/>
  <c r="AE916" i="36"/>
  <c r="V921" i="36"/>
  <c r="V922" i="36" s="1"/>
  <c r="U948" i="36" s="1"/>
  <c r="V4451" i="36"/>
  <c r="V4452" i="36" s="1"/>
  <c r="U4478" i="36" s="1"/>
  <c r="AE4446" i="36"/>
  <c r="V2244" i="36"/>
  <c r="V2245" i="36" s="1"/>
  <c r="U2271" i="36" s="1"/>
  <c r="AE2239" i="36"/>
  <c r="U3156" i="36"/>
  <c r="U3158" i="36"/>
  <c r="U3159" i="36"/>
  <c r="U3157" i="36"/>
  <c r="U1392" i="36"/>
  <c r="U1395" i="36"/>
  <c r="U1394" i="36"/>
  <c r="U1393" i="36"/>
  <c r="AE3760" i="36"/>
  <c r="V3765" i="36"/>
  <c r="V3766" i="36" s="1"/>
  <c r="U3792" i="36" s="1"/>
  <c r="U1786" i="36"/>
  <c r="U1784" i="36"/>
  <c r="U1785" i="36"/>
  <c r="U1787" i="36"/>
  <c r="V2832" i="36"/>
  <c r="V2833" i="36" s="1"/>
  <c r="U2859" i="36" s="1"/>
  <c r="AE2827" i="36"/>
  <c r="AE3564" i="36"/>
  <c r="V3569" i="36"/>
  <c r="V3570" i="36" s="1"/>
  <c r="U3596" i="36" s="1"/>
  <c r="AE2092" i="36"/>
  <c r="V2097" i="36"/>
  <c r="V2098" i="36" s="1"/>
  <c r="U2124" i="36" s="1"/>
  <c r="V872" i="36"/>
  <c r="V873" i="36" s="1"/>
  <c r="U899" i="36" s="1"/>
  <c r="AE867" i="36"/>
  <c r="U5267" i="36"/>
  <c r="U5265" i="36"/>
  <c r="U5266" i="36"/>
  <c r="U5268" i="36"/>
  <c r="U1198" i="36"/>
  <c r="U1196" i="36"/>
  <c r="U1199" i="36"/>
  <c r="U1197" i="36"/>
  <c r="AE1406" i="36"/>
  <c r="V1411" i="36"/>
  <c r="V1412" i="36" s="1"/>
  <c r="U1438" i="36" s="1"/>
  <c r="V3520" i="36"/>
  <c r="V3521" i="36" s="1"/>
  <c r="U3547" i="36" s="1"/>
  <c r="AE3515" i="36"/>
  <c r="U3650" i="36"/>
  <c r="U3648" i="36"/>
  <c r="U3651" i="36"/>
  <c r="U3649" i="36"/>
  <c r="U1590" i="36"/>
  <c r="U1589" i="36"/>
  <c r="U1588" i="36"/>
  <c r="U1591" i="36"/>
  <c r="AE818" i="36"/>
  <c r="V823" i="36"/>
  <c r="V824" i="36" s="1"/>
  <c r="U850" i="36" s="1"/>
  <c r="U4383" i="36"/>
  <c r="U4385" i="36"/>
  <c r="U4386" i="36"/>
  <c r="U4384" i="36"/>
  <c r="U5508" i="36"/>
  <c r="U5506" i="36"/>
  <c r="U5509" i="36"/>
  <c r="U5507" i="36"/>
  <c r="V2734" i="36"/>
  <c r="V2735" i="36" s="1"/>
  <c r="U2761" i="36" s="1"/>
  <c r="AE2729" i="36"/>
  <c r="AE4495" i="36"/>
  <c r="V4500" i="36"/>
  <c r="V4501" i="36" s="1"/>
  <c r="U4527" i="36" s="1"/>
  <c r="U2913" i="36"/>
  <c r="U2911" i="36"/>
  <c r="U2912" i="36"/>
  <c r="U2914" i="36"/>
  <c r="U3401" i="36"/>
  <c r="U3402" i="36"/>
  <c r="U3403" i="36"/>
  <c r="U3404" i="36"/>
  <c r="U4236" i="36"/>
  <c r="U4238" i="36"/>
  <c r="U4237" i="36"/>
  <c r="U4239" i="36"/>
  <c r="U3503" i="36"/>
  <c r="U3501" i="36"/>
  <c r="U3504" i="36"/>
  <c r="U3502" i="36"/>
  <c r="U2568" i="36"/>
  <c r="U2571" i="36"/>
  <c r="U2569" i="36"/>
  <c r="U2570" i="36"/>
  <c r="U2815" i="36"/>
  <c r="U2813" i="36"/>
  <c r="U2816" i="36"/>
  <c r="U2814" i="36"/>
  <c r="AE3711" i="36"/>
  <c r="V3716" i="36"/>
  <c r="V3717" i="36" s="1"/>
  <c r="U3743" i="36" s="1"/>
  <c r="AE1798" i="36"/>
  <c r="V1803" i="36"/>
  <c r="V1804" i="36" s="1"/>
  <c r="U1830" i="36" s="1"/>
  <c r="U4775" i="36"/>
  <c r="U4777" i="36"/>
  <c r="U4778" i="36"/>
  <c r="U4776" i="36"/>
  <c r="V2048" i="36"/>
  <c r="V2049" i="36" s="1"/>
  <c r="U2075" i="36" s="1"/>
  <c r="AE2043" i="36"/>
  <c r="V3322" i="36"/>
  <c r="V3323" i="36" s="1"/>
  <c r="U3349" i="36" s="1"/>
  <c r="AE3317" i="36"/>
  <c r="V4255" i="36"/>
  <c r="V4256" i="36" s="1"/>
  <c r="U4282" i="36" s="1"/>
  <c r="AE4250" i="36"/>
  <c r="AE1112" i="36"/>
  <c r="V1117" i="36"/>
  <c r="V1118" i="36" s="1"/>
  <c r="U1144" i="36" s="1"/>
  <c r="AE1700" i="36"/>
  <c r="V1705" i="36"/>
  <c r="V1706" i="36" s="1"/>
  <c r="U1732" i="36" s="1"/>
  <c r="U1982" i="36"/>
  <c r="U1980" i="36"/>
  <c r="U1983" i="36"/>
  <c r="U1981" i="36"/>
  <c r="AE5083" i="36"/>
  <c r="V5088" i="36"/>
  <c r="V5089" i="36" s="1"/>
  <c r="U5115" i="36" s="1"/>
  <c r="AE2190" i="36"/>
  <c r="V2195" i="36"/>
  <c r="V2196" i="36" s="1"/>
  <c r="U2222" i="36" s="1"/>
  <c r="AE2680" i="36"/>
  <c r="V2685" i="36"/>
  <c r="V2686" i="36" s="1"/>
  <c r="U2712" i="36" s="1"/>
  <c r="AE2974" i="36"/>
  <c r="V2979" i="36"/>
  <c r="V2980" i="36" s="1"/>
  <c r="U3006" i="36" s="1"/>
  <c r="V1264" i="36"/>
  <c r="V1265" i="36" s="1"/>
  <c r="U1291" i="36" s="1"/>
  <c r="AE1259" i="36"/>
  <c r="AE1896" i="36"/>
  <c r="V1901" i="36"/>
  <c r="V1902" i="36" s="1"/>
  <c r="U1928" i="36" s="1"/>
  <c r="U2372" i="36"/>
  <c r="U2375" i="36"/>
  <c r="U2374" i="36"/>
  <c r="U2373" i="36"/>
  <c r="AE2288" i="36"/>
  <c r="V2293" i="36"/>
  <c r="V2294" i="36" s="1"/>
  <c r="U2320" i="36" s="1"/>
  <c r="AE3170" i="36"/>
  <c r="V3175" i="36"/>
  <c r="V3176" i="36" s="1"/>
  <c r="U3203" i="36" s="1"/>
  <c r="AE4691" i="36"/>
  <c r="V4696" i="36"/>
  <c r="V4697" i="36" s="1"/>
  <c r="U4723" i="36" s="1"/>
  <c r="V3028" i="36"/>
  <c r="V3029" i="36" s="1"/>
  <c r="U3055" i="36" s="1"/>
  <c r="AE3023" i="36"/>
  <c r="V3224" i="36"/>
  <c r="V3225" i="36" s="1"/>
  <c r="U3251" i="36" s="1"/>
  <c r="AE3220" i="36"/>
  <c r="V1852" i="36"/>
  <c r="V1853" i="36" s="1"/>
  <c r="U1879" i="36" s="1"/>
  <c r="AE1847" i="36"/>
  <c r="U1100" i="36"/>
  <c r="U1098" i="36"/>
  <c r="U1099" i="36"/>
  <c r="U1101" i="36"/>
  <c r="AE1308" i="36"/>
  <c r="V1313" i="36"/>
  <c r="V1314" i="36" s="1"/>
  <c r="U1340" i="36" s="1"/>
  <c r="AE3268" i="36"/>
  <c r="V3273" i="36"/>
  <c r="V3274" i="36" s="1"/>
  <c r="U3300" i="36" s="1"/>
  <c r="AE5181" i="36"/>
  <c r="V5186" i="36"/>
  <c r="V5187" i="36" s="1"/>
  <c r="U5213" i="36" s="1"/>
  <c r="U2176" i="36"/>
  <c r="U2179" i="36"/>
  <c r="U2177" i="36"/>
  <c r="U2178" i="36"/>
  <c r="U4434" i="36"/>
  <c r="U4432" i="36"/>
  <c r="U4435" i="36"/>
  <c r="U4433" i="36"/>
  <c r="J3590" i="36"/>
  <c r="J3591" i="36" s="1"/>
  <c r="G3594" i="36"/>
  <c r="H3596" i="36" s="1"/>
  <c r="I3605" i="36" s="1"/>
  <c r="N3658" i="36"/>
  <c r="C3609" i="36"/>
  <c r="D3619" i="36" s="1"/>
  <c r="E3628" i="36" s="1"/>
  <c r="F3636" i="36" s="1"/>
  <c r="U5628" i="36"/>
  <c r="V5628" i="36" s="1"/>
  <c r="AE5628" i="36" s="1"/>
  <c r="U5677" i="36"/>
  <c r="V5677" i="36" s="1"/>
  <c r="U5530" i="36"/>
  <c r="V5530" i="36" s="1"/>
  <c r="AE5530" i="36" s="1"/>
  <c r="U5579" i="36"/>
  <c r="V5579" i="36" s="1"/>
  <c r="U3428" i="36"/>
  <c r="V3428" i="36" s="1"/>
  <c r="AE3428" i="36" s="1"/>
  <c r="U5436" i="36"/>
  <c r="V5436" i="36" s="1"/>
  <c r="AB66" i="36"/>
  <c r="AC66" i="36" s="1"/>
  <c r="U2399" i="36"/>
  <c r="V2399" i="36" s="1"/>
  <c r="N4441" i="36"/>
  <c r="C4148" i="36"/>
  <c r="D4158" i="36" s="1"/>
  <c r="E4167" i="36" s="1"/>
  <c r="F4175" i="36" s="1"/>
  <c r="J4178" i="36" s="1"/>
  <c r="J4179" i="36" s="1"/>
  <c r="N4197" i="36"/>
  <c r="N4246" i="36" s="1"/>
  <c r="N4295" i="36" s="1"/>
  <c r="N4344" i="36" s="1"/>
  <c r="N4393" i="36" s="1"/>
  <c r="N4442" i="36" s="1"/>
  <c r="N4491" i="36" s="1"/>
  <c r="N4540" i="36" s="1"/>
  <c r="N4589" i="36" s="1"/>
  <c r="N4638" i="36" s="1"/>
  <c r="N4687" i="36" s="1"/>
  <c r="N4736" i="36" s="1"/>
  <c r="N4785" i="36" s="1"/>
  <c r="N4834" i="36" s="1"/>
  <c r="N4883" i="36" s="1"/>
  <c r="N2822" i="36"/>
  <c r="N1058" i="36"/>
  <c r="F11" i="42"/>
  <c r="C765" i="36"/>
  <c r="D775" i="36" s="1"/>
  <c r="N814" i="36"/>
  <c r="N863" i="36" s="1"/>
  <c r="N912" i="36" s="1"/>
  <c r="N961" i="36" s="1"/>
  <c r="N1010" i="36" s="1"/>
  <c r="N1059" i="36" s="1"/>
  <c r="N1108" i="36" s="1"/>
  <c r="N1157" i="36" s="1"/>
  <c r="N1206" i="36" s="1"/>
  <c r="N1255" i="36" s="1"/>
  <c r="N1304" i="36" s="1"/>
  <c r="N1353" i="36" s="1"/>
  <c r="N1402" i="36" s="1"/>
  <c r="N1451" i="36" s="1"/>
  <c r="N1500" i="36" s="1"/>
  <c r="N1549" i="36" s="1"/>
  <c r="N1598" i="36" s="1"/>
  <c r="N1647" i="36" s="1"/>
  <c r="N1696" i="36" s="1"/>
  <c r="N1745" i="36" s="1"/>
  <c r="N1794" i="36" s="1"/>
  <c r="N1843" i="36" s="1"/>
  <c r="N1892" i="36" s="1"/>
  <c r="N1941" i="36" s="1"/>
  <c r="N1990" i="36" s="1"/>
  <c r="N2039" i="36" s="1"/>
  <c r="N2088" i="36" s="1"/>
  <c r="N2137" i="36" s="1"/>
  <c r="N2186" i="36" s="1"/>
  <c r="N2235" i="36" s="1"/>
  <c r="N2284" i="36" s="1"/>
  <c r="N2333" i="36" s="1"/>
  <c r="N2382" i="36" s="1"/>
  <c r="U322" i="36"/>
  <c r="U320" i="36"/>
  <c r="U323" i="36"/>
  <c r="U321" i="36"/>
  <c r="AE238" i="36"/>
  <c r="V243" i="36"/>
  <c r="V244" i="36" s="1"/>
  <c r="U269" i="36" s="1"/>
  <c r="V5039" i="36"/>
  <c r="V5040" i="36" s="1"/>
  <c r="U5066" i="36" s="1"/>
  <c r="AE5034" i="36"/>
  <c r="AE4985" i="36"/>
  <c r="V4990" i="36"/>
  <c r="V4991" i="36" s="1"/>
  <c r="U5017" i="36" s="1"/>
  <c r="F42" i="42"/>
  <c r="F8" i="42"/>
  <c r="F10" i="42"/>
  <c r="F694" i="36"/>
  <c r="F22" i="42"/>
  <c r="F26" i="42"/>
  <c r="F58" i="42"/>
  <c r="F9" i="42"/>
  <c r="F43" i="42"/>
  <c r="F45" i="42"/>
  <c r="F76" i="42"/>
  <c r="F28" i="42"/>
  <c r="F64" i="42"/>
  <c r="F44" i="42"/>
  <c r="F61" i="42"/>
  <c r="F63" i="42"/>
  <c r="F29" i="42"/>
  <c r="F66" i="42"/>
  <c r="F15" i="42"/>
  <c r="F20" i="42"/>
  <c r="F53" i="42"/>
  <c r="F30" i="42"/>
  <c r="F65" i="42"/>
  <c r="F56" i="42"/>
  <c r="F40" i="42"/>
  <c r="F74" i="42"/>
  <c r="F25" i="42"/>
  <c r="F60" i="42"/>
  <c r="F47" i="42"/>
  <c r="F27" i="42"/>
  <c r="F62" i="42"/>
  <c r="F16" i="42"/>
  <c r="F34" i="42"/>
  <c r="F52" i="42"/>
  <c r="F69" i="42"/>
  <c r="F19" i="42"/>
  <c r="F36" i="42"/>
  <c r="F54" i="42"/>
  <c r="F71" i="42"/>
  <c r="F13" i="42"/>
  <c r="F49" i="42"/>
  <c r="F37" i="42"/>
  <c r="F33" i="42"/>
  <c r="F68" i="42"/>
  <c r="F72" i="42"/>
  <c r="F35" i="42"/>
  <c r="F70" i="42"/>
  <c r="F21" i="42"/>
  <c r="F38" i="42"/>
  <c r="F57" i="42"/>
  <c r="F73" i="42"/>
  <c r="F23" i="42"/>
  <c r="F41" i="42"/>
  <c r="F59" i="42"/>
  <c r="F75" i="42"/>
  <c r="F31" i="42"/>
  <c r="F51" i="42"/>
  <c r="F18" i="42"/>
  <c r="F12" i="42"/>
  <c r="F48" i="42"/>
  <c r="F14" i="42"/>
  <c r="F32" i="42"/>
  <c r="F50" i="42"/>
  <c r="G750" i="36"/>
  <c r="J746" i="36"/>
  <c r="J747" i="36" s="1"/>
  <c r="G4084" i="36"/>
  <c r="H4086" i="36" s="1"/>
  <c r="I4095" i="36" s="1"/>
  <c r="J4080" i="36"/>
  <c r="J4081" i="36" s="1"/>
  <c r="C4099" i="36"/>
  <c r="D4109" i="36" s="1"/>
  <c r="T4005" i="36"/>
  <c r="V4005" i="36" s="1"/>
  <c r="V4108" i="36"/>
  <c r="V4109" i="36" s="1"/>
  <c r="U4135" i="36" s="1"/>
  <c r="T4054" i="36"/>
  <c r="V4054" i="36" s="1"/>
  <c r="AE3956" i="36"/>
  <c r="V2489" i="36"/>
  <c r="V2490" i="36" s="1"/>
  <c r="AE3858" i="36"/>
  <c r="T3907" i="36"/>
  <c r="V3907" i="36" s="1"/>
  <c r="U3890" i="36"/>
  <c r="U801" i="36"/>
  <c r="M88" i="34"/>
  <c r="M87" i="34"/>
  <c r="M79" i="34"/>
  <c r="M78" i="34"/>
  <c r="M82" i="34"/>
  <c r="M81" i="34"/>
  <c r="M76" i="34"/>
  <c r="M75" i="34"/>
  <c r="M71" i="34"/>
  <c r="M70" i="34"/>
  <c r="M60" i="34"/>
  <c r="M59" i="34"/>
  <c r="M49" i="34"/>
  <c r="M48" i="34"/>
  <c r="M55" i="34" s="1"/>
  <c r="M38" i="34"/>
  <c r="M37" i="34"/>
  <c r="M27" i="34"/>
  <c r="M26" i="34"/>
  <c r="M77" i="34"/>
  <c r="M84" i="34"/>
  <c r="M83" i="34"/>
  <c r="M85" i="34"/>
  <c r="M64" i="34"/>
  <c r="M63" i="34"/>
  <c r="M53" i="34"/>
  <c r="M52" i="34"/>
  <c r="M42" i="34"/>
  <c r="M41" i="34"/>
  <c r="M34" i="34"/>
  <c r="M33" i="34"/>
  <c r="M23" i="34"/>
  <c r="M22" i="34"/>
  <c r="M29" i="34" s="1"/>
  <c r="M61" i="34"/>
  <c r="M58" i="34"/>
  <c r="M39" i="34"/>
  <c r="M36" i="34"/>
  <c r="M17" i="34"/>
  <c r="M13" i="34"/>
  <c r="M32" i="34"/>
  <c r="M12" i="34"/>
  <c r="M74" i="34"/>
  <c r="M68" i="34"/>
  <c r="M90" i="34" s="1"/>
  <c r="M62" i="34"/>
  <c r="M43" i="34"/>
  <c r="M40" i="34"/>
  <c r="M24" i="34"/>
  <c r="M18" i="34"/>
  <c r="M14" i="34"/>
  <c r="M10" i="34"/>
  <c r="M20" i="34" s="1"/>
  <c r="M73" i="34"/>
  <c r="M57" i="34"/>
  <c r="M66" i="34" s="1"/>
  <c r="M51" i="34"/>
  <c r="M16" i="34"/>
  <c r="M80" i="34"/>
  <c r="M72" i="34"/>
  <c r="M69" i="34"/>
  <c r="M50" i="34"/>
  <c r="M44" i="34"/>
  <c r="M31" i="34"/>
  <c r="M46" i="34" s="1"/>
  <c r="M25" i="34"/>
  <c r="M15" i="34"/>
  <c r="M11" i="34"/>
  <c r="M35" i="34"/>
  <c r="R92" i="34"/>
  <c r="U752" i="36"/>
  <c r="U654" i="36"/>
  <c r="V531" i="36"/>
  <c r="V532" i="36" s="1"/>
  <c r="AE526" i="36"/>
  <c r="Q313" i="35"/>
  <c r="O313" i="35"/>
  <c r="U703" i="36"/>
  <c r="U2467" i="36"/>
  <c r="U181" i="36"/>
  <c r="W142" i="36" s="1"/>
  <c r="I321" i="35" s="1"/>
  <c r="U4897" i="36" s="1"/>
  <c r="V4897" i="36" s="1"/>
  <c r="AE4897" i="36" s="1"/>
  <c r="U605" i="36"/>
  <c r="U221" i="36"/>
  <c r="U138" i="36"/>
  <c r="W99" i="36" s="1"/>
  <c r="I318" i="35" s="1"/>
  <c r="M16" i="1" l="1"/>
  <c r="G16" i="1" s="1"/>
  <c r="H16" i="1" s="1"/>
  <c r="E16" i="1"/>
  <c r="F16" i="1"/>
  <c r="K16" i="1" s="1"/>
  <c r="D16" i="1"/>
  <c r="V16" i="1" s="1"/>
  <c r="C19" i="1"/>
  <c r="C20" i="1" s="1"/>
  <c r="U513" i="36"/>
  <c r="U514" i="36"/>
  <c r="U512" i="36"/>
  <c r="U515" i="36"/>
  <c r="V4901" i="36"/>
  <c r="V4902" i="36" s="1"/>
  <c r="U4919" i="36" s="1"/>
  <c r="U4925" i="36" s="1"/>
  <c r="C4883" i="36"/>
  <c r="D4893" i="36" s="1"/>
  <c r="E4902" i="36" s="1"/>
  <c r="F4910" i="36" s="1"/>
  <c r="C4834" i="36"/>
  <c r="D4844" i="36" s="1"/>
  <c r="E4853" i="36" s="1"/>
  <c r="F4861" i="36" s="1"/>
  <c r="C4785" i="36"/>
  <c r="D4795" i="36" s="1"/>
  <c r="E4804" i="36" s="1"/>
  <c r="F4812" i="36" s="1"/>
  <c r="U439" i="36"/>
  <c r="V439" i="36" s="1"/>
  <c r="V444" i="36" s="1"/>
  <c r="V445" i="36" s="1"/>
  <c r="U5725" i="36"/>
  <c r="V5725" i="36" s="1"/>
  <c r="U2621" i="36"/>
  <c r="U2623" i="36" s="1"/>
  <c r="U5627" i="36"/>
  <c r="V5627" i="36" s="1"/>
  <c r="AE5627" i="36" s="1"/>
  <c r="U391" i="36"/>
  <c r="V391" i="36" s="1"/>
  <c r="U1102" i="36"/>
  <c r="U1104" i="36" s="1"/>
  <c r="U1984" i="36"/>
  <c r="U1986" i="36" s="1"/>
  <c r="U3652" i="36"/>
  <c r="U3654" i="36" s="1"/>
  <c r="U1200" i="36"/>
  <c r="U1202" i="36" s="1"/>
  <c r="U5269" i="36"/>
  <c r="U5271" i="36" s="1"/>
  <c r="U5216" i="36"/>
  <c r="U5218" i="36"/>
  <c r="U5217" i="36"/>
  <c r="U5219" i="36"/>
  <c r="U1345" i="36"/>
  <c r="U1343" i="36"/>
  <c r="U1346" i="36"/>
  <c r="U1344" i="36"/>
  <c r="U4726" i="36"/>
  <c r="U4728" i="36"/>
  <c r="U4729" i="36"/>
  <c r="U4727" i="36"/>
  <c r="U2325" i="36"/>
  <c r="U2323" i="36"/>
  <c r="U2326" i="36"/>
  <c r="U2324" i="36"/>
  <c r="U2715" i="36"/>
  <c r="U2717" i="36"/>
  <c r="U2718" i="36"/>
  <c r="U2716" i="36"/>
  <c r="U5120" i="36"/>
  <c r="U5119" i="36"/>
  <c r="U5118" i="36"/>
  <c r="U5121" i="36"/>
  <c r="U1149" i="36"/>
  <c r="U1148" i="36"/>
  <c r="U1147" i="36"/>
  <c r="U1150" i="36"/>
  <c r="U1835" i="36"/>
  <c r="U1833" i="36"/>
  <c r="U1836" i="36"/>
  <c r="U1834" i="36"/>
  <c r="U4532" i="36"/>
  <c r="U4531" i="36"/>
  <c r="U4530" i="36"/>
  <c r="U4533" i="36"/>
  <c r="U853" i="36"/>
  <c r="U854" i="36"/>
  <c r="U855" i="36"/>
  <c r="U856" i="36"/>
  <c r="U1443" i="36"/>
  <c r="U1442" i="36"/>
  <c r="U1441" i="36"/>
  <c r="U1444" i="36"/>
  <c r="U2127" i="36"/>
  <c r="U2130" i="36"/>
  <c r="U2129" i="36"/>
  <c r="U2128" i="36"/>
  <c r="U3797" i="36"/>
  <c r="U3795" i="36"/>
  <c r="U3796" i="36"/>
  <c r="U3798" i="36"/>
  <c r="U1639" i="36"/>
  <c r="U1637" i="36"/>
  <c r="U1638" i="36"/>
  <c r="U1640" i="36"/>
  <c r="U3254" i="36"/>
  <c r="U3257" i="36"/>
  <c r="U3255" i="36"/>
  <c r="U3256" i="36"/>
  <c r="U2376" i="36"/>
  <c r="U2378" i="36" s="1"/>
  <c r="U1294" i="36"/>
  <c r="U1296" i="36"/>
  <c r="U1297" i="36"/>
  <c r="U1295" i="36"/>
  <c r="U3354" i="36"/>
  <c r="U3352" i="36"/>
  <c r="U3355" i="36"/>
  <c r="U3353" i="36"/>
  <c r="U2862" i="36"/>
  <c r="U2864" i="36"/>
  <c r="U2865" i="36"/>
  <c r="U2863" i="36"/>
  <c r="U1396" i="36"/>
  <c r="U1398" i="36" s="1"/>
  <c r="U3160" i="36"/>
  <c r="U3162" i="36" s="1"/>
  <c r="U4483" i="36"/>
  <c r="U4481" i="36"/>
  <c r="U4482" i="36"/>
  <c r="U4484" i="36"/>
  <c r="U5167" i="36"/>
  <c r="U5169" i="36"/>
  <c r="U5168" i="36"/>
  <c r="U5170" i="36"/>
  <c r="U1688" i="36"/>
  <c r="U1686" i="36"/>
  <c r="U1689" i="36"/>
  <c r="U1687" i="36"/>
  <c r="U1492" i="36"/>
  <c r="U1490" i="36"/>
  <c r="U1491" i="36"/>
  <c r="U1493" i="36"/>
  <c r="U4677" i="36"/>
  <c r="U4679" i="36"/>
  <c r="U4678" i="36"/>
  <c r="U4680" i="36"/>
  <c r="U3848" i="36"/>
  <c r="U3850" i="36" s="1"/>
  <c r="U4436" i="36"/>
  <c r="U4438" i="36" s="1"/>
  <c r="U3305" i="36"/>
  <c r="U3304" i="36"/>
  <c r="U3303" i="36"/>
  <c r="U3306" i="36"/>
  <c r="U3208" i="36"/>
  <c r="U3206" i="36"/>
  <c r="U3207" i="36"/>
  <c r="U3209" i="36"/>
  <c r="U1931" i="36"/>
  <c r="U1934" i="36"/>
  <c r="U1933" i="36"/>
  <c r="U1932" i="36"/>
  <c r="U3009" i="36"/>
  <c r="U3012" i="36"/>
  <c r="U3011" i="36"/>
  <c r="U3010" i="36"/>
  <c r="U2227" i="36"/>
  <c r="U2225" i="36"/>
  <c r="U2226" i="36"/>
  <c r="U2228" i="36"/>
  <c r="U1737" i="36"/>
  <c r="U1736" i="36"/>
  <c r="U1735" i="36"/>
  <c r="U1738" i="36"/>
  <c r="U3747" i="36"/>
  <c r="U3748" i="36"/>
  <c r="U3749" i="36"/>
  <c r="U3746" i="36"/>
  <c r="U2817" i="36"/>
  <c r="U2819" i="36" s="1"/>
  <c r="U3505" i="36"/>
  <c r="U3507" i="36" s="1"/>
  <c r="U2915" i="36"/>
  <c r="U2917" i="36" s="1"/>
  <c r="U5510" i="36"/>
  <c r="U5512" i="36" s="1"/>
  <c r="U3600" i="36"/>
  <c r="U3601" i="36"/>
  <c r="U3602" i="36"/>
  <c r="U3599" i="36"/>
  <c r="U1788" i="36"/>
  <c r="U1790" i="36" s="1"/>
  <c r="U951" i="36"/>
  <c r="U954" i="36"/>
  <c r="U953" i="36"/>
  <c r="U952" i="36"/>
  <c r="U4630" i="36"/>
  <c r="U4629" i="36"/>
  <c r="U4628" i="36"/>
  <c r="U4631" i="36"/>
  <c r="U1541" i="36"/>
  <c r="U1539" i="36"/>
  <c r="U1542" i="36"/>
  <c r="U1540" i="36"/>
  <c r="U4336" i="36"/>
  <c r="U4335" i="36"/>
  <c r="U4334" i="36"/>
  <c r="U4337" i="36"/>
  <c r="U3111" i="36"/>
  <c r="U3113" i="36" s="1"/>
  <c r="U1249" i="36"/>
  <c r="U1251" i="36" s="1"/>
  <c r="U1053" i="36"/>
  <c r="U1055" i="36" s="1"/>
  <c r="U3701" i="36"/>
  <c r="U3703" i="36" s="1"/>
  <c r="U2033" i="36"/>
  <c r="U2035" i="36" s="1"/>
  <c r="U5318" i="36"/>
  <c r="U5320" i="36" s="1"/>
  <c r="U2180" i="36"/>
  <c r="U2182" i="36" s="1"/>
  <c r="U1884" i="36"/>
  <c r="U1883" i="36"/>
  <c r="U1882" i="36"/>
  <c r="U1885" i="36"/>
  <c r="U3058" i="36"/>
  <c r="U3060" i="36"/>
  <c r="U3061" i="36"/>
  <c r="U3059" i="36"/>
  <c r="U4285" i="36"/>
  <c r="U4288" i="36"/>
  <c r="U4286" i="36"/>
  <c r="U4287" i="36"/>
  <c r="U2080" i="36"/>
  <c r="U2079" i="36"/>
  <c r="U2078" i="36"/>
  <c r="U2081" i="36"/>
  <c r="U4779" i="36"/>
  <c r="U4781" i="36" s="1"/>
  <c r="U2572" i="36"/>
  <c r="U2574" i="36" s="1"/>
  <c r="U4240" i="36"/>
  <c r="U4242" i="36" s="1"/>
  <c r="U3405" i="36"/>
  <c r="U3407" i="36" s="1"/>
  <c r="U2766" i="36"/>
  <c r="U2764" i="36"/>
  <c r="U2765" i="36"/>
  <c r="U2767" i="36"/>
  <c r="U4387" i="36"/>
  <c r="U4389" i="36" s="1"/>
  <c r="U1592" i="36"/>
  <c r="U1594" i="36" s="1"/>
  <c r="U3552" i="36"/>
  <c r="U3550" i="36"/>
  <c r="U3553" i="36"/>
  <c r="U3551" i="36"/>
  <c r="U904" i="36"/>
  <c r="U902" i="36"/>
  <c r="U905" i="36"/>
  <c r="U903" i="36"/>
  <c r="U2274" i="36"/>
  <c r="U2276" i="36"/>
  <c r="U2275" i="36"/>
  <c r="U2277" i="36"/>
  <c r="U4583" i="36"/>
  <c r="U4585" i="36" s="1"/>
  <c r="U1004" i="36"/>
  <c r="U1006" i="36" s="1"/>
  <c r="U2666" i="36"/>
  <c r="U2667" i="36"/>
  <c r="U2669" i="36"/>
  <c r="U2668" i="36"/>
  <c r="U2962" i="36"/>
  <c r="U2960" i="36"/>
  <c r="U2963" i="36"/>
  <c r="U2961" i="36"/>
  <c r="U343" i="36"/>
  <c r="V343" i="36" s="1"/>
  <c r="AE343" i="36" s="1"/>
  <c r="N3707" i="36"/>
  <c r="N3756" i="36" s="1"/>
  <c r="C3658" i="36"/>
  <c r="D3668" i="36" s="1"/>
  <c r="E3677" i="36" s="1"/>
  <c r="F3685" i="36" s="1"/>
  <c r="J3639" i="36"/>
  <c r="J3640" i="36" s="1"/>
  <c r="G3643" i="36"/>
  <c r="H3645" i="36" s="1"/>
  <c r="I3654" i="36" s="1"/>
  <c r="AE5677" i="36"/>
  <c r="U5630" i="36"/>
  <c r="V5630" i="36" s="1"/>
  <c r="AE5630" i="36" s="1"/>
  <c r="U5679" i="36"/>
  <c r="V5679" i="36" s="1"/>
  <c r="AE5679" i="36" s="1"/>
  <c r="E784" i="36"/>
  <c r="U5532" i="36"/>
  <c r="V5532" i="36" s="1"/>
  <c r="AE5532" i="36" s="1"/>
  <c r="U5581" i="36"/>
  <c r="V5581" i="36" s="1"/>
  <c r="AE5581" i="36" s="1"/>
  <c r="AE5579" i="36"/>
  <c r="U4949" i="36"/>
  <c r="V4949" i="36" s="1"/>
  <c r="AE4949" i="36" s="1"/>
  <c r="U5438" i="36"/>
  <c r="V5438" i="36" s="1"/>
  <c r="AE5438" i="36" s="1"/>
  <c r="V3437" i="36"/>
  <c r="V3438" i="36" s="1"/>
  <c r="U3450" i="36" s="1"/>
  <c r="U3452" i="36" s="1"/>
  <c r="AE5436" i="36"/>
  <c r="AB95" i="36"/>
  <c r="AC95" i="36" s="1"/>
  <c r="AE2399" i="36"/>
  <c r="V2404" i="36"/>
  <c r="V2405" i="36" s="1"/>
  <c r="U2418" i="36" s="1"/>
  <c r="C4736" i="36"/>
  <c r="D4746" i="36" s="1"/>
  <c r="E4755" i="36" s="1"/>
  <c r="F4763" i="36" s="1"/>
  <c r="C4687" i="36"/>
  <c r="D4697" i="36" s="1"/>
  <c r="E4706" i="36" s="1"/>
  <c r="F4714" i="36" s="1"/>
  <c r="C4638" i="36"/>
  <c r="D4648" i="36" s="1"/>
  <c r="E4657" i="36" s="1"/>
  <c r="F4665" i="36" s="1"/>
  <c r="C4589" i="36"/>
  <c r="D4599" i="36" s="1"/>
  <c r="E4608" i="36" s="1"/>
  <c r="F4616" i="36" s="1"/>
  <c r="C4540" i="36"/>
  <c r="D4550" i="36" s="1"/>
  <c r="E4559" i="36" s="1"/>
  <c r="F4567" i="36" s="1"/>
  <c r="C4491" i="36"/>
  <c r="D4501" i="36" s="1"/>
  <c r="E4510" i="36" s="1"/>
  <c r="F4518" i="36" s="1"/>
  <c r="N4490" i="36"/>
  <c r="G4182" i="36"/>
  <c r="H4184" i="36" s="1"/>
  <c r="I4193" i="36" s="1"/>
  <c r="C4442" i="36"/>
  <c r="D4452" i="36" s="1"/>
  <c r="E4461" i="36" s="1"/>
  <c r="F4469" i="36" s="1"/>
  <c r="C4393" i="36"/>
  <c r="D4403" i="36" s="1"/>
  <c r="E4412" i="36" s="1"/>
  <c r="F4420" i="36" s="1"/>
  <c r="C4344" i="36"/>
  <c r="D4354" i="36" s="1"/>
  <c r="E4363" i="36" s="1"/>
  <c r="F4371" i="36" s="1"/>
  <c r="C4295" i="36"/>
  <c r="D4305" i="36" s="1"/>
  <c r="E4314" i="36" s="1"/>
  <c r="F4322" i="36" s="1"/>
  <c r="C4246" i="36"/>
  <c r="D4256" i="36" s="1"/>
  <c r="E4265" i="36" s="1"/>
  <c r="F4273" i="36" s="1"/>
  <c r="C4197" i="36"/>
  <c r="D4207" i="36" s="1"/>
  <c r="E4216" i="36" s="1"/>
  <c r="F4224" i="36" s="1"/>
  <c r="N2871" i="36"/>
  <c r="C2382" i="36"/>
  <c r="D2389" i="36" s="1"/>
  <c r="E2405" i="36" s="1"/>
  <c r="F2410" i="36" s="1"/>
  <c r="C2333" i="36"/>
  <c r="D2343" i="36" s="1"/>
  <c r="E2352" i="36" s="1"/>
  <c r="F2360" i="36" s="1"/>
  <c r="C2284" i="36"/>
  <c r="D2294" i="36" s="1"/>
  <c r="E2303" i="36" s="1"/>
  <c r="F2311" i="36" s="1"/>
  <c r="C2235" i="36"/>
  <c r="D2245" i="36" s="1"/>
  <c r="E2254" i="36" s="1"/>
  <c r="F2262" i="36" s="1"/>
  <c r="C2186" i="36"/>
  <c r="D2196" i="36" s="1"/>
  <c r="E2205" i="36" s="1"/>
  <c r="F2213" i="36" s="1"/>
  <c r="C2137" i="36"/>
  <c r="D2147" i="36" s="1"/>
  <c r="E2156" i="36" s="1"/>
  <c r="F2164" i="36" s="1"/>
  <c r="C2088" i="36"/>
  <c r="D2098" i="36" s="1"/>
  <c r="E2107" i="36" s="1"/>
  <c r="F2115" i="36" s="1"/>
  <c r="C2039" i="36"/>
  <c r="D2049" i="36" s="1"/>
  <c r="E2058" i="36" s="1"/>
  <c r="F2066" i="36" s="1"/>
  <c r="C1990" i="36"/>
  <c r="D2000" i="36" s="1"/>
  <c r="E2009" i="36" s="1"/>
  <c r="F2017" i="36" s="1"/>
  <c r="C1941" i="36"/>
  <c r="D1951" i="36" s="1"/>
  <c r="E1960" i="36" s="1"/>
  <c r="F1968" i="36" s="1"/>
  <c r="C1892" i="36"/>
  <c r="D1902" i="36" s="1"/>
  <c r="E1911" i="36" s="1"/>
  <c r="F1919" i="36" s="1"/>
  <c r="C1843" i="36"/>
  <c r="D1853" i="36" s="1"/>
  <c r="E1862" i="36" s="1"/>
  <c r="F1870" i="36" s="1"/>
  <c r="C1794" i="36"/>
  <c r="D1804" i="36" s="1"/>
  <c r="E1813" i="36" s="1"/>
  <c r="F1821" i="36" s="1"/>
  <c r="C1745" i="36"/>
  <c r="D1755" i="36" s="1"/>
  <c r="E1764" i="36" s="1"/>
  <c r="F1772" i="36" s="1"/>
  <c r="C1696" i="36"/>
  <c r="D1706" i="36" s="1"/>
  <c r="E1715" i="36" s="1"/>
  <c r="F1723" i="36" s="1"/>
  <c r="C1647" i="36"/>
  <c r="D1657" i="36" s="1"/>
  <c r="E1666" i="36" s="1"/>
  <c r="F1674" i="36" s="1"/>
  <c r="C1598" i="36"/>
  <c r="D1608" i="36" s="1"/>
  <c r="E1617" i="36" s="1"/>
  <c r="F1625" i="36" s="1"/>
  <c r="C1549" i="36"/>
  <c r="D1559" i="36" s="1"/>
  <c r="E1568" i="36" s="1"/>
  <c r="F1576" i="36" s="1"/>
  <c r="C1500" i="36"/>
  <c r="D1510" i="36" s="1"/>
  <c r="E1519" i="36" s="1"/>
  <c r="F1527" i="36" s="1"/>
  <c r="C1451" i="36"/>
  <c r="D1461" i="36" s="1"/>
  <c r="E1470" i="36" s="1"/>
  <c r="F1478" i="36" s="1"/>
  <c r="C1402" i="36"/>
  <c r="D1412" i="36" s="1"/>
  <c r="E1421" i="36" s="1"/>
  <c r="F1429" i="36" s="1"/>
  <c r="C1353" i="36"/>
  <c r="D1363" i="36" s="1"/>
  <c r="E1372" i="36" s="1"/>
  <c r="F1380" i="36" s="1"/>
  <c r="C1304" i="36"/>
  <c r="D1314" i="36" s="1"/>
  <c r="E1323" i="36" s="1"/>
  <c r="F1331" i="36" s="1"/>
  <c r="C1255" i="36"/>
  <c r="D1265" i="36" s="1"/>
  <c r="E1274" i="36" s="1"/>
  <c r="F1282" i="36" s="1"/>
  <c r="C1206" i="36"/>
  <c r="D1216" i="36" s="1"/>
  <c r="E1225" i="36" s="1"/>
  <c r="F1233" i="36" s="1"/>
  <c r="C1157" i="36"/>
  <c r="D1167" i="36" s="1"/>
  <c r="E1176" i="36" s="1"/>
  <c r="F1184" i="36" s="1"/>
  <c r="N1107" i="36"/>
  <c r="N1156" i="36" s="1"/>
  <c r="C1108" i="36"/>
  <c r="D1118" i="36" s="1"/>
  <c r="E1127" i="36" s="1"/>
  <c r="F1135" i="36" s="1"/>
  <c r="C1059" i="36"/>
  <c r="D1069" i="36" s="1"/>
  <c r="E1078" i="36" s="1"/>
  <c r="F1086" i="36" s="1"/>
  <c r="C1010" i="36"/>
  <c r="D1020" i="36" s="1"/>
  <c r="E1029" i="36" s="1"/>
  <c r="F1037" i="36" s="1"/>
  <c r="C961" i="36"/>
  <c r="D971" i="36" s="1"/>
  <c r="E980" i="36" s="1"/>
  <c r="F988" i="36" s="1"/>
  <c r="C912" i="36"/>
  <c r="D922" i="36" s="1"/>
  <c r="E931" i="36" s="1"/>
  <c r="F939" i="36" s="1"/>
  <c r="C863" i="36"/>
  <c r="D873" i="36" s="1"/>
  <c r="E882" i="36" s="1"/>
  <c r="F890" i="36" s="1"/>
  <c r="C814" i="36"/>
  <c r="D824" i="36" s="1"/>
  <c r="E833" i="36" s="1"/>
  <c r="F841" i="36" s="1"/>
  <c r="U5071" i="36"/>
  <c r="U5072" i="36"/>
  <c r="U5070" i="36"/>
  <c r="U5069" i="36"/>
  <c r="U5021" i="36"/>
  <c r="U5022" i="36"/>
  <c r="U5020" i="36"/>
  <c r="U5023" i="36"/>
  <c r="U274" i="36"/>
  <c r="U272" i="36"/>
  <c r="U273" i="36"/>
  <c r="U275" i="36"/>
  <c r="U324" i="36"/>
  <c r="U326" i="36" s="1"/>
  <c r="C21" i="1"/>
  <c r="U4063" i="36"/>
  <c r="V4063" i="36" s="1"/>
  <c r="U4945" i="36"/>
  <c r="V4945" i="36" s="1"/>
  <c r="U4161" i="36"/>
  <c r="V4161" i="36" s="1"/>
  <c r="E4118" i="36"/>
  <c r="F4126" i="36" s="1"/>
  <c r="G701" i="36"/>
  <c r="J697" i="36"/>
  <c r="J698" i="36" s="1"/>
  <c r="H752" i="36"/>
  <c r="V4010" i="36"/>
  <c r="V4011" i="36" s="1"/>
  <c r="AE4005" i="36"/>
  <c r="U3965" i="36"/>
  <c r="AE4054" i="36"/>
  <c r="V4059" i="36"/>
  <c r="V4060" i="36" s="1"/>
  <c r="U2516" i="36"/>
  <c r="U2521" i="36" s="1"/>
  <c r="AE3907" i="36"/>
  <c r="V3912" i="36"/>
  <c r="V3913" i="36" s="1"/>
  <c r="U4140" i="36"/>
  <c r="U4138" i="36"/>
  <c r="U4139" i="36"/>
  <c r="U4141" i="36"/>
  <c r="U3895" i="36"/>
  <c r="U3893" i="36"/>
  <c r="U3896" i="36"/>
  <c r="U3894" i="36"/>
  <c r="M92" i="34"/>
  <c r="U806" i="36"/>
  <c r="U804" i="36"/>
  <c r="U807" i="36"/>
  <c r="U805" i="36"/>
  <c r="U557" i="36"/>
  <c r="U756" i="36"/>
  <c r="U757" i="36"/>
  <c r="U755" i="36"/>
  <c r="U758" i="36"/>
  <c r="U227" i="36"/>
  <c r="U225" i="36"/>
  <c r="U224" i="36"/>
  <c r="U226" i="36"/>
  <c r="M10" i="1"/>
  <c r="U659" i="36"/>
  <c r="U657" i="36"/>
  <c r="U660" i="36"/>
  <c r="U658" i="36"/>
  <c r="K362" i="35"/>
  <c r="U609" i="36"/>
  <c r="U611" i="36"/>
  <c r="U608" i="36"/>
  <c r="U610" i="36"/>
  <c r="M20" i="1"/>
  <c r="U2472" i="36"/>
  <c r="U2470" i="36"/>
  <c r="U2473" i="36"/>
  <c r="U2471" i="36"/>
  <c r="U708" i="36"/>
  <c r="U706" i="36"/>
  <c r="U709" i="36"/>
  <c r="U707" i="36"/>
  <c r="U516" i="36" l="1"/>
  <c r="U518" i="36" s="1"/>
  <c r="N16" i="1" s="1"/>
  <c r="L16" i="1" s="1"/>
  <c r="U4922" i="36"/>
  <c r="U4924" i="36"/>
  <c r="U4923" i="36"/>
  <c r="J4913" i="36"/>
  <c r="J4914" i="36" s="1"/>
  <c r="G4917" i="36"/>
  <c r="H4919" i="36" s="1"/>
  <c r="I4928" i="36" s="1"/>
  <c r="J4864" i="36"/>
  <c r="J4865" i="36" s="1"/>
  <c r="G4868" i="36"/>
  <c r="H4870" i="36" s="1"/>
  <c r="I4879" i="36" s="1"/>
  <c r="J4815" i="36"/>
  <c r="J4816" i="36" s="1"/>
  <c r="G4819" i="36"/>
  <c r="H4821" i="36" s="1"/>
  <c r="I4830" i="36" s="1"/>
  <c r="AE439" i="36"/>
  <c r="V5730" i="36"/>
  <c r="V5731" i="36" s="1"/>
  <c r="AE5725" i="36"/>
  <c r="U461" i="36"/>
  <c r="M15" i="1" s="1"/>
  <c r="AE391" i="36"/>
  <c r="V396" i="36"/>
  <c r="V397" i="36" s="1"/>
  <c r="U2964" i="36"/>
  <c r="U2966" i="36" s="1"/>
  <c r="U955" i="36"/>
  <c r="U957" i="36" s="1"/>
  <c r="U2229" i="36"/>
  <c r="U2231" i="36" s="1"/>
  <c r="U3210" i="36"/>
  <c r="U3212" i="36" s="1"/>
  <c r="U3356" i="36"/>
  <c r="U3358" i="36" s="1"/>
  <c r="U1445" i="36"/>
  <c r="U1447" i="36" s="1"/>
  <c r="U4534" i="36"/>
  <c r="U4536" i="36" s="1"/>
  <c r="U1151" i="36"/>
  <c r="U1153" i="36" s="1"/>
  <c r="U5122" i="36"/>
  <c r="U5124" i="36" s="1"/>
  <c r="U4289" i="36"/>
  <c r="U4291" i="36" s="1"/>
  <c r="U2278" i="36"/>
  <c r="U2280" i="36" s="1"/>
  <c r="U2082" i="36"/>
  <c r="U2084" i="36" s="1"/>
  <c r="U1886" i="36"/>
  <c r="U1888" i="36" s="1"/>
  <c r="U1543" i="36"/>
  <c r="U1545" i="36" s="1"/>
  <c r="U1739" i="36"/>
  <c r="U1741" i="36" s="1"/>
  <c r="U3307" i="36"/>
  <c r="U3309" i="36" s="1"/>
  <c r="U4681" i="36"/>
  <c r="U4683" i="36" s="1"/>
  <c r="U5171" i="36"/>
  <c r="U5173" i="36" s="1"/>
  <c r="U2768" i="36"/>
  <c r="U2770" i="36" s="1"/>
  <c r="U2670" i="36"/>
  <c r="U2672" i="36" s="1"/>
  <c r="U3062" i="36"/>
  <c r="U3064" i="36" s="1"/>
  <c r="U3013" i="36"/>
  <c r="U3015" i="36" s="1"/>
  <c r="U1935" i="36"/>
  <c r="U1937" i="36" s="1"/>
  <c r="U2866" i="36"/>
  <c r="U2868" i="36" s="1"/>
  <c r="U1298" i="36"/>
  <c r="U1300" i="36" s="1"/>
  <c r="U1641" i="36"/>
  <c r="U1643" i="36" s="1"/>
  <c r="U3799" i="36"/>
  <c r="U3801" i="36" s="1"/>
  <c r="U1837" i="36"/>
  <c r="U1839" i="36" s="1"/>
  <c r="U2327" i="36"/>
  <c r="U2329" i="36" s="1"/>
  <c r="U1347" i="36"/>
  <c r="U1349" i="36" s="1"/>
  <c r="U906" i="36"/>
  <c r="U908" i="36" s="1"/>
  <c r="U3554" i="36"/>
  <c r="U3556" i="36" s="1"/>
  <c r="U4338" i="36"/>
  <c r="U4340" i="36" s="1"/>
  <c r="U4632" i="36"/>
  <c r="U4634" i="36" s="1"/>
  <c r="U3603" i="36"/>
  <c r="U3605" i="36" s="1"/>
  <c r="U3750" i="36"/>
  <c r="U3752" i="36" s="1"/>
  <c r="U1494" i="36"/>
  <c r="U1496" i="36" s="1"/>
  <c r="U1690" i="36"/>
  <c r="U1692" i="36" s="1"/>
  <c r="U4485" i="36"/>
  <c r="U4487" i="36" s="1"/>
  <c r="U3258" i="36"/>
  <c r="U3260" i="36" s="1"/>
  <c r="U2131" i="36"/>
  <c r="U2133" i="36" s="1"/>
  <c r="U857" i="36"/>
  <c r="U859" i="36" s="1"/>
  <c r="U2719" i="36"/>
  <c r="U2721" i="36" s="1"/>
  <c r="U4730" i="36"/>
  <c r="U4732" i="36" s="1"/>
  <c r="U5220" i="36"/>
  <c r="U5222" i="36" s="1"/>
  <c r="V348" i="36"/>
  <c r="V349" i="36" s="1"/>
  <c r="U365" i="36" s="1"/>
  <c r="M13" i="1" s="1"/>
  <c r="G13" i="1" s="1"/>
  <c r="C3756" i="36"/>
  <c r="D3766" i="36" s="1"/>
  <c r="E3775" i="36" s="1"/>
  <c r="F3783" i="36" s="1"/>
  <c r="J3688" i="36"/>
  <c r="J3689" i="36" s="1"/>
  <c r="G3692" i="36"/>
  <c r="H3694" i="36" s="1"/>
  <c r="I3703" i="36" s="1"/>
  <c r="C3707" i="36"/>
  <c r="D3717" i="36" s="1"/>
  <c r="E3726" i="36" s="1"/>
  <c r="F3734" i="36" s="1"/>
  <c r="V5681" i="36"/>
  <c r="V5682" i="36" s="1"/>
  <c r="V5632" i="36"/>
  <c r="V5633" i="36" s="1"/>
  <c r="U5650" i="36" s="1"/>
  <c r="F792" i="36"/>
  <c r="V5534" i="36"/>
  <c r="V5535" i="36" s="1"/>
  <c r="U5552" i="36" s="1"/>
  <c r="V5583" i="36"/>
  <c r="V5584" i="36" s="1"/>
  <c r="U5601" i="36" s="1"/>
  <c r="M21" i="1"/>
  <c r="G21" i="1" s="1"/>
  <c r="U3455" i="36"/>
  <c r="U3454" i="36"/>
  <c r="U3453" i="36"/>
  <c r="V5440" i="36"/>
  <c r="V5441" i="36" s="1"/>
  <c r="U5458" i="36" s="1"/>
  <c r="U5462" i="36" s="1"/>
  <c r="U2422" i="36"/>
  <c r="U2423" i="36"/>
  <c r="U2421" i="36"/>
  <c r="U2424" i="36"/>
  <c r="J4766" i="36"/>
  <c r="J4767" i="36" s="1"/>
  <c r="G4770" i="36"/>
  <c r="H4772" i="36" s="1"/>
  <c r="I4781" i="36" s="1"/>
  <c r="J4717" i="36"/>
  <c r="J4718" i="36" s="1"/>
  <c r="G4721" i="36"/>
  <c r="H4723" i="36" s="1"/>
  <c r="I4732" i="36" s="1"/>
  <c r="J4668" i="36"/>
  <c r="J4669" i="36" s="1"/>
  <c r="G4672" i="36"/>
  <c r="H4674" i="36" s="1"/>
  <c r="I4683" i="36" s="1"/>
  <c r="J4619" i="36"/>
  <c r="J4620" i="36" s="1"/>
  <c r="G4623" i="36"/>
  <c r="H4625" i="36" s="1"/>
  <c r="I4634" i="36" s="1"/>
  <c r="J4570" i="36"/>
  <c r="J4571" i="36" s="1"/>
  <c r="G4574" i="36"/>
  <c r="H4576" i="36" s="1"/>
  <c r="I4585" i="36" s="1"/>
  <c r="N4539" i="36"/>
  <c r="J4521" i="36"/>
  <c r="J4522" i="36" s="1"/>
  <c r="G4525" i="36"/>
  <c r="H4527" i="36" s="1"/>
  <c r="I4536" i="36" s="1"/>
  <c r="J4472" i="36"/>
  <c r="J4473" i="36" s="1"/>
  <c r="G4476" i="36"/>
  <c r="H4478" i="36" s="1"/>
  <c r="I4487" i="36" s="1"/>
  <c r="J4423" i="36"/>
  <c r="J4424" i="36" s="1"/>
  <c r="G4427" i="36"/>
  <c r="H4429" i="36" s="1"/>
  <c r="I4438" i="36" s="1"/>
  <c r="J4374" i="36"/>
  <c r="J4375" i="36" s="1"/>
  <c r="G4378" i="36"/>
  <c r="H4380" i="36" s="1"/>
  <c r="I4389" i="36" s="1"/>
  <c r="J4325" i="36"/>
  <c r="J4326" i="36" s="1"/>
  <c r="G4329" i="36"/>
  <c r="H4331" i="36" s="1"/>
  <c r="I4340" i="36" s="1"/>
  <c r="J4276" i="36"/>
  <c r="J4277" i="36" s="1"/>
  <c r="G4280" i="36"/>
  <c r="H4282" i="36" s="1"/>
  <c r="I4291" i="36" s="1"/>
  <c r="J4227" i="36"/>
  <c r="J4228" i="36" s="1"/>
  <c r="G4231" i="36"/>
  <c r="H4233" i="36" s="1"/>
  <c r="I4242" i="36" s="1"/>
  <c r="N2920" i="36"/>
  <c r="J2413" i="36"/>
  <c r="J2414" i="36" s="1"/>
  <c r="G2416" i="36"/>
  <c r="H2418" i="36" s="1"/>
  <c r="I2427" i="36" s="1"/>
  <c r="J2363" i="36"/>
  <c r="J2364" i="36" s="1"/>
  <c r="G2367" i="36"/>
  <c r="H2369" i="36" s="1"/>
  <c r="I2378" i="36" s="1"/>
  <c r="J2314" i="36"/>
  <c r="J2315" i="36" s="1"/>
  <c r="G2318" i="36"/>
  <c r="H2320" i="36" s="1"/>
  <c r="I2329" i="36" s="1"/>
  <c r="J2265" i="36"/>
  <c r="J2266" i="36" s="1"/>
  <c r="G2269" i="36"/>
  <c r="H2271" i="36" s="1"/>
  <c r="I2280" i="36" s="1"/>
  <c r="J2216" i="36"/>
  <c r="J2217" i="36" s="1"/>
  <c r="G2220" i="36"/>
  <c r="H2222" i="36" s="1"/>
  <c r="I2231" i="36" s="1"/>
  <c r="J2167" i="36"/>
  <c r="J2168" i="36" s="1"/>
  <c r="G2171" i="36"/>
  <c r="H2173" i="36" s="1"/>
  <c r="I2182" i="36" s="1"/>
  <c r="J2118" i="36"/>
  <c r="J2119" i="36" s="1"/>
  <c r="G2122" i="36"/>
  <c r="H2124" i="36" s="1"/>
  <c r="I2133" i="36" s="1"/>
  <c r="J2069" i="36"/>
  <c r="J2070" i="36" s="1"/>
  <c r="G2073" i="36"/>
  <c r="H2075" i="36" s="1"/>
  <c r="I2084" i="36" s="1"/>
  <c r="J2020" i="36"/>
  <c r="J2021" i="36" s="1"/>
  <c r="G2024" i="36"/>
  <c r="H2026" i="36" s="1"/>
  <c r="I2035" i="36" s="1"/>
  <c r="J1971" i="36"/>
  <c r="J1972" i="36" s="1"/>
  <c r="G1975" i="36"/>
  <c r="H1977" i="36" s="1"/>
  <c r="I1986" i="36" s="1"/>
  <c r="J1922" i="36"/>
  <c r="J1923" i="36" s="1"/>
  <c r="G1926" i="36"/>
  <c r="H1928" i="36" s="1"/>
  <c r="I1937" i="36" s="1"/>
  <c r="J1873" i="36"/>
  <c r="J1874" i="36" s="1"/>
  <c r="G1877" i="36"/>
  <c r="H1879" i="36" s="1"/>
  <c r="I1888" i="36" s="1"/>
  <c r="J1824" i="36"/>
  <c r="J1825" i="36" s="1"/>
  <c r="G1828" i="36"/>
  <c r="H1830" i="36" s="1"/>
  <c r="I1839" i="36" s="1"/>
  <c r="J1775" i="36"/>
  <c r="J1776" i="36" s="1"/>
  <c r="G1779" i="36"/>
  <c r="H1781" i="36" s="1"/>
  <c r="I1790" i="36" s="1"/>
  <c r="J1726" i="36"/>
  <c r="J1727" i="36" s="1"/>
  <c r="G1730" i="36"/>
  <c r="H1732" i="36" s="1"/>
  <c r="I1741" i="36" s="1"/>
  <c r="J1677" i="36"/>
  <c r="J1678" i="36" s="1"/>
  <c r="G1681" i="36"/>
  <c r="H1683" i="36" s="1"/>
  <c r="I1692" i="36" s="1"/>
  <c r="J1628" i="36"/>
  <c r="J1629" i="36" s="1"/>
  <c r="G1632" i="36"/>
  <c r="H1634" i="36" s="1"/>
  <c r="I1643" i="36" s="1"/>
  <c r="J1579" i="36"/>
  <c r="J1580" i="36" s="1"/>
  <c r="G1583" i="36"/>
  <c r="H1585" i="36" s="1"/>
  <c r="I1594" i="36" s="1"/>
  <c r="J1530" i="36"/>
  <c r="J1531" i="36" s="1"/>
  <c r="G1534" i="36"/>
  <c r="H1536" i="36" s="1"/>
  <c r="I1545" i="36" s="1"/>
  <c r="J1481" i="36"/>
  <c r="J1482" i="36" s="1"/>
  <c r="G1485" i="36"/>
  <c r="H1487" i="36" s="1"/>
  <c r="I1496" i="36" s="1"/>
  <c r="J1432" i="36"/>
  <c r="J1433" i="36" s="1"/>
  <c r="G1436" i="36"/>
  <c r="H1438" i="36" s="1"/>
  <c r="I1447" i="36" s="1"/>
  <c r="J1383" i="36"/>
  <c r="J1384" i="36" s="1"/>
  <c r="G1387" i="36"/>
  <c r="H1389" i="36" s="1"/>
  <c r="I1398" i="36" s="1"/>
  <c r="J1334" i="36"/>
  <c r="J1335" i="36" s="1"/>
  <c r="G1338" i="36"/>
  <c r="H1340" i="36" s="1"/>
  <c r="I1349" i="36" s="1"/>
  <c r="J1285" i="36"/>
  <c r="J1286" i="36" s="1"/>
  <c r="G1289" i="36"/>
  <c r="H1291" i="36" s="1"/>
  <c r="I1300" i="36" s="1"/>
  <c r="J1236" i="36"/>
  <c r="J1237" i="36" s="1"/>
  <c r="G1240" i="36"/>
  <c r="H1242" i="36" s="1"/>
  <c r="I1251" i="36" s="1"/>
  <c r="N1205" i="36"/>
  <c r="N1254" i="36" s="1"/>
  <c r="J1187" i="36"/>
  <c r="J1188" i="36" s="1"/>
  <c r="G1191" i="36"/>
  <c r="H1193" i="36" s="1"/>
  <c r="I1202" i="36" s="1"/>
  <c r="J1138" i="36"/>
  <c r="J1139" i="36" s="1"/>
  <c r="G1142" i="36"/>
  <c r="H1144" i="36" s="1"/>
  <c r="I1153" i="36" s="1"/>
  <c r="J1089" i="36"/>
  <c r="J1090" i="36" s="1"/>
  <c r="G1093" i="36"/>
  <c r="H1095" i="36" s="1"/>
  <c r="I1104" i="36" s="1"/>
  <c r="J1040" i="36"/>
  <c r="J1041" i="36" s="1"/>
  <c r="G1044" i="36"/>
  <c r="H1046" i="36" s="1"/>
  <c r="I1055" i="36" s="1"/>
  <c r="J991" i="36"/>
  <c r="J992" i="36" s="1"/>
  <c r="G995" i="36"/>
  <c r="H997" i="36" s="1"/>
  <c r="I1006" i="36" s="1"/>
  <c r="J942" i="36"/>
  <c r="J943" i="36" s="1"/>
  <c r="G946" i="36"/>
  <c r="H948" i="36" s="1"/>
  <c r="I957" i="36" s="1"/>
  <c r="J893" i="36"/>
  <c r="J894" i="36" s="1"/>
  <c r="G897" i="36"/>
  <c r="H899" i="36" s="1"/>
  <c r="I908" i="36" s="1"/>
  <c r="J844" i="36"/>
  <c r="J845" i="36" s="1"/>
  <c r="G848" i="36"/>
  <c r="H850" i="36" s="1"/>
  <c r="I859" i="36" s="1"/>
  <c r="U5024" i="36"/>
  <c r="U5026" i="36" s="1"/>
  <c r="U5073" i="36"/>
  <c r="U5075" i="36" s="1"/>
  <c r="U276" i="36"/>
  <c r="U278" i="36" s="1"/>
  <c r="C22" i="1"/>
  <c r="AE4945" i="36"/>
  <c r="V4950" i="36"/>
  <c r="V4951" i="36" s="1"/>
  <c r="V4166" i="36"/>
  <c r="V4167" i="36" s="1"/>
  <c r="U4184" i="36" s="1"/>
  <c r="AE4161" i="36"/>
  <c r="H703" i="36"/>
  <c r="I761" i="36"/>
  <c r="J4129" i="36"/>
  <c r="J4130" i="36" s="1"/>
  <c r="G4133" i="36"/>
  <c r="U4037" i="36"/>
  <c r="U4040" i="36" s="1"/>
  <c r="AE4063" i="36"/>
  <c r="V4068" i="36"/>
  <c r="V4069" i="36" s="1"/>
  <c r="V3965" i="36"/>
  <c r="U2522" i="36"/>
  <c r="U2520" i="36"/>
  <c r="U2519" i="36"/>
  <c r="U3939" i="36"/>
  <c r="U3942" i="36" s="1"/>
  <c r="U4142" i="36"/>
  <c r="U4144" i="36" s="1"/>
  <c r="U3897" i="36"/>
  <c r="U3899" i="36" s="1"/>
  <c r="U808" i="36"/>
  <c r="U810" i="36" s="1"/>
  <c r="U710" i="36"/>
  <c r="U712" i="36" s="1"/>
  <c r="Q362" i="35"/>
  <c r="O362" i="35"/>
  <c r="U612" i="36"/>
  <c r="U614" i="36" s="1"/>
  <c r="N20" i="1" s="1"/>
  <c r="G10" i="1"/>
  <c r="U561" i="36"/>
  <c r="U562" i="36"/>
  <c r="U563" i="36"/>
  <c r="U560" i="36"/>
  <c r="M19" i="1"/>
  <c r="U2474" i="36"/>
  <c r="U2476" i="36" s="1"/>
  <c r="G20" i="1"/>
  <c r="U661" i="36"/>
  <c r="U663" i="36" s="1"/>
  <c r="N21" i="1" s="1"/>
  <c r="U228" i="36"/>
  <c r="U230" i="36" s="1"/>
  <c r="N10" i="1" s="1"/>
  <c r="U759" i="36"/>
  <c r="U761" i="36" s="1"/>
  <c r="U4926" i="36" l="1"/>
  <c r="U4928" i="36" s="1"/>
  <c r="U5748" i="36"/>
  <c r="G15" i="1"/>
  <c r="H15" i="1" s="1"/>
  <c r="K15" i="1"/>
  <c r="U466" i="36"/>
  <c r="U464" i="36"/>
  <c r="U465" i="36"/>
  <c r="U467" i="36"/>
  <c r="U413" i="36"/>
  <c r="M14" i="1" s="1"/>
  <c r="U370" i="36"/>
  <c r="U369" i="36"/>
  <c r="U368" i="36"/>
  <c r="U371" i="36"/>
  <c r="J3786" i="36"/>
  <c r="J3787" i="36" s="1"/>
  <c r="G3790" i="36"/>
  <c r="H3792" i="36" s="1"/>
  <c r="I3801" i="36" s="1"/>
  <c r="J3737" i="36"/>
  <c r="J3738" i="36" s="1"/>
  <c r="G3741" i="36"/>
  <c r="H3743" i="36" s="1"/>
  <c r="I3752" i="36" s="1"/>
  <c r="U5699" i="36"/>
  <c r="U5654" i="36"/>
  <c r="U5655" i="36"/>
  <c r="U5653" i="36"/>
  <c r="U5656" i="36"/>
  <c r="G799" i="36"/>
  <c r="J795" i="36"/>
  <c r="J796" i="36" s="1"/>
  <c r="U5606" i="36"/>
  <c r="U5604" i="36"/>
  <c r="U5605" i="36"/>
  <c r="U5607" i="36"/>
  <c r="U5557" i="36"/>
  <c r="U5555" i="36"/>
  <c r="U5558" i="36"/>
  <c r="U5556" i="36"/>
  <c r="U3456" i="36"/>
  <c r="U3458" i="36" s="1"/>
  <c r="U5464" i="36"/>
  <c r="U5461" i="36"/>
  <c r="U5463" i="36"/>
  <c r="U2425" i="36"/>
  <c r="U2427" i="36" s="1"/>
  <c r="N4588" i="36"/>
  <c r="N2969" i="36"/>
  <c r="N1303" i="36"/>
  <c r="N1352" i="36" s="1"/>
  <c r="C23" i="1"/>
  <c r="M23" i="1" s="1"/>
  <c r="U4968" i="36"/>
  <c r="U4188" i="36"/>
  <c r="U4189" i="36"/>
  <c r="U4187" i="36"/>
  <c r="U4190" i="36"/>
  <c r="I712" i="36"/>
  <c r="M12" i="1"/>
  <c r="M22" i="1"/>
  <c r="H4135" i="36"/>
  <c r="U4043" i="36"/>
  <c r="U4041" i="36"/>
  <c r="U4042" i="36"/>
  <c r="U4086" i="36"/>
  <c r="U4089" i="36" s="1"/>
  <c r="AE3965" i="36"/>
  <c r="V3970" i="36"/>
  <c r="V3971" i="36" s="1"/>
  <c r="U2523" i="36"/>
  <c r="U2525" i="36" s="1"/>
  <c r="U3945" i="36"/>
  <c r="U3944" i="36"/>
  <c r="U3943" i="36"/>
  <c r="G19" i="1"/>
  <c r="U564" i="36"/>
  <c r="U566" i="36" s="1"/>
  <c r="N19" i="1" s="1"/>
  <c r="U5752" i="36" l="1"/>
  <c r="U5753" i="36"/>
  <c r="U5751" i="36"/>
  <c r="U5754" i="36"/>
  <c r="G14" i="1"/>
  <c r="H14" i="1" s="1"/>
  <c r="K14" i="1"/>
  <c r="U468" i="36"/>
  <c r="U470" i="36" s="1"/>
  <c r="N15" i="1" s="1"/>
  <c r="L15" i="1" s="1"/>
  <c r="U417" i="36"/>
  <c r="U418" i="36"/>
  <c r="U416" i="36"/>
  <c r="U419" i="36"/>
  <c r="U372" i="36"/>
  <c r="U374" i="36" s="1"/>
  <c r="N13" i="1" s="1"/>
  <c r="U5704" i="36"/>
  <c r="U5702" i="36"/>
  <c r="U5705" i="36"/>
  <c r="U5703" i="36"/>
  <c r="U5657" i="36"/>
  <c r="U5659" i="36" s="1"/>
  <c r="H801" i="36"/>
  <c r="U5608" i="36"/>
  <c r="U5610" i="36" s="1"/>
  <c r="U5559" i="36"/>
  <c r="U5561" i="36" s="1"/>
  <c r="N22" i="1"/>
  <c r="U5465" i="36"/>
  <c r="U5467" i="36" s="1"/>
  <c r="N4637" i="36"/>
  <c r="N3018" i="36"/>
  <c r="N1401" i="36"/>
  <c r="N1450" i="36" s="1"/>
  <c r="N23" i="1"/>
  <c r="C24" i="1"/>
  <c r="U4973" i="36"/>
  <c r="U4971" i="36"/>
  <c r="U4974" i="36"/>
  <c r="U4972" i="36"/>
  <c r="U4191" i="36"/>
  <c r="U4193" i="36" s="1"/>
  <c r="G22" i="1"/>
  <c r="G12" i="1"/>
  <c r="G23" i="1"/>
  <c r="I4144" i="36"/>
  <c r="N12" i="1" s="1"/>
  <c r="M11" i="1"/>
  <c r="U4044" i="36"/>
  <c r="U4046" i="36" s="1"/>
  <c r="U4092" i="36"/>
  <c r="U4091" i="36"/>
  <c r="U4090" i="36"/>
  <c r="U3988" i="36"/>
  <c r="U3946" i="36"/>
  <c r="U3948" i="36" s="1"/>
  <c r="U5755" i="36" l="1"/>
  <c r="U5757" i="36" s="1"/>
  <c r="U420" i="36"/>
  <c r="U422" i="36" s="1"/>
  <c r="N14" i="1" s="1"/>
  <c r="L14" i="1" s="1"/>
  <c r="U5706" i="36"/>
  <c r="U5708" i="36" s="1"/>
  <c r="I810" i="36"/>
  <c r="N4686" i="36"/>
  <c r="N3067" i="36"/>
  <c r="N1499" i="36"/>
  <c r="N1548" i="36" s="1"/>
  <c r="C25" i="1"/>
  <c r="M24" i="1"/>
  <c r="G24" i="1" s="1"/>
  <c r="U4975" i="36"/>
  <c r="U4977" i="36" s="1"/>
  <c r="N11" i="1"/>
  <c r="G11" i="1"/>
  <c r="U4093" i="36"/>
  <c r="U4095" i="36" s="1"/>
  <c r="U3994" i="36"/>
  <c r="U3992" i="36"/>
  <c r="U3993" i="36"/>
  <c r="U3991" i="36"/>
  <c r="N24" i="1" l="1"/>
  <c r="N4735" i="36"/>
  <c r="N4784" i="36" s="1"/>
  <c r="N3116" i="36"/>
  <c r="N1597" i="36"/>
  <c r="N1646" i="36" s="1"/>
  <c r="N25" i="1"/>
  <c r="M25" i="1"/>
  <c r="G25" i="1" s="1"/>
  <c r="C26" i="1"/>
  <c r="U3995" i="36"/>
  <c r="U3997" i="36" s="1"/>
  <c r="N4833" i="36" l="1"/>
  <c r="N4882" i="36" s="1"/>
  <c r="N3165" i="36"/>
  <c r="N1695" i="36"/>
  <c r="N1744" i="36" s="1"/>
  <c r="C27" i="1"/>
  <c r="M26" i="1"/>
  <c r="G26" i="1" s="1"/>
  <c r="N26" i="1"/>
  <c r="N3215" i="36" l="1"/>
  <c r="N1793" i="36"/>
  <c r="N1842" i="36" s="1"/>
  <c r="C28" i="1"/>
  <c r="M27" i="1"/>
  <c r="G27" i="1" s="1"/>
  <c r="N27" i="1"/>
  <c r="N3263" i="36" l="1"/>
  <c r="N1891" i="36"/>
  <c r="N1940" i="36" s="1"/>
  <c r="C29" i="1"/>
  <c r="M28" i="1"/>
  <c r="G28" i="1" s="1"/>
  <c r="N28" i="1"/>
  <c r="N3312" i="36" l="1"/>
  <c r="N1989" i="36"/>
  <c r="N2038" i="36" s="1"/>
  <c r="M29" i="1"/>
  <c r="G29" i="1" s="1"/>
  <c r="C30" i="1"/>
  <c r="N29" i="1"/>
  <c r="N3361" i="36" l="1"/>
  <c r="N2087" i="36"/>
  <c r="N2136" i="36" s="1"/>
  <c r="N30" i="1"/>
  <c r="M30" i="1"/>
  <c r="G30" i="1" s="1"/>
  <c r="C31" i="1"/>
  <c r="N3410" i="36" l="1"/>
  <c r="N3461" i="36" s="1"/>
  <c r="N3510" i="36" s="1"/>
  <c r="N3559" i="36" s="1"/>
  <c r="N3608" i="36" s="1"/>
  <c r="N3657" i="36" s="1"/>
  <c r="N3706" i="36" s="1"/>
  <c r="N2185" i="36"/>
  <c r="N2234" i="36" s="1"/>
  <c r="N31" i="1"/>
  <c r="M31" i="1"/>
  <c r="G31" i="1" s="1"/>
  <c r="C32" i="1"/>
  <c r="N3755" i="36" l="1"/>
  <c r="N2283" i="36"/>
  <c r="N2332" i="36" s="1"/>
  <c r="N32" i="1"/>
  <c r="M32" i="1"/>
  <c r="G32" i="1" s="1"/>
  <c r="C33" i="1"/>
  <c r="N2381" i="36" l="1"/>
  <c r="I323" i="35" s="1"/>
  <c r="K323" i="35" s="1"/>
  <c r="I312" i="35"/>
  <c r="K312" i="35" s="1"/>
  <c r="I320" i="35"/>
  <c r="K320" i="35" s="1"/>
  <c r="N33" i="1"/>
  <c r="M33" i="1"/>
  <c r="G33" i="1" s="1"/>
  <c r="C34" i="1"/>
  <c r="I315" i="35" l="1"/>
  <c r="K315" i="35" s="1"/>
  <c r="I322" i="35"/>
  <c r="K322" i="35" s="1"/>
  <c r="I316" i="35"/>
  <c r="K316" i="35" s="1"/>
  <c r="I319" i="35"/>
  <c r="K319" i="35" s="1"/>
  <c r="I314" i="35"/>
  <c r="K314" i="35" s="1"/>
  <c r="O320" i="35"/>
  <c r="Q320" i="35"/>
  <c r="O323" i="35"/>
  <c r="Q323" i="35"/>
  <c r="O312" i="35"/>
  <c r="Q312" i="35"/>
  <c r="N34" i="1"/>
  <c r="M34" i="1"/>
  <c r="G34" i="1" s="1"/>
  <c r="C35" i="1"/>
  <c r="O316" i="35" l="1"/>
  <c r="Q316" i="35"/>
  <c r="O322" i="35"/>
  <c r="Q322" i="35"/>
  <c r="Q314" i="35"/>
  <c r="O314" i="35"/>
  <c r="Q315" i="35"/>
  <c r="O315" i="35"/>
  <c r="O319" i="35"/>
  <c r="Q319" i="35"/>
  <c r="N35" i="1"/>
  <c r="M35" i="1"/>
  <c r="G35" i="1" s="1"/>
  <c r="C36" i="1"/>
  <c r="C37" i="1" l="1"/>
  <c r="M36" i="1"/>
  <c r="G36" i="1" s="1"/>
  <c r="N36" i="1"/>
  <c r="M37" i="1" l="1"/>
  <c r="G37" i="1" s="1"/>
  <c r="N37" i="1"/>
  <c r="C38" i="1"/>
  <c r="C39" i="1" l="1"/>
  <c r="N38" i="1"/>
  <c r="M38" i="1"/>
  <c r="G38" i="1" s="1"/>
  <c r="C40" i="1" l="1"/>
  <c r="N39" i="1"/>
  <c r="M39" i="1"/>
  <c r="G39" i="1" s="1"/>
  <c r="N40" i="1" l="1"/>
  <c r="M40" i="1"/>
  <c r="G40" i="1" s="1"/>
  <c r="C41" i="1"/>
  <c r="I13" i="43"/>
  <c r="C42" i="1" l="1"/>
  <c r="N41" i="1"/>
  <c r="M41" i="1"/>
  <c r="G41" i="1" s="1"/>
  <c r="N42" i="1" l="1"/>
  <c r="M42" i="1"/>
  <c r="G42" i="1" s="1"/>
  <c r="C43" i="1"/>
  <c r="N43" i="1" l="1"/>
  <c r="M43" i="1"/>
  <c r="G43" i="1" s="1"/>
  <c r="C44" i="1"/>
  <c r="N44" i="1" l="1"/>
  <c r="M44" i="1"/>
  <c r="G44" i="1" s="1"/>
  <c r="C45" i="1"/>
  <c r="J345" i="35"/>
  <c r="K345" i="35" s="1"/>
  <c r="C46" i="1" l="1"/>
  <c r="N45" i="1"/>
  <c r="M45" i="1"/>
  <c r="G45" i="1" s="1"/>
  <c r="Q345" i="35"/>
  <c r="O345" i="35"/>
  <c r="C47" i="1" l="1"/>
  <c r="M46" i="1"/>
  <c r="G46" i="1" s="1"/>
  <c r="N46" i="1"/>
  <c r="J343" i="35"/>
  <c r="K343" i="35" s="1"/>
  <c r="N47" i="1" l="1"/>
  <c r="C48" i="1"/>
  <c r="M47" i="1"/>
  <c r="G47" i="1" s="1"/>
  <c r="Q343" i="35"/>
  <c r="O343" i="35"/>
  <c r="N48" i="1" l="1"/>
  <c r="M48" i="1"/>
  <c r="G48" i="1" s="1"/>
  <c r="C49" i="1"/>
  <c r="M49" i="1" l="1"/>
  <c r="G49" i="1" s="1"/>
  <c r="C50" i="1"/>
  <c r="N49" i="1"/>
  <c r="M50" i="1" l="1"/>
  <c r="G50" i="1" s="1"/>
  <c r="N50" i="1"/>
  <c r="C51" i="1"/>
  <c r="C52" i="1" l="1"/>
  <c r="N51" i="1"/>
  <c r="M51" i="1"/>
  <c r="G51" i="1" s="1"/>
  <c r="M52" i="1" l="1"/>
  <c r="G52" i="1" s="1"/>
  <c r="C53" i="1"/>
  <c r="N52" i="1"/>
  <c r="M53" i="1" l="1"/>
  <c r="G53" i="1" s="1"/>
  <c r="C54" i="1"/>
  <c r="N53" i="1"/>
  <c r="C55" i="1" l="1"/>
  <c r="M54" i="1"/>
  <c r="G54" i="1" s="1"/>
  <c r="N54" i="1"/>
  <c r="C56" i="1" l="1"/>
  <c r="M55" i="1"/>
  <c r="G55" i="1" s="1"/>
  <c r="N55" i="1"/>
  <c r="N56" i="1" l="1"/>
  <c r="C57" i="1"/>
  <c r="B59" i="1" s="1"/>
  <c r="M56" i="1"/>
  <c r="G56" i="1" s="1"/>
  <c r="C59" i="1" l="1"/>
  <c r="C60" i="1"/>
  <c r="M57" i="1"/>
  <c r="G57" i="1" s="1"/>
  <c r="N57" i="1"/>
  <c r="F53" i="34" l="1"/>
  <c r="F25" i="34"/>
  <c r="F14" i="34"/>
  <c r="K14" i="34" s="1"/>
  <c r="F72" i="34"/>
  <c r="K72" i="34" s="1"/>
  <c r="F27" i="34"/>
  <c r="K27" i="34" s="1"/>
  <c r="F42" i="34"/>
  <c r="K42" i="34" s="1"/>
  <c r="F10" i="34"/>
  <c r="K10" i="34" s="1"/>
  <c r="K20" i="34" s="1"/>
  <c r="F83" i="34"/>
  <c r="L83" i="34" s="1"/>
  <c r="F48" i="34"/>
  <c r="L48" i="34" s="1"/>
  <c r="L55" i="34" s="1"/>
  <c r="F51" i="34"/>
  <c r="K51" i="34" s="1"/>
  <c r="F60" i="34"/>
  <c r="K60" i="34" s="1"/>
  <c r="F86" i="34"/>
  <c r="F32" i="34"/>
  <c r="K32" i="34" s="1"/>
  <c r="F16" i="34"/>
  <c r="L16" i="34" s="1"/>
  <c r="F71" i="34"/>
  <c r="L71" i="34" s="1"/>
  <c r="F40" i="34"/>
  <c r="L40" i="34" s="1"/>
  <c r="F50" i="34"/>
  <c r="K50" i="34" s="1"/>
  <c r="F12" i="34"/>
  <c r="K12" i="34" s="1"/>
  <c r="F26" i="34"/>
  <c r="K26" i="34" s="1"/>
  <c r="F79" i="34"/>
  <c r="L79" i="34" s="1"/>
  <c r="F88" i="34"/>
  <c r="L88" i="34" s="1"/>
  <c r="F76" i="34"/>
  <c r="K76" i="34" s="1"/>
  <c r="F35" i="34"/>
  <c r="K35" i="34" s="1"/>
  <c r="F58" i="34"/>
  <c r="K58" i="34" s="1"/>
  <c r="F36" i="34"/>
  <c r="L36" i="34" s="1"/>
  <c r="F62" i="34"/>
  <c r="K62" i="34" s="1"/>
  <c r="F13" i="34"/>
  <c r="L13" i="34" s="1"/>
  <c r="F38" i="34"/>
  <c r="L38" i="34" s="1"/>
  <c r="F59" i="34"/>
  <c r="L59" i="34" s="1"/>
  <c r="F84" i="34"/>
  <c r="L84" i="34" s="1"/>
  <c r="F15" i="34"/>
  <c r="L15" i="34" s="1"/>
  <c r="F44" i="34"/>
  <c r="K44" i="34" s="1"/>
  <c r="F43" i="34"/>
  <c r="K43" i="34" s="1"/>
  <c r="F80" i="34"/>
  <c r="L80" i="34" s="1"/>
  <c r="F18" i="34"/>
  <c r="K18" i="34" s="1"/>
  <c r="F78" i="34"/>
  <c r="L78" i="34" s="1"/>
  <c r="F17" i="34"/>
  <c r="L17" i="34" s="1"/>
  <c r="M60" i="1"/>
  <c r="C61" i="1"/>
  <c r="N60" i="1"/>
  <c r="F68" i="34"/>
  <c r="F61" i="34"/>
  <c r="D82" i="34"/>
  <c r="D81" i="34"/>
  <c r="D40" i="42"/>
  <c r="F82" i="34"/>
  <c r="D60" i="34"/>
  <c r="G36" i="34"/>
  <c r="F31" i="34"/>
  <c r="D31" i="34"/>
  <c r="D34" i="42"/>
  <c r="G68" i="34"/>
  <c r="C10" i="42"/>
  <c r="L10" i="42" s="1"/>
  <c r="D27" i="34"/>
  <c r="D15" i="34"/>
  <c r="D43" i="34"/>
  <c r="C53" i="42"/>
  <c r="L53" i="42" s="1"/>
  <c r="C62" i="42"/>
  <c r="L62" i="42" s="1"/>
  <c r="G73" i="34"/>
  <c r="E31" i="42"/>
  <c r="H31" i="42" s="1"/>
  <c r="I31" i="42" s="1"/>
  <c r="D28" i="42"/>
  <c r="F39" i="34"/>
  <c r="D67" i="34"/>
  <c r="C90" i="34" s="1"/>
  <c r="C64" i="42"/>
  <c r="L64" i="42" s="1"/>
  <c r="E64" i="42"/>
  <c r="H64" i="42" s="1"/>
  <c r="I64" i="42" s="1"/>
  <c r="F64" i="34"/>
  <c r="F41" i="34"/>
  <c r="E13" i="34"/>
  <c r="D84" i="34"/>
  <c r="D13" i="34"/>
  <c r="D35" i="34"/>
  <c r="F34" i="34"/>
  <c r="D73" i="42"/>
  <c r="F75" i="34"/>
  <c r="E42" i="34"/>
  <c r="C55" i="42"/>
  <c r="L55" i="42" s="1"/>
  <c r="D31" i="42"/>
  <c r="C71" i="42"/>
  <c r="L71" i="42" s="1"/>
  <c r="D42" i="34"/>
  <c r="G43" i="34"/>
  <c r="E28" i="42"/>
  <c r="H28" i="42" s="1"/>
  <c r="I28" i="42" s="1"/>
  <c r="E38" i="34"/>
  <c r="E51" i="34"/>
  <c r="C76" i="42"/>
  <c r="L76" i="42" s="1"/>
  <c r="E18" i="34"/>
  <c r="D62" i="42"/>
  <c r="D64" i="42"/>
  <c r="F63" i="34"/>
  <c r="C50" i="42"/>
  <c r="L50" i="42" s="1"/>
  <c r="C22" i="42"/>
  <c r="L22" i="42" s="1"/>
  <c r="E75" i="42"/>
  <c r="H75" i="42" s="1"/>
  <c r="I75" i="42" s="1"/>
  <c r="C20" i="42"/>
  <c r="L20" i="42" s="1"/>
  <c r="C28" i="42"/>
  <c r="L28" i="42" s="1"/>
  <c r="F57" i="34"/>
  <c r="F33" i="34"/>
  <c r="D59" i="42"/>
  <c r="D47" i="34"/>
  <c r="C55" i="34" s="1"/>
  <c r="D39" i="34"/>
  <c r="D11" i="34"/>
  <c r="E13" i="42"/>
  <c r="H13" i="42" s="1"/>
  <c r="I13" i="42" s="1"/>
  <c r="C21" i="42"/>
  <c r="L21" i="42" s="1"/>
  <c r="E73" i="42"/>
  <c r="H73" i="42" s="1"/>
  <c r="I73" i="42" s="1"/>
  <c r="G26" i="34"/>
  <c r="H26" i="34" s="1"/>
  <c r="F87" i="34"/>
  <c r="D64" i="34"/>
  <c r="G80" i="34"/>
  <c r="E82" i="34"/>
  <c r="D85" i="34"/>
  <c r="E63" i="34"/>
  <c r="E10" i="34"/>
  <c r="E70" i="34"/>
  <c r="D41" i="34"/>
  <c r="G86" i="34"/>
  <c r="D72" i="42"/>
  <c r="D18" i="42"/>
  <c r="C30" i="42"/>
  <c r="L30" i="42" s="1"/>
  <c r="E48" i="42"/>
  <c r="H48" i="42" s="1"/>
  <c r="I48" i="42" s="1"/>
  <c r="C40" i="42"/>
  <c r="L40" i="42" s="1"/>
  <c r="D50" i="34"/>
  <c r="F73" i="34"/>
  <c r="E72" i="42"/>
  <c r="H72" i="42" s="1"/>
  <c r="I72" i="42" s="1"/>
  <c r="E27" i="42"/>
  <c r="H27" i="42" s="1"/>
  <c r="I27" i="42" s="1"/>
  <c r="C12" i="42"/>
  <c r="L12" i="42" s="1"/>
  <c r="F74" i="34"/>
  <c r="C31" i="42"/>
  <c r="L31" i="42" s="1"/>
  <c r="G18" i="34"/>
  <c r="D74" i="34"/>
  <c r="D66" i="42"/>
  <c r="F11" i="34"/>
  <c r="C68" i="42"/>
  <c r="L68" i="42" s="1"/>
  <c r="D69" i="34"/>
  <c r="E20" i="42"/>
  <c r="H20" i="42" s="1"/>
  <c r="I20" i="42" s="1"/>
  <c r="G58" i="34"/>
  <c r="D61" i="42"/>
  <c r="C67" i="42"/>
  <c r="L67" i="42" s="1"/>
  <c r="E62" i="42"/>
  <c r="H62" i="42" s="1"/>
  <c r="I62" i="42" s="1"/>
  <c r="G63" i="34"/>
  <c r="E14" i="42"/>
  <c r="H14" i="42" s="1"/>
  <c r="I14" i="42" s="1"/>
  <c r="E52" i="34"/>
  <c r="G49" i="34"/>
  <c r="C66" i="42"/>
  <c r="L66" i="42" s="1"/>
  <c r="G51" i="34"/>
  <c r="F52" i="34"/>
  <c r="D44" i="34"/>
  <c r="G82" i="34"/>
  <c r="D22" i="42"/>
  <c r="G79" i="34"/>
  <c r="D17" i="34"/>
  <c r="D22" i="34"/>
  <c r="E69" i="42"/>
  <c r="H69" i="42" s="1"/>
  <c r="I69" i="42" s="1"/>
  <c r="D70" i="42"/>
  <c r="D75" i="42"/>
  <c r="G39" i="34"/>
  <c r="D8" i="42"/>
  <c r="E74" i="42"/>
  <c r="H74" i="42" s="1"/>
  <c r="I74" i="42" s="1"/>
  <c r="F81" i="34"/>
  <c r="E34" i="42"/>
  <c r="H34" i="42" s="1"/>
  <c r="I34" i="42" s="1"/>
  <c r="E52" i="42"/>
  <c r="H52" i="42" s="1"/>
  <c r="I52" i="42" s="1"/>
  <c r="D32" i="34"/>
  <c r="E43" i="34"/>
  <c r="C25" i="42"/>
  <c r="L25" i="42" s="1"/>
  <c r="E72" i="34"/>
  <c r="E11" i="34"/>
  <c r="G83" i="34"/>
  <c r="D30" i="42"/>
  <c r="F69" i="34"/>
  <c r="D58" i="42"/>
  <c r="D75" i="34"/>
  <c r="F77" i="34"/>
  <c r="E10" i="42"/>
  <c r="H10" i="42" s="1"/>
  <c r="I10" i="42" s="1"/>
  <c r="F70" i="34"/>
  <c r="E60" i="42"/>
  <c r="H60" i="42" s="1"/>
  <c r="I60" i="42" s="1"/>
  <c r="C70" i="42"/>
  <c r="L70" i="42" s="1"/>
  <c r="C44" i="42"/>
  <c r="L44" i="42" s="1"/>
  <c r="D72" i="34"/>
  <c r="F37" i="34"/>
  <c r="F85" i="34"/>
  <c r="C43" i="42"/>
  <c r="L43" i="42" s="1"/>
  <c r="D63" i="34"/>
  <c r="C23" i="42"/>
  <c r="L23" i="42" s="1"/>
  <c r="F49" i="34"/>
  <c r="G72" i="34"/>
  <c r="L25" i="34"/>
  <c r="K25" i="34"/>
  <c r="K53" i="34"/>
  <c r="L53" i="34"/>
  <c r="L14" i="34" l="1"/>
  <c r="L72" i="34"/>
  <c r="K83" i="34"/>
  <c r="H72" i="34"/>
  <c r="L35" i="34"/>
  <c r="H83" i="34"/>
  <c r="L42" i="34"/>
  <c r="K36" i="34"/>
  <c r="L51" i="34"/>
  <c r="L43" i="34"/>
  <c r="L50" i="34"/>
  <c r="H51" i="34"/>
  <c r="K17" i="34"/>
  <c r="L12" i="34"/>
  <c r="K16" i="34"/>
  <c r="L10" i="34"/>
  <c r="L20" i="34" s="1"/>
  <c r="L62" i="34"/>
  <c r="L76" i="34"/>
  <c r="K84" i="34"/>
  <c r="K80" i="34"/>
  <c r="L60" i="34"/>
  <c r="H80" i="34"/>
  <c r="K15" i="34"/>
  <c r="H58" i="34"/>
  <c r="L27" i="34"/>
  <c r="K40" i="34"/>
  <c r="L58" i="34"/>
  <c r="H86" i="34"/>
  <c r="K79" i="34"/>
  <c r="K48" i="34"/>
  <c r="K55" i="34" s="1"/>
  <c r="K59" i="34"/>
  <c r="K88" i="34"/>
  <c r="L32" i="34"/>
  <c r="L26" i="34"/>
  <c r="K13" i="34"/>
  <c r="L18" i="34"/>
  <c r="K71" i="34"/>
  <c r="H36" i="34"/>
  <c r="H79" i="34"/>
  <c r="K78" i="34"/>
  <c r="L44" i="34"/>
  <c r="K38" i="34"/>
  <c r="H18" i="34"/>
  <c r="H43" i="34"/>
  <c r="K73" i="34"/>
  <c r="H73" i="34"/>
  <c r="L73" i="34"/>
  <c r="L64" i="34"/>
  <c r="K64" i="34"/>
  <c r="L87" i="34"/>
  <c r="K87" i="34"/>
  <c r="K63" i="34"/>
  <c r="L63" i="34"/>
  <c r="H63" i="34"/>
  <c r="K52" i="34"/>
  <c r="L52" i="34"/>
  <c r="L57" i="34"/>
  <c r="L66" i="34" s="1"/>
  <c r="K57" i="34"/>
  <c r="K66" i="34" s="1"/>
  <c r="L34" i="34"/>
  <c r="K34" i="34"/>
  <c r="H39" i="34"/>
  <c r="K39" i="34"/>
  <c r="L39" i="34"/>
  <c r="L74" i="34"/>
  <c r="K74" i="34"/>
  <c r="K33" i="34"/>
  <c r="L33" i="34"/>
  <c r="L49" i="34"/>
  <c r="H49" i="34"/>
  <c r="K49" i="34"/>
  <c r="L85" i="34"/>
  <c r="K85" i="34"/>
  <c r="L77" i="34"/>
  <c r="K77" i="34"/>
  <c r="L11" i="34"/>
  <c r="K11" i="34"/>
  <c r="K31" i="34"/>
  <c r="K46" i="34" s="1"/>
  <c r="L31" i="34"/>
  <c r="L46" i="34" s="1"/>
  <c r="H82" i="34"/>
  <c r="K82" i="34"/>
  <c r="L82" i="34"/>
  <c r="K61" i="34"/>
  <c r="L61" i="34"/>
  <c r="K70" i="34"/>
  <c r="L70" i="34"/>
  <c r="K37" i="34"/>
  <c r="L37" i="34"/>
  <c r="K69" i="34"/>
  <c r="L69" i="34"/>
  <c r="K81" i="34"/>
  <c r="L81" i="34"/>
  <c r="L75" i="34"/>
  <c r="K75" i="34"/>
  <c r="L41" i="34"/>
  <c r="K41" i="34"/>
  <c r="H68" i="34"/>
  <c r="H90" i="34" s="1"/>
  <c r="K68" i="34"/>
  <c r="K90" i="34" s="1"/>
  <c r="L68" i="34"/>
  <c r="L90" i="34" s="1"/>
  <c r="M61" i="1"/>
  <c r="G61" i="1" s="1"/>
  <c r="C62" i="1"/>
  <c r="N61" i="1"/>
  <c r="C63" i="1" l="1"/>
  <c r="C64" i="1" s="1"/>
  <c r="M62" i="1"/>
  <c r="N62" i="1"/>
  <c r="M64" i="1" l="1"/>
  <c r="G64" i="1" s="1"/>
  <c r="N64" i="1"/>
  <c r="C65" i="1"/>
  <c r="M63" i="1"/>
  <c r="N63" i="1"/>
  <c r="M65" i="1" l="1"/>
  <c r="G65" i="1" s="1"/>
  <c r="N65" i="1"/>
  <c r="C66" i="1"/>
  <c r="C67" i="1" l="1"/>
  <c r="N66" i="1"/>
  <c r="M66" i="1"/>
  <c r="G66" i="1" s="1"/>
  <c r="N67" i="1" l="1"/>
  <c r="C68" i="1"/>
  <c r="M67" i="1"/>
  <c r="G67" i="1" s="1"/>
  <c r="C69" i="1" l="1"/>
  <c r="M68" i="1"/>
  <c r="G68" i="1" s="1"/>
  <c r="N68" i="1"/>
  <c r="C70" i="1" l="1"/>
  <c r="N69" i="1"/>
  <c r="M69" i="1"/>
  <c r="G69" i="1" s="1"/>
  <c r="M70" i="1" l="1"/>
  <c r="G70" i="1" s="1"/>
  <c r="C71" i="1"/>
  <c r="N70" i="1"/>
  <c r="M71" i="1" l="1"/>
  <c r="G71" i="1" s="1"/>
  <c r="C72" i="1"/>
  <c r="N71" i="1"/>
  <c r="C73" i="1" l="1"/>
  <c r="N72" i="1"/>
  <c r="M72" i="1"/>
  <c r="G72" i="1" s="1"/>
  <c r="M73" i="1" l="1"/>
  <c r="G73" i="1" s="1"/>
  <c r="N73" i="1"/>
  <c r="C74" i="1"/>
  <c r="C75" i="1" l="1"/>
  <c r="N74" i="1"/>
  <c r="M74" i="1"/>
  <c r="G74" i="1" s="1"/>
  <c r="C76" i="1" l="1"/>
  <c r="M75" i="1"/>
  <c r="G75" i="1" s="1"/>
  <c r="N75" i="1"/>
  <c r="N76" i="1" l="1"/>
  <c r="M76" i="1"/>
  <c r="G76" i="1" s="1"/>
  <c r="C77" i="1"/>
  <c r="M77" i="1" l="1"/>
  <c r="G77" i="1" s="1"/>
  <c r="N77" i="1"/>
  <c r="C78" i="1"/>
  <c r="M78" i="1" l="1"/>
  <c r="G78" i="1" s="1"/>
  <c r="C79" i="1"/>
  <c r="N78" i="1"/>
  <c r="C80" i="1" l="1"/>
  <c r="C81" i="1" s="1"/>
  <c r="M79" i="1"/>
  <c r="G79" i="1" s="1"/>
  <c r="N79" i="1"/>
  <c r="E81" i="1" l="1"/>
  <c r="V3462" i="36" s="1"/>
  <c r="D81" i="1"/>
  <c r="N81" i="1"/>
  <c r="M81" i="1"/>
  <c r="G81" i="1" s="1"/>
  <c r="C82" i="1"/>
  <c r="M80" i="1"/>
  <c r="G80" i="1" s="1"/>
  <c r="N80" i="1"/>
  <c r="V81" i="1" l="1"/>
  <c r="O3462" i="36"/>
  <c r="C83" i="1"/>
  <c r="D82" i="1"/>
  <c r="O3511" i="36" s="1"/>
  <c r="E82" i="1"/>
  <c r="V3511" i="36" s="1"/>
  <c r="M82" i="1"/>
  <c r="G82" i="1" s="1"/>
  <c r="N82" i="1"/>
  <c r="V82" i="1" l="1"/>
  <c r="N83" i="1"/>
  <c r="C84" i="1"/>
  <c r="D83" i="1"/>
  <c r="E83" i="1"/>
  <c r="V3560" i="36" s="1"/>
  <c r="M83" i="1"/>
  <c r="G83" i="1" s="1"/>
  <c r="V83" i="1" l="1"/>
  <c r="O3560" i="36"/>
  <c r="N84" i="1"/>
  <c r="C85" i="1"/>
  <c r="D84" i="1"/>
  <c r="E84" i="1"/>
  <c r="V3609" i="36" s="1"/>
  <c r="M84" i="1"/>
  <c r="G84" i="1" s="1"/>
  <c r="V84" i="1" l="1"/>
  <c r="O3609" i="36"/>
  <c r="N85" i="1"/>
  <c r="M85" i="1"/>
  <c r="G85" i="1" s="1"/>
  <c r="D85" i="1"/>
  <c r="O3658" i="36" s="1"/>
  <c r="E85" i="1"/>
  <c r="V3658" i="36" s="1"/>
  <c r="C86" i="1"/>
  <c r="V85" i="1" l="1"/>
  <c r="M86" i="1"/>
  <c r="G86" i="1" s="1"/>
  <c r="D86" i="1"/>
  <c r="N86" i="1"/>
  <c r="C87" i="1"/>
  <c r="B89" i="1" s="1"/>
  <c r="E86" i="1"/>
  <c r="V3707" i="36" s="1"/>
  <c r="C89" i="1" l="1"/>
  <c r="C90" i="1"/>
  <c r="V86" i="1"/>
  <c r="O3707" i="36"/>
  <c r="D87" i="1"/>
  <c r="O3756" i="36" s="1"/>
  <c r="F87" i="1"/>
  <c r="E87" i="1"/>
  <c r="V3756" i="36" s="1"/>
  <c r="M87" i="1"/>
  <c r="G87" i="1" s="1"/>
  <c r="H87" i="1" s="1"/>
  <c r="N87" i="1"/>
  <c r="N90" i="1" l="1"/>
  <c r="C91" i="1"/>
  <c r="M90" i="1"/>
  <c r="V87" i="1"/>
  <c r="K87" i="1"/>
  <c r="L87" i="1"/>
  <c r="N91" i="1" l="1"/>
  <c r="C92" i="1"/>
  <c r="M91" i="1"/>
  <c r="M92" i="1" l="1"/>
  <c r="C93" i="1"/>
  <c r="N92" i="1"/>
  <c r="M93" i="1" l="1"/>
  <c r="C94" i="1"/>
  <c r="N93" i="1"/>
  <c r="N94" i="1" l="1"/>
  <c r="C95" i="1"/>
  <c r="M94" i="1"/>
  <c r="C96" i="1" l="1"/>
  <c r="N95" i="1"/>
  <c r="M95" i="1"/>
  <c r="C97" i="1" l="1"/>
  <c r="N96" i="1"/>
  <c r="M96" i="1"/>
  <c r="N97" i="1" l="1"/>
  <c r="C98" i="1"/>
  <c r="M97" i="1"/>
  <c r="N98" i="1" l="1"/>
  <c r="C99" i="1"/>
  <c r="M98" i="1"/>
  <c r="C100" i="1" l="1"/>
  <c r="N99" i="1"/>
  <c r="M99" i="1"/>
  <c r="C101" i="1" l="1"/>
  <c r="M100" i="1"/>
  <c r="N100" i="1"/>
  <c r="C102" i="1" l="1"/>
  <c r="M101" i="1"/>
  <c r="N101" i="1"/>
  <c r="C103" i="1" l="1"/>
  <c r="M102" i="1"/>
  <c r="G102" i="1" s="1"/>
  <c r="N102" i="1"/>
  <c r="C104" i="1" l="1"/>
  <c r="M103" i="1"/>
  <c r="G103" i="1" s="1"/>
  <c r="N103" i="1"/>
  <c r="C105" i="1" l="1"/>
  <c r="M104" i="1"/>
  <c r="G104" i="1" s="1"/>
  <c r="N104" i="1"/>
  <c r="C106" i="1" l="1"/>
  <c r="N105" i="1"/>
  <c r="M105" i="1"/>
  <c r="G105" i="1" s="1"/>
  <c r="M106" i="1" l="1"/>
  <c r="G106" i="1" s="1"/>
  <c r="C107" i="1"/>
  <c r="N106" i="1"/>
  <c r="G60" i="1"/>
  <c r="E35" i="34"/>
  <c r="D49" i="34"/>
  <c r="E34" i="34"/>
  <c r="E17" i="34"/>
  <c r="G53" i="34"/>
  <c r="H53" i="34" s="1"/>
  <c r="E68" i="34"/>
  <c r="E57" i="34"/>
  <c r="E53" i="34"/>
  <c r="C39" i="42"/>
  <c r="L39" i="42" s="1"/>
  <c r="C18" i="42"/>
  <c r="L18" i="42" s="1"/>
  <c r="E68" i="42"/>
  <c r="H68" i="42" s="1"/>
  <c r="I68" i="42" s="1"/>
  <c r="G84" i="34"/>
  <c r="H84" i="34" s="1"/>
  <c r="D70" i="34"/>
  <c r="E8" i="42"/>
  <c r="H8" i="42" s="1"/>
  <c r="I8" i="42" s="1"/>
  <c r="D10" i="34"/>
  <c r="D12" i="42"/>
  <c r="C8" i="42"/>
  <c r="L8" i="42" s="1"/>
  <c r="E63" i="42"/>
  <c r="H63" i="42" s="1"/>
  <c r="I63" i="42" s="1"/>
  <c r="E54" i="42"/>
  <c r="H54" i="42" s="1"/>
  <c r="I54" i="42" s="1"/>
  <c r="E36" i="34"/>
  <c r="E79" i="34"/>
  <c r="D40" i="34"/>
  <c r="D86" i="34"/>
  <c r="D34" i="34"/>
  <c r="D51" i="34"/>
  <c r="E38" i="42"/>
  <c r="H38" i="42" s="1"/>
  <c r="I38" i="42" s="1"/>
  <c r="E69" i="34"/>
  <c r="G52" i="34"/>
  <c r="H52" i="34" s="1"/>
  <c r="D36" i="42"/>
  <c r="C9" i="42"/>
  <c r="L9" i="42" s="1"/>
  <c r="E16" i="34"/>
  <c r="C47" i="42"/>
  <c r="L47" i="42" s="1"/>
  <c r="E25" i="42"/>
  <c r="H25" i="42" s="1"/>
  <c r="I25" i="42" s="1"/>
  <c r="E59" i="42"/>
  <c r="H59" i="42" s="1"/>
  <c r="I59" i="42" s="1"/>
  <c r="E74" i="34"/>
  <c r="E78" i="34"/>
  <c r="E58" i="42"/>
  <c r="H58" i="42" s="1"/>
  <c r="I58" i="42" s="1"/>
  <c r="M107" i="1" l="1"/>
  <c r="G107" i="1" s="1"/>
  <c r="N107" i="1"/>
  <c r="C108" i="1"/>
  <c r="E71" i="42"/>
  <c r="H71" i="42" s="1"/>
  <c r="I71" i="42" s="1"/>
  <c r="C16" i="42"/>
  <c r="L16" i="42" s="1"/>
  <c r="G41" i="34"/>
  <c r="H41" i="34" s="1"/>
  <c r="D32" i="42"/>
  <c r="G60" i="34"/>
  <c r="H60" i="34" s="1"/>
  <c r="C29" i="42"/>
  <c r="L29" i="42" s="1"/>
  <c r="C33" i="42"/>
  <c r="L33" i="42" s="1"/>
  <c r="E12" i="42"/>
  <c r="H12" i="42" s="1"/>
  <c r="I12" i="42" s="1"/>
  <c r="D33" i="34"/>
  <c r="G27" i="34"/>
  <c r="H27" i="34" s="1"/>
  <c r="C57" i="42"/>
  <c r="L57" i="42" s="1"/>
  <c r="D44" i="42"/>
  <c r="E30" i="42"/>
  <c r="H30" i="42" s="1"/>
  <c r="I30" i="42" s="1"/>
  <c r="E36" i="42"/>
  <c r="H36" i="42" s="1"/>
  <c r="I36" i="42" s="1"/>
  <c r="D33" i="42"/>
  <c r="D21" i="42"/>
  <c r="D57" i="34"/>
  <c r="E35" i="42"/>
  <c r="H35" i="42" s="1"/>
  <c r="I35" i="42" s="1"/>
  <c r="D54" i="42"/>
  <c r="C56" i="42"/>
  <c r="L56" i="42" s="1"/>
  <c r="G42" i="34"/>
  <c r="H42" i="34" s="1"/>
  <c r="E85" i="34"/>
  <c r="D71" i="34"/>
  <c r="D16" i="34"/>
  <c r="D48" i="34"/>
  <c r="C35" i="42"/>
  <c r="L35" i="42" s="1"/>
  <c r="G75" i="34"/>
  <c r="H75" i="34" s="1"/>
  <c r="D50" i="42"/>
  <c r="E80" i="34"/>
  <c r="E56" i="42"/>
  <c r="H56" i="42" s="1"/>
  <c r="I56" i="42" s="1"/>
  <c r="G64" i="34"/>
  <c r="H64" i="34" s="1"/>
  <c r="D63" i="42"/>
  <c r="D79" i="34"/>
  <c r="D57" i="42"/>
  <c r="D26" i="34"/>
  <c r="E31" i="34"/>
  <c r="G71" i="34"/>
  <c r="H71" i="34" s="1"/>
  <c r="D18" i="34"/>
  <c r="E49" i="34"/>
  <c r="D65" i="42"/>
  <c r="D13" i="42"/>
  <c r="D73" i="34"/>
  <c r="G69" i="34"/>
  <c r="H69" i="34" s="1"/>
  <c r="E62" i="34"/>
  <c r="E76" i="42"/>
  <c r="D52" i="34"/>
  <c r="D56" i="34"/>
  <c r="C66" i="34" s="1"/>
  <c r="D14" i="42"/>
  <c r="D20" i="42"/>
  <c r="D23" i="42"/>
  <c r="C59" i="42"/>
  <c r="L59" i="42" s="1"/>
  <c r="G44" i="34"/>
  <c r="H44" i="34" s="1"/>
  <c r="E49" i="42"/>
  <c r="H49" i="42" s="1"/>
  <c r="I49" i="42" s="1"/>
  <c r="E83" i="34"/>
  <c r="E60" i="34"/>
  <c r="C11" i="42"/>
  <c r="L11" i="42" s="1"/>
  <c r="D62" i="34"/>
  <c r="E26" i="42"/>
  <c r="H26" i="42" s="1"/>
  <c r="I26" i="42" s="1"/>
  <c r="D16" i="42"/>
  <c r="D69" i="42"/>
  <c r="E9" i="42"/>
  <c r="H9" i="42" s="1"/>
  <c r="I9" i="42" s="1"/>
  <c r="E48" i="34"/>
  <c r="E15" i="34"/>
  <c r="D27" i="42"/>
  <c r="E76" i="34"/>
  <c r="D88" i="34"/>
  <c r="D9" i="42"/>
  <c r="E58" i="34"/>
  <c r="D38" i="34"/>
  <c r="E53" i="42"/>
  <c r="H53" i="42" s="1"/>
  <c r="I53" i="42" s="1"/>
  <c r="G61" i="34"/>
  <c r="H61" i="34" s="1"/>
  <c r="D42" i="42"/>
  <c r="G31" i="34"/>
  <c r="H31" i="34" s="1"/>
  <c r="H46" i="34" s="1"/>
  <c r="D26" i="42"/>
  <c r="D11" i="42"/>
  <c r="E44" i="34"/>
  <c r="C75" i="42"/>
  <c r="L75" i="42" s="1"/>
  <c r="E61" i="34"/>
  <c r="D74" i="42"/>
  <c r="D53" i="42"/>
  <c r="D56" i="42"/>
  <c r="C52" i="42"/>
  <c r="L52" i="42" s="1"/>
  <c r="E77" i="34"/>
  <c r="D25" i="42"/>
  <c r="E41" i="42"/>
  <c r="H41" i="42" s="1"/>
  <c r="I41" i="42" s="1"/>
  <c r="C41" i="42"/>
  <c r="L41" i="42" s="1"/>
  <c r="G70" i="34"/>
  <c r="H70" i="34" s="1"/>
  <c r="C32" i="42"/>
  <c r="L32" i="42" s="1"/>
  <c r="D76" i="34"/>
  <c r="E64" i="34"/>
  <c r="G24" i="34"/>
  <c r="E88" i="34"/>
  <c r="D10" i="42"/>
  <c r="E27" i="34"/>
  <c r="D51" i="42"/>
  <c r="E12" i="34"/>
  <c r="C15" i="42"/>
  <c r="L15" i="42" s="1"/>
  <c r="E32" i="34"/>
  <c r="D52" i="42"/>
  <c r="E33" i="42"/>
  <c r="H33" i="42" s="1"/>
  <c r="I33" i="42" s="1"/>
  <c r="E16" i="42"/>
  <c r="H16" i="42" s="1"/>
  <c r="I16" i="42" s="1"/>
  <c r="G10" i="34"/>
  <c r="H10" i="34" s="1"/>
  <c r="H20" i="34" s="1"/>
  <c r="E40" i="42"/>
  <c r="H40" i="42" s="1"/>
  <c r="I40" i="42" s="1"/>
  <c r="D29" i="42"/>
  <c r="G11" i="34"/>
  <c r="H11" i="34" s="1"/>
  <c r="D41" i="42"/>
  <c r="E67" i="42"/>
  <c r="H67" i="42" s="1"/>
  <c r="I67" i="42" s="1"/>
  <c r="E45" i="42"/>
  <c r="H45" i="42" s="1"/>
  <c r="I45" i="42" s="1"/>
  <c r="E37" i="42"/>
  <c r="H37" i="42" s="1"/>
  <c r="I37" i="42" s="1"/>
  <c r="G37" i="34"/>
  <c r="H37" i="34" s="1"/>
  <c r="D48" i="42"/>
  <c r="D24" i="34"/>
  <c r="G38" i="34"/>
  <c r="H38" i="34" s="1"/>
  <c r="C74" i="42"/>
  <c r="L74" i="42" s="1"/>
  <c r="E50" i="34"/>
  <c r="G34" i="34"/>
  <c r="H34" i="34" s="1"/>
  <c r="D83" i="34"/>
  <c r="E61" i="42"/>
  <c r="H61" i="42" s="1"/>
  <c r="I61" i="42" s="1"/>
  <c r="D35" i="42"/>
  <c r="E11" i="42"/>
  <c r="H11" i="42" s="1"/>
  <c r="I11" i="42" s="1"/>
  <c r="D60" i="42"/>
  <c r="G12" i="34"/>
  <c r="H12" i="34" s="1"/>
  <c r="E70" i="42"/>
  <c r="H70" i="42" s="1"/>
  <c r="I70" i="42" s="1"/>
  <c r="D15" i="42"/>
  <c r="G23" i="34"/>
  <c r="E22" i="42"/>
  <c r="H22" i="42" s="1"/>
  <c r="I22" i="42" s="1"/>
  <c r="E50" i="42"/>
  <c r="H50" i="42" s="1"/>
  <c r="I50" i="42" s="1"/>
  <c r="C63" i="42"/>
  <c r="L63" i="42" s="1"/>
  <c r="C60" i="42"/>
  <c r="L60" i="42" s="1"/>
  <c r="D49" i="42"/>
  <c r="E14" i="34"/>
  <c r="G59" i="34"/>
  <c r="H59" i="34" s="1"/>
  <c r="E87" i="34"/>
  <c r="E59" i="34"/>
  <c r="E84" i="34"/>
  <c r="E65" i="42"/>
  <c r="H65" i="42" s="1"/>
  <c r="I65" i="42" s="1"/>
  <c r="E47" i="42"/>
  <c r="H47" i="42" s="1"/>
  <c r="I47" i="42" s="1"/>
  <c r="C48" i="42"/>
  <c r="L48" i="42" s="1"/>
  <c r="G48" i="34"/>
  <c r="H48" i="34" s="1"/>
  <c r="H55" i="34" s="1"/>
  <c r="D45" i="42"/>
  <c r="G77" i="34"/>
  <c r="H77" i="34" s="1"/>
  <c r="C14" i="42"/>
  <c r="L14" i="42" s="1"/>
  <c r="G88" i="34"/>
  <c r="H88" i="34" s="1"/>
  <c r="C58" i="42"/>
  <c r="L58" i="42" s="1"/>
  <c r="G33" i="34"/>
  <c r="H33" i="34" s="1"/>
  <c r="C61" i="42"/>
  <c r="L61" i="42" s="1"/>
  <c r="G57" i="34"/>
  <c r="H57" i="34" s="1"/>
  <c r="H66" i="34" s="1"/>
  <c r="G22" i="34"/>
  <c r="C45" i="42"/>
  <c r="L45" i="42" s="1"/>
  <c r="G15" i="34"/>
  <c r="H15" i="34" s="1"/>
  <c r="G40" i="34"/>
  <c r="H40" i="34" s="1"/>
  <c r="D58" i="34"/>
  <c r="E22" i="34"/>
  <c r="E33" i="34"/>
  <c r="C37" i="42"/>
  <c r="L37" i="42" s="1"/>
  <c r="D78" i="34"/>
  <c r="E66" i="42"/>
  <c r="H66" i="42" s="1"/>
  <c r="I66" i="42" s="1"/>
  <c r="D61" i="34"/>
  <c r="E44" i="42"/>
  <c r="H44" i="42" s="1"/>
  <c r="I44" i="42" s="1"/>
  <c r="C42" i="42"/>
  <c r="L42" i="42" s="1"/>
  <c r="C36" i="42"/>
  <c r="L36" i="42" s="1"/>
  <c r="G17" i="34"/>
  <c r="H17" i="34" s="1"/>
  <c r="G62" i="34"/>
  <c r="H62" i="34" s="1"/>
  <c r="C46" i="42"/>
  <c r="L46" i="42" s="1"/>
  <c r="C27" i="42"/>
  <c r="L27" i="42" s="1"/>
  <c r="D19" i="42"/>
  <c r="E81" i="34"/>
  <c r="D25" i="34"/>
  <c r="G35" i="34"/>
  <c r="H35" i="34" s="1"/>
  <c r="E23" i="42"/>
  <c r="H23" i="42" s="1"/>
  <c r="I23" i="42" s="1"/>
  <c r="D71" i="42"/>
  <c r="C73" i="42"/>
  <c r="L73" i="42" s="1"/>
  <c r="G50" i="34"/>
  <c r="H50" i="34" s="1"/>
  <c r="C26" i="42"/>
  <c r="L26" i="42" s="1"/>
  <c r="E19" i="42"/>
  <c r="H19" i="42" s="1"/>
  <c r="I19" i="42" s="1"/>
  <c r="G76" i="34"/>
  <c r="H76" i="34" s="1"/>
  <c r="D67" i="42"/>
  <c r="G16" i="34"/>
  <c r="H16" i="34" s="1"/>
  <c r="E73" i="34"/>
  <c r="E75" i="34"/>
  <c r="D36" i="34"/>
  <c r="D68" i="34"/>
  <c r="E37" i="34"/>
  <c r="E18" i="42"/>
  <c r="H18" i="42" s="1"/>
  <c r="I18" i="42" s="1"/>
  <c r="C13" i="42"/>
  <c r="L13" i="42" s="1"/>
  <c r="E15" i="42"/>
  <c r="H15" i="42" s="1"/>
  <c r="I15" i="42" s="1"/>
  <c r="G32" i="34"/>
  <c r="H32" i="34" s="1"/>
  <c r="E26" i="34"/>
  <c r="C49" i="42"/>
  <c r="L49" i="42" s="1"/>
  <c r="C65" i="42"/>
  <c r="L65" i="42" s="1"/>
  <c r="G25" i="34"/>
  <c r="H25" i="34" s="1"/>
  <c r="D59" i="34"/>
  <c r="G14" i="34"/>
  <c r="H14" i="34" s="1"/>
  <c r="G81" i="34"/>
  <c r="H81" i="34" s="1"/>
  <c r="D76" i="42"/>
  <c r="E51" i="42"/>
  <c r="H51" i="42" s="1"/>
  <c r="I51" i="42" s="1"/>
  <c r="D47" i="42"/>
  <c r="G13" i="34"/>
  <c r="H13" i="34" s="1"/>
  <c r="D14" i="34"/>
  <c r="E40" i="34"/>
  <c r="E29" i="42"/>
  <c r="H29" i="42" s="1"/>
  <c r="I29" i="42" s="1"/>
  <c r="E71" i="34"/>
  <c r="C19" i="42"/>
  <c r="L19" i="42" s="1"/>
  <c r="C34" i="42"/>
  <c r="L34" i="42" s="1"/>
  <c r="E24" i="34"/>
  <c r="D37" i="34"/>
  <c r="E25" i="34"/>
  <c r="E21" i="42"/>
  <c r="H21" i="42" s="1"/>
  <c r="I21" i="42" s="1"/>
  <c r="D38" i="42"/>
  <c r="E57" i="42"/>
  <c r="H57" i="42" s="1"/>
  <c r="I57" i="42" s="1"/>
  <c r="C51" i="42"/>
  <c r="L51" i="42" s="1"/>
  <c r="D23" i="34"/>
  <c r="D77" i="34"/>
  <c r="D87" i="34"/>
  <c r="C72" i="42"/>
  <c r="L72" i="42" s="1"/>
  <c r="D43" i="42"/>
  <c r="G78" i="34"/>
  <c r="H78" i="34" s="1"/>
  <c r="D68" i="42"/>
  <c r="D12" i="34"/>
  <c r="C69" i="42"/>
  <c r="L69" i="42" s="1"/>
  <c r="C54" i="42"/>
  <c r="L54" i="42" s="1"/>
  <c r="E41" i="34"/>
  <c r="E39" i="34"/>
  <c r="D80" i="34"/>
  <c r="C38" i="42"/>
  <c r="L38" i="42" s="1"/>
  <c r="D53" i="34"/>
  <c r="D37" i="42"/>
  <c r="G85" i="34"/>
  <c r="H85" i="34" s="1"/>
  <c r="G74" i="34"/>
  <c r="H74" i="34" s="1"/>
  <c r="E32" i="42"/>
  <c r="H32" i="42" s="1"/>
  <c r="I32" i="42" s="1"/>
  <c r="E42" i="42"/>
  <c r="H42" i="42" s="1"/>
  <c r="I42" i="42" s="1"/>
  <c r="E86" i="34"/>
  <c r="E23" i="34"/>
  <c r="E43" i="42"/>
  <c r="H43" i="42" s="1"/>
  <c r="I43" i="42" s="1"/>
  <c r="G87" i="34"/>
  <c r="H87" i="34" s="1"/>
  <c r="G63" i="1"/>
  <c r="G95" i="1"/>
  <c r="G96" i="1"/>
  <c r="M108" i="1" l="1"/>
  <c r="G108" i="1" s="1"/>
  <c r="N108" i="1"/>
  <c r="C109" i="1"/>
  <c r="C110" i="1" s="1"/>
  <c r="M110" i="1" l="1"/>
  <c r="G110" i="1" s="1"/>
  <c r="N110" i="1"/>
  <c r="F110" i="1"/>
  <c r="D110" i="1"/>
  <c r="C111" i="1"/>
  <c r="C112" i="1" s="1"/>
  <c r="E110" i="1"/>
  <c r="V4785" i="36" s="1"/>
  <c r="B114" i="1"/>
  <c r="N109" i="1"/>
  <c r="M109" i="1"/>
  <c r="G109" i="1" s="1"/>
  <c r="G62" i="1"/>
  <c r="G90" i="1"/>
  <c r="G94" i="1"/>
  <c r="G97" i="1"/>
  <c r="H110" i="1" l="1"/>
  <c r="F112" i="1"/>
  <c r="D112" i="1"/>
  <c r="V112" i="1" s="1"/>
  <c r="E112" i="1"/>
  <c r="M112" i="1"/>
  <c r="G112" i="1" s="1"/>
  <c r="H112" i="1" s="1"/>
  <c r="N112" i="1"/>
  <c r="L112" i="1" s="1"/>
  <c r="V110" i="1"/>
  <c r="O4785" i="36"/>
  <c r="M111" i="1"/>
  <c r="G111" i="1" s="1"/>
  <c r="H111" i="1" s="1"/>
  <c r="F111" i="1"/>
  <c r="D111" i="1"/>
  <c r="N111" i="1"/>
  <c r="E111" i="1"/>
  <c r="V4834" i="36" s="1"/>
  <c r="L110" i="1"/>
  <c r="K110" i="1"/>
  <c r="C114" i="1"/>
  <c r="C115" i="1"/>
  <c r="G91" i="1"/>
  <c r="G92" i="1"/>
  <c r="G93" i="1"/>
  <c r="K112" i="1" l="1"/>
  <c r="V111" i="1"/>
  <c r="O4834" i="36"/>
  <c r="L111" i="1"/>
  <c r="K111" i="1"/>
  <c r="N115" i="1"/>
  <c r="M115" i="1"/>
  <c r="G115" i="1" s="1"/>
  <c r="C116" i="1"/>
  <c r="G98" i="1"/>
  <c r="G99" i="1"/>
  <c r="G100" i="1"/>
  <c r="G101" i="1"/>
  <c r="N116" i="1" l="1"/>
  <c r="M116" i="1"/>
  <c r="G116" i="1" s="1"/>
  <c r="C117" i="1"/>
  <c r="J36" i="35"/>
  <c r="K36" i="35" s="1"/>
  <c r="J389" i="35"/>
  <c r="K389" i="35" s="1"/>
  <c r="J579" i="35"/>
  <c r="K579" i="35" s="1"/>
  <c r="Q579" i="35" s="1"/>
  <c r="J576" i="35"/>
  <c r="K576" i="35" s="1"/>
  <c r="J825" i="35"/>
  <c r="K825" i="35" s="1"/>
  <c r="J826" i="35"/>
  <c r="K826" i="35" s="1"/>
  <c r="J636" i="35"/>
  <c r="K636" i="35" s="1"/>
  <c r="Q636" i="35" s="1"/>
  <c r="J635" i="35"/>
  <c r="K635" i="35" s="1"/>
  <c r="J41" i="35"/>
  <c r="K41" i="35" s="1"/>
  <c r="J175" i="35"/>
  <c r="K175" i="35" s="1"/>
  <c r="J485" i="35"/>
  <c r="K485" i="35" s="1"/>
  <c r="J231" i="35"/>
  <c r="K231" i="35" s="1"/>
  <c r="J352" i="35"/>
  <c r="K352" i="35" s="1"/>
  <c r="J135" i="35"/>
  <c r="K135" i="35" s="1"/>
  <c r="J488" i="35"/>
  <c r="K488" i="35" s="1"/>
  <c r="J39" i="35"/>
  <c r="K39" i="35" s="1"/>
  <c r="J30" i="35"/>
  <c r="K30" i="35" s="1"/>
  <c r="J489" i="35"/>
  <c r="K489" i="35" s="1"/>
  <c r="J599" i="35"/>
  <c r="K599" i="35" s="1"/>
  <c r="J350" i="35"/>
  <c r="K350" i="35" s="1"/>
  <c r="J486" i="35"/>
  <c r="K486" i="35" s="1"/>
  <c r="J487" i="35"/>
  <c r="K487" i="35" s="1"/>
  <c r="J43" i="35"/>
  <c r="K43" i="35" s="1"/>
  <c r="J351" i="35"/>
  <c r="K351" i="35" s="1"/>
  <c r="J344" i="35"/>
  <c r="K344" i="35" s="1"/>
  <c r="J349" i="35"/>
  <c r="K349" i="35" s="1"/>
  <c r="J346" i="35"/>
  <c r="K346" i="35" s="1"/>
  <c r="J45" i="35"/>
  <c r="K45" i="35" s="1"/>
  <c r="N117" i="1" l="1"/>
  <c r="C118" i="1"/>
  <c r="M117" i="1"/>
  <c r="G117" i="1" s="1"/>
  <c r="Q36" i="35"/>
  <c r="O36" i="35"/>
  <c r="Q389" i="35"/>
  <c r="O389" i="35"/>
  <c r="O579" i="35"/>
  <c r="Q576" i="35"/>
  <c r="O576" i="35"/>
  <c r="Q826" i="35"/>
  <c r="O826" i="35"/>
  <c r="Q825" i="35"/>
  <c r="O825" i="35"/>
  <c r="O636" i="35"/>
  <c r="Q635" i="35"/>
  <c r="O635" i="35"/>
  <c r="O39" i="35"/>
  <c r="Q39" i="35"/>
  <c r="Q485" i="35"/>
  <c r="O485" i="35"/>
  <c r="Q487" i="35"/>
  <c r="O487" i="35"/>
  <c r="Q344" i="35"/>
  <c r="O344" i="35"/>
  <c r="Q489" i="35"/>
  <c r="O489" i="35"/>
  <c r="Q30" i="35"/>
  <c r="O30" i="35"/>
  <c r="O41" i="35"/>
  <c r="Q41" i="35"/>
  <c r="O349" i="35"/>
  <c r="Q349" i="35"/>
  <c r="O45" i="35"/>
  <c r="Q45" i="35"/>
  <c r="Q599" i="35"/>
  <c r="O599" i="35"/>
  <c r="O488" i="35"/>
  <c r="Q488" i="35"/>
  <c r="Q346" i="35"/>
  <c r="O346" i="35"/>
  <c r="Q351" i="35"/>
  <c r="O351" i="35"/>
  <c r="Q43" i="35"/>
  <c r="O43" i="35"/>
  <c r="O486" i="35"/>
  <c r="Q486" i="35"/>
  <c r="O231" i="35"/>
  <c r="Q231" i="35"/>
  <c r="O135" i="35"/>
  <c r="Q135" i="35"/>
  <c r="O350" i="35"/>
  <c r="Q350" i="35"/>
  <c r="Q352" i="35"/>
  <c r="O352" i="35"/>
  <c r="O175" i="35"/>
  <c r="Q175" i="35"/>
  <c r="N118" i="1" l="1"/>
  <c r="C119" i="1"/>
  <c r="M118" i="1"/>
  <c r="G118" i="1" s="1"/>
  <c r="J824" i="35"/>
  <c r="K824" i="35" s="1"/>
  <c r="O824" i="35" s="1"/>
  <c r="J833" i="35"/>
  <c r="K833" i="35" s="1"/>
  <c r="O833" i="35" s="1"/>
  <c r="C120" i="1" l="1"/>
  <c r="M119" i="1"/>
  <c r="G119" i="1" s="1"/>
  <c r="N119" i="1"/>
  <c r="Q824" i="35"/>
  <c r="Q833" i="35"/>
  <c r="C121" i="1" l="1"/>
  <c r="N120" i="1"/>
  <c r="M120" i="1"/>
  <c r="G120" i="1" s="1"/>
  <c r="J812" i="35"/>
  <c r="K812" i="35" s="1"/>
  <c r="N121" i="1" l="1"/>
  <c r="C122" i="1"/>
  <c r="M121" i="1"/>
  <c r="G121" i="1" s="1"/>
  <c r="Q812" i="35"/>
  <c r="O812" i="35"/>
  <c r="B126" i="1" l="1"/>
  <c r="C123" i="1"/>
  <c r="M122" i="1"/>
  <c r="G122" i="1" s="1"/>
  <c r="N122" i="1"/>
  <c r="D9" i="1"/>
  <c r="O473" i="36" s="1"/>
  <c r="E10" i="1"/>
  <c r="V185" i="36" s="1"/>
  <c r="D10" i="1"/>
  <c r="F10" i="1"/>
  <c r="E11" i="1"/>
  <c r="V234" i="36" s="1"/>
  <c r="D11" i="1"/>
  <c r="F11" i="1"/>
  <c r="H11" i="1" s="1"/>
  <c r="E12" i="1"/>
  <c r="V282" i="36" s="1"/>
  <c r="D12" i="1"/>
  <c r="D13" i="1"/>
  <c r="F12" i="1"/>
  <c r="H12" i="1" s="1"/>
  <c r="F13" i="1"/>
  <c r="H13" i="1" s="1"/>
  <c r="E13" i="1"/>
  <c r="V330" i="36" s="1"/>
  <c r="D18" i="1"/>
  <c r="E19" i="1"/>
  <c r="V522" i="36" s="1"/>
  <c r="D19" i="1"/>
  <c r="F19" i="1"/>
  <c r="C124" i="1" l="1"/>
  <c r="F123" i="1"/>
  <c r="E123" i="1"/>
  <c r="D123" i="1"/>
  <c r="V123" i="1" s="1"/>
  <c r="M123" i="1"/>
  <c r="G123" i="1" s="1"/>
  <c r="H123" i="1" s="1"/>
  <c r="N123" i="1"/>
  <c r="L123" i="1" s="1"/>
  <c r="C127" i="1"/>
  <c r="F127" i="1" s="1"/>
  <c r="D126" i="1"/>
  <c r="C126" i="1"/>
  <c r="O377" i="36"/>
  <c r="O425" i="36"/>
  <c r="D21" i="1"/>
  <c r="V21" i="1" s="1"/>
  <c r="K19" i="1"/>
  <c r="L19" i="1"/>
  <c r="H19" i="1"/>
  <c r="V12" i="1"/>
  <c r="O282" i="36"/>
  <c r="K12" i="1"/>
  <c r="L12" i="1"/>
  <c r="V11" i="1"/>
  <c r="O234" i="36"/>
  <c r="K10" i="1"/>
  <c r="L10" i="1"/>
  <c r="H10" i="1"/>
  <c r="E21" i="1"/>
  <c r="V618" i="36" s="1"/>
  <c r="D20" i="1"/>
  <c r="O911" i="36"/>
  <c r="O521" i="36"/>
  <c r="O764" i="36"/>
  <c r="O960" i="36"/>
  <c r="D21" i="34"/>
  <c r="C29" i="34" s="1"/>
  <c r="C17" i="42"/>
  <c r="L17" i="42" s="1"/>
  <c r="O813" i="36"/>
  <c r="V18" i="1"/>
  <c r="O617" i="36"/>
  <c r="O569" i="36"/>
  <c r="O862" i="36"/>
  <c r="O1009" i="36"/>
  <c r="O666" i="36"/>
  <c r="O715" i="36"/>
  <c r="O1058" i="36"/>
  <c r="O1107" i="36"/>
  <c r="O1156" i="36"/>
  <c r="O1205" i="36"/>
  <c r="O1254" i="36"/>
  <c r="O1352" i="36"/>
  <c r="O1303" i="36"/>
  <c r="O1401" i="36"/>
  <c r="O1450" i="36"/>
  <c r="O1548" i="36"/>
  <c r="O1499" i="36"/>
  <c r="O1597" i="36"/>
  <c r="O1646" i="36"/>
  <c r="O1695" i="36"/>
  <c r="O1744" i="36"/>
  <c r="O1793" i="36"/>
  <c r="O1842" i="36"/>
  <c r="O1940" i="36"/>
  <c r="O1891" i="36"/>
  <c r="O2038" i="36"/>
  <c r="O1989" i="36"/>
  <c r="O2136" i="36"/>
  <c r="O2087" i="36"/>
  <c r="O2234" i="36"/>
  <c r="O2185" i="36"/>
  <c r="O2283" i="36"/>
  <c r="O2332" i="36"/>
  <c r="O2381" i="36"/>
  <c r="V13" i="1"/>
  <c r="O330" i="36"/>
  <c r="E20" i="1"/>
  <c r="V570" i="36" s="1"/>
  <c r="V19" i="1"/>
  <c r="O522" i="36"/>
  <c r="K13" i="1"/>
  <c r="L13" i="1"/>
  <c r="K11" i="1"/>
  <c r="L11" i="1"/>
  <c r="V10" i="1"/>
  <c r="O185" i="36"/>
  <c r="D9" i="34"/>
  <c r="C20" i="34" s="1"/>
  <c r="O329" i="36"/>
  <c r="C7" i="42"/>
  <c r="L7" i="42" s="1"/>
  <c r="V9" i="1"/>
  <c r="O184" i="36"/>
  <c r="O281" i="36"/>
  <c r="O233" i="36"/>
  <c r="F21" i="1"/>
  <c r="H21" i="1" s="1"/>
  <c r="F20" i="1"/>
  <c r="H20" i="1" s="1"/>
  <c r="K123" i="1" l="1"/>
  <c r="F124" i="1"/>
  <c r="D124" i="1"/>
  <c r="V124" i="1" s="1"/>
  <c r="E124" i="1"/>
  <c r="M124" i="1"/>
  <c r="G124" i="1" s="1"/>
  <c r="H124" i="1" s="1"/>
  <c r="N124" i="1"/>
  <c r="L124" i="1" s="1"/>
  <c r="O5858" i="36"/>
  <c r="O5907" i="36"/>
  <c r="O5809" i="36"/>
  <c r="V126" i="1"/>
  <c r="C128" i="1"/>
  <c r="N127" i="1"/>
  <c r="M127" i="1"/>
  <c r="G127" i="1" s="1"/>
  <c r="O618" i="36"/>
  <c r="H9" i="1"/>
  <c r="K9" i="1"/>
  <c r="E22" i="1"/>
  <c r="V667" i="36" s="1"/>
  <c r="K20" i="1"/>
  <c r="L20" i="1"/>
  <c r="L21" i="1"/>
  <c r="K21" i="1"/>
  <c r="L9" i="1"/>
  <c r="O570" i="36"/>
  <c r="V20" i="1"/>
  <c r="D22" i="1"/>
  <c r="E23" i="1"/>
  <c r="V716" i="36" s="1"/>
  <c r="K124" i="1" l="1"/>
  <c r="C129" i="1"/>
  <c r="M128" i="1"/>
  <c r="G128" i="1" s="1"/>
  <c r="N128" i="1"/>
  <c r="D23" i="1"/>
  <c r="O716" i="36" s="1"/>
  <c r="F22" i="1"/>
  <c r="H22" i="1" s="1"/>
  <c r="O667" i="36"/>
  <c r="V22" i="1"/>
  <c r="M129" i="1" l="1"/>
  <c r="G129" i="1" s="1"/>
  <c r="N129" i="1"/>
  <c r="C130" i="1"/>
  <c r="V23" i="1"/>
  <c r="F23" i="1"/>
  <c r="D24" i="1"/>
  <c r="E24" i="1"/>
  <c r="V765" i="36" s="1"/>
  <c r="K22" i="1"/>
  <c r="L22" i="1"/>
  <c r="D25" i="1"/>
  <c r="K23" i="1" l="1"/>
  <c r="H23" i="1"/>
  <c r="C131" i="1"/>
  <c r="N130" i="1"/>
  <c r="M130" i="1"/>
  <c r="G130" i="1" s="1"/>
  <c r="L23" i="1"/>
  <c r="E25" i="1"/>
  <c r="V814" i="36" s="1"/>
  <c r="O814" i="36"/>
  <c r="V25" i="1"/>
  <c r="O765" i="36"/>
  <c r="V24" i="1"/>
  <c r="M131" i="1" l="1"/>
  <c r="G131" i="1" s="1"/>
  <c r="N131" i="1"/>
  <c r="C132" i="1"/>
  <c r="F81" i="1"/>
  <c r="H81" i="1" s="1"/>
  <c r="C133" i="1" l="1"/>
  <c r="N132" i="1"/>
  <c r="M132" i="1"/>
  <c r="G132" i="1" s="1"/>
  <c r="L81" i="1"/>
  <c r="K81" i="1"/>
  <c r="F82" i="1"/>
  <c r="H82" i="1" s="1"/>
  <c r="N133" i="1" l="1"/>
  <c r="M133" i="1"/>
  <c r="G133" i="1" s="1"/>
  <c r="H133" i="1" s="1"/>
  <c r="E133" i="1"/>
  <c r="F133" i="1"/>
  <c r="D133" i="1"/>
  <c r="V133" i="1" s="1"/>
  <c r="C134" i="1"/>
  <c r="C135" i="1" s="1"/>
  <c r="L82" i="1"/>
  <c r="K82" i="1"/>
  <c r="F83" i="1"/>
  <c r="H83" i="1" s="1"/>
  <c r="C136" i="1" l="1"/>
  <c r="M135" i="1"/>
  <c r="G135" i="1" s="1"/>
  <c r="H135" i="1" s="1"/>
  <c r="N135" i="1"/>
  <c r="F135" i="1"/>
  <c r="E135" i="1"/>
  <c r="V5810" i="36" s="1"/>
  <c r="D135" i="1"/>
  <c r="V135" i="1" s="1"/>
  <c r="M134" i="1"/>
  <c r="G134" i="1" s="1"/>
  <c r="H134" i="1" s="1"/>
  <c r="D134" i="1"/>
  <c r="V134" i="1" s="1"/>
  <c r="N134" i="1"/>
  <c r="E134" i="1"/>
  <c r="F134" i="1"/>
  <c r="L133" i="1"/>
  <c r="K133" i="1"/>
  <c r="K83" i="1"/>
  <c r="L83" i="1"/>
  <c r="F84" i="1"/>
  <c r="H84" i="1" s="1"/>
  <c r="L135" i="1" l="1"/>
  <c r="K135" i="1"/>
  <c r="C137" i="1"/>
  <c r="M136" i="1"/>
  <c r="G136" i="1" s="1"/>
  <c r="H136" i="1" s="1"/>
  <c r="N136" i="1"/>
  <c r="F136" i="1"/>
  <c r="E136" i="1"/>
  <c r="V5859" i="36" s="1"/>
  <c r="D136" i="1"/>
  <c r="V136" i="1" s="1"/>
  <c r="L134" i="1"/>
  <c r="K134" i="1"/>
  <c r="L84" i="1"/>
  <c r="K84" i="1"/>
  <c r="F85" i="1"/>
  <c r="H85" i="1" s="1"/>
  <c r="K136" i="1" l="1"/>
  <c r="L136" i="1"/>
  <c r="M137" i="1"/>
  <c r="G137" i="1" s="1"/>
  <c r="H137" i="1" s="1"/>
  <c r="N137" i="1"/>
  <c r="F137" i="1"/>
  <c r="E137" i="1"/>
  <c r="V5908" i="36" s="1"/>
  <c r="D137" i="1"/>
  <c r="V137" i="1" s="1"/>
  <c r="K85" i="1"/>
  <c r="L85" i="1"/>
  <c r="F86" i="1"/>
  <c r="H86" i="1" s="1"/>
  <c r="L137" i="1" l="1"/>
  <c r="K137" i="1"/>
  <c r="L86" i="1"/>
  <c r="K86" i="1"/>
  <c r="F74" i="1" l="1"/>
  <c r="H74" i="1" s="1"/>
  <c r="D92" i="1"/>
  <c r="F99" i="1"/>
  <c r="H99" i="1" s="1"/>
  <c r="D43" i="1"/>
  <c r="D48" i="1"/>
  <c r="F100" i="1"/>
  <c r="H100" i="1" s="1"/>
  <c r="E104" i="1"/>
  <c r="F94" i="1"/>
  <c r="H94" i="1" s="1"/>
  <c r="E45" i="1"/>
  <c r="V1794" i="36" s="1"/>
  <c r="E127" i="1"/>
  <c r="D63" i="1"/>
  <c r="E41" i="1"/>
  <c r="V1598" i="36" s="1"/>
  <c r="F65" i="1"/>
  <c r="H65" i="1" s="1"/>
  <c r="E118" i="1"/>
  <c r="V5079" i="36" s="1"/>
  <c r="F104" i="1"/>
  <c r="H104" i="1" s="1"/>
  <c r="E79" i="1"/>
  <c r="V3362" i="36" s="1"/>
  <c r="E98" i="1"/>
  <c r="D76" i="1"/>
  <c r="E42" i="1"/>
  <c r="V1647" i="36" s="1"/>
  <c r="F28" i="1"/>
  <c r="D71" i="1"/>
  <c r="F105" i="1"/>
  <c r="H105" i="1" s="1"/>
  <c r="D77" i="1"/>
  <c r="F34" i="1"/>
  <c r="H34" i="1" s="1"/>
  <c r="D108" i="1"/>
  <c r="F33" i="1"/>
  <c r="H33" i="1" s="1"/>
  <c r="D79" i="1"/>
  <c r="D47" i="1"/>
  <c r="F32" i="1"/>
  <c r="H32" i="1" s="1"/>
  <c r="D109" i="1"/>
  <c r="D55" i="1"/>
  <c r="D29" i="1"/>
  <c r="D59" i="1"/>
  <c r="E52" i="1"/>
  <c r="V2137" i="36" s="1"/>
  <c r="F56" i="1"/>
  <c r="H56" i="1" s="1"/>
  <c r="D101" i="1"/>
  <c r="F97" i="1"/>
  <c r="H97" i="1" s="1"/>
  <c r="E54" i="1"/>
  <c r="V2235" i="36" s="1"/>
  <c r="E75" i="1"/>
  <c r="V3166" i="36" s="1"/>
  <c r="E28" i="1"/>
  <c r="V961" i="36" s="1"/>
  <c r="F66" i="1"/>
  <c r="H66" i="1" s="1"/>
  <c r="D30" i="1"/>
  <c r="D67" i="1"/>
  <c r="E96" i="1"/>
  <c r="E80" i="1"/>
  <c r="V3411" i="36" s="1"/>
  <c r="F46" i="1"/>
  <c r="H46" i="1" s="1"/>
  <c r="E63" i="1"/>
  <c r="V2578" i="36" s="1"/>
  <c r="D65" i="1"/>
  <c r="E68" i="1"/>
  <c r="V2823" i="36" s="1"/>
  <c r="D60" i="1"/>
  <c r="F26" i="1"/>
  <c r="H26" i="1" s="1"/>
  <c r="F107" i="1"/>
  <c r="H107" i="1" s="1"/>
  <c r="D115" i="1"/>
  <c r="F69" i="1"/>
  <c r="H69" i="1" s="1"/>
  <c r="E119" i="1"/>
  <c r="V5128" i="36" s="1"/>
  <c r="E31" i="1"/>
  <c r="V1108" i="36" s="1"/>
  <c r="F108" i="1"/>
  <c r="H108" i="1" s="1"/>
  <c r="D94" i="1"/>
  <c r="E39" i="1"/>
  <c r="V1500" i="36" s="1"/>
  <c r="E40" i="1"/>
  <c r="V1549" i="36" s="1"/>
  <c r="D37" i="1"/>
  <c r="F38" i="1"/>
  <c r="F42" i="1"/>
  <c r="H42" i="1" s="1"/>
  <c r="D100" i="1"/>
  <c r="F118" i="1"/>
  <c r="H118" i="1" s="1"/>
  <c r="E44" i="1"/>
  <c r="V1745" i="36" s="1"/>
  <c r="F51" i="1"/>
  <c r="H51" i="1" s="1"/>
  <c r="F75" i="1"/>
  <c r="H75" i="1" s="1"/>
  <c r="D104" i="1"/>
  <c r="F62" i="1"/>
  <c r="H62" i="1" s="1"/>
  <c r="F47" i="1"/>
  <c r="H47" i="1" s="1"/>
  <c r="F27" i="1"/>
  <c r="H27" i="1" s="1"/>
  <c r="F40" i="1"/>
  <c r="H40" i="1" s="1"/>
  <c r="E100" i="1"/>
  <c r="F24" i="1"/>
  <c r="H24" i="1" s="1"/>
  <c r="E95" i="1"/>
  <c r="V4050" i="36" s="1"/>
  <c r="F96" i="1"/>
  <c r="H96" i="1" s="1"/>
  <c r="F102" i="1"/>
  <c r="H102" i="1" s="1"/>
  <c r="E90" i="1"/>
  <c r="V3805" i="36" s="1"/>
  <c r="F31" i="1"/>
  <c r="H31" i="1" s="1"/>
  <c r="F30" i="1"/>
  <c r="H30" i="1" s="1"/>
  <c r="F49" i="1"/>
  <c r="H49" i="1" s="1"/>
  <c r="D99" i="1"/>
  <c r="D57" i="1"/>
  <c r="D107" i="1"/>
  <c r="F53" i="1"/>
  <c r="H53" i="1" s="1"/>
  <c r="E35" i="1"/>
  <c r="V1304" i="36" s="1"/>
  <c r="E37" i="1"/>
  <c r="V1402" i="36" s="1"/>
  <c r="D52" i="1"/>
  <c r="E122" i="1"/>
  <c r="V5275" i="36" s="1"/>
  <c r="D89" i="1"/>
  <c r="O4882" i="36" s="1"/>
  <c r="D93" i="1"/>
  <c r="D31" i="1"/>
  <c r="D95" i="1"/>
  <c r="D114" i="1"/>
  <c r="D120" i="1"/>
  <c r="D40" i="1"/>
  <c r="D56" i="1"/>
  <c r="D118" i="1"/>
  <c r="E70" i="1"/>
  <c r="V2921" i="36" s="1"/>
  <c r="D68" i="1"/>
  <c r="E48" i="1"/>
  <c r="V1941" i="36" s="1"/>
  <c r="F91" i="1"/>
  <c r="H91" i="1" s="1"/>
  <c r="D69" i="1"/>
  <c r="E27" i="1"/>
  <c r="V912" i="36" s="1"/>
  <c r="D73" i="1"/>
  <c r="D116" i="1"/>
  <c r="F36" i="1"/>
  <c r="H36" i="1" s="1"/>
  <c r="E26" i="1"/>
  <c r="V863" i="36" s="1"/>
  <c r="D72" i="1"/>
  <c r="E92" i="1"/>
  <c r="V3903" i="36" s="1"/>
  <c r="F67" i="1"/>
  <c r="H67" i="1" s="1"/>
  <c r="D117" i="1"/>
  <c r="D26" i="1"/>
  <c r="E120" i="1"/>
  <c r="V5177" i="36" s="1"/>
  <c r="F25" i="1"/>
  <c r="H25" i="1" s="1"/>
  <c r="F71" i="1"/>
  <c r="H71" i="1" s="1"/>
  <c r="E49" i="1"/>
  <c r="V1990" i="36" s="1"/>
  <c r="E103" i="1"/>
  <c r="D34" i="1"/>
  <c r="F52" i="1"/>
  <c r="H52" i="1" s="1"/>
  <c r="D33" i="1"/>
  <c r="D45" i="1"/>
  <c r="D96" i="1"/>
  <c r="E32" i="1"/>
  <c r="V1157" i="36" s="1"/>
  <c r="F77" i="1"/>
  <c r="H77" i="1" s="1"/>
  <c r="D64" i="1"/>
  <c r="D32" i="1"/>
  <c r="F44" i="1"/>
  <c r="H44" i="1" s="1"/>
  <c r="E66" i="1"/>
  <c r="V2725" i="36" s="1"/>
  <c r="D102" i="1"/>
  <c r="E99" i="1"/>
  <c r="D119" i="1"/>
  <c r="D62" i="1"/>
  <c r="D35" i="1"/>
  <c r="D105" i="1"/>
  <c r="D103" i="1"/>
  <c r="E76" i="1"/>
  <c r="V3216" i="36" s="1"/>
  <c r="D27" i="1"/>
  <c r="E93" i="1"/>
  <c r="V3952" i="36" s="1"/>
  <c r="E101" i="1"/>
  <c r="E62" i="1"/>
  <c r="V2529" i="36" s="1"/>
  <c r="F80" i="1"/>
  <c r="H80" i="1" s="1"/>
  <c r="E56" i="1"/>
  <c r="V2333" i="36" s="1"/>
  <c r="D80" i="1"/>
  <c r="F121" i="1"/>
  <c r="H121" i="1" s="1"/>
  <c r="F117" i="1"/>
  <c r="H117" i="1" s="1"/>
  <c r="F64" i="1"/>
  <c r="H64" i="1" s="1"/>
  <c r="F119" i="1"/>
  <c r="H119" i="1" s="1"/>
  <c r="E121" i="1"/>
  <c r="V5226" i="36" s="1"/>
  <c r="D78" i="1"/>
  <c r="F57" i="1"/>
  <c r="H57" i="1" s="1"/>
  <c r="F63" i="1"/>
  <c r="H63" i="1" s="1"/>
  <c r="E50" i="1"/>
  <c r="V2039" i="36" s="1"/>
  <c r="E74" i="1"/>
  <c r="V3117" i="36" s="1"/>
  <c r="F101" i="1"/>
  <c r="H101" i="1" s="1"/>
  <c r="F109" i="1"/>
  <c r="H109" i="1" s="1"/>
  <c r="D38" i="1"/>
  <c r="E65" i="1"/>
  <c r="V2676" i="36" s="1"/>
  <c r="F116" i="1"/>
  <c r="H116" i="1" s="1"/>
  <c r="F92" i="1"/>
  <c r="H92" i="1" s="1"/>
  <c r="E106" i="1"/>
  <c r="E34" i="1"/>
  <c r="V1255" i="36" s="1"/>
  <c r="D54" i="1"/>
  <c r="F98" i="1"/>
  <c r="H98" i="1" s="1"/>
  <c r="F95" i="1"/>
  <c r="H95" i="1" s="1"/>
  <c r="E94" i="1"/>
  <c r="V4001" i="36" s="1"/>
  <c r="F72" i="1"/>
  <c r="H72" i="1" s="1"/>
  <c r="F73" i="1"/>
  <c r="H73" i="1" s="1"/>
  <c r="D122" i="1"/>
  <c r="E29" i="1"/>
  <c r="V1010" i="36" s="1"/>
  <c r="D74" i="1"/>
  <c r="D61" i="1"/>
  <c r="E53" i="1"/>
  <c r="V2186" i="36" s="1"/>
  <c r="E33" i="1"/>
  <c r="V1206" i="36" s="1"/>
  <c r="F55" i="1"/>
  <c r="H55" i="1" s="1"/>
  <c r="F115" i="1"/>
  <c r="F120" i="1"/>
  <c r="H120" i="1" s="1"/>
  <c r="E105" i="1"/>
  <c r="E55" i="1"/>
  <c r="V2284" i="36" s="1"/>
  <c r="D53" i="1"/>
  <c r="E116" i="1"/>
  <c r="V4981" i="36" s="1"/>
  <c r="E67" i="1"/>
  <c r="V2774" i="36" s="1"/>
  <c r="F106" i="1"/>
  <c r="H106" i="1" s="1"/>
  <c r="F50" i="1"/>
  <c r="H50" i="1" s="1"/>
  <c r="F68" i="1"/>
  <c r="H68" i="1" s="1"/>
  <c r="E57" i="1"/>
  <c r="V2382" i="36" s="1"/>
  <c r="F103" i="1"/>
  <c r="H103" i="1" s="1"/>
  <c r="D39" i="1"/>
  <c r="E91" i="1"/>
  <c r="V3854" i="36" s="1"/>
  <c r="D49" i="1"/>
  <c r="D36" i="1"/>
  <c r="E73" i="1"/>
  <c r="V3068" i="36" s="1"/>
  <c r="D106" i="1"/>
  <c r="D98" i="1"/>
  <c r="D41" i="1"/>
  <c r="D91" i="1"/>
  <c r="F61" i="1"/>
  <c r="H61" i="1" s="1"/>
  <c r="D51" i="1"/>
  <c r="E78" i="1"/>
  <c r="V3313" i="36" s="1"/>
  <c r="E46" i="1"/>
  <c r="V1843" i="36" s="1"/>
  <c r="F70" i="1"/>
  <c r="H70" i="1" s="1"/>
  <c r="E107" i="1"/>
  <c r="D42" i="1"/>
  <c r="F78" i="1"/>
  <c r="H78" i="1" s="1"/>
  <c r="D70" i="1"/>
  <c r="D46" i="1"/>
  <c r="E109" i="1"/>
  <c r="F60" i="1"/>
  <c r="E47" i="1"/>
  <c r="V1892" i="36" s="1"/>
  <c r="F29" i="1"/>
  <c r="H29" i="1" s="1"/>
  <c r="E43" i="1"/>
  <c r="V1696" i="36" s="1"/>
  <c r="E61" i="1"/>
  <c r="V2480" i="36" s="1"/>
  <c r="E108" i="1"/>
  <c r="F35" i="1"/>
  <c r="H35" i="1" s="1"/>
  <c r="D66" i="1"/>
  <c r="F76" i="1"/>
  <c r="H76" i="1" s="1"/>
  <c r="D90" i="1"/>
  <c r="O3805" i="36" s="1"/>
  <c r="E36" i="1"/>
  <c r="V1353" i="36" s="1"/>
  <c r="E38" i="1"/>
  <c r="V1451" i="36" s="1"/>
  <c r="F43" i="1"/>
  <c r="H43" i="1" s="1"/>
  <c r="E30" i="1"/>
  <c r="V1059" i="36" s="1"/>
  <c r="E51" i="1"/>
  <c r="V2088" i="36" s="1"/>
  <c r="F79" i="1"/>
  <c r="H79" i="1" s="1"/>
  <c r="D75" i="1"/>
  <c r="D127" i="1"/>
  <c r="E97" i="1"/>
  <c r="E60" i="1"/>
  <c r="V2431" i="36" s="1"/>
  <c r="E117" i="1"/>
  <c r="V5030" i="36" s="1"/>
  <c r="D44" i="1"/>
  <c r="E64" i="1"/>
  <c r="V2627" i="36" s="1"/>
  <c r="F54" i="1"/>
  <c r="H54" i="1" s="1"/>
  <c r="E72" i="1"/>
  <c r="V3019" i="36" s="1"/>
  <c r="E102" i="1"/>
  <c r="D28" i="1"/>
  <c r="F93" i="1"/>
  <c r="H93" i="1" s="1"/>
  <c r="E77" i="1"/>
  <c r="V3264" i="36" s="1"/>
  <c r="E71" i="1"/>
  <c r="V2970" i="36" s="1"/>
  <c r="F90" i="1"/>
  <c r="D121" i="1"/>
  <c r="D97" i="1"/>
  <c r="F122" i="1"/>
  <c r="H122" i="1" s="1"/>
  <c r="D50" i="1"/>
  <c r="E69" i="1"/>
  <c r="V2872" i="36" s="1"/>
  <c r="F41" i="1"/>
  <c r="H41" i="1" s="1"/>
  <c r="F37" i="1"/>
  <c r="H37" i="1" s="1"/>
  <c r="F39" i="1"/>
  <c r="H39" i="1" s="1"/>
  <c r="E115" i="1"/>
  <c r="V4932" i="36" s="1"/>
  <c r="F45" i="1"/>
  <c r="H45" i="1" s="1"/>
  <c r="F48" i="1"/>
  <c r="H48" i="1" l="1"/>
  <c r="F24" i="34"/>
  <c r="H28" i="1"/>
  <c r="F22" i="34"/>
  <c r="H38" i="1"/>
  <c r="F23" i="34"/>
  <c r="O5323" i="36"/>
  <c r="O5372" i="36"/>
  <c r="O3804" i="36"/>
  <c r="O4784" i="36"/>
  <c r="O4833" i="36"/>
  <c r="O3706" i="36"/>
  <c r="O3755" i="36"/>
  <c r="K39" i="1"/>
  <c r="L39" i="1"/>
  <c r="O3411" i="36"/>
  <c r="V80" i="1"/>
  <c r="K44" i="1"/>
  <c r="L44" i="1"/>
  <c r="K71" i="1"/>
  <c r="L71" i="1"/>
  <c r="L67" i="1"/>
  <c r="K67" i="1"/>
  <c r="V69" i="1"/>
  <c r="O2872" i="36"/>
  <c r="V68" i="1"/>
  <c r="O2823" i="36"/>
  <c r="V56" i="1"/>
  <c r="O2333" i="36"/>
  <c r="V95" i="1"/>
  <c r="O4050" i="36"/>
  <c r="V99" i="1"/>
  <c r="L31" i="1"/>
  <c r="K31" i="1"/>
  <c r="K96" i="1"/>
  <c r="L96" i="1"/>
  <c r="K40" i="1"/>
  <c r="L40" i="1"/>
  <c r="K47" i="1"/>
  <c r="L47" i="1"/>
  <c r="K51" i="1"/>
  <c r="L51" i="1"/>
  <c r="L118" i="1"/>
  <c r="K118" i="1"/>
  <c r="L69" i="1"/>
  <c r="K69" i="1"/>
  <c r="L107" i="1"/>
  <c r="K107" i="1"/>
  <c r="V60" i="1"/>
  <c r="O2431" i="36"/>
  <c r="V65" i="1"/>
  <c r="O2676" i="36"/>
  <c r="V67" i="1"/>
  <c r="O2774" i="36"/>
  <c r="L66" i="1"/>
  <c r="K66" i="1"/>
  <c r="K56" i="1"/>
  <c r="L56" i="1"/>
  <c r="V108" i="1"/>
  <c r="L34" i="1"/>
  <c r="K34" i="1"/>
  <c r="L28" i="1"/>
  <c r="K28" i="1"/>
  <c r="L94" i="1"/>
  <c r="K94" i="1"/>
  <c r="V43" i="1"/>
  <c r="O1696" i="36"/>
  <c r="V92" i="1"/>
  <c r="O3903" i="36"/>
  <c r="V50" i="1"/>
  <c r="O2039" i="36"/>
  <c r="V28" i="1"/>
  <c r="O961" i="36"/>
  <c r="V42" i="1"/>
  <c r="O1647" i="36"/>
  <c r="V122" i="1"/>
  <c r="O5275" i="36"/>
  <c r="L116" i="1"/>
  <c r="K116" i="1"/>
  <c r="L57" i="1"/>
  <c r="K57" i="1"/>
  <c r="L64" i="1"/>
  <c r="K64" i="1"/>
  <c r="V62" i="1"/>
  <c r="O2529" i="36"/>
  <c r="K48" i="1"/>
  <c r="L48" i="1"/>
  <c r="K37" i="1"/>
  <c r="L37" i="1"/>
  <c r="V66" i="1"/>
  <c r="O2725" i="36"/>
  <c r="V46" i="1"/>
  <c r="O1843" i="36"/>
  <c r="V70" i="1"/>
  <c r="O2921" i="36"/>
  <c r="K61" i="1"/>
  <c r="L61" i="1"/>
  <c r="V39" i="1"/>
  <c r="O1500" i="36"/>
  <c r="L73" i="1"/>
  <c r="K73" i="1"/>
  <c r="L98" i="1"/>
  <c r="K98" i="1"/>
  <c r="L92" i="1"/>
  <c r="K92" i="1"/>
  <c r="K117" i="1"/>
  <c r="L117" i="1"/>
  <c r="V105" i="1"/>
  <c r="V102" i="1"/>
  <c r="O1157" i="36"/>
  <c r="V32" i="1"/>
  <c r="V64" i="1"/>
  <c r="O2627" i="36"/>
  <c r="K77" i="1"/>
  <c r="L77" i="1"/>
  <c r="V33" i="1"/>
  <c r="O1206" i="36"/>
  <c r="L36" i="1"/>
  <c r="K36" i="1"/>
  <c r="V116" i="1"/>
  <c r="O4981" i="36"/>
  <c r="V120" i="1"/>
  <c r="O5177" i="36"/>
  <c r="V31" i="1"/>
  <c r="O1108" i="36"/>
  <c r="L53" i="1"/>
  <c r="K53" i="1"/>
  <c r="V107" i="1"/>
  <c r="L49" i="1"/>
  <c r="K49" i="1"/>
  <c r="K27" i="1"/>
  <c r="L27" i="1"/>
  <c r="K62" i="1"/>
  <c r="L62" i="1"/>
  <c r="L38" i="1"/>
  <c r="K38" i="1"/>
  <c r="V94" i="1"/>
  <c r="O4001" i="36"/>
  <c r="L108" i="1"/>
  <c r="K108" i="1"/>
  <c r="L46" i="1"/>
  <c r="K46" i="1"/>
  <c r="K97" i="1"/>
  <c r="L97" i="1"/>
  <c r="V101" i="1"/>
  <c r="K32" i="1"/>
  <c r="L32" i="1"/>
  <c r="V77" i="1"/>
  <c r="O3264" i="36"/>
  <c r="K54" i="1"/>
  <c r="L54" i="1"/>
  <c r="K70" i="1"/>
  <c r="L70" i="1"/>
  <c r="V41" i="1"/>
  <c r="O1598" i="36"/>
  <c r="O1990" i="36"/>
  <c r="V49" i="1"/>
  <c r="K68" i="1"/>
  <c r="L68" i="1"/>
  <c r="K55" i="1"/>
  <c r="L55" i="1"/>
  <c r="K95" i="1"/>
  <c r="L95" i="1"/>
  <c r="V38" i="1"/>
  <c r="O1451" i="36"/>
  <c r="L80" i="1"/>
  <c r="K80" i="1"/>
  <c r="V27" i="1"/>
  <c r="O912" i="36"/>
  <c r="K29" i="1"/>
  <c r="L29" i="1"/>
  <c r="K45" i="1"/>
  <c r="L45" i="1"/>
  <c r="K122" i="1"/>
  <c r="L122" i="1"/>
  <c r="V121" i="1"/>
  <c r="O5226" i="36"/>
  <c r="V44" i="1"/>
  <c r="O1745" i="36"/>
  <c r="V127" i="1"/>
  <c r="L43" i="1"/>
  <c r="K43" i="1"/>
  <c r="L78" i="1"/>
  <c r="K78" i="1"/>
  <c r="V91" i="1"/>
  <c r="O3854" i="36"/>
  <c r="V98" i="1"/>
  <c r="K103" i="1"/>
  <c r="L103" i="1"/>
  <c r="K50" i="1"/>
  <c r="L50" i="1"/>
  <c r="O2186" i="36"/>
  <c r="V53" i="1"/>
  <c r="K120" i="1"/>
  <c r="L120" i="1"/>
  <c r="V61" i="1"/>
  <c r="O2480" i="36"/>
  <c r="V74" i="1"/>
  <c r="O3117" i="36"/>
  <c r="K72" i="1"/>
  <c r="L72" i="1"/>
  <c r="O2235" i="36"/>
  <c r="V54" i="1"/>
  <c r="V78" i="1"/>
  <c r="O3313" i="36"/>
  <c r="L119" i="1"/>
  <c r="K119" i="1"/>
  <c r="V119" i="1"/>
  <c r="O5128" i="36"/>
  <c r="V96" i="1"/>
  <c r="K52" i="1"/>
  <c r="L52" i="1"/>
  <c r="L25" i="1"/>
  <c r="K25" i="1"/>
  <c r="K91" i="1"/>
  <c r="L91" i="1"/>
  <c r="V118" i="1"/>
  <c r="O5079" i="36"/>
  <c r="V93" i="1"/>
  <c r="O3952" i="36"/>
  <c r="K30" i="1"/>
  <c r="L30" i="1"/>
  <c r="L24" i="1"/>
  <c r="K24" i="1"/>
  <c r="V104" i="1"/>
  <c r="V30" i="1"/>
  <c r="O1059" i="36"/>
  <c r="O2724" i="36"/>
  <c r="O2920" i="36"/>
  <c r="O3116" i="36"/>
  <c r="O3312" i="36"/>
  <c r="O2773" i="36"/>
  <c r="O2969" i="36"/>
  <c r="O3165" i="36"/>
  <c r="O3361" i="36"/>
  <c r="V59" i="1"/>
  <c r="O2626" i="36"/>
  <c r="O2822" i="36"/>
  <c r="O3018" i="36"/>
  <c r="O3215" i="36"/>
  <c r="O3410" i="36"/>
  <c r="D30" i="34"/>
  <c r="C46" i="34" s="1"/>
  <c r="O2430" i="36"/>
  <c r="O2528" i="36"/>
  <c r="O2675" i="36"/>
  <c r="O2871" i="36"/>
  <c r="O3067" i="36"/>
  <c r="O3263" i="36"/>
  <c r="C24" i="42"/>
  <c r="L24" i="42" s="1"/>
  <c r="O2479" i="36"/>
  <c r="O2577" i="36"/>
  <c r="V109" i="1"/>
  <c r="V79" i="1"/>
  <c r="O3362" i="36"/>
  <c r="K105" i="1"/>
  <c r="L105" i="1"/>
  <c r="O3216" i="36"/>
  <c r="V76" i="1"/>
  <c r="K104" i="1"/>
  <c r="L104" i="1"/>
  <c r="K65" i="1"/>
  <c r="L65" i="1"/>
  <c r="V63" i="1"/>
  <c r="O2578" i="36"/>
  <c r="K79" i="1"/>
  <c r="L79" i="1"/>
  <c r="L76" i="1"/>
  <c r="K76" i="1"/>
  <c r="K101" i="1"/>
  <c r="L101" i="1"/>
  <c r="L41" i="1"/>
  <c r="K41" i="1"/>
  <c r="V97" i="1"/>
  <c r="L90" i="1"/>
  <c r="K90" i="1"/>
  <c r="H90" i="1"/>
  <c r="K93" i="1"/>
  <c r="L93" i="1"/>
  <c r="V75" i="1"/>
  <c r="O3166" i="36"/>
  <c r="V90" i="1"/>
  <c r="L35" i="1"/>
  <c r="K35" i="1"/>
  <c r="K60" i="1"/>
  <c r="L60" i="1"/>
  <c r="H60" i="1"/>
  <c r="V51" i="1"/>
  <c r="O2088" i="36"/>
  <c r="V106" i="1"/>
  <c r="V36" i="1"/>
  <c r="O1353" i="36"/>
  <c r="L106" i="1"/>
  <c r="K106" i="1"/>
  <c r="L115" i="1"/>
  <c r="K115" i="1"/>
  <c r="H115" i="1"/>
  <c r="K109" i="1"/>
  <c r="L109" i="1"/>
  <c r="L63" i="1"/>
  <c r="K63" i="1"/>
  <c r="L121" i="1"/>
  <c r="K121" i="1"/>
  <c r="V103" i="1"/>
  <c r="O1304" i="36"/>
  <c r="V35" i="1"/>
  <c r="O1794" i="36"/>
  <c r="V45" i="1"/>
  <c r="V34" i="1"/>
  <c r="O1255" i="36"/>
  <c r="O863" i="36"/>
  <c r="V26" i="1"/>
  <c r="V117" i="1"/>
  <c r="O5030" i="36"/>
  <c r="O3019" i="36"/>
  <c r="V72" i="1"/>
  <c r="O3068" i="36"/>
  <c r="V73" i="1"/>
  <c r="O1549" i="36"/>
  <c r="V40" i="1"/>
  <c r="V114" i="1"/>
  <c r="O5029" i="36"/>
  <c r="O4980" i="36"/>
  <c r="O4931" i="36"/>
  <c r="O5127" i="36"/>
  <c r="O5225" i="36"/>
  <c r="O5078" i="36"/>
  <c r="O5176" i="36"/>
  <c r="O5274" i="36"/>
  <c r="V89" i="1"/>
  <c r="V52" i="1"/>
  <c r="O2137" i="36"/>
  <c r="O2382" i="36"/>
  <c r="V57" i="1"/>
  <c r="K102" i="1"/>
  <c r="L102" i="1"/>
  <c r="K75" i="1"/>
  <c r="L75" i="1"/>
  <c r="V100" i="1"/>
  <c r="K42" i="1"/>
  <c r="L42" i="1"/>
  <c r="V37" i="1"/>
  <c r="O1402" i="36"/>
  <c r="V115" i="1"/>
  <c r="O4932" i="36"/>
  <c r="L26" i="1"/>
  <c r="K26" i="1"/>
  <c r="V29" i="1"/>
  <c r="O1010" i="36"/>
  <c r="V55" i="1"/>
  <c r="O2284" i="36"/>
  <c r="V47" i="1"/>
  <c r="O1892" i="36"/>
  <c r="L33" i="1"/>
  <c r="K33" i="1"/>
  <c r="V71" i="1"/>
  <c r="O2970" i="36"/>
  <c r="K100" i="1"/>
  <c r="L100" i="1"/>
  <c r="V48" i="1"/>
  <c r="O1941" i="36"/>
  <c r="K99" i="1"/>
  <c r="L99" i="1"/>
  <c r="K74" i="1"/>
  <c r="L74" i="1"/>
  <c r="K23" i="34" l="1"/>
  <c r="L23" i="34"/>
  <c r="H23" i="34"/>
  <c r="L22" i="34"/>
  <c r="L29" i="34" s="1"/>
  <c r="L92" i="34" s="1"/>
  <c r="K22" i="34"/>
  <c r="K29" i="34" s="1"/>
  <c r="K92" i="34" s="1"/>
  <c r="H22" i="34"/>
  <c r="H29" i="34" s="1"/>
  <c r="H92" i="34" s="1"/>
  <c r="L24" i="34"/>
  <c r="K24" i="34"/>
  <c r="H24" i="34"/>
  <c r="H114" i="1"/>
  <c r="L114" i="1"/>
  <c r="K114" i="1"/>
  <c r="H59" i="1"/>
  <c r="D129" i="1"/>
  <c r="D128" i="1"/>
  <c r="E128" i="1"/>
  <c r="E129" i="1"/>
  <c r="L59" i="1"/>
  <c r="L18" i="1"/>
  <c r="L89" i="1"/>
  <c r="H89" i="1"/>
  <c r="K59" i="1"/>
  <c r="H18" i="1"/>
  <c r="K89" i="1"/>
  <c r="K18" i="1"/>
  <c r="H95" i="34" l="1"/>
  <c r="H96" i="34" s="1"/>
  <c r="H93" i="34"/>
  <c r="H97" i="34" s="1"/>
  <c r="H99" i="34" s="1"/>
  <c r="H103" i="34" s="1"/>
  <c r="H94" i="34"/>
  <c r="F128" i="1"/>
  <c r="V128" i="1"/>
  <c r="V129" i="1"/>
  <c r="K127" i="1"/>
  <c r="H127" i="1"/>
  <c r="L127" i="1"/>
  <c r="L128" i="1" l="1"/>
  <c r="H128" i="1"/>
  <c r="K128" i="1"/>
  <c r="F130" i="1"/>
  <c r="H130" i="1" s="1"/>
  <c r="E130" i="1"/>
  <c r="D130" i="1"/>
  <c r="E131" i="1"/>
  <c r="F129" i="1"/>
  <c r="H129" i="1" s="1"/>
  <c r="L130" i="1" l="1"/>
  <c r="K130" i="1"/>
  <c r="D131" i="1"/>
  <c r="L129" i="1"/>
  <c r="K129" i="1"/>
  <c r="V130" i="1"/>
  <c r="F131" i="1" l="1"/>
  <c r="H131" i="1" s="1"/>
  <c r="E132" i="1"/>
  <c r="V131" i="1"/>
  <c r="F132" i="1"/>
  <c r="H132" i="1" s="1"/>
  <c r="D132" i="1"/>
  <c r="L132" i="1" l="1"/>
  <c r="K132" i="1"/>
  <c r="L131" i="1"/>
  <c r="K131" i="1"/>
  <c r="V132" i="1"/>
  <c r="H126" i="1" l="1"/>
  <c r="L126" i="1"/>
  <c r="L139" i="1" s="1"/>
  <c r="K126" i="1"/>
  <c r="K139" i="1" s="1"/>
  <c r="H139" i="1" l="1"/>
  <c r="H141" i="1" s="1"/>
  <c r="I10" i="43" s="1"/>
  <c r="I8" i="43" l="1"/>
  <c r="I33" i="43" s="1"/>
  <c r="N928" i="35"/>
  <c r="H142" i="1"/>
  <c r="H143" i="1" s="1"/>
  <c r="I14" i="43" s="1"/>
  <c r="H51" i="43" s="1"/>
  <c r="H50" i="43"/>
  <c r="I50" i="43" s="1"/>
  <c r="H52" i="43"/>
  <c r="I52" i="43" s="1"/>
  <c r="I38" i="43"/>
  <c r="I51" i="43"/>
  <c r="I11" i="43"/>
  <c r="I23" i="43"/>
  <c r="I29" i="43"/>
  <c r="I31" i="43"/>
  <c r="I46" i="43"/>
  <c r="I27" i="43"/>
  <c r="I37" i="43"/>
  <c r="I22" i="43"/>
  <c r="I34" i="43"/>
  <c r="I30" i="43"/>
  <c r="H56" i="43"/>
  <c r="I56" i="43" s="1"/>
  <c r="I55" i="43" s="1"/>
  <c r="I40" i="43"/>
  <c r="I35" i="43"/>
  <c r="H53" i="43"/>
  <c r="I53" i="43" s="1"/>
  <c r="I42" i="43"/>
  <c r="I39" i="43"/>
  <c r="I28" i="43"/>
  <c r="I24" i="43"/>
  <c r="I26" i="43"/>
  <c r="I36" i="43"/>
  <c r="H49" i="43"/>
  <c r="I49" i="43" s="1"/>
  <c r="I43" i="43"/>
  <c r="I25" i="43"/>
  <c r="I44" i="43"/>
  <c r="I48" i="43" l="1"/>
  <c r="I19" i="43"/>
  <c r="I58" i="43" l="1"/>
  <c r="G140" i="1" s="1"/>
  <c r="H140" i="1" l="1"/>
  <c r="I9" i="43" s="1"/>
  <c r="D9" i="43"/>
  <c r="AA6" i="36" s="1"/>
  <c r="H144" i="1" l="1"/>
  <c r="H146" i="1" s="1"/>
  <c r="I12" i="43" s="1"/>
  <c r="Y4981" i="36" l="1"/>
  <c r="Y4540" i="36"/>
  <c r="O4883" i="36" l="1"/>
  <c r="Y4883" i="36"/>
  <c r="V4883" i="36"/>
  <c r="O5373" i="36"/>
  <c r="V5324" i="36"/>
  <c r="V5373" i="36"/>
  <c r="O5324" i="36"/>
  <c r="Y5324" i="36"/>
  <c r="Y5354" i="36" s="1"/>
  <c r="AB5354" i="36" s="1"/>
  <c r="Y5373" i="36"/>
  <c r="Y4785" i="36"/>
  <c r="Y4815" i="36" s="1"/>
  <c r="AB4815" i="36" s="1"/>
  <c r="Y4834" i="36"/>
  <c r="O5810" i="36"/>
  <c r="O5908" i="36"/>
  <c r="O5859" i="36"/>
  <c r="Y5859" i="36"/>
  <c r="Y5865" i="36" s="1"/>
  <c r="AB5865" i="36" s="1"/>
  <c r="Y5908" i="36"/>
  <c r="Y5471" i="36"/>
  <c r="Z5481" i="36" s="1"/>
  <c r="Y5810" i="36"/>
  <c r="Y3117" i="36"/>
  <c r="Y3124" i="36" s="1"/>
  <c r="AB3124" i="36" s="1"/>
  <c r="Y1990" i="36"/>
  <c r="Y2015" i="36" s="1"/>
  <c r="AB2015" i="36" s="1"/>
  <c r="Y2284" i="36"/>
  <c r="Y2306" i="36" s="1"/>
  <c r="AB2306" i="36" s="1"/>
  <c r="O5760" i="36"/>
  <c r="O5421" i="36"/>
  <c r="O5564" i="36"/>
  <c r="O5470" i="36"/>
  <c r="O5662" i="36"/>
  <c r="O5711" i="36"/>
  <c r="O5515" i="36"/>
  <c r="O5613" i="36"/>
  <c r="Y4148" i="36"/>
  <c r="Z4156" i="36" s="1"/>
  <c r="Y3313" i="36"/>
  <c r="Z3321" i="36" s="1"/>
  <c r="Y2627" i="36"/>
  <c r="Z2642" i="36" s="1"/>
  <c r="V5712" i="36"/>
  <c r="V5761" i="36"/>
  <c r="V5422" i="36"/>
  <c r="O5422" i="36"/>
  <c r="V5471" i="36"/>
  <c r="O5471" i="36"/>
  <c r="V5516" i="36"/>
  <c r="O5516" i="36"/>
  <c r="V5614" i="36"/>
  <c r="V5565" i="36"/>
  <c r="O5565" i="36"/>
  <c r="O5614" i="36"/>
  <c r="V5663" i="36"/>
  <c r="O5663" i="36"/>
  <c r="Y912" i="36"/>
  <c r="Z925" i="36" s="1"/>
  <c r="Y4736" i="36"/>
  <c r="Y4742" i="36" s="1"/>
  <c r="AB4742" i="36" s="1"/>
  <c r="Y3216" i="36"/>
  <c r="Y3228" i="36" s="1"/>
  <c r="Y3166" i="36"/>
  <c r="AB3201" i="36" s="1"/>
  <c r="Y2725" i="36"/>
  <c r="Y2748" i="36" s="1"/>
  <c r="AB2748" i="36" s="1"/>
  <c r="Y1794" i="36"/>
  <c r="Z1808" i="36" s="1"/>
  <c r="O5761" i="36"/>
  <c r="O5712" i="36"/>
  <c r="Y4099" i="36"/>
  <c r="Z4123" i="36" s="1"/>
  <c r="Y4197" i="36"/>
  <c r="Z4227" i="36" s="1"/>
  <c r="Y2872" i="36"/>
  <c r="Y2887" i="36" s="1"/>
  <c r="AB2887" i="36" s="1"/>
  <c r="Y474" i="36"/>
  <c r="Z497" i="36" s="1"/>
  <c r="Y5712" i="36"/>
  <c r="Y5761" i="36"/>
  <c r="I15" i="43"/>
  <c r="O474" i="36"/>
  <c r="V474" i="36"/>
  <c r="Y2186" i="36"/>
  <c r="Y2217" i="36" s="1"/>
  <c r="AB2217" i="36" s="1"/>
  <c r="Y4295" i="36"/>
  <c r="Z4317" i="36" s="1"/>
  <c r="Y2823" i="36"/>
  <c r="Y2829" i="36" s="1"/>
  <c r="AB2829" i="36" s="1"/>
  <c r="Y234" i="36"/>
  <c r="Y251" i="36" s="1"/>
  <c r="AB251" i="36" s="1"/>
  <c r="Y2235" i="36"/>
  <c r="Y2241" i="36" s="1"/>
  <c r="AB2241" i="36" s="1"/>
  <c r="O426" i="36"/>
  <c r="V426" i="36"/>
  <c r="Y426" i="36"/>
  <c r="Y3068" i="36"/>
  <c r="Y3076" i="36" s="1"/>
  <c r="AB3076" i="36" s="1"/>
  <c r="O378" i="36"/>
  <c r="Y378" i="36"/>
  <c r="V378" i="36"/>
  <c r="Y1598" i="36"/>
  <c r="Z1630" i="36" s="1"/>
  <c r="Y4638" i="36"/>
  <c r="Z4655" i="36" s="1"/>
  <c r="Y4442" i="36"/>
  <c r="Z4446" i="36" s="1"/>
  <c r="Y570" i="36"/>
  <c r="Y576" i="36" s="1"/>
  <c r="AB576" i="36" s="1"/>
  <c r="Y5614" i="36"/>
  <c r="Y5646" i="36" s="1"/>
  <c r="AB5646" i="36" s="1"/>
  <c r="Y1206" i="36"/>
  <c r="Y1213" i="36" s="1"/>
  <c r="AB1213" i="36" s="1"/>
  <c r="Y4001" i="36"/>
  <c r="Z4014" i="36" s="1"/>
  <c r="Y1353" i="36"/>
  <c r="Z1359" i="36" s="1"/>
  <c r="Y4932" i="36"/>
  <c r="AB4951" i="36" s="1"/>
  <c r="Y3903" i="36"/>
  <c r="Z3910" i="36" s="1"/>
  <c r="Y4246" i="36"/>
  <c r="Z4261" i="36" s="1"/>
  <c r="Y5128" i="36"/>
  <c r="Y5143" i="36" s="1"/>
  <c r="AB5143" i="36" s="1"/>
  <c r="Y1696" i="36"/>
  <c r="AB1715" i="36" s="1"/>
  <c r="Y4589" i="36"/>
  <c r="Y4606" i="36" s="1"/>
  <c r="AB4606" i="36" s="1"/>
  <c r="Y1255" i="36"/>
  <c r="Z1280" i="36" s="1"/>
  <c r="Y5422" i="36"/>
  <c r="Z5427" i="36" s="1"/>
  <c r="Y2578" i="36"/>
  <c r="Y1892" i="36"/>
  <c r="Z1896" i="36" s="1"/>
  <c r="Y765" i="36"/>
  <c r="Z788" i="36" s="1"/>
  <c r="Y282" i="36"/>
  <c r="AB292" i="36" s="1"/>
  <c r="Y3854" i="36"/>
  <c r="Y3877" i="36" s="1"/>
  <c r="AB3877" i="36" s="1"/>
  <c r="Y4491" i="36"/>
  <c r="Z4498" i="36" s="1"/>
  <c r="Y1745" i="36"/>
  <c r="Y1759" i="36" s="1"/>
  <c r="AB1759" i="36" s="1"/>
  <c r="Y961" i="36"/>
  <c r="Z978" i="36" s="1"/>
  <c r="Y3362" i="36"/>
  <c r="Z3386" i="36" s="1"/>
  <c r="Y716" i="36"/>
  <c r="Z732" i="36" s="1"/>
  <c r="Y5177" i="36"/>
  <c r="Y5184" i="36" s="1"/>
  <c r="AB5184" i="36" s="1"/>
  <c r="Y5275" i="36"/>
  <c r="Z5298" i="36" s="1"/>
  <c r="Y1843" i="36"/>
  <c r="Y1874" i="36" s="1"/>
  <c r="AB1874" i="36" s="1"/>
  <c r="Y814" i="36"/>
  <c r="Z836" i="36" s="1"/>
  <c r="Y5079" i="36"/>
  <c r="Y5103" i="36" s="1"/>
  <c r="AB5103" i="36" s="1"/>
  <c r="Y5663" i="36"/>
  <c r="Y5693" i="36" s="1"/>
  <c r="AB5693" i="36" s="1"/>
  <c r="Y1500" i="36"/>
  <c r="Y2676" i="36"/>
  <c r="Y2682" i="36" s="1"/>
  <c r="AB2682" i="36" s="1"/>
  <c r="Y2970" i="36"/>
  <c r="Y2978" i="36" s="1"/>
  <c r="AB2978" i="36" s="1"/>
  <c r="Y1941" i="36"/>
  <c r="AB1951" i="36" s="1"/>
  <c r="Y4344" i="36"/>
  <c r="Z4357" i="36" s="1"/>
  <c r="Y5565" i="36"/>
  <c r="Z5579" i="36" s="1"/>
  <c r="Y863" i="36"/>
  <c r="Z878" i="36" s="1"/>
  <c r="Y5030" i="36"/>
  <c r="Z5054" i="36" s="1"/>
  <c r="Y3264" i="36"/>
  <c r="Y1010" i="36"/>
  <c r="Z1034" i="36" s="1"/>
  <c r="Y1549" i="36"/>
  <c r="Z1555" i="36" s="1"/>
  <c r="Y1059" i="36"/>
  <c r="Z1067" i="36" s="1"/>
  <c r="Y522" i="36"/>
  <c r="Y536" i="36" s="1"/>
  <c r="Y3952" i="36"/>
  <c r="Z3957" i="36" s="1"/>
  <c r="Y4393" i="36"/>
  <c r="Z4416" i="36" s="1"/>
  <c r="Y2480" i="36"/>
  <c r="Y2486" i="36" s="1"/>
  <c r="AB2486" i="36" s="1"/>
  <c r="Y5516" i="36"/>
  <c r="Y5540" i="36" s="1"/>
  <c r="AB5540" i="36" s="1"/>
  <c r="Y185" i="36"/>
  <c r="Y216" i="36" s="1"/>
  <c r="AB216" i="36" s="1"/>
  <c r="Y2431" i="36"/>
  <c r="Z2444" i="36" s="1"/>
  <c r="Y2333" i="36"/>
  <c r="Z2350" i="36" s="1"/>
  <c r="Y5226" i="36"/>
  <c r="Z5239" i="36" s="1"/>
  <c r="Y2921" i="36"/>
  <c r="Z2953" i="36" s="1"/>
  <c r="Y1647" i="36"/>
  <c r="Y1671" i="36" s="1"/>
  <c r="AB1671" i="36" s="1"/>
  <c r="Y3411" i="36"/>
  <c r="Z3426" i="36" s="1"/>
  <c r="Y667" i="36"/>
  <c r="Z671" i="36" s="1"/>
  <c r="Y3019" i="36"/>
  <c r="Z3041" i="36" s="1"/>
  <c r="Y2774" i="36"/>
  <c r="Z2778" i="36" s="1"/>
  <c r="Y2382" i="36"/>
  <c r="Y2529" i="36"/>
  <c r="Y2554" i="36" s="1"/>
  <c r="AB2554" i="36" s="1"/>
  <c r="Y1108" i="36"/>
  <c r="Z1139" i="36" s="1"/>
  <c r="Y1402" i="36"/>
  <c r="Y1304" i="36"/>
  <c r="Z1327" i="36" s="1"/>
  <c r="Y4050" i="36"/>
  <c r="Z4081" i="36" s="1"/>
  <c r="Y4687" i="36"/>
  <c r="Z4718" i="36" s="1"/>
  <c r="Y2039" i="36"/>
  <c r="Z2061" i="36" s="1"/>
  <c r="Y2088" i="36"/>
  <c r="Y2120" i="36" s="1"/>
  <c r="AB2120" i="36" s="1"/>
  <c r="Y1157" i="36"/>
  <c r="Z1163" i="36" s="1"/>
  <c r="Y1451" i="36"/>
  <c r="Y1473" i="36" s="1"/>
  <c r="AB1473" i="36" s="1"/>
  <c r="Y2137" i="36"/>
  <c r="Y2151" i="36" s="1"/>
  <c r="AB2151" i="36" s="1"/>
  <c r="Y618" i="36"/>
  <c r="Y330" i="36"/>
  <c r="Z345" i="36" s="1"/>
  <c r="Y3707" i="36"/>
  <c r="Y3737" i="36" s="1"/>
  <c r="AB3737" i="36" s="1"/>
  <c r="Y3756" i="36"/>
  <c r="O3657" i="36"/>
  <c r="Y3658" i="36"/>
  <c r="O3608" i="36"/>
  <c r="Y3609" i="36"/>
  <c r="Y3560" i="36"/>
  <c r="O3559" i="36"/>
  <c r="Y3805" i="36"/>
  <c r="Z3812" i="36" s="1"/>
  <c r="Y3511" i="36"/>
  <c r="O3510" i="36"/>
  <c r="V4736" i="36"/>
  <c r="V4589" i="36"/>
  <c r="V4393" i="36"/>
  <c r="V4246" i="36"/>
  <c r="O4246" i="36"/>
  <c r="O4687" i="36"/>
  <c r="O4540" i="36"/>
  <c r="O4344" i="36"/>
  <c r="O4148" i="36"/>
  <c r="V4638" i="36"/>
  <c r="V4344" i="36"/>
  <c r="V4148" i="36"/>
  <c r="V4295" i="36"/>
  <c r="O4638" i="36"/>
  <c r="O4197" i="36"/>
  <c r="V4491" i="36"/>
  <c r="V4099" i="36"/>
  <c r="V4687" i="36"/>
  <c r="O4393" i="36"/>
  <c r="O4589" i="36"/>
  <c r="O4295" i="36"/>
  <c r="V4442" i="36"/>
  <c r="V4197" i="36"/>
  <c r="V4540" i="36"/>
  <c r="O4099" i="36"/>
  <c r="O4491" i="36"/>
  <c r="O4736" i="36"/>
  <c r="O4442" i="36"/>
  <c r="O4196" i="36"/>
  <c r="O4539" i="36"/>
  <c r="O4294" i="36"/>
  <c r="O4735" i="36"/>
  <c r="O4049" i="36"/>
  <c r="O4392" i="36"/>
  <c r="O4245" i="36"/>
  <c r="O4490" i="36"/>
  <c r="O4000" i="36"/>
  <c r="O3902" i="36"/>
  <c r="O4588" i="36"/>
  <c r="O4441" i="36"/>
  <c r="O4147" i="36"/>
  <c r="O4098" i="36"/>
  <c r="O4686" i="36"/>
  <c r="O4637" i="36"/>
  <c r="O4343" i="36"/>
  <c r="O3951" i="36"/>
  <c r="O3853" i="36"/>
  <c r="O3461" i="36"/>
  <c r="Y3462" i="36"/>
  <c r="Z4553" i="36"/>
  <c r="Y4546" i="36"/>
  <c r="AB4546" i="36" s="1"/>
  <c r="Z4554" i="36"/>
  <c r="Z4556" i="36"/>
  <c r="Y4556" i="36"/>
  <c r="AB4556" i="36" s="1"/>
  <c r="Z4572" i="36"/>
  <c r="AB4550" i="36"/>
  <c r="Z4571" i="36"/>
  <c r="Y4572" i="36"/>
  <c r="AB4572" i="36" s="1"/>
  <c r="Z4545" i="36"/>
  <c r="Y4547" i="36"/>
  <c r="AB4547" i="36" s="1"/>
  <c r="Z4555" i="36"/>
  <c r="Z4544" i="36"/>
  <c r="Y4557" i="36"/>
  <c r="AB4557" i="36" s="1"/>
  <c r="Y4570" i="36"/>
  <c r="AB4570" i="36" s="1"/>
  <c r="Z4562" i="36"/>
  <c r="Y4571" i="36"/>
  <c r="AB4571" i="36" s="1"/>
  <c r="Z4547" i="36"/>
  <c r="Z4546" i="36"/>
  <c r="Z4570" i="36"/>
  <c r="Y4554" i="36"/>
  <c r="AB4554" i="36" s="1"/>
  <c r="Z4563" i="36"/>
  <c r="AB4559" i="36"/>
  <c r="Y4564" i="36"/>
  <c r="AB4564" i="36" s="1"/>
  <c r="Y4563" i="36"/>
  <c r="AB4563" i="36" s="1"/>
  <c r="AB4567" i="36"/>
  <c r="Y4553" i="36"/>
  <c r="Z4565" i="36"/>
  <c r="Y4545" i="36"/>
  <c r="AB4545" i="36" s="1"/>
  <c r="Z4557" i="36"/>
  <c r="Y4555" i="36"/>
  <c r="AB4555" i="36" s="1"/>
  <c r="Y4562" i="36"/>
  <c r="AB4562" i="36" s="1"/>
  <c r="Z4548" i="36"/>
  <c r="Y4565" i="36"/>
  <c r="AB4565" i="36" s="1"/>
  <c r="AB4574" i="36"/>
  <c r="Z4564" i="36"/>
  <c r="Y4548" i="36"/>
  <c r="AB4548" i="36" s="1"/>
  <c r="Y2208" i="36"/>
  <c r="AB2208" i="36" s="1"/>
  <c r="Y4994" i="36"/>
  <c r="Y4988" i="36"/>
  <c r="AB4988" i="36" s="1"/>
  <c r="Z4998" i="36"/>
  <c r="Y4996" i="36"/>
  <c r="AB4996" i="36" s="1"/>
  <c r="Z4988" i="36"/>
  <c r="Y5006" i="36"/>
  <c r="AB5006" i="36" s="1"/>
  <c r="Y5012" i="36"/>
  <c r="AB5012" i="36" s="1"/>
  <c r="Y5003" i="36"/>
  <c r="AB5003" i="36" s="1"/>
  <c r="Z5004" i="36"/>
  <c r="Z5013" i="36"/>
  <c r="Y4989" i="36"/>
  <c r="AB4989" i="36" s="1"/>
  <c r="Z4986" i="36"/>
  <c r="Y4997" i="36"/>
  <c r="AB4997" i="36" s="1"/>
  <c r="Z5003" i="36"/>
  <c r="Z4997" i="36"/>
  <c r="AB5000" i="36"/>
  <c r="Y5005" i="36"/>
  <c r="AB5005" i="36" s="1"/>
  <c r="Y5011" i="36"/>
  <c r="AB5011" i="36" s="1"/>
  <c r="Z5006" i="36"/>
  <c r="Y4986" i="36"/>
  <c r="AB4986" i="36" s="1"/>
  <c r="AB5015" i="36"/>
  <c r="Z4987" i="36"/>
  <c r="Y4998" i="36"/>
  <c r="AB4998" i="36" s="1"/>
  <c r="Z4996" i="36"/>
  <c r="Z5012" i="36"/>
  <c r="Z4985" i="36"/>
  <c r="AB4991" i="36"/>
  <c r="Y5013" i="36"/>
  <c r="AB5013" i="36" s="1"/>
  <c r="Z4994" i="36"/>
  <c r="Y4987" i="36"/>
  <c r="AB4987" i="36" s="1"/>
  <c r="Z5011" i="36"/>
  <c r="Y4995" i="36"/>
  <c r="AB4995" i="36" s="1"/>
  <c r="AB5008" i="36"/>
  <c r="Y5004" i="36"/>
  <c r="AB5004" i="36" s="1"/>
  <c r="Z5005" i="36"/>
  <c r="Z4995" i="36"/>
  <c r="Z4989" i="36"/>
  <c r="Z2020" i="36"/>
  <c r="Z5486" i="36"/>
  <c r="Z5476" i="36"/>
  <c r="Z5485" i="36"/>
  <c r="Z1825" i="36"/>
  <c r="Y1807" i="36"/>
  <c r="AB1813" i="36"/>
  <c r="Y2007" i="36" l="1"/>
  <c r="AB2007" i="36" s="1"/>
  <c r="Y2651" i="36"/>
  <c r="AB2651" i="36" s="1"/>
  <c r="AB4158" i="36"/>
  <c r="Z2316" i="36"/>
  <c r="Z5488" i="36"/>
  <c r="Z2649" i="36"/>
  <c r="Z2635" i="36"/>
  <c r="Z2633" i="36"/>
  <c r="AC4998" i="36"/>
  <c r="Y2650" i="36"/>
  <c r="AB2650" i="36" s="1"/>
  <c r="Z2021" i="36"/>
  <c r="Z2307" i="36"/>
  <c r="Z2657" i="36"/>
  <c r="Y2297" i="36"/>
  <c r="J734" i="35" s="1"/>
  <c r="K734" i="35" s="1"/>
  <c r="AB2646" i="36"/>
  <c r="Z2005" i="36"/>
  <c r="Y2005" i="36"/>
  <c r="AB2005" i="36" s="1"/>
  <c r="AB2294" i="36"/>
  <c r="Y1997" i="36"/>
  <c r="AB1997" i="36" s="1"/>
  <c r="Z2640" i="36"/>
  <c r="Z2014" i="36"/>
  <c r="Z1994" i="36"/>
  <c r="Z2641" i="36"/>
  <c r="Z2659" i="36"/>
  <c r="Z2004" i="36"/>
  <c r="Z1997" i="36"/>
  <c r="Z2658" i="36"/>
  <c r="Y2021" i="36"/>
  <c r="AB2021" i="36" s="1"/>
  <c r="Y2006" i="36"/>
  <c r="AB2006" i="36" s="1"/>
  <c r="Y2632" i="36"/>
  <c r="AB2632" i="36" s="1"/>
  <c r="Y2266" i="36"/>
  <c r="AB2266" i="36" s="1"/>
  <c r="Z2634" i="36"/>
  <c r="Z2651" i="36"/>
  <c r="AB4763" i="36"/>
  <c r="Z2006" i="36"/>
  <c r="AB2009" i="36"/>
  <c r="Z2643" i="36"/>
  <c r="Z2644" i="36"/>
  <c r="Y2649" i="36"/>
  <c r="AB2649" i="36" s="1"/>
  <c r="Y2012" i="36"/>
  <c r="AB2012" i="36" s="1"/>
  <c r="AB2024" i="36"/>
  <c r="Z2007" i="36"/>
  <c r="AC2007" i="36" s="1"/>
  <c r="Y4221" i="36"/>
  <c r="AB4221" i="36" s="1"/>
  <c r="Y2657" i="36"/>
  <c r="AB2657" i="36" s="1"/>
  <c r="Y2635" i="36"/>
  <c r="AB2635" i="36" s="1"/>
  <c r="AC2635" i="36" s="1"/>
  <c r="AB2661" i="36"/>
  <c r="Y1998" i="36"/>
  <c r="AB1998" i="36" s="1"/>
  <c r="Z1998" i="36"/>
  <c r="Z1995" i="36"/>
  <c r="Y2640" i="36"/>
  <c r="J662" i="35" s="1"/>
  <c r="K662" i="35" s="1"/>
  <c r="Z2650" i="36"/>
  <c r="Y2642" i="36"/>
  <c r="AB2642" i="36" s="1"/>
  <c r="AC2642" i="36" s="1"/>
  <c r="Y2013" i="36"/>
  <c r="AB2013" i="36" s="1"/>
  <c r="Y2022" i="36"/>
  <c r="AB2022" i="36" s="1"/>
  <c r="Y2020" i="36"/>
  <c r="AB2020" i="36" s="1"/>
  <c r="Y2652" i="36"/>
  <c r="AB2652" i="36" s="1"/>
  <c r="Y2634" i="36"/>
  <c r="AB2634" i="36" s="1"/>
  <c r="Z2652" i="36"/>
  <c r="AB2017" i="36"/>
  <c r="Y2014" i="36"/>
  <c r="AB2014" i="36" s="1"/>
  <c r="Z2022" i="36"/>
  <c r="Y2658" i="36"/>
  <c r="AB2658" i="36" s="1"/>
  <c r="AB2654" i="36"/>
  <c r="Z2003" i="36"/>
  <c r="Z2012" i="36"/>
  <c r="Y4743" i="36"/>
  <c r="AB4743" i="36" s="1"/>
  <c r="AB4755" i="36"/>
  <c r="Z4749" i="36"/>
  <c r="AB4746" i="36"/>
  <c r="Y4761" i="36"/>
  <c r="AB4761" i="36" s="1"/>
  <c r="Z4766" i="36"/>
  <c r="Z4760" i="36"/>
  <c r="Y4766" i="36"/>
  <c r="AB4766" i="36" s="1"/>
  <c r="AC4986" i="36"/>
  <c r="Z4768" i="36"/>
  <c r="Z4744" i="36"/>
  <c r="Y4767" i="36"/>
  <c r="AB4767" i="36" s="1"/>
  <c r="Y4751" i="36"/>
  <c r="AB4751" i="36" s="1"/>
  <c r="Z4751" i="36"/>
  <c r="Y5483" i="36"/>
  <c r="AB5483" i="36" s="1"/>
  <c r="AB5478" i="36"/>
  <c r="Z2291" i="36"/>
  <c r="Z2298" i="36"/>
  <c r="Z2297" i="36"/>
  <c r="Y2641" i="36"/>
  <c r="AB2641" i="36" s="1"/>
  <c r="Y2644" i="36"/>
  <c r="AB2644" i="36" s="1"/>
  <c r="AC2644" i="36" s="1"/>
  <c r="AB2637" i="36"/>
  <c r="Y2633" i="36"/>
  <c r="AB2633" i="36" s="1"/>
  <c r="Z2632" i="36"/>
  <c r="Y2659" i="36"/>
  <c r="AB2659" i="36" s="1"/>
  <c r="Y2643" i="36"/>
  <c r="AB2643" i="36" s="1"/>
  <c r="Z2631" i="36"/>
  <c r="Y1825" i="36"/>
  <c r="AB1825" i="36" s="1"/>
  <c r="Y2880" i="36"/>
  <c r="AB2880" i="36" s="1"/>
  <c r="Z5493" i="36"/>
  <c r="Z5494" i="36" s="1"/>
  <c r="Z5495" i="36" s="1"/>
  <c r="Q128" i="1" s="1"/>
  <c r="Z4752" i="36"/>
  <c r="Z4761" i="36"/>
  <c r="AB4770" i="36"/>
  <c r="Y4750" i="36"/>
  <c r="AB4750" i="36" s="1"/>
  <c r="Z4740" i="36"/>
  <c r="Z2015" i="36"/>
  <c r="Y2003" i="36"/>
  <c r="J678" i="35" s="1"/>
  <c r="K678" i="35" s="1"/>
  <c r="Z2013" i="36"/>
  <c r="Y1996" i="36"/>
  <c r="AB1996" i="36" s="1"/>
  <c r="Y1995" i="36"/>
  <c r="AB1995" i="36" s="1"/>
  <c r="AB2000" i="36"/>
  <c r="Z1996" i="36"/>
  <c r="Y2004" i="36"/>
  <c r="AB2004" i="36" s="1"/>
  <c r="Y2314" i="36"/>
  <c r="AB2314" i="36" s="1"/>
  <c r="Y2289" i="36"/>
  <c r="AB2289" i="36" s="1"/>
  <c r="Z2290" i="36"/>
  <c r="Y5485" i="36"/>
  <c r="Z5487" i="36"/>
  <c r="Y5498" i="36"/>
  <c r="AB5498" i="36" s="1"/>
  <c r="Y5481" i="36"/>
  <c r="J739" i="35" s="1"/>
  <c r="K739" i="35" s="1"/>
  <c r="Y2301" i="36"/>
  <c r="AB2301" i="36" s="1"/>
  <c r="Y2308" i="36"/>
  <c r="AB2308" i="36" s="1"/>
  <c r="Z2292" i="36"/>
  <c r="Z2300" i="36"/>
  <c r="Z4115" i="36"/>
  <c r="AB3225" i="36"/>
  <c r="Y5499" i="36"/>
  <c r="AB5499" i="36" s="1"/>
  <c r="Z5482" i="36"/>
  <c r="Z5475" i="36"/>
  <c r="Y3149" i="36"/>
  <c r="AB3149" i="36" s="1"/>
  <c r="Y2291" i="36"/>
  <c r="AB2291" i="36" s="1"/>
  <c r="Z2309" i="36"/>
  <c r="AB2311" i="36"/>
  <c r="Z2289" i="36"/>
  <c r="Z2288" i="36"/>
  <c r="Z2251" i="36"/>
  <c r="Z2210" i="36"/>
  <c r="Y4204" i="36"/>
  <c r="AB4204" i="36" s="1"/>
  <c r="Z2242" i="36"/>
  <c r="AB2220" i="36"/>
  <c r="Y4212" i="36"/>
  <c r="AB4212" i="36" s="1"/>
  <c r="Z2250" i="36"/>
  <c r="Y2251" i="36"/>
  <c r="AB2251" i="36" s="1"/>
  <c r="Z2192" i="36"/>
  <c r="Z4220" i="36"/>
  <c r="Z4201" i="36"/>
  <c r="Z2211" i="36"/>
  <c r="Z3220" i="36"/>
  <c r="AB5501" i="36"/>
  <c r="Y5488" i="36"/>
  <c r="J743" i="35" s="1"/>
  <c r="K743" i="35" s="1"/>
  <c r="Y5482" i="36"/>
  <c r="AB5482" i="36" s="1"/>
  <c r="Y5486" i="36"/>
  <c r="J741" i="35" s="1"/>
  <c r="K741" i="35" s="1"/>
  <c r="Z5498" i="36"/>
  <c r="Z5484" i="36"/>
  <c r="Z5483" i="36"/>
  <c r="Y3148" i="36"/>
  <c r="AB3148" i="36" s="1"/>
  <c r="Z2308" i="36"/>
  <c r="Z2315" i="36"/>
  <c r="Y2290" i="36"/>
  <c r="AB2290" i="36" s="1"/>
  <c r="Z2301" i="36"/>
  <c r="AB2318" i="36"/>
  <c r="Y2307" i="36"/>
  <c r="AB2307" i="36" s="1"/>
  <c r="Y2299" i="36"/>
  <c r="AB2299" i="36" s="1"/>
  <c r="Y2315" i="36"/>
  <c r="AB2315" i="36" s="1"/>
  <c r="Z2314" i="36"/>
  <c r="Y2889" i="36"/>
  <c r="AB2889" i="36" s="1"/>
  <c r="Y5484" i="36"/>
  <c r="AB5484" i="36" s="1"/>
  <c r="Y5493" i="36"/>
  <c r="AB5493" i="36" s="1"/>
  <c r="Y5487" i="36"/>
  <c r="AB5487" i="36" s="1"/>
  <c r="Y5476" i="36"/>
  <c r="AB5476" i="36" s="1"/>
  <c r="AC5476" i="36" s="1"/>
  <c r="Z5499" i="36"/>
  <c r="AB5495" i="36"/>
  <c r="AB5490" i="36"/>
  <c r="Z3345" i="36"/>
  <c r="Y2300" i="36"/>
  <c r="AB2300" i="36" s="1"/>
  <c r="AB2303" i="36"/>
  <c r="Y2298" i="36"/>
  <c r="AB2298" i="36" s="1"/>
  <c r="Y2309" i="36"/>
  <c r="AB2309" i="36" s="1"/>
  <c r="Z2306" i="36"/>
  <c r="AC2306" i="36" s="1"/>
  <c r="Y2316" i="36"/>
  <c r="AB2316" i="36" s="1"/>
  <c r="AC2316" i="36" s="1"/>
  <c r="Z2299" i="36"/>
  <c r="Y2292" i="36"/>
  <c r="AB2292" i="36" s="1"/>
  <c r="Y4913" i="36"/>
  <c r="AB4913" i="36" s="1"/>
  <c r="Z4900" i="36"/>
  <c r="Y4897" i="36"/>
  <c r="AB4897" i="36" s="1"/>
  <c r="Z4896" i="36"/>
  <c r="Z4891" i="36"/>
  <c r="Y4888" i="36"/>
  <c r="AB4888" i="36" s="1"/>
  <c r="Y4914" i="36"/>
  <c r="AB4914" i="36" s="1"/>
  <c r="Y4908" i="36"/>
  <c r="AB4908" i="36" s="1"/>
  <c r="Z4905" i="36"/>
  <c r="Z4915" i="36"/>
  <c r="Z4906" i="36"/>
  <c r="Y4900" i="36"/>
  <c r="Z4899" i="36"/>
  <c r="Y4896" i="36"/>
  <c r="AB4896" i="36" s="1"/>
  <c r="Y4891" i="36"/>
  <c r="AB4891" i="36" s="1"/>
  <c r="Z4890" i="36"/>
  <c r="Y4898" i="36"/>
  <c r="Z4888" i="36"/>
  <c r="Y4915" i="36"/>
  <c r="AB4915" i="36" s="1"/>
  <c r="Z4914" i="36"/>
  <c r="Z4908" i="36"/>
  <c r="Y4899" i="36"/>
  <c r="AB4899" i="36" s="1"/>
  <c r="Z4898" i="36"/>
  <c r="Y4890" i="36"/>
  <c r="AB4890" i="36" s="1"/>
  <c r="Z4889" i="36"/>
  <c r="Z4887" i="36"/>
  <c r="Z4913" i="36"/>
  <c r="Z4907" i="36"/>
  <c r="Z4897" i="36"/>
  <c r="Y4889" i="36"/>
  <c r="AB4889" i="36" s="1"/>
  <c r="Y4905" i="36"/>
  <c r="AB4905" i="36" s="1"/>
  <c r="Y4906" i="36"/>
  <c r="AB4906" i="36" s="1"/>
  <c r="Y4907" i="36"/>
  <c r="AB4907" i="36" s="1"/>
  <c r="AB4910" i="36"/>
  <c r="AB4917" i="36"/>
  <c r="AB4893" i="36"/>
  <c r="AB4902" i="36"/>
  <c r="Y937" i="36"/>
  <c r="AB937" i="36" s="1"/>
  <c r="Y3122" i="36"/>
  <c r="AB3122" i="36" s="1"/>
  <c r="Z3330" i="36"/>
  <c r="Y3132" i="36"/>
  <c r="AB3132" i="36" s="1"/>
  <c r="Y3338" i="36"/>
  <c r="AB3338" i="36" s="1"/>
  <c r="Z3317" i="36"/>
  <c r="Y2757" i="36"/>
  <c r="AB2757" i="36" s="1"/>
  <c r="Y3140" i="36"/>
  <c r="AB3140" i="36" s="1"/>
  <c r="AB3136" i="36"/>
  <c r="Y3319" i="36"/>
  <c r="AB3319" i="36" s="1"/>
  <c r="Z3123" i="36"/>
  <c r="Z3328" i="36"/>
  <c r="Y4114" i="36"/>
  <c r="AB4114" i="36" s="1"/>
  <c r="Z2730" i="36"/>
  <c r="Z944" i="36"/>
  <c r="Y925" i="36"/>
  <c r="Y3130" i="36"/>
  <c r="AB3130" i="36" s="1"/>
  <c r="Y3147" i="36"/>
  <c r="AB3147" i="36" s="1"/>
  <c r="Z3140" i="36"/>
  <c r="Y3131" i="36"/>
  <c r="AB3131" i="36" s="1"/>
  <c r="AB3323" i="36"/>
  <c r="Y3329" i="36"/>
  <c r="AB3329" i="36" s="1"/>
  <c r="Z3329" i="36"/>
  <c r="Z3335" i="36"/>
  <c r="Y3330" i="36"/>
  <c r="AB3330" i="36" s="1"/>
  <c r="AB4109" i="36"/>
  <c r="Z2749" i="36"/>
  <c r="Z2748" i="36"/>
  <c r="Y927" i="36"/>
  <c r="AB927" i="36" s="1"/>
  <c r="Y928" i="36"/>
  <c r="AB928" i="36" s="1"/>
  <c r="Z3147" i="36"/>
  <c r="Z3121" i="36"/>
  <c r="Z3122" i="36"/>
  <c r="Y3125" i="36"/>
  <c r="AB3125" i="36" s="1"/>
  <c r="AB3151" i="36"/>
  <c r="Y3345" i="36"/>
  <c r="AB3345" i="36" s="1"/>
  <c r="Z3343" i="36"/>
  <c r="Z3319" i="36"/>
  <c r="Y3337" i="36"/>
  <c r="AB3337" i="36" s="1"/>
  <c r="AB3347" i="36"/>
  <c r="Y4104" i="36"/>
  <c r="AB4104" i="36" s="1"/>
  <c r="AB2735" i="36"/>
  <c r="Z2757" i="36"/>
  <c r="Z937" i="36"/>
  <c r="AB3127" i="36"/>
  <c r="Y3133" i="36"/>
  <c r="AB3133" i="36" s="1"/>
  <c r="Z3124" i="36"/>
  <c r="AC3124" i="36" s="1"/>
  <c r="Z3125" i="36"/>
  <c r="Z3131" i="36"/>
  <c r="Z3338" i="36"/>
  <c r="Y3344" i="36"/>
  <c r="AB3344" i="36" s="1"/>
  <c r="Y3321" i="36"/>
  <c r="AB3321" i="36" s="1"/>
  <c r="AB3340" i="36"/>
  <c r="Y3336" i="36"/>
  <c r="AB3336" i="36" s="1"/>
  <c r="Z4106" i="36"/>
  <c r="Y4124" i="36"/>
  <c r="AB4124" i="36" s="1"/>
  <c r="Z4103" i="36"/>
  <c r="Y2730" i="36"/>
  <c r="AB2730" i="36" s="1"/>
  <c r="AB931" i="36"/>
  <c r="Y3123" i="36"/>
  <c r="AB3123" i="36" s="1"/>
  <c r="Z3149" i="36"/>
  <c r="Z3142" i="36"/>
  <c r="Y3139" i="36"/>
  <c r="AB3139" i="36" s="1"/>
  <c r="Y3142" i="36"/>
  <c r="AB3142" i="36" s="1"/>
  <c r="Z3134" i="36"/>
  <c r="Z3133" i="36"/>
  <c r="Y3335" i="36"/>
  <c r="AB3335" i="36" s="1"/>
  <c r="Y3318" i="36"/>
  <c r="AB3318" i="36" s="1"/>
  <c r="AC3318" i="36" s="1"/>
  <c r="Z3318" i="36"/>
  <c r="Y3343" i="36"/>
  <c r="AB3343" i="36" s="1"/>
  <c r="Y3327" i="36"/>
  <c r="AB3327" i="36" s="1"/>
  <c r="Y3326" i="36"/>
  <c r="J578" i="35" s="1"/>
  <c r="K578" i="35" s="1"/>
  <c r="Z5329" i="36"/>
  <c r="Y5355" i="36"/>
  <c r="AB5355" i="36" s="1"/>
  <c r="Y4816" i="36"/>
  <c r="AB4816" i="36" s="1"/>
  <c r="Z5331" i="36"/>
  <c r="Z5340" i="36"/>
  <c r="Y5340" i="36"/>
  <c r="AB5340" i="36" s="1"/>
  <c r="Z5346" i="36"/>
  <c r="Y4807" i="36"/>
  <c r="AB4807" i="36" s="1"/>
  <c r="AB5358" i="36"/>
  <c r="Z5355" i="36"/>
  <c r="Z5337" i="36"/>
  <c r="Z4792" i="36"/>
  <c r="AB5351" i="36"/>
  <c r="Z5328" i="36"/>
  <c r="Y5356" i="36"/>
  <c r="AB5356" i="36" s="1"/>
  <c r="Y5341" i="36"/>
  <c r="AB5341" i="36" s="1"/>
  <c r="Y5338" i="36"/>
  <c r="AB5338" i="36" s="1"/>
  <c r="Y4808" i="36"/>
  <c r="AB4808" i="36" s="1"/>
  <c r="Y5348" i="36"/>
  <c r="AB5348" i="36" s="1"/>
  <c r="Z5339" i="36"/>
  <c r="Z5354" i="36"/>
  <c r="AC5354" i="36" s="1"/>
  <c r="Y5330" i="36"/>
  <c r="AB5330" i="36" s="1"/>
  <c r="AB5343" i="36"/>
  <c r="Z5348" i="36"/>
  <c r="Z5330" i="36"/>
  <c r="Y5347" i="36"/>
  <c r="AB5347" i="36" s="1"/>
  <c r="Z5338" i="36"/>
  <c r="Y5332" i="36"/>
  <c r="AB5332" i="36" s="1"/>
  <c r="Z5347" i="36"/>
  <c r="Y5329" i="36"/>
  <c r="AB5329" i="36" s="1"/>
  <c r="Z5341" i="36"/>
  <c r="Z4800" i="36"/>
  <c r="Z4790" i="36"/>
  <c r="AB5334" i="36"/>
  <c r="Y5346" i="36"/>
  <c r="AB5346" i="36" s="1"/>
  <c r="Y5349" i="36"/>
  <c r="AB5349" i="36" s="1"/>
  <c r="Y5331" i="36"/>
  <c r="AB5331" i="36" s="1"/>
  <c r="Z5349" i="36"/>
  <c r="Y5339" i="36"/>
  <c r="AB5339" i="36" s="1"/>
  <c r="Y5337" i="36"/>
  <c r="AB5337" i="36" s="1"/>
  <c r="Z5356" i="36"/>
  <c r="Z5332" i="36"/>
  <c r="Y4801" i="36"/>
  <c r="AB4801" i="36" s="1"/>
  <c r="Z4799" i="36"/>
  <c r="Y5403" i="36"/>
  <c r="AB5403" i="36" s="1"/>
  <c r="Z5390" i="36"/>
  <c r="Y5387" i="36"/>
  <c r="AB5387" i="36" s="1"/>
  <c r="Z5386" i="36"/>
  <c r="Z5381" i="36"/>
  <c r="Y5378" i="36"/>
  <c r="AB5378" i="36" s="1"/>
  <c r="Z5397" i="36"/>
  <c r="Z5395" i="36"/>
  <c r="Z5378" i="36"/>
  <c r="Z5405" i="36"/>
  <c r="Z5396" i="36"/>
  <c r="Y5390" i="36"/>
  <c r="AB5390" i="36" s="1"/>
  <c r="Z5389" i="36"/>
  <c r="Y5386" i="36"/>
  <c r="AB5386" i="36" s="1"/>
  <c r="Y5381" i="36"/>
  <c r="AB5381" i="36" s="1"/>
  <c r="Z5380" i="36"/>
  <c r="Y5379" i="36"/>
  <c r="AB5379" i="36" s="1"/>
  <c r="Y5405" i="36"/>
  <c r="AB5405" i="36" s="1"/>
  <c r="Z5404" i="36"/>
  <c r="Z5398" i="36"/>
  <c r="Y5389" i="36"/>
  <c r="AB5389" i="36" s="1"/>
  <c r="Z5388" i="36"/>
  <c r="Y5380" i="36"/>
  <c r="AB5380" i="36" s="1"/>
  <c r="Z5379" i="36"/>
  <c r="Z5377" i="36"/>
  <c r="Y5404" i="36"/>
  <c r="AB5404" i="36" s="1"/>
  <c r="Z5403" i="36"/>
  <c r="Y5398" i="36"/>
  <c r="AB5398" i="36" s="1"/>
  <c r="Y5388" i="36"/>
  <c r="AB5388" i="36" s="1"/>
  <c r="Z5387" i="36"/>
  <c r="Y5397" i="36"/>
  <c r="AB5397" i="36" s="1"/>
  <c r="AC5397" i="36" s="1"/>
  <c r="Y5395" i="36"/>
  <c r="AB5395" i="36" s="1"/>
  <c r="AC5395" i="36" s="1"/>
  <c r="Y5396" i="36"/>
  <c r="AB5396" i="36" s="1"/>
  <c r="AB5400" i="36"/>
  <c r="AB5392" i="36"/>
  <c r="AB5407" i="36"/>
  <c r="AB5383" i="36"/>
  <c r="AB4819" i="36"/>
  <c r="Z4789" i="36"/>
  <c r="Y4791" i="36"/>
  <c r="AB4791" i="36" s="1"/>
  <c r="Y4802" i="36"/>
  <c r="AB4802" i="36" s="1"/>
  <c r="Y4799" i="36"/>
  <c r="AB4799" i="36" s="1"/>
  <c r="AB4795" i="36"/>
  <c r="Y4810" i="36"/>
  <c r="AB4810" i="36" s="1"/>
  <c r="Y4817" i="36"/>
  <c r="AB4817" i="36" s="1"/>
  <c r="Z4801" i="36"/>
  <c r="Z4798" i="36"/>
  <c r="AB4812" i="36"/>
  <c r="Y4800" i="36"/>
  <c r="AB4800" i="36" s="1"/>
  <c r="Z4791" i="36"/>
  <c r="Z4810" i="36"/>
  <c r="Z4807" i="36"/>
  <c r="Y4793" i="36"/>
  <c r="AB4793" i="36" s="1"/>
  <c r="Z4808" i="36"/>
  <c r="Y4790" i="36"/>
  <c r="AB4790" i="36" s="1"/>
  <c r="Z4802" i="36"/>
  <c r="AB4804" i="36"/>
  <c r="Y4809" i="36"/>
  <c r="AB4809" i="36" s="1"/>
  <c r="Z4809" i="36"/>
  <c r="Y4792" i="36"/>
  <c r="AB4792" i="36" s="1"/>
  <c r="Z4816" i="36"/>
  <c r="Z4815" i="36"/>
  <c r="AC4815" i="36" s="1"/>
  <c r="Y4798" i="36"/>
  <c r="AB4798" i="36" s="1"/>
  <c r="Z4817" i="36"/>
  <c r="Z4793" i="36"/>
  <c r="Y4864" i="36"/>
  <c r="AB4864" i="36" s="1"/>
  <c r="Z4851" i="36"/>
  <c r="Y4848" i="36"/>
  <c r="Z4847" i="36"/>
  <c r="Z4842" i="36"/>
  <c r="Y4839" i="36"/>
  <c r="AB4839" i="36" s="1"/>
  <c r="Y4840" i="36"/>
  <c r="AB4840" i="36" s="1"/>
  <c r="Z4839" i="36"/>
  <c r="Z4866" i="36"/>
  <c r="Z4857" i="36"/>
  <c r="Y4851" i="36"/>
  <c r="AB4851" i="36" s="1"/>
  <c r="Z4850" i="36"/>
  <c r="Y4847" i="36"/>
  <c r="AB4847" i="36" s="1"/>
  <c r="Y4842" i="36"/>
  <c r="AB4842" i="36" s="1"/>
  <c r="Z4841" i="36"/>
  <c r="Z4858" i="36"/>
  <c r="Z4856" i="36"/>
  <c r="Y4866" i="36"/>
  <c r="AB4866" i="36" s="1"/>
  <c r="Z4865" i="36"/>
  <c r="Z4859" i="36"/>
  <c r="Y4850" i="36"/>
  <c r="AB4850" i="36" s="1"/>
  <c r="Z4849" i="36"/>
  <c r="Y4841" i="36"/>
  <c r="AB4841" i="36" s="1"/>
  <c r="Z4840" i="36"/>
  <c r="Z4838" i="36"/>
  <c r="Y4865" i="36"/>
  <c r="AB4865" i="36" s="1"/>
  <c r="Z4864" i="36"/>
  <c r="Y4859" i="36"/>
  <c r="AB4859" i="36" s="1"/>
  <c r="Y4849" i="36"/>
  <c r="Z4848" i="36"/>
  <c r="Y4857" i="36"/>
  <c r="AB4857" i="36" s="1"/>
  <c r="Y4858" i="36"/>
  <c r="AB4858" i="36" s="1"/>
  <c r="Y4856" i="36"/>
  <c r="AB4856" i="36" s="1"/>
  <c r="AB4861" i="36"/>
  <c r="AB4868" i="36"/>
  <c r="AB4844" i="36"/>
  <c r="AB4853" i="36"/>
  <c r="Z3199" i="36"/>
  <c r="Y4173" i="36"/>
  <c r="AB4173" i="36" s="1"/>
  <c r="Z4171" i="36"/>
  <c r="AB4167" i="36"/>
  <c r="Z4162" i="36"/>
  <c r="Y4153" i="36"/>
  <c r="AB4153" i="36" s="1"/>
  <c r="Z4178" i="36"/>
  <c r="Y2903" i="36"/>
  <c r="AB2903" i="36" s="1"/>
  <c r="Z3221" i="36"/>
  <c r="Y3229" i="36"/>
  <c r="AB3229" i="36" s="1"/>
  <c r="Y1214" i="36"/>
  <c r="AB1214" i="36" s="1"/>
  <c r="Y2904" i="36"/>
  <c r="AB2904" i="36" s="1"/>
  <c r="Y3232" i="36"/>
  <c r="AB3232" i="36" s="1"/>
  <c r="Y3247" i="36"/>
  <c r="AB3247" i="36" s="1"/>
  <c r="Z2904" i="36"/>
  <c r="Z3232" i="36"/>
  <c r="Z3230" i="36"/>
  <c r="AB5886" i="36"/>
  <c r="Z5882" i="36"/>
  <c r="Z5866" i="36"/>
  <c r="Z5883" i="36"/>
  <c r="Y5875" i="36"/>
  <c r="AB5875" i="36" s="1"/>
  <c r="Y5873" i="36"/>
  <c r="AB5873" i="36" s="1"/>
  <c r="Y5891" i="36"/>
  <c r="AB5891" i="36" s="1"/>
  <c r="Y4123" i="36"/>
  <c r="AB4123" i="36" s="1"/>
  <c r="AC4123" i="36" s="1"/>
  <c r="Z4112" i="36"/>
  <c r="AB2759" i="36"/>
  <c r="Y2756" i="36"/>
  <c r="AB2756" i="36" s="1"/>
  <c r="Y2750" i="36"/>
  <c r="AB2750" i="36" s="1"/>
  <c r="Z935" i="36"/>
  <c r="AB946" i="36"/>
  <c r="Y3134" i="36"/>
  <c r="AB3134" i="36" s="1"/>
  <c r="Z3130" i="36"/>
  <c r="Y3141" i="36"/>
  <c r="AB3141" i="36" s="1"/>
  <c r="Z3141" i="36"/>
  <c r="Z3148" i="36"/>
  <c r="AB3144" i="36"/>
  <c r="Z3132" i="36"/>
  <c r="Z3139" i="36"/>
  <c r="Y3320" i="36"/>
  <c r="AB3320" i="36" s="1"/>
  <c r="AB3332" i="36"/>
  <c r="Z3320" i="36"/>
  <c r="Z3337" i="36"/>
  <c r="Y3328" i="36"/>
  <c r="AB3328" i="36" s="1"/>
  <c r="Z3336" i="36"/>
  <c r="Z3326" i="36"/>
  <c r="Z3344" i="36"/>
  <c r="Z3327" i="36"/>
  <c r="Z5863" i="36"/>
  <c r="Z5867" i="36"/>
  <c r="AB5878" i="36"/>
  <c r="Y5866" i="36"/>
  <c r="AB5866" i="36" s="1"/>
  <c r="Y5867" i="36"/>
  <c r="AB5867" i="36" s="1"/>
  <c r="Y5882" i="36"/>
  <c r="AB5882" i="36" s="1"/>
  <c r="Z5881" i="36"/>
  <c r="Z5872" i="36"/>
  <c r="Z5891" i="36"/>
  <c r="Z5889" i="36"/>
  <c r="Z5876" i="36"/>
  <c r="AB5869" i="36"/>
  <c r="Y5883" i="36"/>
  <c r="AB5883" i="36" s="1"/>
  <c r="Y5874" i="36"/>
  <c r="AB5874" i="36" s="1"/>
  <c r="Y5872" i="36"/>
  <c r="Z5884" i="36"/>
  <c r="Y5884" i="36"/>
  <c r="AB5884" i="36" s="1"/>
  <c r="Z5875" i="36"/>
  <c r="Z5865" i="36"/>
  <c r="AC5865" i="36" s="1"/>
  <c r="Z5864" i="36"/>
  <c r="Y5889" i="36"/>
  <c r="AB5889" i="36" s="1"/>
  <c r="AB5893" i="36"/>
  <c r="Y5881" i="36"/>
  <c r="AB5881" i="36" s="1"/>
  <c r="Y5890" i="36"/>
  <c r="AB5890" i="36" s="1"/>
  <c r="Z5874" i="36"/>
  <c r="Z5890" i="36"/>
  <c r="Y5864" i="36"/>
  <c r="AB5864" i="36" s="1"/>
  <c r="Y5876" i="36"/>
  <c r="AB5876" i="36" s="1"/>
  <c r="Z5873" i="36"/>
  <c r="Y5938" i="36"/>
  <c r="AB5938" i="36" s="1"/>
  <c r="Z5925" i="36"/>
  <c r="Y5922" i="36"/>
  <c r="AB5922" i="36" s="1"/>
  <c r="Y5914" i="36"/>
  <c r="AB5914" i="36" s="1"/>
  <c r="Z5913" i="36"/>
  <c r="Y5931" i="36"/>
  <c r="AB5931" i="36" s="1"/>
  <c r="Z5915" i="36"/>
  <c r="Z5940" i="36"/>
  <c r="Z5931" i="36"/>
  <c r="Y5925" i="36"/>
  <c r="AB5925" i="36" s="1"/>
  <c r="Z5924" i="36"/>
  <c r="Z5921" i="36"/>
  <c r="Z5916" i="36"/>
  <c r="Y5913" i="36"/>
  <c r="AB5913" i="36" s="1"/>
  <c r="Y5940" i="36"/>
  <c r="AB5940" i="36" s="1"/>
  <c r="Z5939" i="36"/>
  <c r="Z5933" i="36"/>
  <c r="Y5924" i="36"/>
  <c r="AB5924" i="36" s="1"/>
  <c r="Z5923" i="36"/>
  <c r="Y5921" i="36"/>
  <c r="Y5916" i="36"/>
  <c r="AB5916" i="36" s="1"/>
  <c r="Y5939" i="36"/>
  <c r="AB5939" i="36" s="1"/>
  <c r="Z5938" i="36"/>
  <c r="Y5933" i="36"/>
  <c r="AB5933" i="36" s="1"/>
  <c r="Z5932" i="36"/>
  <c r="Z5930" i="36"/>
  <c r="Y5923" i="36"/>
  <c r="AB5923" i="36" s="1"/>
  <c r="Z5922" i="36"/>
  <c r="Y5915" i="36"/>
  <c r="AB5915" i="36" s="1"/>
  <c r="Z5914" i="36"/>
  <c r="Z5912" i="36"/>
  <c r="Y5930" i="36"/>
  <c r="AB5930" i="36" s="1"/>
  <c r="Y5932" i="36"/>
  <c r="AB5932" i="36" s="1"/>
  <c r="AB5935" i="36"/>
  <c r="AB5927" i="36"/>
  <c r="AB5942" i="36"/>
  <c r="AB5918" i="36"/>
  <c r="Y5840" i="36"/>
  <c r="AB5840" i="36" s="1"/>
  <c r="Z5827" i="36"/>
  <c r="Y5824" i="36"/>
  <c r="AB5824" i="36" s="1"/>
  <c r="Y5816" i="36"/>
  <c r="AB5816" i="36" s="1"/>
  <c r="Z5815" i="36"/>
  <c r="Z5834" i="36"/>
  <c r="Z5832" i="36"/>
  <c r="Z5824" i="36"/>
  <c r="Z5842" i="36"/>
  <c r="Z5833" i="36"/>
  <c r="Y5827" i="36"/>
  <c r="AB5827" i="36" s="1"/>
  <c r="Z5826" i="36"/>
  <c r="Z5823" i="36"/>
  <c r="Z5818" i="36"/>
  <c r="Y5815" i="36"/>
  <c r="AB5815" i="36" s="1"/>
  <c r="Y5835" i="36"/>
  <c r="AB5835" i="36" s="1"/>
  <c r="Y5825" i="36"/>
  <c r="AB5825" i="36" s="1"/>
  <c r="Z5816" i="36"/>
  <c r="Y5842" i="36"/>
  <c r="AB5842" i="36" s="1"/>
  <c r="Z5841" i="36"/>
  <c r="Z5835" i="36"/>
  <c r="Y5826" i="36"/>
  <c r="AB5826" i="36" s="1"/>
  <c r="Z5825" i="36"/>
  <c r="Y5823" i="36"/>
  <c r="AB5823" i="36" s="1"/>
  <c r="Y5818" i="36"/>
  <c r="AB5818" i="36" s="1"/>
  <c r="Z5817" i="36"/>
  <c r="Y5841" i="36"/>
  <c r="AB5841" i="36" s="1"/>
  <c r="Z5840" i="36"/>
  <c r="Y5817" i="36"/>
  <c r="AB5817" i="36" s="1"/>
  <c r="Z5814" i="36"/>
  <c r="Y5832" i="36"/>
  <c r="AB5832" i="36" s="1"/>
  <c r="AC5832" i="36" s="1"/>
  <c r="Y5833" i="36"/>
  <c r="AB5833" i="36" s="1"/>
  <c r="Y5834" i="36"/>
  <c r="AB5834" i="36" s="1"/>
  <c r="AB5837" i="36"/>
  <c r="AB5829" i="36"/>
  <c r="AB5844" i="36"/>
  <c r="AB5820" i="36"/>
  <c r="Y4164" i="36"/>
  <c r="AB4164" i="36" s="1"/>
  <c r="Z4163" i="36"/>
  <c r="Y4155" i="36"/>
  <c r="AB4155" i="36" s="1"/>
  <c r="Y4170" i="36"/>
  <c r="AB4170" i="36" s="1"/>
  <c r="Y4154" i="36"/>
  <c r="AB4154" i="36" s="1"/>
  <c r="Z4155" i="36"/>
  <c r="Z4173" i="36"/>
  <c r="AB4265" i="36"/>
  <c r="Z2855" i="36"/>
  <c r="AB4175" i="36"/>
  <c r="Y4171" i="36"/>
  <c r="AB4171" i="36" s="1"/>
  <c r="Z4153" i="36"/>
  <c r="Z4152" i="36"/>
  <c r="Y4179" i="36"/>
  <c r="AB4179" i="36" s="1"/>
  <c r="Z4154" i="36"/>
  <c r="AC4154" i="36" s="1"/>
  <c r="Y4178" i="36"/>
  <c r="AB4178" i="36" s="1"/>
  <c r="Y4161" i="36"/>
  <c r="AB4161" i="36" s="1"/>
  <c r="Z4170" i="36"/>
  <c r="Y4180" i="36"/>
  <c r="AB4180" i="36" s="1"/>
  <c r="Y4163" i="36"/>
  <c r="AB4163" i="36" s="1"/>
  <c r="Z4179" i="36"/>
  <c r="Z4165" i="36"/>
  <c r="Y4172" i="36"/>
  <c r="AB4172" i="36" s="1"/>
  <c r="Z2853" i="36"/>
  <c r="AB3176" i="36"/>
  <c r="Y4156" i="36"/>
  <c r="AB4156" i="36" s="1"/>
  <c r="AC4156" i="36" s="1"/>
  <c r="Z4164" i="36"/>
  <c r="Y4162" i="36"/>
  <c r="AB4162" i="36" s="1"/>
  <c r="Z4180" i="36"/>
  <c r="Y4165" i="36"/>
  <c r="AB4165" i="36" s="1"/>
  <c r="Z4161" i="36"/>
  <c r="Z4172" i="36"/>
  <c r="AB4182" i="36"/>
  <c r="Y259" i="36"/>
  <c r="AB259" i="36" s="1"/>
  <c r="Z4107" i="36"/>
  <c r="Y4115" i="36"/>
  <c r="AB4115" i="36" s="1"/>
  <c r="Y4130" i="36"/>
  <c r="AB4130" i="36" s="1"/>
  <c r="Y4106" i="36"/>
  <c r="AB4106" i="36" s="1"/>
  <c r="Z4121" i="36"/>
  <c r="Z4131" i="36"/>
  <c r="Z4116" i="36"/>
  <c r="Y4113" i="36"/>
  <c r="AB4113" i="36" s="1"/>
  <c r="AB4126" i="36"/>
  <c r="Z4124" i="36"/>
  <c r="Z2741" i="36"/>
  <c r="Z2739" i="36"/>
  <c r="Z2729" i="36"/>
  <c r="Y2747" i="36"/>
  <c r="AB2747" i="36" s="1"/>
  <c r="Y2742" i="36"/>
  <c r="AB2742" i="36" s="1"/>
  <c r="Z2750" i="36"/>
  <c r="Y2749" i="36"/>
  <c r="AB2749" i="36" s="1"/>
  <c r="Z2742" i="36"/>
  <c r="Z2733" i="36"/>
  <c r="Y242" i="36"/>
  <c r="AB242" i="36" s="1"/>
  <c r="Z928" i="36"/>
  <c r="Z926" i="36"/>
  <c r="Z920" i="36"/>
  <c r="AB922" i="36"/>
  <c r="Y920" i="36"/>
  <c r="AB920" i="36" s="1"/>
  <c r="Z943" i="36"/>
  <c r="Z942" i="36"/>
  <c r="Y934" i="36"/>
  <c r="AB934" i="36" s="1"/>
  <c r="Z936" i="36"/>
  <c r="Z4105" i="36"/>
  <c r="Y4129" i="36"/>
  <c r="AB4129" i="36" s="1"/>
  <c r="Z2747" i="36"/>
  <c r="AB2744" i="36"/>
  <c r="Y919" i="36"/>
  <c r="AB919" i="36" s="1"/>
  <c r="Z4114" i="36"/>
  <c r="AB4118" i="36"/>
  <c r="Y4131" i="36"/>
  <c r="AB4131" i="36" s="1"/>
  <c r="Z4122" i="36"/>
  <c r="Z4104" i="36"/>
  <c r="Z4129" i="36"/>
  <c r="Y4107" i="36"/>
  <c r="AB4107" i="36" s="1"/>
  <c r="Y2731" i="36"/>
  <c r="AB2731" i="36" s="1"/>
  <c r="Y2738" i="36"/>
  <c r="AB2738" i="36" s="1"/>
  <c r="Z2755" i="36"/>
  <c r="Y2740" i="36"/>
  <c r="AB2740" i="36" s="1"/>
  <c r="Y2755" i="36"/>
  <c r="AB2755" i="36" s="1"/>
  <c r="Z2732" i="36"/>
  <c r="Y2733" i="36"/>
  <c r="AB2733" i="36" s="1"/>
  <c r="Z265" i="36"/>
  <c r="Y936" i="36"/>
  <c r="AB936" i="36" s="1"/>
  <c r="Y935" i="36"/>
  <c r="AB935" i="36" s="1"/>
  <c r="Z918" i="36"/>
  <c r="Y926" i="36"/>
  <c r="AB926" i="36" s="1"/>
  <c r="Z927" i="36"/>
  <c r="Z934" i="36"/>
  <c r="Z916" i="36"/>
  <c r="Y918" i="36"/>
  <c r="AB918" i="36" s="1"/>
  <c r="Y4121" i="36"/>
  <c r="AB4121" i="36" s="1"/>
  <c r="AB4133" i="36"/>
  <c r="Z4113" i="36"/>
  <c r="Z4130" i="36"/>
  <c r="Y4112" i="36"/>
  <c r="AB4112" i="36" s="1"/>
  <c r="Y4122" i="36"/>
  <c r="AB4122" i="36" s="1"/>
  <c r="Y4116" i="36"/>
  <c r="AB4116" i="36" s="1"/>
  <c r="Y4105" i="36"/>
  <c r="AB4105" i="36" s="1"/>
  <c r="Z2731" i="36"/>
  <c r="AB2752" i="36"/>
  <c r="Y2732" i="36"/>
  <c r="AB2732" i="36" s="1"/>
  <c r="Z2738" i="36"/>
  <c r="Y2739" i="36"/>
  <c r="AB2739" i="36" s="1"/>
  <c r="Z2756" i="36"/>
  <c r="Y2741" i="36"/>
  <c r="AB2741" i="36" s="1"/>
  <c r="Z2740" i="36"/>
  <c r="Y240" i="36"/>
  <c r="AB240" i="36" s="1"/>
  <c r="Y943" i="36"/>
  <c r="AB943" i="36" s="1"/>
  <c r="Z919" i="36"/>
  <c r="Y917" i="36"/>
  <c r="AB917" i="36" s="1"/>
  <c r="Y942" i="36"/>
  <c r="AB942" i="36" s="1"/>
  <c r="Z929" i="36"/>
  <c r="Y944" i="36"/>
  <c r="AB944" i="36" s="1"/>
  <c r="Y929" i="36"/>
  <c r="AB929" i="36" s="1"/>
  <c r="Z917" i="36"/>
  <c r="AB939" i="36"/>
  <c r="AC4548" i="36"/>
  <c r="Z3184" i="36"/>
  <c r="Z3192" i="36"/>
  <c r="Y2855" i="36"/>
  <c r="AB2855" i="36" s="1"/>
  <c r="Y3179" i="36"/>
  <c r="Z3174" i="36"/>
  <c r="Z2838" i="36"/>
  <c r="Y3183" i="36"/>
  <c r="J809" i="35" s="1"/>
  <c r="K809" i="35" s="1"/>
  <c r="Y3199" i="36"/>
  <c r="AB3199" i="36" s="1"/>
  <c r="Y3182" i="36"/>
  <c r="J808" i="35" s="1"/>
  <c r="K808" i="35" s="1"/>
  <c r="Y3190" i="36"/>
  <c r="AB3190" i="36" s="1"/>
  <c r="Y2854" i="36"/>
  <c r="AB2854" i="36" s="1"/>
  <c r="AB261" i="36"/>
  <c r="Y3189" i="36"/>
  <c r="AB3189" i="36" s="1"/>
  <c r="Y3198" i="36"/>
  <c r="AB3198" i="36" s="1"/>
  <c r="Z3198" i="36"/>
  <c r="Z3179" i="36"/>
  <c r="Z2854" i="36"/>
  <c r="Z2829" i="36"/>
  <c r="AC2829" i="36" s="1"/>
  <c r="Z1749" i="36"/>
  <c r="AB1274" i="36"/>
  <c r="Y3173" i="36"/>
  <c r="AB3173" i="36" s="1"/>
  <c r="Z3171" i="36"/>
  <c r="Y3184" i="36"/>
  <c r="Y3191" i="36"/>
  <c r="AB3191" i="36" s="1"/>
  <c r="Z3190" i="36"/>
  <c r="Z2845" i="36"/>
  <c r="Y2831" i="36"/>
  <c r="AB2831" i="36" s="1"/>
  <c r="Z2840" i="36"/>
  <c r="AB2899" i="36"/>
  <c r="Y2885" i="36"/>
  <c r="Z2889" i="36"/>
  <c r="Z2897" i="36"/>
  <c r="Y3223" i="36"/>
  <c r="AB3223" i="36" s="1"/>
  <c r="Y3230" i="36"/>
  <c r="AB3230" i="36" s="1"/>
  <c r="Z3233" i="36"/>
  <c r="Z3239" i="36"/>
  <c r="Z3228" i="36"/>
  <c r="AB4616" i="36"/>
  <c r="Y2897" i="36"/>
  <c r="AB2897" i="36" s="1"/>
  <c r="Y2879" i="36"/>
  <c r="AB2879" i="36" s="1"/>
  <c r="Z2878" i="36"/>
  <c r="Y2888" i="36"/>
  <c r="AB2888" i="36" s="1"/>
  <c r="AB2906" i="36"/>
  <c r="Z2887" i="36"/>
  <c r="Z2876" i="36"/>
  <c r="Z2894" i="36"/>
  <c r="Z2895" i="36"/>
  <c r="Z2903" i="36"/>
  <c r="Y3245" i="36"/>
  <c r="AB3245" i="36" s="1"/>
  <c r="Z3240" i="36"/>
  <c r="Z3222" i="36"/>
  <c r="Z3246" i="36"/>
  <c r="Z5202" i="36"/>
  <c r="Z2248" i="36"/>
  <c r="Z2259" i="36"/>
  <c r="AB3186" i="36"/>
  <c r="Z3189" i="36"/>
  <c r="Z3191" i="36"/>
  <c r="AB3194" i="36"/>
  <c r="Z3180" i="36"/>
  <c r="Y3171" i="36"/>
  <c r="AB3171" i="36" s="1"/>
  <c r="Z3172" i="36"/>
  <c r="Z3197" i="36"/>
  <c r="Y3192" i="36"/>
  <c r="AB3192" i="36" s="1"/>
  <c r="Z3173" i="36"/>
  <c r="Z1811" i="36"/>
  <c r="Z1816" i="36"/>
  <c r="Z2846" i="36"/>
  <c r="Z2847" i="36"/>
  <c r="Z2831" i="36"/>
  <c r="AB2842" i="36"/>
  <c r="Y2836" i="36"/>
  <c r="J663" i="35" s="1"/>
  <c r="K663" i="35" s="1"/>
  <c r="Y4760" i="36"/>
  <c r="AB4760" i="36" s="1"/>
  <c r="Y4752" i="36"/>
  <c r="AB4752" i="36" s="1"/>
  <c r="Y4768" i="36"/>
  <c r="AB4768" i="36" s="1"/>
  <c r="Y4753" i="36"/>
  <c r="AB4753" i="36" s="1"/>
  <c r="Y4744" i="36"/>
  <c r="AB4744" i="36" s="1"/>
  <c r="Z4743" i="36"/>
  <c r="Z4753" i="36"/>
  <c r="Y4758" i="36"/>
  <c r="AB4758" i="36" s="1"/>
  <c r="Y4749" i="36"/>
  <c r="AB4749" i="36" s="1"/>
  <c r="Y5110" i="36"/>
  <c r="AB5110" i="36" s="1"/>
  <c r="Z772" i="36"/>
  <c r="Z2209" i="36"/>
  <c r="Z2218" i="36"/>
  <c r="Y4024" i="36"/>
  <c r="AB4024" i="36" s="1"/>
  <c r="Z4221" i="36"/>
  <c r="Z4228" i="36"/>
  <c r="Y2252" i="36"/>
  <c r="AB2252" i="36" s="1"/>
  <c r="Y2250" i="36"/>
  <c r="AB2250" i="36" s="1"/>
  <c r="Y2248" i="36"/>
  <c r="AB2248" i="36" s="1"/>
  <c r="Y3181" i="36"/>
  <c r="Z3181" i="36"/>
  <c r="Z3182" i="36"/>
  <c r="Y3172" i="36"/>
  <c r="AB3172" i="36" s="1"/>
  <c r="Z3170" i="36"/>
  <c r="Y3180" i="36"/>
  <c r="AB3180" i="36" s="1"/>
  <c r="Y3197" i="36"/>
  <c r="AB3197" i="36" s="1"/>
  <c r="Z3183" i="36"/>
  <c r="Y3174" i="36"/>
  <c r="AB3174" i="36" s="1"/>
  <c r="Y1810" i="36"/>
  <c r="AB1810" i="36" s="1"/>
  <c r="Y1801" i="36"/>
  <c r="AB1801" i="36" s="1"/>
  <c r="Z1824" i="36"/>
  <c r="Y2839" i="36"/>
  <c r="AB2839" i="36" s="1"/>
  <c r="AB2857" i="36"/>
  <c r="Y2840" i="36"/>
  <c r="AB2840" i="36" s="1"/>
  <c r="Y2848" i="36"/>
  <c r="AB2848" i="36" s="1"/>
  <c r="Y4759" i="36"/>
  <c r="AB4759" i="36" s="1"/>
  <c r="Y4741" i="36"/>
  <c r="AB4741" i="36" s="1"/>
  <c r="Z4758" i="36"/>
  <c r="Z4750" i="36"/>
  <c r="Z4767" i="36"/>
  <c r="Z4759" i="36"/>
  <c r="Z4741" i="36"/>
  <c r="Z4742" i="36"/>
  <c r="Z1762" i="36"/>
  <c r="Z2200" i="36"/>
  <c r="Y2211" i="36"/>
  <c r="AB2211" i="36" s="1"/>
  <c r="Z2199" i="36"/>
  <c r="Y4456" i="36"/>
  <c r="AB4456" i="36" s="1"/>
  <c r="Y4222" i="36"/>
  <c r="AB4222" i="36" s="1"/>
  <c r="AB4207" i="36"/>
  <c r="AB2882" i="36"/>
  <c r="Y2896" i="36"/>
  <c r="AB2896" i="36" s="1"/>
  <c r="AB2891" i="36"/>
  <c r="Z2877" i="36"/>
  <c r="Y2902" i="36"/>
  <c r="AB2902" i="36" s="1"/>
  <c r="Y3231" i="36"/>
  <c r="AB3231" i="36" s="1"/>
  <c r="Y3222" i="36"/>
  <c r="AB3222" i="36" s="1"/>
  <c r="Z3247" i="36"/>
  <c r="Y3240" i="36"/>
  <c r="AB3240" i="36" s="1"/>
  <c r="Z3229" i="36"/>
  <c r="AB3235" i="36"/>
  <c r="AB3242" i="36"/>
  <c r="Z2902" i="36"/>
  <c r="Z2888" i="36"/>
  <c r="Z2896" i="36"/>
  <c r="Z2886" i="36"/>
  <c r="Z2879" i="36"/>
  <c r="Y2895" i="36"/>
  <c r="AB2895" i="36" s="1"/>
  <c r="Y2877" i="36"/>
  <c r="AB2877" i="36" s="1"/>
  <c r="Y2894" i="36"/>
  <c r="AB2894" i="36" s="1"/>
  <c r="AC2894" i="36" s="1"/>
  <c r="Z2885" i="36"/>
  <c r="AB3249" i="36"/>
  <c r="Z3223" i="36"/>
  <c r="Y3238" i="36"/>
  <c r="AB3238" i="36" s="1"/>
  <c r="Y3221" i="36"/>
  <c r="AB3221" i="36" s="1"/>
  <c r="Z3245" i="36"/>
  <c r="Z3238" i="36"/>
  <c r="Y3239" i="36"/>
  <c r="AB3239" i="36" s="1"/>
  <c r="Z3231" i="36"/>
  <c r="AC3231" i="36" s="1"/>
  <c r="Y3246" i="36"/>
  <c r="AB3246" i="36" s="1"/>
  <c r="Z838" i="36"/>
  <c r="Y2886" i="36"/>
  <c r="AB2886" i="36" s="1"/>
  <c r="Z2880" i="36"/>
  <c r="Y2878" i="36"/>
  <c r="AB2878" i="36" s="1"/>
  <c r="Y3233" i="36"/>
  <c r="AB3233" i="36" s="1"/>
  <c r="AC1825" i="36"/>
  <c r="Z2265" i="36"/>
  <c r="Y2265" i="36"/>
  <c r="AB2265" i="36" s="1"/>
  <c r="Z2243" i="36"/>
  <c r="AB2269" i="36"/>
  <c r="Y2243" i="36"/>
  <c r="AB2243" i="36" s="1"/>
  <c r="AB2254" i="36"/>
  <c r="Y2242" i="36"/>
  <c r="AB2242" i="36" s="1"/>
  <c r="Y2260" i="36"/>
  <c r="AB2260" i="36" s="1"/>
  <c r="Z2258" i="36"/>
  <c r="AB1828" i="36"/>
  <c r="Z1818" i="36"/>
  <c r="Y1808" i="36"/>
  <c r="AB1808" i="36" s="1"/>
  <c r="AC1808" i="36" s="1"/>
  <c r="Z1802" i="36"/>
  <c r="Z1819" i="36"/>
  <c r="Y1802" i="36"/>
  <c r="AB1802" i="36" s="1"/>
  <c r="Y1809" i="36"/>
  <c r="AB1809" i="36" s="1"/>
  <c r="Z1800" i="36"/>
  <c r="Z1798" i="36"/>
  <c r="Z2201" i="36"/>
  <c r="Y2191" i="36"/>
  <c r="AB2191" i="36" s="1"/>
  <c r="AB2196" i="36"/>
  <c r="Y2194" i="36"/>
  <c r="AB2194" i="36" s="1"/>
  <c r="Z2208" i="36"/>
  <c r="AC2208" i="36" s="1"/>
  <c r="Y2200" i="36"/>
  <c r="AB2200" i="36" s="1"/>
  <c r="Y2218" i="36"/>
  <c r="AB2218" i="36" s="1"/>
  <c r="Z2203" i="36"/>
  <c r="Y2192" i="36"/>
  <c r="AB2192" i="36" s="1"/>
  <c r="Z4212" i="36"/>
  <c r="Y4211" i="36"/>
  <c r="AB4211" i="36" s="1"/>
  <c r="Z4203" i="36"/>
  <c r="Y4214" i="36"/>
  <c r="AB4214" i="36" s="1"/>
  <c r="Y4229" i="36"/>
  <c r="AB4229" i="36" s="1"/>
  <c r="Y4220" i="36"/>
  <c r="AB4220" i="36" s="1"/>
  <c r="Z4214" i="36"/>
  <c r="Z4204" i="36"/>
  <c r="Y4219" i="36"/>
  <c r="AB4219" i="36" s="1"/>
  <c r="Y2267" i="36"/>
  <c r="AB2267" i="36" s="1"/>
  <c r="AB2245" i="36"/>
  <c r="Z2240" i="36"/>
  <c r="Y2259" i="36"/>
  <c r="AB2259" i="36" s="1"/>
  <c r="Z2260" i="36"/>
  <c r="Z2267" i="36"/>
  <c r="Z2249" i="36"/>
  <c r="Y2258" i="36"/>
  <c r="AB2258" i="36" s="1"/>
  <c r="Y2240" i="36"/>
  <c r="AB2240" i="36" s="1"/>
  <c r="Z1807" i="36"/>
  <c r="AB1821" i="36"/>
  <c r="Y1800" i="36"/>
  <c r="AB1800" i="36" s="1"/>
  <c r="Y1824" i="36"/>
  <c r="AB1824" i="36" s="1"/>
  <c r="Z1810" i="36"/>
  <c r="AB1804" i="36"/>
  <c r="Z1809" i="36"/>
  <c r="Y1799" i="36"/>
  <c r="AB1799" i="36" s="1"/>
  <c r="Y1816" i="36"/>
  <c r="AB1816" i="36" s="1"/>
  <c r="Y2202" i="36"/>
  <c r="AB2202" i="36" s="1"/>
  <c r="Z2194" i="36"/>
  <c r="Y2210" i="36"/>
  <c r="AB2210" i="36" s="1"/>
  <c r="Z2193" i="36"/>
  <c r="Y2209" i="36"/>
  <c r="AB2209" i="36" s="1"/>
  <c r="Z2191" i="36"/>
  <c r="Z2216" i="36"/>
  <c r="AB2205" i="36"/>
  <c r="Z2217" i="36"/>
  <c r="Y4210" i="36"/>
  <c r="AB4210" i="36" s="1"/>
  <c r="AB4231" i="36"/>
  <c r="Y4202" i="36"/>
  <c r="AB4202" i="36" s="1"/>
  <c r="Z4213" i="36"/>
  <c r="Y4213" i="36"/>
  <c r="AB4213" i="36" s="1"/>
  <c r="Z4229" i="36"/>
  <c r="Z4219" i="36"/>
  <c r="Y4203" i="36"/>
  <c r="AB4203" i="36" s="1"/>
  <c r="Y4227" i="36"/>
  <c r="AB4227" i="36" s="1"/>
  <c r="AC4227" i="36" s="1"/>
  <c r="Z4222" i="36"/>
  <c r="Z2266" i="36"/>
  <c r="Z2252" i="36"/>
  <c r="Z2257" i="36"/>
  <c r="Z2241" i="36"/>
  <c r="AC2241" i="36" s="1"/>
  <c r="Y2257" i="36"/>
  <c r="AB2257" i="36" s="1"/>
  <c r="Y2249" i="36"/>
  <c r="AB2249" i="36" s="1"/>
  <c r="AC2249" i="36" s="1"/>
  <c r="Z2239" i="36"/>
  <c r="AB2262" i="36"/>
  <c r="Y1826" i="36"/>
  <c r="AB1826" i="36" s="1"/>
  <c r="Z1826" i="36"/>
  <c r="Y1811" i="36"/>
  <c r="AB1811" i="36" s="1"/>
  <c r="Y1818" i="36"/>
  <c r="AB1818" i="36" s="1"/>
  <c r="Z1817" i="36"/>
  <c r="Z1801" i="36"/>
  <c r="Y1819" i="36"/>
  <c r="AB1819" i="36" s="1"/>
  <c r="Z1799" i="36"/>
  <c r="Y1817" i="36"/>
  <c r="AB1817" i="36" s="1"/>
  <c r="Z2202" i="36"/>
  <c r="Y2216" i="36"/>
  <c r="AB2216" i="36" s="1"/>
  <c r="Y2201" i="36"/>
  <c r="AB2201" i="36" s="1"/>
  <c r="AB2213" i="36"/>
  <c r="Y2203" i="36"/>
  <c r="AB2203" i="36" s="1"/>
  <c r="Y2193" i="36"/>
  <c r="AB2193" i="36" s="1"/>
  <c r="Z2190" i="36"/>
  <c r="Y2199" i="36"/>
  <c r="AB2199" i="36" s="1"/>
  <c r="Z4210" i="36"/>
  <c r="Z4205" i="36"/>
  <c r="AB4224" i="36"/>
  <c r="Z4202" i="36"/>
  <c r="Z4211" i="36"/>
  <c r="Y4205" i="36"/>
  <c r="AB4205" i="36" s="1"/>
  <c r="AB4216" i="36"/>
  <c r="Y4228" i="36"/>
  <c r="AB4228" i="36" s="1"/>
  <c r="Y355" i="36"/>
  <c r="AB355" i="36" s="1"/>
  <c r="Y4310" i="36"/>
  <c r="AB4310" i="36" s="1"/>
  <c r="Z4309" i="36"/>
  <c r="Y4309" i="36"/>
  <c r="AB4309" i="36" s="1"/>
  <c r="Z4320" i="36"/>
  <c r="Y4312" i="36"/>
  <c r="AB4312" i="36" s="1"/>
  <c r="AB4314" i="36"/>
  <c r="Z4303" i="36"/>
  <c r="Z4318" i="36"/>
  <c r="Y4320" i="36"/>
  <c r="AB4320" i="36" s="1"/>
  <c r="Z828" i="36"/>
  <c r="Z1924" i="36"/>
  <c r="Z5597" i="36"/>
  <c r="Z4301" i="36"/>
  <c r="Y4326" i="36"/>
  <c r="AB4326" i="36" s="1"/>
  <c r="Z4327" i="36"/>
  <c r="Y4302" i="36"/>
  <c r="AB4302" i="36" s="1"/>
  <c r="Z4308" i="36"/>
  <c r="Y4317" i="36"/>
  <c r="AB4317" i="36" s="1"/>
  <c r="AC4317" i="36" s="1"/>
  <c r="Z4312" i="36"/>
  <c r="Z4326" i="36"/>
  <c r="Z4325" i="36"/>
  <c r="Z4310" i="36"/>
  <c r="Y4308" i="36"/>
  <c r="AB4308" i="36" s="1"/>
  <c r="Z4300" i="36"/>
  <c r="Y4318" i="36"/>
  <c r="AB4318" i="36" s="1"/>
  <c r="AB4525" i="36"/>
  <c r="Y4301" i="36"/>
  <c r="AB4301" i="36" s="1"/>
  <c r="Z4319" i="36"/>
  <c r="Z4302" i="36"/>
  <c r="Y4319" i="36"/>
  <c r="AB4319" i="36" s="1"/>
  <c r="Z4311" i="36"/>
  <c r="Y4303" i="36"/>
  <c r="AB4303" i="36" s="1"/>
  <c r="Y4327" i="36"/>
  <c r="AB4327" i="36" s="1"/>
  <c r="Z4299" i="36"/>
  <c r="Y4300" i="36"/>
  <c r="AB4300" i="36" s="1"/>
  <c r="AB4322" i="36"/>
  <c r="Y4311" i="36"/>
  <c r="AB4311" i="36" s="1"/>
  <c r="Y4325" i="36"/>
  <c r="AB4325" i="36" s="1"/>
  <c r="AB4329" i="36"/>
  <c r="AB4305" i="36"/>
  <c r="Y733" i="36"/>
  <c r="AB733" i="36" s="1"/>
  <c r="Y3911" i="36"/>
  <c r="AB3911" i="36" s="1"/>
  <c r="Y4653" i="36"/>
  <c r="AB4653" i="36" s="1"/>
  <c r="Y3976" i="36"/>
  <c r="AB3976" i="36" s="1"/>
  <c r="Y5086" i="36"/>
  <c r="AB5086" i="36" s="1"/>
  <c r="Z5208" i="36"/>
  <c r="Z5199" i="36"/>
  <c r="Z1759" i="36"/>
  <c r="AC1759" i="36" s="1"/>
  <c r="Z770" i="36"/>
  <c r="Y1261" i="36"/>
  <c r="AB1261" i="36" s="1"/>
  <c r="Z4259" i="36"/>
  <c r="Y4025" i="36"/>
  <c r="AB4025" i="36" s="1"/>
  <c r="Y4023" i="36"/>
  <c r="AB4023" i="36" s="1"/>
  <c r="Z4474" i="36"/>
  <c r="AB2850" i="36"/>
  <c r="Z2836" i="36"/>
  <c r="AB2833" i="36"/>
  <c r="Y2838" i="36"/>
  <c r="AB2838" i="36" s="1"/>
  <c r="Y2853" i="36"/>
  <c r="AB2853" i="36" s="1"/>
  <c r="Z2837" i="36"/>
  <c r="Y2830" i="36"/>
  <c r="AB2830" i="36" s="1"/>
  <c r="Z2827" i="36"/>
  <c r="Z2828" i="36"/>
  <c r="Y2846" i="36"/>
  <c r="AB2846" i="36" s="1"/>
  <c r="Y2828" i="36"/>
  <c r="AB2828" i="36" s="1"/>
  <c r="Y2845" i="36"/>
  <c r="AB2845" i="36" s="1"/>
  <c r="Z2848" i="36"/>
  <c r="Z2830" i="36"/>
  <c r="Y2837" i="36"/>
  <c r="AB2837" i="36" s="1"/>
  <c r="Z2839" i="36"/>
  <c r="Y2847" i="36"/>
  <c r="AB2847" i="36" s="1"/>
  <c r="Y5104" i="36"/>
  <c r="AB5104" i="36" s="1"/>
  <c r="Y5183" i="36"/>
  <c r="AB5183" i="36" s="1"/>
  <c r="Y5208" i="36"/>
  <c r="AB5208" i="36" s="1"/>
  <c r="Y1769" i="36"/>
  <c r="AB1769" i="36" s="1"/>
  <c r="Y781" i="36"/>
  <c r="AB781" i="36" s="1"/>
  <c r="Y797" i="36"/>
  <c r="AB797" i="36" s="1"/>
  <c r="Y1269" i="36"/>
  <c r="AB1269" i="36" s="1"/>
  <c r="AB4256" i="36"/>
  <c r="AB4028" i="36"/>
  <c r="Z5101" i="36"/>
  <c r="Y5207" i="36"/>
  <c r="AB5207" i="36" s="1"/>
  <c r="Y1768" i="36"/>
  <c r="AB1768" i="36" s="1"/>
  <c r="Y773" i="36"/>
  <c r="AB773" i="36" s="1"/>
  <c r="Y1270" i="36"/>
  <c r="AB1270" i="36" s="1"/>
  <c r="Z4269" i="36"/>
  <c r="Z4025" i="36"/>
  <c r="Y4459" i="36"/>
  <c r="AB4459" i="36" s="1"/>
  <c r="Y880" i="36"/>
  <c r="AB880" i="36" s="1"/>
  <c r="Y479" i="36"/>
  <c r="AB479" i="36" s="1"/>
  <c r="AB484" i="36"/>
  <c r="Z490" i="36"/>
  <c r="Z488" i="36"/>
  <c r="Y504" i="36"/>
  <c r="AB504" i="36" s="1"/>
  <c r="AB507" i="36"/>
  <c r="Y489" i="36"/>
  <c r="AB489" i="36" s="1"/>
  <c r="Z478" i="36"/>
  <c r="Z482" i="36"/>
  <c r="Y491" i="36"/>
  <c r="AB491" i="36" s="1"/>
  <c r="Y497" i="36"/>
  <c r="AB497" i="36" s="1"/>
  <c r="AC497" i="36" s="1"/>
  <c r="Y499" i="36"/>
  <c r="AB499" i="36" s="1"/>
  <c r="Z489" i="36"/>
  <c r="Y498" i="36"/>
  <c r="AB498" i="36" s="1"/>
  <c r="Z487" i="36"/>
  <c r="Z504" i="36"/>
  <c r="Y490" i="36"/>
  <c r="AB490" i="36" s="1"/>
  <c r="Z481" i="36"/>
  <c r="AB493" i="36"/>
  <c r="Y480" i="36"/>
  <c r="AB480" i="36" s="1"/>
  <c r="Z498" i="36"/>
  <c r="Z491" i="36"/>
  <c r="Y481" i="36"/>
  <c r="AB481" i="36" s="1"/>
  <c r="Z505" i="36"/>
  <c r="Y496" i="36"/>
  <c r="AB496" i="36" s="1"/>
  <c r="Y487" i="36"/>
  <c r="AB487" i="36" s="1"/>
  <c r="AB501" i="36"/>
  <c r="Z479" i="36"/>
  <c r="Z496" i="36"/>
  <c r="Y505" i="36"/>
  <c r="AB505" i="36" s="1"/>
  <c r="Z480" i="36"/>
  <c r="Z499" i="36"/>
  <c r="Y488" i="36"/>
  <c r="AB488" i="36" s="1"/>
  <c r="Y482" i="36"/>
  <c r="AB482" i="36" s="1"/>
  <c r="Y5791" i="36"/>
  <c r="AB5791" i="36" s="1"/>
  <c r="Z5778" i="36"/>
  <c r="Y5775" i="36"/>
  <c r="AB5775" i="36" s="1"/>
  <c r="Z5774" i="36"/>
  <c r="Z5769" i="36"/>
  <c r="Y5766" i="36"/>
  <c r="AB5766" i="36" s="1"/>
  <c r="Y5786" i="36"/>
  <c r="AB5786" i="36" s="1"/>
  <c r="Z5793" i="36"/>
  <c r="Z5784" i="36"/>
  <c r="Y5778" i="36"/>
  <c r="AB5778" i="36" s="1"/>
  <c r="Z5777" i="36"/>
  <c r="Y5774" i="36"/>
  <c r="Y5769" i="36"/>
  <c r="AB5769" i="36" s="1"/>
  <c r="Z5768" i="36"/>
  <c r="Z5791" i="36"/>
  <c r="Y5793" i="36"/>
  <c r="AB5793" i="36" s="1"/>
  <c r="Z5792" i="36"/>
  <c r="Z5786" i="36"/>
  <c r="Y5784" i="36"/>
  <c r="AB5784" i="36" s="1"/>
  <c r="Y5777" i="36"/>
  <c r="AB5777" i="36" s="1"/>
  <c r="Z5776" i="36"/>
  <c r="Y5768" i="36"/>
  <c r="AB5768" i="36" s="1"/>
  <c r="Z5767" i="36"/>
  <c r="Z5765" i="36"/>
  <c r="Y5792" i="36"/>
  <c r="AB5792" i="36" s="1"/>
  <c r="Z5785" i="36"/>
  <c r="Z5783" i="36"/>
  <c r="Y5767" i="36"/>
  <c r="AB5767" i="36" s="1"/>
  <c r="Y5776" i="36"/>
  <c r="Z5775" i="36"/>
  <c r="Z5766" i="36"/>
  <c r="Y5783" i="36"/>
  <c r="AB5783" i="36" s="1"/>
  <c r="Y5785" i="36"/>
  <c r="AB5785" i="36" s="1"/>
  <c r="AB5780" i="36"/>
  <c r="AB5788" i="36"/>
  <c r="AB5795" i="36"/>
  <c r="AB5771" i="36"/>
  <c r="Y5743" i="36"/>
  <c r="AB5743" i="36" s="1"/>
  <c r="Z5742" i="36"/>
  <c r="Y5737" i="36"/>
  <c r="AB5737" i="36" s="1"/>
  <c r="Z5736" i="36"/>
  <c r="Z5734" i="36"/>
  <c r="Y5727" i="36"/>
  <c r="AB5727" i="36" s="1"/>
  <c r="Z5726" i="36"/>
  <c r="Y5718" i="36"/>
  <c r="AB5718" i="36" s="1"/>
  <c r="Z5717" i="36"/>
  <c r="Z5716" i="36"/>
  <c r="Y5742" i="36"/>
  <c r="AB5742" i="36" s="1"/>
  <c r="Z5729" i="36"/>
  <c r="Y5726" i="36"/>
  <c r="AB5726" i="36" s="1"/>
  <c r="Z5725" i="36"/>
  <c r="Z5720" i="36"/>
  <c r="Y5717" i="36"/>
  <c r="AB5717" i="36" s="1"/>
  <c r="Z5744" i="36"/>
  <c r="Z5735" i="36"/>
  <c r="Y5729" i="36"/>
  <c r="AB5729" i="36" s="1"/>
  <c r="Z5728" i="36"/>
  <c r="Y5725" i="36"/>
  <c r="Y5720" i="36"/>
  <c r="AB5720" i="36" s="1"/>
  <c r="Z5719" i="36"/>
  <c r="Z5743" i="36"/>
  <c r="Z5737" i="36"/>
  <c r="Y5744" i="36"/>
  <c r="AB5744" i="36" s="1"/>
  <c r="Z5718" i="36"/>
  <c r="Y5728" i="36"/>
  <c r="AB5728" i="36" s="1"/>
  <c r="Z5727" i="36"/>
  <c r="Y5735" i="36"/>
  <c r="AB5735" i="36" s="1"/>
  <c r="AC5735" i="36" s="1"/>
  <c r="Y5719" i="36"/>
  <c r="AB5719" i="36" s="1"/>
  <c r="Y5736" i="36"/>
  <c r="AB5736" i="36" s="1"/>
  <c r="Y5734" i="36"/>
  <c r="AB5734" i="36" s="1"/>
  <c r="AB5739" i="36"/>
  <c r="AB5746" i="36"/>
  <c r="AB5722" i="36"/>
  <c r="AB5731" i="36"/>
  <c r="Z242" i="36"/>
  <c r="Y249" i="36"/>
  <c r="AB249" i="36" s="1"/>
  <c r="Z249" i="36"/>
  <c r="Y241" i="36"/>
  <c r="AB241" i="36" s="1"/>
  <c r="AB267" i="36"/>
  <c r="Z264" i="36"/>
  <c r="Z238" i="36"/>
  <c r="Y264" i="36"/>
  <c r="AB264" i="36" s="1"/>
  <c r="Z3861" i="36"/>
  <c r="Z1726" i="36"/>
  <c r="Y1857" i="36"/>
  <c r="AB1857" i="36" s="1"/>
  <c r="Z3379" i="36"/>
  <c r="AB5648" i="36"/>
  <c r="Y250" i="36"/>
  <c r="AB250" i="36" s="1"/>
  <c r="Y257" i="36"/>
  <c r="AB257" i="36" s="1"/>
  <c r="Z239" i="36"/>
  <c r="Z241" i="36"/>
  <c r="Y248" i="36"/>
  <c r="AB248" i="36" s="1"/>
  <c r="Z256" i="36"/>
  <c r="Y258" i="36"/>
  <c r="AB258" i="36" s="1"/>
  <c r="Z259" i="36"/>
  <c r="Z250" i="36"/>
  <c r="Z248" i="36"/>
  <c r="Y256" i="36"/>
  <c r="AB256" i="36" s="1"/>
  <c r="AB253" i="36"/>
  <c r="Z247" i="36"/>
  <c r="Z257" i="36"/>
  <c r="Y247" i="36"/>
  <c r="AB247" i="36" s="1"/>
  <c r="Y239" i="36"/>
  <c r="AB239" i="36" s="1"/>
  <c r="Z258" i="36"/>
  <c r="AB244" i="36"/>
  <c r="Z251" i="36"/>
  <c r="AC251" i="36" s="1"/>
  <c r="Z240" i="36"/>
  <c r="Y265" i="36"/>
  <c r="AB265" i="36" s="1"/>
  <c r="Z3100" i="36"/>
  <c r="Z4947" i="36"/>
  <c r="Z1613" i="36"/>
  <c r="Y3424" i="36"/>
  <c r="J791" i="35" s="1"/>
  <c r="K791" i="35" s="1"/>
  <c r="Z2113" i="36"/>
  <c r="Z2102" i="36"/>
  <c r="Z2355" i="36"/>
  <c r="Z831" i="36"/>
  <c r="Y827" i="36"/>
  <c r="J612" i="35" s="1"/>
  <c r="K612" i="35" s="1"/>
  <c r="Y723" i="36"/>
  <c r="AB723" i="36" s="1"/>
  <c r="Z740" i="36"/>
  <c r="Z4515" i="36"/>
  <c r="Y1897" i="36"/>
  <c r="AB1897" i="36" s="1"/>
  <c r="Y4612" i="36"/>
  <c r="AB4612" i="36" s="1"/>
  <c r="AB3922" i="36"/>
  <c r="Z1238" i="36"/>
  <c r="Y4652" i="36"/>
  <c r="AB4652" i="36" s="1"/>
  <c r="Z1041" i="36"/>
  <c r="Y839" i="36"/>
  <c r="AB839" i="36" s="1"/>
  <c r="AB735" i="36"/>
  <c r="Y4513" i="36"/>
  <c r="AB4513" i="36" s="1"/>
  <c r="Z1905" i="36"/>
  <c r="Z1897" i="36"/>
  <c r="AB1233" i="36"/>
  <c r="Z4669" i="36"/>
  <c r="Z2708" i="36"/>
  <c r="AB841" i="36"/>
  <c r="Z721" i="36"/>
  <c r="Z4516" i="36"/>
  <c r="Z1900" i="36"/>
  <c r="Z4614" i="36"/>
  <c r="Z3918" i="36"/>
  <c r="Y4654" i="36"/>
  <c r="AB4654" i="36" s="1"/>
  <c r="Z5541" i="36"/>
  <c r="Z5587" i="36"/>
  <c r="Z2680" i="36"/>
  <c r="Y2103" i="36"/>
  <c r="AB2103" i="36" s="1"/>
  <c r="Z2364" i="36"/>
  <c r="Z3081" i="36"/>
  <c r="Y1728" i="36"/>
  <c r="AB1728" i="36" s="1"/>
  <c r="Z4964" i="36"/>
  <c r="Y4939" i="36"/>
  <c r="AB4939" i="36" s="1"/>
  <c r="Z3424" i="36"/>
  <c r="Y3100" i="36"/>
  <c r="AB3100" i="36" s="1"/>
  <c r="Y3082" i="36"/>
  <c r="AB3082" i="36" s="1"/>
  <c r="Z1702" i="36"/>
  <c r="Z4936" i="36"/>
  <c r="Z5630" i="36"/>
  <c r="Z2103" i="36"/>
  <c r="Z2112" i="36"/>
  <c r="Z2093" i="36"/>
  <c r="Z1328" i="36"/>
  <c r="AC4987" i="36"/>
  <c r="Y649" i="36"/>
  <c r="AB649" i="36" s="1"/>
  <c r="Z631" i="36"/>
  <c r="Z634" i="36"/>
  <c r="Y641" i="36"/>
  <c r="AB641" i="36" s="1"/>
  <c r="Z3420" i="36"/>
  <c r="Z3446" i="36"/>
  <c r="Z3447" i="36" s="1"/>
  <c r="Z3448" i="36" s="1"/>
  <c r="R80" i="1" s="1"/>
  <c r="Z3436" i="36"/>
  <c r="Z3415" i="36"/>
  <c r="Y3427" i="36"/>
  <c r="AB3427" i="36" s="1"/>
  <c r="Z3429" i="36"/>
  <c r="AB3438" i="36"/>
  <c r="Y3441" i="36"/>
  <c r="AB3441" i="36" s="1"/>
  <c r="AB3448" i="36"/>
  <c r="Y3422" i="36"/>
  <c r="AB3422" i="36" s="1"/>
  <c r="Y3431" i="36"/>
  <c r="AB3431" i="36" s="1"/>
  <c r="Y3430" i="36"/>
  <c r="Z3423" i="36"/>
  <c r="Y3426" i="36"/>
  <c r="AB3426" i="36" s="1"/>
  <c r="AC3426" i="36" s="1"/>
  <c r="Y3420" i="36"/>
  <c r="J387" i="35" s="1"/>
  <c r="K387" i="35" s="1"/>
  <c r="Z3427" i="36"/>
  <c r="AB3443" i="36"/>
  <c r="Y3446" i="36"/>
  <c r="AB3446" i="36" s="1"/>
  <c r="Z3432" i="36"/>
  <c r="Y3433" i="36"/>
  <c r="Z3441" i="36"/>
  <c r="Z3442" i="36" s="1"/>
  <c r="Z3443" i="36" s="1"/>
  <c r="Q80" i="1" s="1"/>
  <c r="Z3433" i="36"/>
  <c r="Z3421" i="36"/>
  <c r="Y3425" i="36"/>
  <c r="AB3425" i="36" s="1"/>
  <c r="Z3422" i="36"/>
  <c r="Z3431" i="36"/>
  <c r="Y3415" i="36"/>
  <c r="AB3415" i="36" s="1"/>
  <c r="Z3430" i="36"/>
  <c r="Y3421" i="36"/>
  <c r="AB3421" i="36" s="1"/>
  <c r="Y3428" i="36"/>
  <c r="AB3428" i="36" s="1"/>
  <c r="Y3429" i="36"/>
  <c r="AB3429" i="36" s="1"/>
  <c r="Z3428" i="36"/>
  <c r="Z3434" i="36"/>
  <c r="AB3417" i="36"/>
  <c r="Y3270" i="36"/>
  <c r="AB3270" i="36" s="1"/>
  <c r="Z3271" i="36"/>
  <c r="Z3269" i="36"/>
  <c r="Z3289" i="36"/>
  <c r="Y3289" i="36"/>
  <c r="AB3289" i="36" s="1"/>
  <c r="Z3278" i="36"/>
  <c r="Z3288" i="36"/>
  <c r="Y3269" i="36"/>
  <c r="AB3269" i="36" s="1"/>
  <c r="Y3288" i="36"/>
  <c r="AB3288" i="36" s="1"/>
  <c r="Z3295" i="36"/>
  <c r="Y3296" i="36"/>
  <c r="AB3296" i="36" s="1"/>
  <c r="Y3271" i="36"/>
  <c r="AB3271" i="36" s="1"/>
  <c r="Z3279" i="36"/>
  <c r="Z3268" i="36"/>
  <c r="Y3280" i="36"/>
  <c r="AB3280" i="36" s="1"/>
  <c r="Z3281" i="36"/>
  <c r="Z3272" i="36"/>
  <c r="Y3294" i="36"/>
  <c r="AB3294" i="36" s="1"/>
  <c r="Y3287" i="36"/>
  <c r="AB3287" i="36" s="1"/>
  <c r="Z3277" i="36"/>
  <c r="Y3286" i="36"/>
  <c r="AB3286" i="36" s="1"/>
  <c r="Y3272" i="36"/>
  <c r="AB3272" i="36" s="1"/>
  <c r="Z3280" i="36"/>
  <c r="Z3294" i="36"/>
  <c r="AB3291" i="36"/>
  <c r="Z3296" i="36"/>
  <c r="AB3298" i="36"/>
  <c r="Y3278" i="36"/>
  <c r="AB3278" i="36" s="1"/>
  <c r="Z3287" i="36"/>
  <c r="Y3277" i="36"/>
  <c r="J577" i="35" s="1"/>
  <c r="K577" i="35" s="1"/>
  <c r="Y3295" i="36"/>
  <c r="AB3295" i="36" s="1"/>
  <c r="Y3281" i="36"/>
  <c r="AB3281" i="36" s="1"/>
  <c r="Y3279" i="36"/>
  <c r="AB3279" i="36" s="1"/>
  <c r="AB3283" i="36"/>
  <c r="Z3286" i="36"/>
  <c r="Y3386" i="36"/>
  <c r="AB3386" i="36" s="1"/>
  <c r="AC3386" i="36" s="1"/>
  <c r="Z3375" i="36"/>
  <c r="Z3377" i="36"/>
  <c r="Y3387" i="36"/>
  <c r="AB3387" i="36" s="1"/>
  <c r="AB3389" i="36"/>
  <c r="Z3392" i="36"/>
  <c r="Z3394" i="36"/>
  <c r="Y3385" i="36"/>
  <c r="AB3385" i="36" s="1"/>
  <c r="Z3378" i="36"/>
  <c r="Y3378" i="36"/>
  <c r="AB3378" i="36" s="1"/>
  <c r="Z3369" i="36"/>
  <c r="Y3379" i="36"/>
  <c r="AB3379" i="36" s="1"/>
  <c r="Y3377" i="36"/>
  <c r="AB3377" i="36" s="1"/>
  <c r="Z3387" i="36"/>
  <c r="Y3392" i="36"/>
  <c r="AB3392" i="36" s="1"/>
  <c r="Y3367" i="36"/>
  <c r="AB3367" i="36" s="1"/>
  <c r="Z3366" i="36"/>
  <c r="Z3367" i="36"/>
  <c r="Z3385" i="36"/>
  <c r="Y3369" i="36"/>
  <c r="AB3369" i="36" s="1"/>
  <c r="Z3368" i="36"/>
  <c r="Z3393" i="36"/>
  <c r="Y3384" i="36"/>
  <c r="AB3384" i="36" s="1"/>
  <c r="AB3396" i="36"/>
  <c r="Z3370" i="36"/>
  <c r="Z3384" i="36"/>
  <c r="Y3368" i="36"/>
  <c r="AB3368" i="36" s="1"/>
  <c r="Y3871" i="36"/>
  <c r="AB3871" i="36" s="1"/>
  <c r="Z3868" i="36"/>
  <c r="Z3867" i="36"/>
  <c r="AB3864" i="36"/>
  <c r="Z3859" i="36"/>
  <c r="Z3858" i="36"/>
  <c r="Y3878" i="36"/>
  <c r="AB3878" i="36" s="1"/>
  <c r="Y3861" i="36"/>
  <c r="AB3861" i="36" s="1"/>
  <c r="Z3870" i="36"/>
  <c r="Y3859" i="36"/>
  <c r="AB3859" i="36" s="1"/>
  <c r="Y3860" i="36"/>
  <c r="AB3860" i="36" s="1"/>
  <c r="Y3862" i="36"/>
  <c r="AB3862" i="36" s="1"/>
  <c r="Z3884" i="36"/>
  <c r="Z3862" i="36"/>
  <c r="Y3869" i="36"/>
  <c r="AB3869" i="36" s="1"/>
  <c r="Y3867" i="36"/>
  <c r="AB3888" i="36"/>
  <c r="Y3879" i="36"/>
  <c r="AB3879" i="36" s="1"/>
  <c r="Z3886" i="36"/>
  <c r="Z3878" i="36"/>
  <c r="Z3885" i="36"/>
  <c r="Y3868" i="36"/>
  <c r="AB3868" i="36" s="1"/>
  <c r="Y3885" i="36"/>
  <c r="AB3885" i="36" s="1"/>
  <c r="Y3876" i="36"/>
  <c r="AB3876" i="36" s="1"/>
  <c r="Z3879" i="36"/>
  <c r="Z3876" i="36"/>
  <c r="Z3871" i="36"/>
  <c r="Y3884" i="36"/>
  <c r="AB3884" i="36" s="1"/>
  <c r="AB3873" i="36"/>
  <c r="Z2585" i="36"/>
  <c r="Y2603" i="36"/>
  <c r="AB2603" i="36" s="1"/>
  <c r="Y2591" i="36"/>
  <c r="J857" i="35" s="1"/>
  <c r="K857" i="35" s="1"/>
  <c r="Z2584" i="36"/>
  <c r="Y2594" i="36"/>
  <c r="AB2594" i="36" s="1"/>
  <c r="Y2595" i="36"/>
  <c r="AB2595" i="36" s="1"/>
  <c r="Y2584" i="36"/>
  <c r="AB2584" i="36" s="1"/>
  <c r="Z2601" i="36"/>
  <c r="Z2603" i="36"/>
  <c r="Z2595" i="36"/>
  <c r="Y2601" i="36"/>
  <c r="AB2601" i="36" s="1"/>
  <c r="Z2583" i="36"/>
  <c r="Y2593" i="36"/>
  <c r="AB2593" i="36" s="1"/>
  <c r="Z2610" i="36"/>
  <c r="Y2585" i="36"/>
  <c r="AB2585" i="36" s="1"/>
  <c r="Z2594" i="36"/>
  <c r="Y2592" i="36"/>
  <c r="AB2592" i="36" s="1"/>
  <c r="Y2600" i="36"/>
  <c r="AB2600" i="36" s="1"/>
  <c r="Z2608" i="36"/>
  <c r="AB2605" i="36"/>
  <c r="Z2582" i="36"/>
  <c r="Z2602" i="36"/>
  <c r="Y2583" i="36"/>
  <c r="AB2583" i="36" s="1"/>
  <c r="Z2593" i="36"/>
  <c r="Z2609" i="36"/>
  <c r="Y2602" i="36"/>
  <c r="AB2602" i="36" s="1"/>
  <c r="Z2600" i="36"/>
  <c r="AB2612" i="36"/>
  <c r="AB2588" i="36"/>
  <c r="Z2592" i="36"/>
  <c r="Y2608" i="36"/>
  <c r="AB2608" i="36" s="1"/>
  <c r="AC2608" i="36" s="1"/>
  <c r="Y2609" i="36"/>
  <c r="AB2609" i="36" s="1"/>
  <c r="Z2586" i="36"/>
  <c r="Z2591" i="36"/>
  <c r="Y2586" i="36"/>
  <c r="AB2586" i="36" s="1"/>
  <c r="AB2597" i="36"/>
  <c r="Z2413" i="36"/>
  <c r="AB2389" i="36"/>
  <c r="Y2387" i="36"/>
  <c r="AB2387" i="36" s="1"/>
  <c r="Z2399" i="36"/>
  <c r="Y2413" i="36"/>
  <c r="AB2413" i="36" s="1"/>
  <c r="Z2401" i="36"/>
  <c r="Y2414" i="36"/>
  <c r="AB2414" i="36" s="1"/>
  <c r="Z2395" i="36"/>
  <c r="Y2403" i="36"/>
  <c r="AB2403" i="36" s="1"/>
  <c r="Y2396" i="36"/>
  <c r="AB2396" i="36" s="1"/>
  <c r="Y2394" i="36"/>
  <c r="J736" i="35" s="1"/>
  <c r="K736" i="35" s="1"/>
  <c r="AB2416" i="36"/>
  <c r="Y2400" i="36"/>
  <c r="Z2408" i="36"/>
  <c r="Z2409" i="36" s="1"/>
  <c r="Z2410" i="36" s="1"/>
  <c r="Q57" i="1" s="1"/>
  <c r="Y2408" i="36"/>
  <c r="AB2408" i="36" s="1"/>
  <c r="Y2401" i="36"/>
  <c r="AB2401" i="36" s="1"/>
  <c r="Y2395" i="36"/>
  <c r="J814" i="35" s="1"/>
  <c r="K814" i="35" s="1"/>
  <c r="Z2393" i="36"/>
  <c r="Z2397" i="36"/>
  <c r="Z2403" i="36"/>
  <c r="Z2392" i="36"/>
  <c r="Z2387" i="36"/>
  <c r="AB2410" i="36"/>
  <c r="Y2398" i="36"/>
  <c r="J764" i="35" s="1"/>
  <c r="K764" i="35" s="1"/>
  <c r="Z2386" i="36"/>
  <c r="Z2402" i="36"/>
  <c r="Y2402" i="36"/>
  <c r="AB2402" i="36" s="1"/>
  <c r="Z2414" i="36"/>
  <c r="Z2398" i="36"/>
  <c r="Z2400" i="36"/>
  <c r="Y2392" i="36"/>
  <c r="J654" i="35" s="1"/>
  <c r="K654" i="35" s="1"/>
  <c r="Z2396" i="36"/>
  <c r="AB2405" i="36"/>
  <c r="Y2393" i="36"/>
  <c r="AB2393" i="36" s="1"/>
  <c r="Y2399" i="36"/>
  <c r="AB2399" i="36" s="1"/>
  <c r="Y2397" i="36"/>
  <c r="AB2397" i="36" s="1"/>
  <c r="Y538" i="36"/>
  <c r="AB538" i="36" s="1"/>
  <c r="AB532" i="36"/>
  <c r="Z537" i="36"/>
  <c r="Y544" i="36"/>
  <c r="AB544" i="36" s="1"/>
  <c r="Y552" i="36"/>
  <c r="AB552" i="36" s="1"/>
  <c r="Z544" i="36"/>
  <c r="Y545" i="36"/>
  <c r="AB545" i="36" s="1"/>
  <c r="Z539" i="36"/>
  <c r="Z535" i="36"/>
  <c r="AB555" i="36"/>
  <c r="Z546" i="36"/>
  <c r="Y539" i="36"/>
  <c r="AB539" i="36" s="1"/>
  <c r="Y530" i="36"/>
  <c r="AB530" i="36" s="1"/>
  <c r="Y529" i="36"/>
  <c r="AB529" i="36" s="1"/>
  <c r="Y553" i="36"/>
  <c r="AB553" i="36" s="1"/>
  <c r="Z529" i="36"/>
  <c r="Z545" i="36"/>
  <c r="Y528" i="36"/>
  <c r="AB528" i="36" s="1"/>
  <c r="Z552" i="36"/>
  <c r="Y527" i="36"/>
  <c r="AB527" i="36" s="1"/>
  <c r="Z538" i="36"/>
  <c r="Y537" i="36"/>
  <c r="AB537" i="36" s="1"/>
  <c r="Y547" i="36"/>
  <c r="AB547" i="36" s="1"/>
  <c r="Z553" i="36"/>
  <c r="AB541" i="36"/>
  <c r="Y546" i="36"/>
  <c r="AB546" i="36" s="1"/>
  <c r="Z536" i="36"/>
  <c r="Z528" i="36"/>
  <c r="Z526" i="36"/>
  <c r="Z547" i="36"/>
  <c r="AB549" i="36"/>
  <c r="Y535" i="36"/>
  <c r="AB535" i="36" s="1"/>
  <c r="Z527" i="36"/>
  <c r="Z530" i="36"/>
  <c r="Y1865" i="36"/>
  <c r="AB1865" i="36" s="1"/>
  <c r="Z1868" i="36"/>
  <c r="Z1847" i="36"/>
  <c r="AB1870" i="36"/>
  <c r="Z1860" i="36"/>
  <c r="Y1856" i="36"/>
  <c r="AB1856" i="36" s="1"/>
  <c r="Y1849" i="36"/>
  <c r="AB1849" i="36" s="1"/>
  <c r="Y1875" i="36"/>
  <c r="AB1875" i="36" s="1"/>
  <c r="Z1859" i="36"/>
  <c r="Z1848" i="36"/>
  <c r="Y1851" i="36"/>
  <c r="AB1851" i="36" s="1"/>
  <c r="Y1858" i="36"/>
  <c r="AB1858" i="36" s="1"/>
  <c r="Z1856" i="36"/>
  <c r="Y1850" i="36"/>
  <c r="AB1850" i="36" s="1"/>
  <c r="Z1875" i="36"/>
  <c r="Z1867" i="36"/>
  <c r="Y1860" i="36"/>
  <c r="AB1860" i="36" s="1"/>
  <c r="AB1862" i="36"/>
  <c r="Z1874" i="36"/>
  <c r="Y1867" i="36"/>
  <c r="AB1867" i="36" s="1"/>
  <c r="Z1849" i="36"/>
  <c r="Y1859" i="36"/>
  <c r="AB1859" i="36" s="1"/>
  <c r="Y1873" i="36"/>
  <c r="AB1873" i="36" s="1"/>
  <c r="AB1877" i="36"/>
  <c r="Z1865" i="36"/>
  <c r="Z1858" i="36"/>
  <c r="Z1851" i="36"/>
  <c r="Y2119" i="36"/>
  <c r="AB2119" i="36" s="1"/>
  <c r="Y2347" i="36"/>
  <c r="AB2347" i="36" s="1"/>
  <c r="Y3435" i="36"/>
  <c r="AB3435" i="36" s="1"/>
  <c r="Y3436" i="36"/>
  <c r="J780" i="35" s="1"/>
  <c r="K780" i="35" s="1"/>
  <c r="Y3432" i="36"/>
  <c r="AB3432" i="36" s="1"/>
  <c r="Z1873" i="36"/>
  <c r="Y1848" i="36"/>
  <c r="AB1848" i="36" s="1"/>
  <c r="AC1848" i="36" s="1"/>
  <c r="Y1866" i="36"/>
  <c r="AB1866" i="36" s="1"/>
  <c r="Y3375" i="36"/>
  <c r="J813" i="35" s="1"/>
  <c r="K813" i="35" s="1"/>
  <c r="Y3376" i="36"/>
  <c r="AB3376" i="36" s="1"/>
  <c r="Z3869" i="36"/>
  <c r="Z3877" i="36"/>
  <c r="AC3877" i="36" s="1"/>
  <c r="Y1335" i="36"/>
  <c r="AB1335" i="36" s="1"/>
  <c r="Z2394" i="36"/>
  <c r="Z2101" i="36"/>
  <c r="Z2105" i="36"/>
  <c r="Y2113" i="36"/>
  <c r="AB2113" i="36" s="1"/>
  <c r="Y2102" i="36"/>
  <c r="AB2102" i="36" s="1"/>
  <c r="Z2096" i="36"/>
  <c r="AB2107" i="36"/>
  <c r="Z2094" i="36"/>
  <c r="Y2095" i="36"/>
  <c r="AB2095" i="36" s="1"/>
  <c r="Z2095" i="36"/>
  <c r="AB2098" i="36"/>
  <c r="Y2110" i="36"/>
  <c r="AB2110" i="36" s="1"/>
  <c r="Y2118" i="36"/>
  <c r="AB2118" i="36" s="1"/>
  <c r="Z2356" i="36"/>
  <c r="Z2348" i="36"/>
  <c r="Z2340" i="36"/>
  <c r="Y2364" i="36"/>
  <c r="AB2364" i="36" s="1"/>
  <c r="Y2346" i="36"/>
  <c r="AB2346" i="36" s="1"/>
  <c r="Z2365" i="36"/>
  <c r="Y2340" i="36"/>
  <c r="AB2340" i="36" s="1"/>
  <c r="Y2356" i="36"/>
  <c r="AB2356" i="36" s="1"/>
  <c r="Y2341" i="36"/>
  <c r="AB2341" i="36" s="1"/>
  <c r="Y2357" i="36"/>
  <c r="AB2357" i="36" s="1"/>
  <c r="Z2358" i="36"/>
  <c r="Y2350" i="36"/>
  <c r="AB2350" i="36" s="1"/>
  <c r="AC2350" i="36" s="1"/>
  <c r="Z2338" i="36"/>
  <c r="Z2337" i="36"/>
  <c r="Y2365" i="36"/>
  <c r="AB2365" i="36" s="1"/>
  <c r="Y2348" i="36"/>
  <c r="AB2348" i="36" s="1"/>
  <c r="Z2349" i="36"/>
  <c r="Y2349" i="36"/>
  <c r="AB2349" i="36" s="1"/>
  <c r="Z2341" i="36"/>
  <c r="Z2346" i="36"/>
  <c r="AB2352" i="36"/>
  <c r="Z2347" i="36"/>
  <c r="Y2355" i="36"/>
  <c r="AB2355" i="36" s="1"/>
  <c r="Y2339" i="36"/>
  <c r="AB2339" i="36" s="1"/>
  <c r="Z2357" i="36"/>
  <c r="Y2358" i="36"/>
  <c r="AB2358" i="36" s="1"/>
  <c r="AB2367" i="36"/>
  <c r="Z1505" i="36"/>
  <c r="Y1522" i="36"/>
  <c r="AB1522" i="36" s="1"/>
  <c r="Z1515" i="36"/>
  <c r="Y1531" i="36"/>
  <c r="AB1531" i="36" s="1"/>
  <c r="Y1530" i="36"/>
  <c r="AB1530" i="36" s="1"/>
  <c r="Y1516" i="36"/>
  <c r="AB1516" i="36" s="1"/>
  <c r="Z1532" i="36"/>
  <c r="Y1513" i="36"/>
  <c r="AB1513" i="36" s="1"/>
  <c r="Y1506" i="36"/>
  <c r="AB1506" i="36" s="1"/>
  <c r="Z1516" i="36"/>
  <c r="Y1523" i="36"/>
  <c r="AB1523" i="36" s="1"/>
  <c r="Y1507" i="36"/>
  <c r="AB1507" i="36" s="1"/>
  <c r="Y1508" i="36"/>
  <c r="AB1508" i="36" s="1"/>
  <c r="AB1527" i="36"/>
  <c r="Z1525" i="36"/>
  <c r="AB1534" i="36"/>
  <c r="Z1530" i="36"/>
  <c r="Z1513" i="36"/>
  <c r="Z1523" i="36"/>
  <c r="Z1517" i="36"/>
  <c r="AB1519" i="36"/>
  <c r="Y1505" i="36"/>
  <c r="AB1505" i="36" s="1"/>
  <c r="Y1517" i="36"/>
  <c r="AB1517" i="36" s="1"/>
  <c r="Y1514" i="36"/>
  <c r="AB1514" i="36" s="1"/>
  <c r="Z1514" i="36"/>
  <c r="Z1524" i="36"/>
  <c r="Y1515" i="36"/>
  <c r="AB1515" i="36" s="1"/>
  <c r="AC1515" i="36" s="1"/>
  <c r="Y1532" i="36"/>
  <c r="AB1532" i="36" s="1"/>
  <c r="Z1508" i="36"/>
  <c r="Z1507" i="36"/>
  <c r="Z1504" i="36"/>
  <c r="Z1522" i="36"/>
  <c r="AB1510" i="36"/>
  <c r="Z1506" i="36"/>
  <c r="Y1525" i="36"/>
  <c r="AB1525" i="36" s="1"/>
  <c r="Z1531" i="36"/>
  <c r="Y2112" i="36"/>
  <c r="AB2112" i="36" s="1"/>
  <c r="Z2104" i="36"/>
  <c r="AB2360" i="36"/>
  <c r="Z2339" i="36"/>
  <c r="Y2363" i="36"/>
  <c r="AB2363" i="36" s="1"/>
  <c r="Z3435" i="36"/>
  <c r="Z3425" i="36"/>
  <c r="Y3423" i="36"/>
  <c r="AB3423" i="36" s="1"/>
  <c r="AB1853" i="36"/>
  <c r="Z1866" i="36"/>
  <c r="AB3381" i="36"/>
  <c r="AB3372" i="36"/>
  <c r="Y3394" i="36"/>
  <c r="AB3394" i="36" s="1"/>
  <c r="Y3870" i="36"/>
  <c r="AB3870" i="36" s="1"/>
  <c r="Z3860" i="36"/>
  <c r="Y1524" i="36"/>
  <c r="AB1524" i="36" s="1"/>
  <c r="AB3274" i="36"/>
  <c r="Z1320" i="36"/>
  <c r="Y1327" i="36"/>
  <c r="AB1327" i="36" s="1"/>
  <c r="AC1327" i="36" s="1"/>
  <c r="Y1311" i="36"/>
  <c r="AB1311" i="36" s="1"/>
  <c r="Y1312" i="36"/>
  <c r="AB1312" i="36" s="1"/>
  <c r="Z1311" i="36"/>
  <c r="Y1334" i="36"/>
  <c r="AB1334" i="36" s="1"/>
  <c r="Y1320" i="36"/>
  <c r="AB1320" i="36" s="1"/>
  <c r="Z1310" i="36"/>
  <c r="Y1310" i="36"/>
  <c r="AB1310" i="36" s="1"/>
  <c r="Y1336" i="36"/>
  <c r="AB1336" i="36" s="1"/>
  <c r="Z1321" i="36"/>
  <c r="Z1312" i="36"/>
  <c r="AB1338" i="36"/>
  <c r="Y1328" i="36"/>
  <c r="AB1328" i="36" s="1"/>
  <c r="Z1329" i="36"/>
  <c r="AB1331" i="36"/>
  <c r="Z1336" i="36"/>
  <c r="Z1334" i="36"/>
  <c r="AB1314" i="36"/>
  <c r="Y1329" i="36"/>
  <c r="AB1329" i="36" s="1"/>
  <c r="AB1323" i="36"/>
  <c r="Z1308" i="36"/>
  <c r="Y1317" i="36"/>
  <c r="Z1309" i="36"/>
  <c r="Z1319" i="36"/>
  <c r="Z1335" i="36"/>
  <c r="Y1321" i="36"/>
  <c r="AB1321" i="36" s="1"/>
  <c r="Z1326" i="36"/>
  <c r="Y1318" i="36"/>
  <c r="AB1318" i="36" s="1"/>
  <c r="Z1318" i="36"/>
  <c r="Y1309" i="36"/>
  <c r="AB1309" i="36" s="1"/>
  <c r="Y1319" i="36"/>
  <c r="AB1319" i="36" s="1"/>
  <c r="Z2512" i="36"/>
  <c r="Z2497" i="36"/>
  <c r="Y2511" i="36"/>
  <c r="AB2511" i="36" s="1"/>
  <c r="Z2486" i="36"/>
  <c r="AC2486" i="36" s="1"/>
  <c r="Z2503" i="36"/>
  <c r="Y2497" i="36"/>
  <c r="AB2497" i="36" s="1"/>
  <c r="AB2507" i="36"/>
  <c r="Z2496" i="36"/>
  <c r="Y2505" i="36"/>
  <c r="AB2505" i="36" s="1"/>
  <c r="Z2484" i="36"/>
  <c r="Y2485" i="36"/>
  <c r="AB2485" i="36" s="1"/>
  <c r="Y2504" i="36"/>
  <c r="AB2504" i="36" s="1"/>
  <c r="AB2514" i="36"/>
  <c r="Y2493" i="36"/>
  <c r="Z2488" i="36"/>
  <c r="Z2504" i="36"/>
  <c r="Z2505" i="36"/>
  <c r="AB2499" i="36"/>
  <c r="Y2488" i="36"/>
  <c r="AB2488" i="36" s="1"/>
  <c r="Z2510" i="36"/>
  <c r="Y2502" i="36"/>
  <c r="AB2502" i="36" s="1"/>
  <c r="Y2503" i="36"/>
  <c r="AB2503" i="36" s="1"/>
  <c r="Z2511" i="36"/>
  <c r="Y2495" i="36"/>
  <c r="AB2495" i="36" s="1"/>
  <c r="Y2510" i="36"/>
  <c r="AB2510" i="36" s="1"/>
  <c r="Z2502" i="36"/>
  <c r="Z2495" i="36"/>
  <c r="Z2493" i="36"/>
  <c r="Z2494" i="36"/>
  <c r="Z2485" i="36"/>
  <c r="Z2487" i="36"/>
  <c r="AB2490" i="36"/>
  <c r="Y2512" i="36"/>
  <c r="AB2512" i="36" s="1"/>
  <c r="Y2494" i="36"/>
  <c r="AB2494" i="36" s="1"/>
  <c r="Y2487" i="36"/>
  <c r="AB2487" i="36" s="1"/>
  <c r="Y2496" i="36"/>
  <c r="AB2496" i="36" s="1"/>
  <c r="Y4350" i="36"/>
  <c r="AB4350" i="36" s="1"/>
  <c r="Z4367" i="36"/>
  <c r="Z4349" i="36"/>
  <c r="Z4351" i="36"/>
  <c r="Z4360" i="36"/>
  <c r="Y4360" i="36"/>
  <c r="AB4360" i="36" s="1"/>
  <c r="Y4375" i="36"/>
  <c r="AB4375" i="36" s="1"/>
  <c r="AB4371" i="36"/>
  <c r="Y4367" i="36"/>
  <c r="AB4367" i="36" s="1"/>
  <c r="Z4374" i="36"/>
  <c r="Y4368" i="36"/>
  <c r="AB4368" i="36" s="1"/>
  <c r="Y4351" i="36"/>
  <c r="AB4351" i="36" s="1"/>
  <c r="Z4359" i="36"/>
  <c r="Y4357" i="36"/>
  <c r="J469" i="35" s="1"/>
  <c r="K469" i="35" s="1"/>
  <c r="Z4348" i="36"/>
  <c r="Z4368" i="36"/>
  <c r="Z4350" i="36"/>
  <c r="Z4352" i="36"/>
  <c r="Y4358" i="36"/>
  <c r="AB4358" i="36" s="1"/>
  <c r="Z4361" i="36"/>
  <c r="Y4352" i="36"/>
  <c r="AB4352" i="36" s="1"/>
  <c r="Z4369" i="36"/>
  <c r="Z4376" i="36"/>
  <c r="AB4363" i="36"/>
  <c r="Y4359" i="36"/>
  <c r="AB4359" i="36" s="1"/>
  <c r="AC4359" i="36" s="1"/>
  <c r="Z4358" i="36"/>
  <c r="Y4349" i="36"/>
  <c r="AB4349" i="36" s="1"/>
  <c r="AC4349" i="36" s="1"/>
  <c r="AB4378" i="36"/>
  <c r="Y4374" i="36"/>
  <c r="AB4374" i="36" s="1"/>
  <c r="Y4369" i="36"/>
  <c r="AB4369" i="36" s="1"/>
  <c r="Y4366" i="36"/>
  <c r="AB4366" i="36" s="1"/>
  <c r="Y4361" i="36"/>
  <c r="AB4361" i="36" s="1"/>
  <c r="AC4361" i="36" s="1"/>
  <c r="Y4376" i="36"/>
  <c r="AB4376" i="36" s="1"/>
  <c r="Z4375" i="36"/>
  <c r="AB4354" i="36"/>
  <c r="Z2092" i="36"/>
  <c r="Z2110" i="36"/>
  <c r="Y2111" i="36"/>
  <c r="AB2111" i="36" s="1"/>
  <c r="Z2118" i="36"/>
  <c r="Z2119" i="36"/>
  <c r="Y2104" i="36"/>
  <c r="AB2104" i="36" s="1"/>
  <c r="Y2101" i="36"/>
  <c r="AB2101" i="36" s="1"/>
  <c r="AB2115" i="36"/>
  <c r="Z2120" i="36"/>
  <c r="AC2120" i="36" s="1"/>
  <c r="Z1850" i="36"/>
  <c r="AB2122" i="36"/>
  <c r="Y2094" i="36"/>
  <c r="AB2094" i="36" s="1"/>
  <c r="Y2105" i="36"/>
  <c r="AB2105" i="36" s="1"/>
  <c r="Y2093" i="36"/>
  <c r="AB2093" i="36" s="1"/>
  <c r="Y2096" i="36"/>
  <c r="AB2096" i="36" s="1"/>
  <c r="Z2111" i="36"/>
  <c r="AB2343" i="36"/>
  <c r="Y2338" i="36"/>
  <c r="AB2338" i="36" s="1"/>
  <c r="Z2363" i="36"/>
  <c r="Z3414" i="36"/>
  <c r="Y3434" i="36"/>
  <c r="Z1857" i="36"/>
  <c r="Y1868" i="36"/>
  <c r="AB1868" i="36" s="1"/>
  <c r="Y3393" i="36"/>
  <c r="AB3393" i="36" s="1"/>
  <c r="Y3370" i="36"/>
  <c r="AB3370" i="36" s="1"/>
  <c r="Z3376" i="36"/>
  <c r="AB3881" i="36"/>
  <c r="Y3886" i="36"/>
  <c r="AB3886" i="36" s="1"/>
  <c r="Z1317" i="36"/>
  <c r="Y1326" i="36"/>
  <c r="AB1326" i="36" s="1"/>
  <c r="Y2610" i="36"/>
  <c r="AB2610" i="36" s="1"/>
  <c r="Z3270" i="36"/>
  <c r="Z4366" i="36"/>
  <c r="Z1712" i="36"/>
  <c r="Y1701" i="36"/>
  <c r="AB1701" i="36" s="1"/>
  <c r="Y1703" i="36"/>
  <c r="AB1703" i="36" s="1"/>
  <c r="Z1701" i="36"/>
  <c r="Y1713" i="36"/>
  <c r="AB1713" i="36" s="1"/>
  <c r="Y1712" i="36"/>
  <c r="AB1712" i="36" s="1"/>
  <c r="Y1702" i="36"/>
  <c r="AB1702" i="36" s="1"/>
  <c r="Z1709" i="36"/>
  <c r="Z1700" i="36"/>
  <c r="Y1721" i="36"/>
  <c r="AB1721" i="36" s="1"/>
  <c r="Z1720" i="36"/>
  <c r="Z1704" i="36"/>
  <c r="Y1704" i="36"/>
  <c r="AB1704" i="36" s="1"/>
  <c r="Z1727" i="36"/>
  <c r="Y1718" i="36"/>
  <c r="AB1718" i="36" s="1"/>
  <c r="AB1706" i="36"/>
  <c r="Z1703" i="36"/>
  <c r="Y1719" i="36"/>
  <c r="AB1719" i="36" s="1"/>
  <c r="Z4956" i="36"/>
  <c r="Z4955" i="36"/>
  <c r="Y4945" i="36"/>
  <c r="AB4945" i="36" s="1"/>
  <c r="Z4938" i="36"/>
  <c r="Y4957" i="36"/>
  <c r="AB4957" i="36" s="1"/>
  <c r="Z4949" i="36"/>
  <c r="Y4954" i="36"/>
  <c r="AB4954" i="36" s="1"/>
  <c r="Y4963" i="36"/>
  <c r="AB4963" i="36" s="1"/>
  <c r="Z4954" i="36"/>
  <c r="Y4940" i="36"/>
  <c r="AB4940" i="36" s="1"/>
  <c r="Y4956" i="36"/>
  <c r="AB4956" i="36" s="1"/>
  <c r="AB4966" i="36"/>
  <c r="Z4939" i="36"/>
  <c r="Z4957" i="36"/>
  <c r="Y4947" i="36"/>
  <c r="AB4947" i="36" s="1"/>
  <c r="AC4947" i="36" s="1"/>
  <c r="Z4963" i="36"/>
  <c r="Z4946" i="36"/>
  <c r="Y4955" i="36"/>
  <c r="AB4955" i="36" s="1"/>
  <c r="Y5630" i="36"/>
  <c r="AB5630" i="36" s="1"/>
  <c r="Y5619" i="36"/>
  <c r="AB5619" i="36" s="1"/>
  <c r="Z5646" i="36"/>
  <c r="AC5646" i="36" s="1"/>
  <c r="Z5631" i="36"/>
  <c r="Y5636" i="36"/>
  <c r="AB5636" i="36" s="1"/>
  <c r="Y5644" i="36"/>
  <c r="AB5644" i="36" s="1"/>
  <c r="Y5629" i="36"/>
  <c r="AB5629" i="36" s="1"/>
  <c r="AB5633" i="36"/>
  <c r="Y5631" i="36"/>
  <c r="AB5631" i="36" s="1"/>
  <c r="Z5645" i="36"/>
  <c r="Y5628" i="36"/>
  <c r="AB5628" i="36" s="1"/>
  <c r="Y5622" i="36"/>
  <c r="AB5622" i="36" s="1"/>
  <c r="AB5624" i="36"/>
  <c r="Y5639" i="36"/>
  <c r="AB5639" i="36" s="1"/>
  <c r="Z5621" i="36"/>
  <c r="Z5638" i="36"/>
  <c r="Y5621" i="36"/>
  <c r="AB5621" i="36" s="1"/>
  <c r="Z5619" i="36"/>
  <c r="Y5620" i="36"/>
  <c r="AB5620" i="36" s="1"/>
  <c r="AB5641" i="36"/>
  <c r="Z5618" i="36"/>
  <c r="Y5637" i="36"/>
  <c r="AB5637" i="36" s="1"/>
  <c r="Y5645" i="36"/>
  <c r="AB5645" i="36" s="1"/>
  <c r="Y5627" i="36"/>
  <c r="Z1602" i="36"/>
  <c r="Y1612" i="36"/>
  <c r="AB1612" i="36" s="1"/>
  <c r="Y1622" i="36"/>
  <c r="AB1622" i="36" s="1"/>
  <c r="AB1617" i="36"/>
  <c r="Y1620" i="36"/>
  <c r="AB1620" i="36" s="1"/>
  <c r="Y1604" i="36"/>
  <c r="AB1604" i="36" s="1"/>
  <c r="Z1614" i="36"/>
  <c r="Z1622" i="36"/>
  <c r="Z1611" i="36"/>
  <c r="Y1623" i="36"/>
  <c r="AB1623" i="36" s="1"/>
  <c r="Z1603" i="36"/>
  <c r="Z1620" i="36"/>
  <c r="Z1604" i="36"/>
  <c r="Z1606" i="36"/>
  <c r="Y1605" i="36"/>
  <c r="AB1605" i="36" s="1"/>
  <c r="Y1611" i="36"/>
  <c r="Z1628" i="36"/>
  <c r="Y1615" i="36"/>
  <c r="AB1615" i="36" s="1"/>
  <c r="Y1603" i="36"/>
  <c r="AB1603" i="36" s="1"/>
  <c r="Z1623" i="36"/>
  <c r="Y1606" i="36"/>
  <c r="AB1606" i="36" s="1"/>
  <c r="Z1612" i="36"/>
  <c r="Y1614" i="36"/>
  <c r="AB1614" i="36" s="1"/>
  <c r="Y1613" i="36"/>
  <c r="AB1613" i="36" s="1"/>
  <c r="AB1625" i="36"/>
  <c r="Z1605" i="36"/>
  <c r="Y1630" i="36"/>
  <c r="AB1630" i="36" s="1"/>
  <c r="AC1630" i="36" s="1"/>
  <c r="AB1608" i="36"/>
  <c r="Y1621" i="36"/>
  <c r="AB1621" i="36" s="1"/>
  <c r="Y1628" i="36"/>
  <c r="AB1628" i="36" s="1"/>
  <c r="Y3081" i="36"/>
  <c r="J670" i="35" s="1"/>
  <c r="K670" i="35" s="1"/>
  <c r="Z3083" i="36"/>
  <c r="Z3072" i="36"/>
  <c r="Y3083" i="36"/>
  <c r="AB3083" i="36" s="1"/>
  <c r="Y3099" i="36"/>
  <c r="AB3099" i="36" s="1"/>
  <c r="AB3102" i="36"/>
  <c r="Y3091" i="36"/>
  <c r="AB3091" i="36" s="1"/>
  <c r="Z3098" i="36"/>
  <c r="AB3087" i="36"/>
  <c r="Z3082" i="36"/>
  <c r="AC3082" i="36" s="1"/>
  <c r="Y3085" i="36"/>
  <c r="AB3085" i="36" s="1"/>
  <c r="Y3098" i="36"/>
  <c r="AB3098" i="36" s="1"/>
  <c r="AB3078" i="36"/>
  <c r="Z3075" i="36"/>
  <c r="Z3073" i="36"/>
  <c r="AB3095" i="36"/>
  <c r="Y3075" i="36"/>
  <c r="AB3075" i="36" s="1"/>
  <c r="Y3074" i="36"/>
  <c r="AB3074" i="36" s="1"/>
  <c r="Y3092" i="36"/>
  <c r="AB3092" i="36" s="1"/>
  <c r="Y3093" i="36"/>
  <c r="AB3093" i="36" s="1"/>
  <c r="Z3091" i="36"/>
  <c r="Z3076" i="36"/>
  <c r="AC3076" i="36" s="1"/>
  <c r="Z3084" i="36"/>
  <c r="Y1720" i="36"/>
  <c r="AB1720" i="36" s="1"/>
  <c r="Z1711" i="36"/>
  <c r="Z1710" i="36"/>
  <c r="Y1726" i="36"/>
  <c r="AB1726" i="36" s="1"/>
  <c r="AB1730" i="36"/>
  <c r="Y4948" i="36"/>
  <c r="AB4948" i="36" s="1"/>
  <c r="Z4940" i="36"/>
  <c r="Y4949" i="36"/>
  <c r="AB4949" i="36" s="1"/>
  <c r="AB4942" i="36"/>
  <c r="Z4937" i="36"/>
  <c r="Z5644" i="36"/>
  <c r="Z5636" i="36"/>
  <c r="Z5639" i="36"/>
  <c r="Z1621" i="36"/>
  <c r="Y3073" i="36"/>
  <c r="AB3073" i="36" s="1"/>
  <c r="Z3085" i="36"/>
  <c r="Y3090" i="36"/>
  <c r="AB3090" i="36" s="1"/>
  <c r="Z3099" i="36"/>
  <c r="Z3074" i="36"/>
  <c r="Y1709" i="36"/>
  <c r="J758" i="35" s="1"/>
  <c r="K758" i="35" s="1"/>
  <c r="Y1710" i="36"/>
  <c r="AB1710" i="36" s="1"/>
  <c r="Z1721" i="36"/>
  <c r="Z1719" i="36"/>
  <c r="Y1711" i="36"/>
  <c r="AB1711" i="36" s="1"/>
  <c r="Y4938" i="36"/>
  <c r="AB4938" i="36" s="1"/>
  <c r="Z4948" i="36"/>
  <c r="Y4946" i="36"/>
  <c r="AB4946" i="36" s="1"/>
  <c r="Y4964" i="36"/>
  <c r="AB4964" i="36" s="1"/>
  <c r="Z5628" i="36"/>
  <c r="Z5637" i="36"/>
  <c r="Z5627" i="36"/>
  <c r="Z5620" i="36"/>
  <c r="Z1615" i="36"/>
  <c r="Y1629" i="36"/>
  <c r="AB1629" i="36" s="1"/>
  <c r="Z3090" i="36"/>
  <c r="Y3084" i="36"/>
  <c r="AB3084" i="36" s="1"/>
  <c r="AC3084" i="36" s="1"/>
  <c r="Z3093" i="36"/>
  <c r="Z3092" i="36"/>
  <c r="Y1727" i="36"/>
  <c r="AB1727" i="36" s="1"/>
  <c r="Z1728" i="36"/>
  <c r="Z1713" i="36"/>
  <c r="AB1723" i="36"/>
  <c r="Z1718" i="36"/>
  <c r="Y4962" i="36"/>
  <c r="AB4962" i="36" s="1"/>
  <c r="Z4945" i="36"/>
  <c r="Y4937" i="36"/>
  <c r="AB4937" i="36" s="1"/>
  <c r="AC4937" i="36" s="1"/>
  <c r="Z4962" i="36"/>
  <c r="AB4959" i="36"/>
  <c r="Z5622" i="36"/>
  <c r="Z5629" i="36"/>
  <c r="Y5638" i="36"/>
  <c r="AB5638" i="36" s="1"/>
  <c r="Z1629" i="36"/>
  <c r="AB1632" i="36"/>
  <c r="AB5098" i="36"/>
  <c r="Z5096" i="36"/>
  <c r="Z820" i="36"/>
  <c r="Y5201" i="36"/>
  <c r="AB5201" i="36" s="1"/>
  <c r="Y5190" i="36"/>
  <c r="AB5190" i="36" s="1"/>
  <c r="Y741" i="36"/>
  <c r="AB741" i="36" s="1"/>
  <c r="Y1751" i="36"/>
  <c r="AB1751" i="36" s="1"/>
  <c r="Z1775" i="36"/>
  <c r="Y4498" i="36"/>
  <c r="AB4498" i="36" s="1"/>
  <c r="AC4498" i="36" s="1"/>
  <c r="Y4508" i="36"/>
  <c r="AB4508" i="36" s="1"/>
  <c r="Z796" i="36"/>
  <c r="Y1922" i="36"/>
  <c r="AB1922" i="36" s="1"/>
  <c r="Y1907" i="36"/>
  <c r="AB1907" i="36" s="1"/>
  <c r="Y5250" i="36"/>
  <c r="AB5250" i="36" s="1"/>
  <c r="Z1261" i="36"/>
  <c r="Z4606" i="36"/>
  <c r="AC4606" i="36" s="1"/>
  <c r="Y4262" i="36"/>
  <c r="AB4262" i="36" s="1"/>
  <c r="Y3909" i="36"/>
  <c r="AB3909" i="36" s="1"/>
  <c r="Z4033" i="36"/>
  <c r="Z1213" i="36"/>
  <c r="AC1213" i="36" s="1"/>
  <c r="Y4455" i="36"/>
  <c r="J502" i="35" s="1"/>
  <c r="K502" i="35" s="1"/>
  <c r="Z4465" i="36"/>
  <c r="Y4643" i="36"/>
  <c r="AB4643" i="36" s="1"/>
  <c r="Z216" i="36"/>
  <c r="AC216" i="36" s="1"/>
  <c r="Z5092" i="36"/>
  <c r="Z5087" i="36"/>
  <c r="Y820" i="36"/>
  <c r="AB820" i="36" s="1"/>
  <c r="AC820" i="36" s="1"/>
  <c r="AB824" i="36"/>
  <c r="Z5192" i="36"/>
  <c r="Y5182" i="36"/>
  <c r="AB5182" i="36" s="1"/>
  <c r="Z5181" i="36"/>
  <c r="Z738" i="36"/>
  <c r="Z733" i="36"/>
  <c r="Z1769" i="36"/>
  <c r="Y1770" i="36"/>
  <c r="AB1770" i="36" s="1"/>
  <c r="Y4521" i="36"/>
  <c r="AB4521" i="36" s="1"/>
  <c r="Y4497" i="36"/>
  <c r="AB4497" i="36" s="1"/>
  <c r="Y790" i="36"/>
  <c r="AB790" i="36" s="1"/>
  <c r="Y782" i="36"/>
  <c r="AB782" i="36" s="1"/>
  <c r="AB1911" i="36"/>
  <c r="Z1898" i="36"/>
  <c r="Z5242" i="36"/>
  <c r="Z1285" i="36"/>
  <c r="Z4602" i="36"/>
  <c r="Z4278" i="36"/>
  <c r="Z3909" i="36"/>
  <c r="Z4007" i="36"/>
  <c r="Y1238" i="36"/>
  <c r="AB1238" i="36" s="1"/>
  <c r="Z1230" i="36"/>
  <c r="Z4472" i="36"/>
  <c r="Z4458" i="36"/>
  <c r="Y4661" i="36"/>
  <c r="AB4661" i="36" s="1"/>
  <c r="Z4652" i="36"/>
  <c r="AB2539" i="36"/>
  <c r="Y5084" i="36"/>
  <c r="AB5084" i="36" s="1"/>
  <c r="Y5093" i="36"/>
  <c r="AB5093" i="36" s="1"/>
  <c r="AB5106" i="36"/>
  <c r="Y830" i="36"/>
  <c r="AB830" i="36" s="1"/>
  <c r="Z819" i="36"/>
  <c r="Y838" i="36"/>
  <c r="AB838" i="36" s="1"/>
  <c r="AB5204" i="36"/>
  <c r="AB5211" i="36"/>
  <c r="Y5185" i="36"/>
  <c r="AB5185" i="36" s="1"/>
  <c r="Z5184" i="36"/>
  <c r="AC5184" i="36" s="1"/>
  <c r="Y722" i="36"/>
  <c r="AB722" i="36" s="1"/>
  <c r="Z748" i="36"/>
  <c r="Z1760" i="36"/>
  <c r="Y1750" i="36"/>
  <c r="AB1750" i="36" s="1"/>
  <c r="Z1767" i="36"/>
  <c r="Z4523" i="36"/>
  <c r="Y4514" i="36"/>
  <c r="AB4514" i="36" s="1"/>
  <c r="Y4506" i="36"/>
  <c r="AB4506" i="36" s="1"/>
  <c r="Y778" i="36"/>
  <c r="Z795" i="36"/>
  <c r="Z769" i="36"/>
  <c r="AB1902" i="36"/>
  <c r="Y1898" i="36"/>
  <c r="AB1898" i="36" s="1"/>
  <c r="Y1917" i="36"/>
  <c r="AB1917" i="36" s="1"/>
  <c r="Z5250" i="36"/>
  <c r="AB1265" i="36"/>
  <c r="Y1287" i="36"/>
  <c r="AB1287" i="36" s="1"/>
  <c r="Z4604" i="36"/>
  <c r="Y4621" i="36"/>
  <c r="AB4621" i="36" s="1"/>
  <c r="Z4250" i="36"/>
  <c r="Z4271" i="36"/>
  <c r="Z3917" i="36"/>
  <c r="Y3916" i="36"/>
  <c r="AB3916" i="36" s="1"/>
  <c r="Y4026" i="36"/>
  <c r="AB4026" i="36" s="1"/>
  <c r="AB4011" i="36"/>
  <c r="AB1240" i="36"/>
  <c r="Z1221" i="36"/>
  <c r="Y1231" i="36"/>
  <c r="AB1231" i="36" s="1"/>
  <c r="Z4467" i="36"/>
  <c r="Y4450" i="36"/>
  <c r="AB4450" i="36" s="1"/>
  <c r="Y4670" i="36"/>
  <c r="AB4670" i="36" s="1"/>
  <c r="Z4651" i="36"/>
  <c r="Y5546" i="36"/>
  <c r="AB5546" i="36" s="1"/>
  <c r="Y3958" i="36"/>
  <c r="AB3958" i="36" s="1"/>
  <c r="Y1016" i="36"/>
  <c r="AB1016" i="36" s="1"/>
  <c r="Z880" i="36"/>
  <c r="Z2692" i="36"/>
  <c r="Y4065" i="36"/>
  <c r="AB4065" i="36" s="1"/>
  <c r="Z5094" i="36"/>
  <c r="Y5109" i="36"/>
  <c r="AB5109" i="36" s="1"/>
  <c r="Y5102" i="36"/>
  <c r="AB5102" i="36" s="1"/>
  <c r="Y5101" i="36"/>
  <c r="AB5101" i="36" s="1"/>
  <c r="Z818" i="36"/>
  <c r="Z845" i="36"/>
  <c r="Y831" i="36"/>
  <c r="AB831" i="36" s="1"/>
  <c r="Y5191" i="36"/>
  <c r="AB5191" i="36" s="1"/>
  <c r="Z5191" i="36"/>
  <c r="Y5200" i="36"/>
  <c r="AB5200" i="36" s="1"/>
  <c r="AB5187" i="36"/>
  <c r="Z731" i="36"/>
  <c r="Z739" i="36"/>
  <c r="Z741" i="36"/>
  <c r="AB743" i="36"/>
  <c r="Z1758" i="36"/>
  <c r="AB1764" i="36"/>
  <c r="Z1751" i="36"/>
  <c r="Y1753" i="36"/>
  <c r="AB1753" i="36" s="1"/>
  <c r="Z4506" i="36"/>
  <c r="AB4501" i="36"/>
  <c r="Z4497" i="36"/>
  <c r="Y4522" i="36"/>
  <c r="AB4522" i="36" s="1"/>
  <c r="Y770" i="36"/>
  <c r="AB770" i="36" s="1"/>
  <c r="Y795" i="36"/>
  <c r="AB795" i="36" s="1"/>
  <c r="Z781" i="36"/>
  <c r="AB775" i="36"/>
  <c r="Y1906" i="36"/>
  <c r="AB1906" i="36" s="1"/>
  <c r="Y1905" i="36"/>
  <c r="Z1906" i="36"/>
  <c r="Z1909" i="36"/>
  <c r="Y5258" i="36"/>
  <c r="AB5258" i="36" s="1"/>
  <c r="Y1280" i="36"/>
  <c r="AB1280" i="36" s="1"/>
  <c r="AC1280" i="36" s="1"/>
  <c r="Z1279" i="36"/>
  <c r="Z1262" i="36"/>
  <c r="Z4613" i="36"/>
  <c r="Z4612" i="36"/>
  <c r="Y4261" i="36"/>
  <c r="AB4261" i="36" s="1"/>
  <c r="AC4261" i="36" s="1"/>
  <c r="Y4252" i="36"/>
  <c r="AB4252" i="36" s="1"/>
  <c r="Z4277" i="36"/>
  <c r="Y3927" i="36"/>
  <c r="AB3927" i="36" s="1"/>
  <c r="Y3934" i="36"/>
  <c r="AB3934" i="36" s="1"/>
  <c r="Z4031" i="36"/>
  <c r="Y4016" i="36"/>
  <c r="AB4016" i="36" s="1"/>
  <c r="Y4032" i="36"/>
  <c r="AB4032" i="36" s="1"/>
  <c r="Y1229" i="36"/>
  <c r="AB1229" i="36" s="1"/>
  <c r="Z1210" i="36"/>
  <c r="Z1236" i="36"/>
  <c r="Z4455" i="36"/>
  <c r="AB4461" i="36"/>
  <c r="Y4465" i="36"/>
  <c r="AB4465" i="36" s="1"/>
  <c r="Y4669" i="36"/>
  <c r="AB4669" i="36" s="1"/>
  <c r="AC4669" i="36" s="1"/>
  <c r="Z4644" i="36"/>
  <c r="Z4660" i="36"/>
  <c r="Z5530" i="36"/>
  <c r="AB3986" i="36"/>
  <c r="Z1032" i="36"/>
  <c r="Z868" i="36"/>
  <c r="AB5599" i="36"/>
  <c r="Z2682" i="36"/>
  <c r="AC2682" i="36" s="1"/>
  <c r="Y1170" i="36"/>
  <c r="AB1170" i="36" s="1"/>
  <c r="Y5096" i="36"/>
  <c r="AB5096" i="36" s="1"/>
  <c r="Y5095" i="36"/>
  <c r="AB5095" i="36" s="1"/>
  <c r="Y5111" i="36"/>
  <c r="AB5111" i="36" s="1"/>
  <c r="Z5110" i="36"/>
  <c r="Y5085" i="36"/>
  <c r="AB5085" i="36" s="1"/>
  <c r="Z5109" i="36"/>
  <c r="Y836" i="36"/>
  <c r="AB836" i="36" s="1"/>
  <c r="AC836" i="36" s="1"/>
  <c r="AB848" i="36"/>
  <c r="Y822" i="36"/>
  <c r="AB822" i="36" s="1"/>
  <c r="Z829" i="36"/>
  <c r="Y837" i="36"/>
  <c r="AB837" i="36" s="1"/>
  <c r="Z5201" i="36"/>
  <c r="Z5190" i="36"/>
  <c r="Y5194" i="36"/>
  <c r="AB5194" i="36" s="1"/>
  <c r="Z5200" i="36"/>
  <c r="Z5209" i="36"/>
  <c r="Y5192" i="36"/>
  <c r="AB5192" i="36" s="1"/>
  <c r="Z730" i="36"/>
  <c r="Y740" i="36"/>
  <c r="AB740" i="36" s="1"/>
  <c r="Y748" i="36"/>
  <c r="AB748" i="36" s="1"/>
  <c r="Y747" i="36"/>
  <c r="AB747" i="36" s="1"/>
  <c r="Z724" i="36"/>
  <c r="AB1772" i="36"/>
  <c r="Y1767" i="36"/>
  <c r="AB1767" i="36" s="1"/>
  <c r="Y1775" i="36"/>
  <c r="AB1775" i="36" s="1"/>
  <c r="AC1775" i="36" s="1"/>
  <c r="AB1779" i="36"/>
  <c r="Z4495" i="36"/>
  <c r="Z4505" i="36"/>
  <c r="Z4507" i="36"/>
  <c r="Y4504" i="36"/>
  <c r="Y4507" i="36"/>
  <c r="AB4507" i="36" s="1"/>
  <c r="Y788" i="36"/>
  <c r="AB788" i="36" s="1"/>
  <c r="AC788" i="36" s="1"/>
  <c r="Z773" i="36"/>
  <c r="Y771" i="36"/>
  <c r="AB771" i="36" s="1"/>
  <c r="Y787" i="36"/>
  <c r="AB787" i="36" s="1"/>
  <c r="Z1899" i="36"/>
  <c r="Y1915" i="36"/>
  <c r="AB1915" i="36" s="1"/>
  <c r="Y1923" i="36"/>
  <c r="AB1923" i="36" s="1"/>
  <c r="AB1926" i="36"/>
  <c r="Y5256" i="36"/>
  <c r="AB5256" i="36" s="1"/>
  <c r="Z1271" i="36"/>
  <c r="Y1285" i="36"/>
  <c r="AB1285" i="36" s="1"/>
  <c r="Y1263" i="36"/>
  <c r="AB1263" i="36" s="1"/>
  <c r="Z4619" i="36"/>
  <c r="Z4620" i="36"/>
  <c r="Z4263" i="36"/>
  <c r="Y4270" i="36"/>
  <c r="AB4270" i="36" s="1"/>
  <c r="Y4277" i="36"/>
  <c r="AB4277" i="36" s="1"/>
  <c r="Z3926" i="36"/>
  <c r="Z3928" i="36"/>
  <c r="Y4014" i="36"/>
  <c r="AB4014" i="36" s="1"/>
  <c r="AC4014" i="36" s="1"/>
  <c r="Z4015" i="36"/>
  <c r="Z4018" i="36"/>
  <c r="AB1225" i="36"/>
  <c r="Z1212" i="36"/>
  <c r="Z1220" i="36"/>
  <c r="Z4447" i="36"/>
  <c r="Y4467" i="36"/>
  <c r="AB4467" i="36" s="1"/>
  <c r="Y4472" i="36"/>
  <c r="AB4472" i="36" s="1"/>
  <c r="Y4660" i="36"/>
  <c r="AB4660" i="36" s="1"/>
  <c r="Z4668" i="36"/>
  <c r="AB4648" i="36"/>
  <c r="AB5535" i="36"/>
  <c r="Y3960" i="36"/>
  <c r="AB3960" i="36" s="1"/>
  <c r="Y3982" i="36"/>
  <c r="AB3982" i="36" s="1"/>
  <c r="Y1025" i="36"/>
  <c r="AB1025" i="36" s="1"/>
  <c r="Y5596" i="36"/>
  <c r="AB5596" i="36" s="1"/>
  <c r="Y5588" i="36"/>
  <c r="AB5588" i="36" s="1"/>
  <c r="Y2708" i="36"/>
  <c r="AB2708" i="36" s="1"/>
  <c r="Z5257" i="36"/>
  <c r="Y5233" i="36"/>
  <c r="AB5233" i="36" s="1"/>
  <c r="AB5236" i="36"/>
  <c r="Z5095" i="36"/>
  <c r="Z5083" i="36"/>
  <c r="Z5084" i="36"/>
  <c r="Z5111" i="36"/>
  <c r="Z5093" i="36"/>
  <c r="Z5102" i="36"/>
  <c r="Z5085" i="36"/>
  <c r="Y844" i="36"/>
  <c r="AB844" i="36" s="1"/>
  <c r="Y821" i="36"/>
  <c r="AB821" i="36" s="1"/>
  <c r="Y829" i="36"/>
  <c r="AB829" i="36" s="1"/>
  <c r="Z844" i="36"/>
  <c r="Y845" i="36"/>
  <c r="AB845" i="36" s="1"/>
  <c r="Z830" i="36"/>
  <c r="Z837" i="36"/>
  <c r="Z5182" i="36"/>
  <c r="AB5196" i="36"/>
  <c r="Z5194" i="36"/>
  <c r="Y731" i="36"/>
  <c r="AB731" i="36" s="1"/>
  <c r="Y721" i="36"/>
  <c r="AB721" i="36" s="1"/>
  <c r="Y738" i="36"/>
  <c r="AB738" i="36" s="1"/>
  <c r="Z720" i="36"/>
  <c r="Z729" i="36"/>
  <c r="Y5234" i="36"/>
  <c r="AB5234" i="36" s="1"/>
  <c r="Z5241" i="36"/>
  <c r="Y5532" i="36"/>
  <c r="AB5532" i="36" s="1"/>
  <c r="Z1017" i="36"/>
  <c r="Z869" i="36"/>
  <c r="Z885" i="36"/>
  <c r="Z877" i="36"/>
  <c r="Z1761" i="36"/>
  <c r="Z1777" i="36"/>
  <c r="AB1755" i="36"/>
  <c r="Y1761" i="36"/>
  <c r="AB1761" i="36" s="1"/>
  <c r="Z1768" i="36"/>
  <c r="Z1770" i="36"/>
  <c r="Z1776" i="36"/>
  <c r="Y1762" i="36"/>
  <c r="AB1762" i="36" s="1"/>
  <c r="AC1762" i="36" s="1"/>
  <c r="Z780" i="36"/>
  <c r="Y789" i="36"/>
  <c r="AB789" i="36" s="1"/>
  <c r="Z790" i="36"/>
  <c r="AB784" i="36"/>
  <c r="Z782" i="36"/>
  <c r="Z797" i="36"/>
  <c r="Z787" i="36"/>
  <c r="Z778" i="36"/>
  <c r="Y1278" i="36"/>
  <c r="AB1278" i="36" s="1"/>
  <c r="Y1277" i="36"/>
  <c r="AB1277" i="36" s="1"/>
  <c r="Y1286" i="36"/>
  <c r="AB1286" i="36" s="1"/>
  <c r="Y1260" i="36"/>
  <c r="AB1260" i="36" s="1"/>
  <c r="Z1260" i="36"/>
  <c r="Z1268" i="36"/>
  <c r="Y4278" i="36"/>
  <c r="AB4278" i="36" s="1"/>
  <c r="Z4268" i="36"/>
  <c r="Z4253" i="36"/>
  <c r="Y4254" i="36"/>
  <c r="AB4254" i="36" s="1"/>
  <c r="Y4259" i="36"/>
  <c r="AB4259" i="36" s="1"/>
  <c r="Z4262" i="36"/>
  <c r="Y4268" i="36"/>
  <c r="AB4268" i="36" s="1"/>
  <c r="Z4032" i="36"/>
  <c r="AB4035" i="36"/>
  <c r="Y4008" i="36"/>
  <c r="AB4008" i="36" s="1"/>
  <c r="Z4017" i="36"/>
  <c r="Y4031" i="36"/>
  <c r="AB4031" i="36" s="1"/>
  <c r="Y4018" i="36"/>
  <c r="AB4018" i="36" s="1"/>
  <c r="Z4464" i="36"/>
  <c r="AB4452" i="36"/>
  <c r="Z4466" i="36"/>
  <c r="Y4474" i="36"/>
  <c r="AB4474" i="36" s="1"/>
  <c r="Z4448" i="36"/>
  <c r="Y4464" i="36"/>
  <c r="AB4464" i="36" s="1"/>
  <c r="AB5543" i="36"/>
  <c r="AB5550" i="36"/>
  <c r="Y5547" i="36"/>
  <c r="AB5547" i="36" s="1"/>
  <c r="Z3983" i="36"/>
  <c r="AB3971" i="36"/>
  <c r="Y3968" i="36"/>
  <c r="AB3968" i="36" s="1"/>
  <c r="Z1027" i="36"/>
  <c r="Y1027" i="36"/>
  <c r="AB1027" i="36" s="1"/>
  <c r="Z1018" i="36"/>
  <c r="Y5587" i="36"/>
  <c r="J119" i="35" s="1"/>
  <c r="K119" i="35" s="1"/>
  <c r="Z5572" i="36"/>
  <c r="AB5592" i="36"/>
  <c r="Y2693" i="36"/>
  <c r="AB2693" i="36" s="1"/>
  <c r="AB2686" i="36"/>
  <c r="Y2701" i="36"/>
  <c r="AB2701" i="36" s="1"/>
  <c r="Y724" i="36"/>
  <c r="AB724" i="36" s="1"/>
  <c r="Y729" i="36"/>
  <c r="AB729" i="36" s="1"/>
  <c r="Y732" i="36"/>
  <c r="AB732" i="36" s="1"/>
  <c r="AC732" i="36" s="1"/>
  <c r="Y730" i="36"/>
  <c r="AB730" i="36" s="1"/>
  <c r="AB4518" i="36"/>
  <c r="Z4513" i="36"/>
  <c r="Z4521" i="36"/>
  <c r="Z4514" i="36"/>
  <c r="Z4504" i="36"/>
  <c r="Z4522" i="36"/>
  <c r="Y4515" i="36"/>
  <c r="AB4515" i="36" s="1"/>
  <c r="AB4510" i="36"/>
  <c r="Y1908" i="36"/>
  <c r="Y1916" i="36"/>
  <c r="AB1916" i="36" s="1"/>
  <c r="Z1923" i="36"/>
  <c r="Z1914" i="36"/>
  <c r="Z1917" i="36"/>
  <c r="Z1915" i="36"/>
  <c r="Z1922" i="36"/>
  <c r="Z1908" i="36"/>
  <c r="Z4611" i="36"/>
  <c r="Y4603" i="36"/>
  <c r="AB4603" i="36" s="1"/>
  <c r="Z4594" i="36"/>
  <c r="Y4619" i="36"/>
  <c r="AB4619" i="36" s="1"/>
  <c r="Z4621" i="36"/>
  <c r="Z3911" i="36"/>
  <c r="Z3935" i="36"/>
  <c r="Z3927" i="36"/>
  <c r="AB3937" i="36"/>
  <c r="Y3918" i="36"/>
  <c r="AB3918" i="36" s="1"/>
  <c r="Z1223" i="36"/>
  <c r="Y1223" i="36"/>
  <c r="AB1223" i="36" s="1"/>
  <c r="Y1212" i="36"/>
  <c r="AB1212" i="36" s="1"/>
  <c r="Z1228" i="36"/>
  <c r="Y1211" i="36"/>
  <c r="AB1211" i="36" s="1"/>
  <c r="Y4663" i="36"/>
  <c r="AB4663" i="36" s="1"/>
  <c r="Z4642" i="36"/>
  <c r="Y4651" i="36"/>
  <c r="Z4645" i="36"/>
  <c r="Z4662" i="36"/>
  <c r="AB5245" i="36"/>
  <c r="Z5256" i="36"/>
  <c r="Y5249" i="36"/>
  <c r="AB5249" i="36" s="1"/>
  <c r="AB5253" i="36"/>
  <c r="Y353" i="36"/>
  <c r="AB353" i="36" s="1"/>
  <c r="Y4055" i="36"/>
  <c r="AB4055" i="36" s="1"/>
  <c r="Y5087" i="36"/>
  <c r="AB5087" i="36" s="1"/>
  <c r="Z5103" i="36"/>
  <c r="AC5103" i="36" s="1"/>
  <c r="Y5094" i="36"/>
  <c r="AB5094" i="36" s="1"/>
  <c r="Y5092" i="36"/>
  <c r="AB5092" i="36" s="1"/>
  <c r="AB5089" i="36"/>
  <c r="AB5113" i="36"/>
  <c r="Z5086" i="36"/>
  <c r="Z5104" i="36"/>
  <c r="Z827" i="36"/>
  <c r="Y819" i="36"/>
  <c r="AB819" i="36" s="1"/>
  <c r="Z821" i="36"/>
  <c r="Z846" i="36"/>
  <c r="Y846" i="36"/>
  <c r="AB846" i="36" s="1"/>
  <c r="Z839" i="36"/>
  <c r="AB833" i="36"/>
  <c r="Y828" i="36"/>
  <c r="AB828" i="36" s="1"/>
  <c r="Z822" i="36"/>
  <c r="Y5202" i="36"/>
  <c r="AB5202" i="36" s="1"/>
  <c r="Z5207" i="36"/>
  <c r="Y5209" i="36"/>
  <c r="AB5209" i="36" s="1"/>
  <c r="Z5183" i="36"/>
  <c r="Z5185" i="36"/>
  <c r="Y5193" i="36"/>
  <c r="AB5193" i="36" s="1"/>
  <c r="Z5193" i="36"/>
  <c r="Y5199" i="36"/>
  <c r="AB5199" i="36" s="1"/>
  <c r="Y739" i="36"/>
  <c r="AB739" i="36" s="1"/>
  <c r="Z723" i="36"/>
  <c r="AB750" i="36"/>
  <c r="Z722" i="36"/>
  <c r="Z746" i="36"/>
  <c r="AB726" i="36"/>
  <c r="Z747" i="36"/>
  <c r="Y746" i="36"/>
  <c r="AB746" i="36" s="1"/>
  <c r="Y1758" i="36"/>
  <c r="J750" i="35" s="1"/>
  <c r="K750" i="35" s="1"/>
  <c r="Y1776" i="36"/>
  <c r="AB1776" i="36" s="1"/>
  <c r="Y1777" i="36"/>
  <c r="AB1777" i="36" s="1"/>
  <c r="Z1753" i="36"/>
  <c r="Y1752" i="36"/>
  <c r="AB1752" i="36" s="1"/>
  <c r="Z1752" i="36"/>
  <c r="Y1760" i="36"/>
  <c r="AB1760" i="36" s="1"/>
  <c r="Z1750" i="36"/>
  <c r="Z4496" i="36"/>
  <c r="Z4508" i="36"/>
  <c r="Y4499" i="36"/>
  <c r="AB4499" i="36" s="1"/>
  <c r="Y4516" i="36"/>
  <c r="AB4516" i="36" s="1"/>
  <c r="Y4505" i="36"/>
  <c r="AB4505" i="36" s="1"/>
  <c r="Y4523" i="36"/>
  <c r="AB4523" i="36" s="1"/>
  <c r="Z4499" i="36"/>
  <c r="Y4496" i="36"/>
  <c r="AB4496" i="36" s="1"/>
  <c r="AB792" i="36"/>
  <c r="Y779" i="36"/>
  <c r="AB779" i="36" s="1"/>
  <c r="Z779" i="36"/>
  <c r="Z771" i="36"/>
  <c r="Y780" i="36"/>
  <c r="AB780" i="36" s="1"/>
  <c r="AB799" i="36"/>
  <c r="Z789" i="36"/>
  <c r="Y796" i="36"/>
  <c r="AB796" i="36" s="1"/>
  <c r="Y772" i="36"/>
  <c r="AB772" i="36" s="1"/>
  <c r="Y1909" i="36"/>
  <c r="AB1909" i="36" s="1"/>
  <c r="Y1900" i="36"/>
  <c r="AB1900" i="36" s="1"/>
  <c r="Y1899" i="36"/>
  <c r="AB1899" i="36" s="1"/>
  <c r="Z1916" i="36"/>
  <c r="AB1919" i="36"/>
  <c r="Y1924" i="36"/>
  <c r="AB1924" i="36" s="1"/>
  <c r="Z1907" i="36"/>
  <c r="Y1914" i="36"/>
  <c r="AB1914" i="36" s="1"/>
  <c r="AC1914" i="36" s="1"/>
  <c r="Z5248" i="36"/>
  <c r="Y5242" i="36"/>
  <c r="AB5242" i="36" s="1"/>
  <c r="AB5260" i="36"/>
  <c r="Y5240" i="36"/>
  <c r="AB5240" i="36" s="1"/>
  <c r="Y1272" i="36"/>
  <c r="AB1272" i="36" s="1"/>
  <c r="Z1272" i="36"/>
  <c r="AB1282" i="36"/>
  <c r="Z1277" i="36"/>
  <c r="AB1289" i="36"/>
  <c r="Y1262" i="36"/>
  <c r="AB1262" i="36" s="1"/>
  <c r="AB4599" i="36"/>
  <c r="Z4603" i="36"/>
  <c r="Y4597" i="36"/>
  <c r="AB4597" i="36" s="1"/>
  <c r="Z4605" i="36"/>
  <c r="AB4280" i="36"/>
  <c r="Z4260" i="36"/>
  <c r="Z4276" i="36"/>
  <c r="Z4252" i="36"/>
  <c r="Z4270" i="36"/>
  <c r="Y4269" i="36"/>
  <c r="AB4269" i="36" s="1"/>
  <c r="Y3928" i="36"/>
  <c r="AB3928" i="36" s="1"/>
  <c r="Y3935" i="36"/>
  <c r="AB3935" i="36" s="1"/>
  <c r="Y3917" i="36"/>
  <c r="AB3917" i="36" s="1"/>
  <c r="Y3925" i="36"/>
  <c r="AB3925" i="36" s="1"/>
  <c r="Z4016" i="36"/>
  <c r="Z4024" i="36"/>
  <c r="Y4009" i="36"/>
  <c r="AB4009" i="36" s="1"/>
  <c r="Z4026" i="36"/>
  <c r="Y4033" i="36"/>
  <c r="AB4033" i="36" s="1"/>
  <c r="Z4008" i="36"/>
  <c r="Y4473" i="36"/>
  <c r="AB4473" i="36" s="1"/>
  <c r="Z4459" i="36"/>
  <c r="AB4469" i="36"/>
  <c r="Z4450" i="36"/>
  <c r="AB4476" i="36"/>
  <c r="Z4456" i="36"/>
  <c r="Y5531" i="36"/>
  <c r="AB5531" i="36" s="1"/>
  <c r="Y5523" i="36"/>
  <c r="AB5523" i="36" s="1"/>
  <c r="AB3962" i="36"/>
  <c r="Y3967" i="36"/>
  <c r="AB3967" i="36" s="1"/>
  <c r="AB1037" i="36"/>
  <c r="Z1040" i="36"/>
  <c r="Z893" i="36"/>
  <c r="Y5590" i="36"/>
  <c r="AB5590" i="36" s="1"/>
  <c r="Y2683" i="36"/>
  <c r="AB2683" i="36" s="1"/>
  <c r="Z867" i="36"/>
  <c r="Y870" i="36"/>
  <c r="AB870" i="36" s="1"/>
  <c r="Z871" i="36"/>
  <c r="Z1269" i="36"/>
  <c r="Z1263" i="36"/>
  <c r="Y1279" i="36"/>
  <c r="AB1279" i="36" s="1"/>
  <c r="Z1287" i="36"/>
  <c r="Z1286" i="36"/>
  <c r="Y1271" i="36"/>
  <c r="AB1271" i="36" s="1"/>
  <c r="Y1268" i="36"/>
  <c r="J637" i="35" s="1"/>
  <c r="K637" i="35" s="1"/>
  <c r="Z1270" i="36"/>
  <c r="Z1259" i="36"/>
  <c r="Z1278" i="36"/>
  <c r="Y4276" i="36"/>
  <c r="AB4276" i="36" s="1"/>
  <c r="Y4253" i="36"/>
  <c r="AB4253" i="36" s="1"/>
  <c r="Z4251" i="36"/>
  <c r="Y4251" i="36"/>
  <c r="AB4251" i="36" s="1"/>
  <c r="Y4263" i="36"/>
  <c r="AB4263" i="36" s="1"/>
  <c r="AB4273" i="36"/>
  <c r="Y4260" i="36"/>
  <c r="AB4260" i="36" s="1"/>
  <c r="Y4271" i="36"/>
  <c r="AB4271" i="36" s="1"/>
  <c r="Z4254" i="36"/>
  <c r="Y4007" i="36"/>
  <c r="AB4007" i="36" s="1"/>
  <c r="Z4005" i="36"/>
  <c r="Z4006" i="36"/>
  <c r="AB4020" i="36"/>
  <c r="Y4006" i="36"/>
  <c r="AB4006" i="36" s="1"/>
  <c r="Y4017" i="36"/>
  <c r="AB4017" i="36" s="1"/>
  <c r="Z4009" i="36"/>
  <c r="Y4015" i="36"/>
  <c r="AB4015" i="36" s="1"/>
  <c r="Z4023" i="36"/>
  <c r="Y4449" i="36"/>
  <c r="AB4449" i="36" s="1"/>
  <c r="Y4466" i="36"/>
  <c r="AB4466" i="36" s="1"/>
  <c r="Y4447" i="36"/>
  <c r="AB4447" i="36" s="1"/>
  <c r="Y4458" i="36"/>
  <c r="AB4458" i="36" s="1"/>
  <c r="Z4473" i="36"/>
  <c r="Z4449" i="36"/>
  <c r="Y4448" i="36"/>
  <c r="AB4448" i="36" s="1"/>
  <c r="Y4457" i="36"/>
  <c r="AB4457" i="36" s="1"/>
  <c r="Z4457" i="36"/>
  <c r="Y5524" i="36"/>
  <c r="AB5524" i="36" s="1"/>
  <c r="Y5530" i="36"/>
  <c r="AB5530" i="36" s="1"/>
  <c r="Z5548" i="36"/>
  <c r="Y5541" i="36"/>
  <c r="AB5541" i="36" s="1"/>
  <c r="Y3957" i="36"/>
  <c r="AB3957" i="36" s="1"/>
  <c r="AC3957" i="36" s="1"/>
  <c r="Y3974" i="36"/>
  <c r="AB3974" i="36" s="1"/>
  <c r="Y3977" i="36"/>
  <c r="AB3977" i="36" s="1"/>
  <c r="Y3965" i="36"/>
  <c r="AB3965" i="36" s="1"/>
  <c r="Y1034" i="36"/>
  <c r="AB1034" i="36" s="1"/>
  <c r="AC1034" i="36" s="1"/>
  <c r="Z1023" i="36"/>
  <c r="Z1025" i="36"/>
  <c r="Y1033" i="36"/>
  <c r="AB1033" i="36" s="1"/>
  <c r="Z5589" i="36"/>
  <c r="Y5581" i="36"/>
  <c r="AB5581" i="36" s="1"/>
  <c r="Y5597" i="36"/>
  <c r="AB5597" i="36" s="1"/>
  <c r="AC5597" i="36" s="1"/>
  <c r="Z5595" i="36"/>
  <c r="Z5581" i="36"/>
  <c r="Y2700" i="36"/>
  <c r="AB2700" i="36" s="1"/>
  <c r="Y2690" i="36"/>
  <c r="AB2690" i="36" s="1"/>
  <c r="Z2701" i="36"/>
  <c r="AB2703" i="36"/>
  <c r="Y4594" i="36"/>
  <c r="AB4594" i="36" s="1"/>
  <c r="Y4611" i="36"/>
  <c r="AB4611" i="36" s="1"/>
  <c r="Z4597" i="36"/>
  <c r="Z4596" i="36"/>
  <c r="Y4596" i="36"/>
  <c r="AB4596" i="36" s="1"/>
  <c r="Y4605" i="36"/>
  <c r="AB4605" i="36" s="1"/>
  <c r="Y3919" i="36"/>
  <c r="AB3919" i="36" s="1"/>
  <c r="Y3933" i="36"/>
  <c r="AB3933" i="36" s="1"/>
  <c r="Z3907" i="36"/>
  <c r="Y3910" i="36"/>
  <c r="AB3910" i="36" s="1"/>
  <c r="AC3910" i="36" s="1"/>
  <c r="Z3925" i="36"/>
  <c r="Z3920" i="36"/>
  <c r="Z3919" i="36"/>
  <c r="Z1214" i="36"/>
  <c r="Y1236" i="36"/>
  <c r="AB1236" i="36" s="1"/>
  <c r="Y1221" i="36"/>
  <c r="AB1221" i="36" s="1"/>
  <c r="Y1219" i="36"/>
  <c r="AB1219" i="36" s="1"/>
  <c r="Z1231" i="36"/>
  <c r="Y1237" i="36"/>
  <c r="AB1237" i="36" s="1"/>
  <c r="Y1222" i="36"/>
  <c r="AB1222" i="36" s="1"/>
  <c r="AB4672" i="36"/>
  <c r="Y4668" i="36"/>
  <c r="AB4668" i="36" s="1"/>
  <c r="AC4668" i="36" s="1"/>
  <c r="Y4646" i="36"/>
  <c r="AB4646" i="36" s="1"/>
  <c r="Y4644" i="36"/>
  <c r="AB4644" i="36" s="1"/>
  <c r="Z4663" i="36"/>
  <c r="Z4643" i="36"/>
  <c r="AB4665" i="36"/>
  <c r="Z449" i="36"/>
  <c r="Y443" i="36"/>
  <c r="AB443" i="36" s="1"/>
  <c r="Z442" i="36"/>
  <c r="Y439" i="36"/>
  <c r="AB439" i="36" s="1"/>
  <c r="Z434" i="36"/>
  <c r="Y431" i="36"/>
  <c r="AB431" i="36" s="1"/>
  <c r="Z439" i="36"/>
  <c r="Y432" i="36"/>
  <c r="AB432" i="36" s="1"/>
  <c r="Z431" i="36"/>
  <c r="Z457" i="36"/>
  <c r="Z451" i="36"/>
  <c r="Y442" i="36"/>
  <c r="AB442" i="36" s="1"/>
  <c r="Z441" i="36"/>
  <c r="Y434" i="36"/>
  <c r="AB434" i="36" s="1"/>
  <c r="Z433" i="36"/>
  <c r="Y456" i="36"/>
  <c r="AB456" i="36" s="1"/>
  <c r="Y448" i="36"/>
  <c r="AB448" i="36" s="1"/>
  <c r="Z443" i="36"/>
  <c r="Y457" i="36"/>
  <c r="AB457" i="36" s="1"/>
  <c r="Z456" i="36"/>
  <c r="Y451" i="36"/>
  <c r="AB451" i="36" s="1"/>
  <c r="Z450" i="36"/>
  <c r="Z448" i="36"/>
  <c r="Y441" i="36"/>
  <c r="AB441" i="36" s="1"/>
  <c r="Z440" i="36"/>
  <c r="Y433" i="36"/>
  <c r="AB433" i="36" s="1"/>
  <c r="Z432" i="36"/>
  <c r="Z430" i="36"/>
  <c r="Y450" i="36"/>
  <c r="AB450" i="36" s="1"/>
  <c r="Y440" i="36"/>
  <c r="AB440" i="36" s="1"/>
  <c r="Y449" i="36"/>
  <c r="AB449" i="36" s="1"/>
  <c r="AB453" i="36"/>
  <c r="AB459" i="36"/>
  <c r="AB436" i="36"/>
  <c r="AB445" i="36"/>
  <c r="Z344" i="36"/>
  <c r="Y1179" i="36"/>
  <c r="AB1179" i="36" s="1"/>
  <c r="Z5686" i="36"/>
  <c r="Z2454" i="36"/>
  <c r="Y5239" i="36"/>
  <c r="Z5232" i="36"/>
  <c r="Z5230" i="36"/>
  <c r="Z5243" i="36"/>
  <c r="Z5258" i="36"/>
  <c r="Y5243" i="36"/>
  <c r="AB5243" i="36" s="1"/>
  <c r="Y5257" i="36"/>
  <c r="AB5257" i="36" s="1"/>
  <c r="Z5240" i="36"/>
  <c r="Z5233" i="36"/>
  <c r="AB2563" i="36"/>
  <c r="Z5521" i="36"/>
  <c r="Z5538" i="36"/>
  <c r="AB5526" i="36"/>
  <c r="Z5520" i="36"/>
  <c r="Y5538" i="36"/>
  <c r="AB5538" i="36" s="1"/>
  <c r="Y5522" i="36"/>
  <c r="AB5522" i="36" s="1"/>
  <c r="Z3959" i="36"/>
  <c r="AB3979" i="36"/>
  <c r="Z3974" i="36"/>
  <c r="Y3984" i="36"/>
  <c r="AB3984" i="36" s="1"/>
  <c r="Z3982" i="36"/>
  <c r="Z3976" i="36"/>
  <c r="Y1018" i="36"/>
  <c r="AB1018" i="36" s="1"/>
  <c r="Z1035" i="36"/>
  <c r="AB1020" i="36"/>
  <c r="Y1024" i="36"/>
  <c r="AB1024" i="36" s="1"/>
  <c r="Z1014" i="36"/>
  <c r="Z1016" i="36"/>
  <c r="Y5582" i="36"/>
  <c r="AB5582" i="36" s="1"/>
  <c r="Z5578" i="36"/>
  <c r="Z5580" i="36"/>
  <c r="Y5572" i="36"/>
  <c r="AB5572" i="36" s="1"/>
  <c r="Z5573" i="36"/>
  <c r="Z5596" i="36"/>
  <c r="AC5596" i="36" s="1"/>
  <c r="Y2684" i="36"/>
  <c r="AB2684" i="36" s="1"/>
  <c r="Z2693" i="36"/>
  <c r="Z2684" i="36"/>
  <c r="Y2692" i="36"/>
  <c r="AB2692" i="36" s="1"/>
  <c r="Z2698" i="36"/>
  <c r="Y2681" i="36"/>
  <c r="AB2681" i="36" s="1"/>
  <c r="Y5548" i="36"/>
  <c r="AB5548" i="36" s="1"/>
  <c r="Y5533" i="36"/>
  <c r="AB5533" i="36" s="1"/>
  <c r="Y5521" i="36"/>
  <c r="AB5521" i="36" s="1"/>
  <c r="Z5547" i="36"/>
  <c r="Z5524" i="36"/>
  <c r="Z5546" i="36"/>
  <c r="Z5540" i="36"/>
  <c r="Z5539" i="36"/>
  <c r="Y5529" i="36"/>
  <c r="AB5529" i="36" s="1"/>
  <c r="Y5539" i="36"/>
  <c r="AB5539" i="36" s="1"/>
  <c r="Z3977" i="36"/>
  <c r="Y3969" i="36"/>
  <c r="AB3969" i="36" s="1"/>
  <c r="Y3983" i="36"/>
  <c r="AB3983" i="36" s="1"/>
  <c r="AC3983" i="36" s="1"/>
  <c r="Y3966" i="36"/>
  <c r="AB3966" i="36" s="1"/>
  <c r="Z3984" i="36"/>
  <c r="Z3969" i="36"/>
  <c r="Z3956" i="36"/>
  <c r="Z3967" i="36"/>
  <c r="Y3975" i="36"/>
  <c r="AB3975" i="36" s="1"/>
  <c r="AB1029" i="36"/>
  <c r="Y1015" i="36"/>
  <c r="AB1015" i="36" s="1"/>
  <c r="Z1024" i="36"/>
  <c r="Y1041" i="36"/>
  <c r="AB1041" i="36" s="1"/>
  <c r="Y1026" i="36"/>
  <c r="AB1026" i="36" s="1"/>
  <c r="Y1042" i="36"/>
  <c r="AB1042" i="36" s="1"/>
  <c r="Z1026" i="36"/>
  <c r="Z1033" i="36"/>
  <c r="AB1044" i="36"/>
  <c r="Y5595" i="36"/>
  <c r="AB5595" i="36" s="1"/>
  <c r="Z5590" i="36"/>
  <c r="Z5569" i="36"/>
  <c r="Y5580" i="36"/>
  <c r="AB5580" i="36" s="1"/>
  <c r="Y5578" i="36"/>
  <c r="AB5578" i="36" s="1"/>
  <c r="Y5570" i="36"/>
  <c r="AB5570" i="36" s="1"/>
  <c r="Z5570" i="36"/>
  <c r="Z5588" i="36"/>
  <c r="Y5571" i="36"/>
  <c r="AB5571" i="36" s="1"/>
  <c r="Z2690" i="36"/>
  <c r="Y2706" i="36"/>
  <c r="AB2706" i="36" s="1"/>
  <c r="Z2681" i="36"/>
  <c r="Y2707" i="36"/>
  <c r="AB2707" i="36" s="1"/>
  <c r="Z2689" i="36"/>
  <c r="Z2699" i="36"/>
  <c r="AB2695" i="36"/>
  <c r="Y2699" i="36"/>
  <c r="AB2699" i="36" s="1"/>
  <c r="Z2707" i="36"/>
  <c r="Y2689" i="36"/>
  <c r="J664" i="35" s="1"/>
  <c r="K664" i="35" s="1"/>
  <c r="Z4595" i="36"/>
  <c r="AB4608" i="36"/>
  <c r="Y4595" i="36"/>
  <c r="AB4595" i="36" s="1"/>
  <c r="Y4613" i="36"/>
  <c r="AB4613" i="36" s="1"/>
  <c r="AB4623" i="36"/>
  <c r="Y4614" i="36"/>
  <c r="AB4614" i="36" s="1"/>
  <c r="Z4593" i="36"/>
  <c r="Y4604" i="36"/>
  <c r="AB4604" i="36" s="1"/>
  <c r="Y4620" i="36"/>
  <c r="AB4620" i="36" s="1"/>
  <c r="Y4602" i="36"/>
  <c r="Y3920" i="36"/>
  <c r="AB3920" i="36" s="1"/>
  <c r="Z3916" i="36"/>
  <c r="AB3930" i="36"/>
  <c r="Z3934" i="36"/>
  <c r="Z3933" i="36"/>
  <c r="Y3926" i="36"/>
  <c r="AB3926" i="36" s="1"/>
  <c r="Y3908" i="36"/>
  <c r="AB3908" i="36" s="1"/>
  <c r="Z3908" i="36"/>
  <c r="AB3913" i="36"/>
  <c r="Z1229" i="36"/>
  <c r="Y1230" i="36"/>
  <c r="AB1230" i="36" s="1"/>
  <c r="Z1237" i="36"/>
  <c r="Z1222" i="36"/>
  <c r="AC1222" i="36" s="1"/>
  <c r="AB1216" i="36"/>
  <c r="Y1228" i="36"/>
  <c r="AB1228" i="36" s="1"/>
  <c r="Y1220" i="36"/>
  <c r="AB1220" i="36" s="1"/>
  <c r="Z1219" i="36"/>
  <c r="Z1211" i="36"/>
  <c r="Y4662" i="36"/>
  <c r="AB4662" i="36" s="1"/>
  <c r="AC4662" i="36" s="1"/>
  <c r="Z4653" i="36"/>
  <c r="AC4653" i="36" s="1"/>
  <c r="Z4670" i="36"/>
  <c r="Z4654" i="36"/>
  <c r="Z4661" i="36"/>
  <c r="Y4655" i="36"/>
  <c r="AB4655" i="36" s="1"/>
  <c r="AC4655" i="36" s="1"/>
  <c r="AB4657" i="36"/>
  <c r="Z4646" i="36"/>
  <c r="Y4645" i="36"/>
  <c r="AB4645" i="36" s="1"/>
  <c r="Y5231" i="36"/>
  <c r="AB5231" i="36" s="1"/>
  <c r="Y5248" i="36"/>
  <c r="AB5248" i="36" s="1"/>
  <c r="Y5251" i="36"/>
  <c r="AB5251" i="36" s="1"/>
  <c r="Z5231" i="36"/>
  <c r="Z5251" i="36"/>
  <c r="Y5232" i="36"/>
  <c r="AB5232" i="36" s="1"/>
  <c r="Z5249" i="36"/>
  <c r="AC5249" i="36" s="1"/>
  <c r="Y5241" i="36"/>
  <c r="AB5241" i="36" s="1"/>
  <c r="Z5234" i="36"/>
  <c r="Z2537" i="36"/>
  <c r="Z5522" i="36"/>
  <c r="Z5523" i="36"/>
  <c r="Z5529" i="36"/>
  <c r="Z5532" i="36"/>
  <c r="Z5531" i="36"/>
  <c r="Z5533" i="36"/>
  <c r="Z3966" i="36"/>
  <c r="Z3968" i="36"/>
  <c r="Y3959" i="36"/>
  <c r="AB3959" i="36" s="1"/>
  <c r="Z3975" i="36"/>
  <c r="Z3965" i="36"/>
  <c r="Z3958" i="36"/>
  <c r="Z3960" i="36"/>
  <c r="Z1015" i="36"/>
  <c r="Y1035" i="36"/>
  <c r="AB1035" i="36" s="1"/>
  <c r="Y1017" i="36"/>
  <c r="AB1017" i="36" s="1"/>
  <c r="Y1032" i="36"/>
  <c r="AB1032" i="36" s="1"/>
  <c r="Z1042" i="36"/>
  <c r="Y1023" i="36"/>
  <c r="AB1023" i="36" s="1"/>
  <c r="Y1040" i="36"/>
  <c r="AB1040" i="36" s="1"/>
  <c r="Z5571" i="36"/>
  <c r="AB5575" i="36"/>
  <c r="Z5582" i="36"/>
  <c r="Y5589" i="36"/>
  <c r="AB5589" i="36" s="1"/>
  <c r="AB5584" i="36"/>
  <c r="Y5579" i="36"/>
  <c r="AB5579" i="36" s="1"/>
  <c r="AC5579" i="36" s="1"/>
  <c r="Y5573" i="36"/>
  <c r="AB5573" i="36" s="1"/>
  <c r="AC5573" i="36" s="1"/>
  <c r="AB2710" i="36"/>
  <c r="Z2700" i="36"/>
  <c r="Y2691" i="36"/>
  <c r="AB2691" i="36" s="1"/>
  <c r="Y2698" i="36"/>
  <c r="AB2698" i="36" s="1"/>
  <c r="Z2683" i="36"/>
  <c r="Z2691" i="36"/>
  <c r="Z2706" i="36"/>
  <c r="Z401" i="36"/>
  <c r="Y395" i="36"/>
  <c r="AB395" i="36" s="1"/>
  <c r="Z394" i="36"/>
  <c r="Y391" i="36"/>
  <c r="Z386" i="36"/>
  <c r="Y383" i="36"/>
  <c r="AB383" i="36" s="1"/>
  <c r="Y408" i="36"/>
  <c r="AB408" i="36" s="1"/>
  <c r="Y400" i="36"/>
  <c r="AB400" i="36" s="1"/>
  <c r="Z391" i="36"/>
  <c r="Y384" i="36"/>
  <c r="AB384" i="36" s="1"/>
  <c r="Z409" i="36"/>
  <c r="Z403" i="36"/>
  <c r="Y394" i="36"/>
  <c r="AB394" i="36" s="1"/>
  <c r="Z393" i="36"/>
  <c r="Y386" i="36"/>
  <c r="AB386" i="36" s="1"/>
  <c r="Z385" i="36"/>
  <c r="Z382" i="36"/>
  <c r="Z395" i="36"/>
  <c r="Y409" i="36"/>
  <c r="AB409" i="36" s="1"/>
  <c r="Z408" i="36"/>
  <c r="Y403" i="36"/>
  <c r="AB403" i="36" s="1"/>
  <c r="Z402" i="36"/>
  <c r="Z400" i="36"/>
  <c r="Y393" i="36"/>
  <c r="AB393" i="36" s="1"/>
  <c r="Z392" i="36"/>
  <c r="Y385" i="36"/>
  <c r="AB385" i="36" s="1"/>
  <c r="Z384" i="36"/>
  <c r="Y402" i="36"/>
  <c r="AB402" i="36" s="1"/>
  <c r="Y392" i="36"/>
  <c r="Z383" i="36"/>
  <c r="Y401" i="36"/>
  <c r="AB401" i="36" s="1"/>
  <c r="AB405" i="36"/>
  <c r="AB411" i="36"/>
  <c r="AB388" i="36"/>
  <c r="AB397" i="36"/>
  <c r="Z201" i="36"/>
  <c r="Z4397" i="36"/>
  <c r="Y4704" i="36"/>
  <c r="AB4704" i="36" s="1"/>
  <c r="Z965" i="36"/>
  <c r="Y295" i="36"/>
  <c r="AB295" i="36" s="1"/>
  <c r="Y4425" i="36"/>
  <c r="AB4425" i="36" s="1"/>
  <c r="Z4401" i="36"/>
  <c r="AC1998" i="36"/>
  <c r="Y2984" i="36"/>
  <c r="AB2984" i="36" s="1"/>
  <c r="Z2985" i="36"/>
  <c r="Y2976" i="36"/>
  <c r="AB2976" i="36" s="1"/>
  <c r="Z3000" i="36"/>
  <c r="Y2985" i="36"/>
  <c r="AB2985" i="36" s="1"/>
  <c r="Z215" i="36"/>
  <c r="Y207" i="36"/>
  <c r="AB207" i="36" s="1"/>
  <c r="Z4408" i="36"/>
  <c r="Y4400" i="36"/>
  <c r="AB4400" i="36" s="1"/>
  <c r="Z894" i="36"/>
  <c r="Y885" i="36"/>
  <c r="AB885" i="36" s="1"/>
  <c r="Y876" i="36"/>
  <c r="J613" i="35" s="1"/>
  <c r="K613" i="35" s="1"/>
  <c r="Z895" i="36"/>
  <c r="Z876" i="36"/>
  <c r="Y886" i="36"/>
  <c r="AB886" i="36" s="1"/>
  <c r="Z886" i="36"/>
  <c r="Y895" i="36"/>
  <c r="AB895" i="36" s="1"/>
  <c r="Y878" i="36"/>
  <c r="AB878" i="36" s="1"/>
  <c r="AC878" i="36" s="1"/>
  <c r="Y3000" i="36"/>
  <c r="AB3000" i="36" s="1"/>
  <c r="Z2992" i="36"/>
  <c r="Y2977" i="36"/>
  <c r="AB2977" i="36" s="1"/>
  <c r="Z2986" i="36"/>
  <c r="Z2987" i="36"/>
  <c r="Z2978" i="36"/>
  <c r="AC2978" i="36" s="1"/>
  <c r="Y2986" i="36"/>
  <c r="AB2986" i="36" s="1"/>
  <c r="Y2995" i="36"/>
  <c r="AB2995" i="36" s="1"/>
  <c r="AB2997" i="36"/>
  <c r="Z2995" i="36"/>
  <c r="Z3001" i="36"/>
  <c r="AB2989" i="36"/>
  <c r="AB2980" i="36"/>
  <c r="AB195" i="36"/>
  <c r="AB212" i="36"/>
  <c r="Z207" i="36"/>
  <c r="Z4400" i="36"/>
  <c r="AB4403" i="36"/>
  <c r="Z4418" i="36"/>
  <c r="Z888" i="36"/>
  <c r="Y888" i="36"/>
  <c r="AB888" i="36" s="1"/>
  <c r="Y869" i="36"/>
  <c r="AB869" i="36" s="1"/>
  <c r="AB890" i="36"/>
  <c r="Z887" i="36"/>
  <c r="Y868" i="36"/>
  <c r="AB868" i="36" s="1"/>
  <c r="AB897" i="36"/>
  <c r="Y877" i="36"/>
  <c r="AB877" i="36" s="1"/>
  <c r="Y893" i="36"/>
  <c r="AB893" i="36" s="1"/>
  <c r="Y3001" i="36"/>
  <c r="AB3001" i="36" s="1"/>
  <c r="Z2984" i="36"/>
  <c r="Z3002" i="36"/>
  <c r="Z2974" i="36"/>
  <c r="Z2975" i="36"/>
  <c r="Y2993" i="36"/>
  <c r="AB2993" i="36" s="1"/>
  <c r="Y2975" i="36"/>
  <c r="AB2975" i="36" s="1"/>
  <c r="Y2992" i="36"/>
  <c r="AB2992" i="36" s="1"/>
  <c r="Z2994" i="36"/>
  <c r="Y2994" i="36"/>
  <c r="AB2994" i="36" s="1"/>
  <c r="Z198" i="36"/>
  <c r="Z217" i="36"/>
  <c r="Z4409" i="36"/>
  <c r="Z4417" i="36"/>
  <c r="Y894" i="36"/>
  <c r="AB894" i="36" s="1"/>
  <c r="Z870" i="36"/>
  <c r="Y871" i="36"/>
  <c r="AB871" i="36" s="1"/>
  <c r="Y887" i="36"/>
  <c r="AB887" i="36" s="1"/>
  <c r="AB882" i="36"/>
  <c r="Z879" i="36"/>
  <c r="Y879" i="36"/>
  <c r="AB879" i="36" s="1"/>
  <c r="AB873" i="36"/>
  <c r="Y2987" i="36"/>
  <c r="AB2987" i="36" s="1"/>
  <c r="AB3004" i="36"/>
  <c r="Y3002" i="36"/>
  <c r="AB3002" i="36" s="1"/>
  <c r="Y2983" i="36"/>
  <c r="AB2983" i="36" s="1"/>
  <c r="Z2976" i="36"/>
  <c r="Z2977" i="36"/>
  <c r="Z2983" i="36"/>
  <c r="Z2993" i="36"/>
  <c r="Y1572" i="36"/>
  <c r="AB1572" i="36" s="1"/>
  <c r="Z1562" i="36"/>
  <c r="Z1563" i="36"/>
  <c r="Y209" i="36"/>
  <c r="AB209" i="36" s="1"/>
  <c r="Z193" i="36"/>
  <c r="Z202" i="36"/>
  <c r="Y193" i="36"/>
  <c r="AB193" i="36" s="1"/>
  <c r="Z192" i="36"/>
  <c r="Y192" i="36"/>
  <c r="AB192" i="36" s="1"/>
  <c r="Y217" i="36"/>
  <c r="AB217" i="36" s="1"/>
  <c r="Y191" i="36"/>
  <c r="AB191" i="36" s="1"/>
  <c r="Z209" i="36"/>
  <c r="Y4409" i="36"/>
  <c r="AB4409" i="36" s="1"/>
  <c r="Z4423" i="36"/>
  <c r="Z4415" i="36"/>
  <c r="Y4423" i="36"/>
  <c r="AB4423" i="36" s="1"/>
  <c r="Y4398" i="36"/>
  <c r="AB4398" i="36" s="1"/>
  <c r="Y4418" i="36"/>
  <c r="AB4418" i="36" s="1"/>
  <c r="Z4410" i="36"/>
  <c r="AB4420" i="36"/>
  <c r="Y4415" i="36"/>
  <c r="AB4415" i="36" s="1"/>
  <c r="Z1556" i="36"/>
  <c r="Z1554" i="36"/>
  <c r="Z1572" i="36"/>
  <c r="Y1562" i="36"/>
  <c r="J676" i="35" s="1"/>
  <c r="K676" i="35" s="1"/>
  <c r="Y1574" i="36"/>
  <c r="AB1574" i="36" s="1"/>
  <c r="AB1576" i="36"/>
  <c r="Z1557" i="36"/>
  <c r="Y1571" i="36"/>
  <c r="AB1571" i="36" s="1"/>
  <c r="AB1583" i="36"/>
  <c r="AB1568" i="36"/>
  <c r="Y1565" i="36"/>
  <c r="AB1565" i="36" s="1"/>
  <c r="AB1559" i="36"/>
  <c r="Z199" i="36"/>
  <c r="Z190" i="36"/>
  <c r="Y215" i="36"/>
  <c r="AB215" i="36" s="1"/>
  <c r="Z191" i="36"/>
  <c r="Z210" i="36"/>
  <c r="Y208" i="36"/>
  <c r="AB208" i="36" s="1"/>
  <c r="Y199" i="36"/>
  <c r="AB199" i="36" s="1"/>
  <c r="Z200" i="36"/>
  <c r="Y201" i="36"/>
  <c r="AB201" i="36" s="1"/>
  <c r="Z189" i="36"/>
  <c r="Y4410" i="36"/>
  <c r="AB4410" i="36" s="1"/>
  <c r="Y4416" i="36"/>
  <c r="AB4416" i="36" s="1"/>
  <c r="AC4416" i="36" s="1"/>
  <c r="Y4399" i="36"/>
  <c r="AB4399" i="36" s="1"/>
  <c r="Z4398" i="36"/>
  <c r="Z4407" i="36"/>
  <c r="Z4406" i="36"/>
  <c r="AB4427" i="36"/>
  <c r="Y4424" i="36"/>
  <c r="AB4424" i="36" s="1"/>
  <c r="Y4417" i="36"/>
  <c r="AB4417" i="36" s="1"/>
  <c r="Y1564" i="36"/>
  <c r="AB1564" i="36" s="1"/>
  <c r="Z1566" i="36"/>
  <c r="Z1581" i="36"/>
  <c r="Y1573" i="36"/>
  <c r="AB1573" i="36" s="1"/>
  <c r="Y1555" i="36"/>
  <c r="AB1555" i="36" s="1"/>
  <c r="AC1555" i="36" s="1"/>
  <c r="Y1556" i="36"/>
  <c r="AB1556" i="36" s="1"/>
  <c r="AC1556" i="36" s="1"/>
  <c r="Z1574" i="36"/>
  <c r="Y1581" i="36"/>
  <c r="AB1581" i="36" s="1"/>
  <c r="Y1580" i="36"/>
  <c r="AB1580" i="36" s="1"/>
  <c r="Z1565" i="36"/>
  <c r="Y1566" i="36"/>
  <c r="AB1566" i="36" s="1"/>
  <c r="Z1571" i="36"/>
  <c r="Y1557" i="36"/>
  <c r="AB1557" i="36" s="1"/>
  <c r="Y202" i="36"/>
  <c r="AB202" i="36" s="1"/>
  <c r="AC202" i="36" s="1"/>
  <c r="Y190" i="36"/>
  <c r="AB190" i="36" s="1"/>
  <c r="Z208" i="36"/>
  <c r="AB219" i="36"/>
  <c r="Y210" i="36"/>
  <c r="AB210" i="36" s="1"/>
  <c r="Y200" i="36"/>
  <c r="AB200" i="36" s="1"/>
  <c r="AB204" i="36"/>
  <c r="Y198" i="36"/>
  <c r="AB198" i="36" s="1"/>
  <c r="Y4406" i="36"/>
  <c r="AB4406" i="36" s="1"/>
  <c r="Z4424" i="36"/>
  <c r="AB4412" i="36"/>
  <c r="Z4399" i="36"/>
  <c r="Y4407" i="36"/>
  <c r="AB4407" i="36" s="1"/>
  <c r="Z4425" i="36"/>
  <c r="Y4408" i="36"/>
  <c r="AB4408" i="36" s="1"/>
  <c r="Y4401" i="36"/>
  <c r="AB4401" i="36" s="1"/>
  <c r="Z1573" i="36"/>
  <c r="Y1563" i="36"/>
  <c r="AB1563" i="36" s="1"/>
  <c r="Y1579" i="36"/>
  <c r="AB1579" i="36" s="1"/>
  <c r="Z1579" i="36"/>
  <c r="Z1580" i="36"/>
  <c r="Z1564" i="36"/>
  <c r="Y1554" i="36"/>
  <c r="AB1554" i="36" s="1"/>
  <c r="Z1553" i="36"/>
  <c r="AC4562" i="36"/>
  <c r="Y1660" i="36"/>
  <c r="J759" i="35" s="1"/>
  <c r="K759" i="35" s="1"/>
  <c r="Z312" i="36"/>
  <c r="Y1081" i="36"/>
  <c r="AB1081" i="36" s="1"/>
  <c r="AB5690" i="36"/>
  <c r="Z5291" i="36"/>
  <c r="Z5438" i="36"/>
  <c r="Y5152" i="36"/>
  <c r="AB5152" i="36" s="1"/>
  <c r="Y1359" i="36"/>
  <c r="AB1359" i="36" s="1"/>
  <c r="AC1359" i="36" s="1"/>
  <c r="Y1670" i="36"/>
  <c r="AB1670" i="36" s="1"/>
  <c r="Z1653" i="36"/>
  <c r="Z5667" i="36"/>
  <c r="AB1674" i="36"/>
  <c r="Z1677" i="36"/>
  <c r="AB5673" i="36"/>
  <c r="Z2447" i="36"/>
  <c r="Z5282" i="36"/>
  <c r="Y974" i="36"/>
  <c r="Z1671" i="36"/>
  <c r="AC1671" i="36" s="1"/>
  <c r="Z1651" i="36"/>
  <c r="Y5669" i="36"/>
  <c r="AB5669" i="36" s="1"/>
  <c r="Y5680" i="36"/>
  <c r="AB5680" i="36" s="1"/>
  <c r="Z5679" i="36"/>
  <c r="AB2458" i="36"/>
  <c r="Y2445" i="36"/>
  <c r="AB2445" i="36" s="1"/>
  <c r="Y2454" i="36"/>
  <c r="AB2454" i="36" s="1"/>
  <c r="Y5292" i="36"/>
  <c r="AB5292" i="36" s="1"/>
  <c r="Z5300" i="36"/>
  <c r="Z977" i="36"/>
  <c r="Z967" i="36"/>
  <c r="Z290" i="36"/>
  <c r="AB309" i="36"/>
  <c r="Y2796" i="36"/>
  <c r="AB2796" i="36" s="1"/>
  <c r="Y5454" i="36"/>
  <c r="AB5454" i="36" s="1"/>
  <c r="Z1377" i="36"/>
  <c r="Z592" i="36"/>
  <c r="Z5053" i="36"/>
  <c r="AB1666" i="36"/>
  <c r="Y1652" i="36"/>
  <c r="AB1652" i="36" s="1"/>
  <c r="Z5693" i="36"/>
  <c r="AC5693" i="36" s="1"/>
  <c r="Y5670" i="36"/>
  <c r="AB5670" i="36" s="1"/>
  <c r="Y2453" i="36"/>
  <c r="AB2453" i="36" s="1"/>
  <c r="Y2436" i="36"/>
  <c r="AB2436" i="36" s="1"/>
  <c r="Z5307" i="36"/>
  <c r="Y5298" i="36"/>
  <c r="AB5298" i="36" s="1"/>
  <c r="AC5298" i="36" s="1"/>
  <c r="Z976" i="36"/>
  <c r="Z985" i="36"/>
  <c r="Y298" i="36"/>
  <c r="AB298" i="36" s="1"/>
  <c r="Y2804" i="36"/>
  <c r="AB2804" i="36" s="1"/>
  <c r="Z5439" i="36"/>
  <c r="Z5153" i="36"/>
  <c r="AB5057" i="36"/>
  <c r="Y1955" i="36"/>
  <c r="AB1955" i="36" s="1"/>
  <c r="Z2456" i="36"/>
  <c r="Z2448" i="36"/>
  <c r="AB5294" i="36"/>
  <c r="Y5299" i="36"/>
  <c r="AB5299" i="36" s="1"/>
  <c r="Y5307" i="36"/>
  <c r="AB5307" i="36" s="1"/>
  <c r="Z984" i="36"/>
  <c r="Y968" i="36"/>
  <c r="AB968" i="36" s="1"/>
  <c r="Y975" i="36"/>
  <c r="AB975" i="36" s="1"/>
  <c r="Y312" i="36"/>
  <c r="AB312" i="36" s="1"/>
  <c r="Y1408" i="36"/>
  <c r="AB1408" i="36" s="1"/>
  <c r="Z1434" i="36"/>
  <c r="Z1082" i="36"/>
  <c r="Y1082" i="36"/>
  <c r="AB1082" i="36" s="1"/>
  <c r="Y1066" i="36"/>
  <c r="AB1066" i="36" s="1"/>
  <c r="Z1091" i="36"/>
  <c r="Y1089" i="36"/>
  <c r="AB1089" i="36" s="1"/>
  <c r="Y1073" i="36"/>
  <c r="AB1073" i="36" s="1"/>
  <c r="Z1090" i="36"/>
  <c r="Z1076" i="36"/>
  <c r="Z1065" i="36"/>
  <c r="Y1065" i="36"/>
  <c r="AB1065" i="36" s="1"/>
  <c r="Y1075" i="36"/>
  <c r="AB1075" i="36" s="1"/>
  <c r="Z1075" i="36"/>
  <c r="Z1072" i="36"/>
  <c r="Y1083" i="36"/>
  <c r="AB1083" i="36" s="1"/>
  <c r="Y1067" i="36"/>
  <c r="AB1067" i="36" s="1"/>
  <c r="AC1067" i="36" s="1"/>
  <c r="Z1066" i="36"/>
  <c r="Y1090" i="36"/>
  <c r="AB1090" i="36" s="1"/>
  <c r="Y1074" i="36"/>
  <c r="AB1074" i="36" s="1"/>
  <c r="Y1091" i="36"/>
  <c r="AB1091" i="36" s="1"/>
  <c r="AB1086" i="36"/>
  <c r="Y1084" i="36"/>
  <c r="AB1084" i="36" s="1"/>
  <c r="Z1083" i="36"/>
  <c r="AB1069" i="36"/>
  <c r="Z1074" i="36"/>
  <c r="Y1076" i="36"/>
  <c r="AB1076" i="36" s="1"/>
  <c r="AB1078" i="36"/>
  <c r="Z1063" i="36"/>
  <c r="AB1093" i="36"/>
  <c r="Z1946" i="36"/>
  <c r="Z1948" i="36"/>
  <c r="AB1960" i="36"/>
  <c r="Y1956" i="36"/>
  <c r="AB1956" i="36" s="1"/>
  <c r="Y1957" i="36"/>
  <c r="AB1957" i="36" s="1"/>
  <c r="AB1975" i="36"/>
  <c r="Y1971" i="36"/>
  <c r="AB1971" i="36" s="1"/>
  <c r="Z1954" i="36"/>
  <c r="Z1964" i="36"/>
  <c r="Y1949" i="36"/>
  <c r="AB1949" i="36" s="1"/>
  <c r="Y1965" i="36"/>
  <c r="AB1965" i="36" s="1"/>
  <c r="Z1965" i="36"/>
  <c r="Z1947" i="36"/>
  <c r="Z1945" i="36"/>
  <c r="Z1949" i="36"/>
  <c r="Z1956" i="36"/>
  <c r="Z1972" i="36"/>
  <c r="AB1968" i="36"/>
  <c r="Z1971" i="36"/>
  <c r="Z1958" i="36"/>
  <c r="Y1964" i="36"/>
  <c r="AB1964" i="36" s="1"/>
  <c r="AC1964" i="36" s="1"/>
  <c r="Y1973" i="36"/>
  <c r="AB1973" i="36" s="1"/>
  <c r="Y1966" i="36"/>
  <c r="AB1966" i="36" s="1"/>
  <c r="Z1966" i="36"/>
  <c r="Y1948" i="36"/>
  <c r="AB1948" i="36" s="1"/>
  <c r="Z1957" i="36"/>
  <c r="Y1946" i="36"/>
  <c r="AB1946" i="36" s="1"/>
  <c r="Y1972" i="36"/>
  <c r="AB1972" i="36" s="1"/>
  <c r="Z306" i="36"/>
  <c r="Y289" i="36"/>
  <c r="AB289" i="36" s="1"/>
  <c r="Y299" i="36"/>
  <c r="AB299" i="36" s="1"/>
  <c r="Y307" i="36"/>
  <c r="AB307" i="36" s="1"/>
  <c r="Z307" i="36"/>
  <c r="AB301" i="36"/>
  <c r="Y5136" i="36"/>
  <c r="AB5136" i="36" s="1"/>
  <c r="Z5132" i="36"/>
  <c r="Y5135" i="36"/>
  <c r="AB5135" i="36" s="1"/>
  <c r="Y5145" i="36"/>
  <c r="AB5145" i="36" s="1"/>
  <c r="Z5160" i="36"/>
  <c r="Y5141" i="36"/>
  <c r="AB5141" i="36" s="1"/>
  <c r="Y5160" i="36"/>
  <c r="AB5160" i="36" s="1"/>
  <c r="Z5144" i="36"/>
  <c r="Z5145" i="36"/>
  <c r="AB5155" i="36"/>
  <c r="Y5158" i="36"/>
  <c r="AB5158" i="36" s="1"/>
  <c r="Z5158" i="36"/>
  <c r="AB5138" i="36"/>
  <c r="Z5136" i="36"/>
  <c r="Y5150" i="36"/>
  <c r="AB5150" i="36" s="1"/>
  <c r="AB5147" i="36"/>
  <c r="Z5159" i="36"/>
  <c r="AB5162" i="36"/>
  <c r="Z5151" i="36"/>
  <c r="Z5143" i="36"/>
  <c r="AC5143" i="36" s="1"/>
  <c r="Y5142" i="36"/>
  <c r="AB5142" i="36" s="1"/>
  <c r="Z5150" i="36"/>
  <c r="Z5141" i="36"/>
  <c r="Z5134" i="36"/>
  <c r="Y5134" i="36"/>
  <c r="AB5134" i="36" s="1"/>
  <c r="Y5144" i="36"/>
  <c r="AB5144" i="36" s="1"/>
  <c r="Y5151" i="36"/>
  <c r="AB5151" i="36" s="1"/>
  <c r="Z595" i="36"/>
  <c r="Y601" i="36"/>
  <c r="AB601" i="36" s="1"/>
  <c r="Z574" i="36"/>
  <c r="Z587" i="36"/>
  <c r="Y587" i="36"/>
  <c r="AB587" i="36" s="1"/>
  <c r="Z593" i="36"/>
  <c r="Z576" i="36"/>
  <c r="AC576" i="36" s="1"/>
  <c r="Y600" i="36"/>
  <c r="AB600" i="36" s="1"/>
  <c r="Z586" i="36"/>
  <c r="Y593" i="36"/>
  <c r="AB593" i="36" s="1"/>
  <c r="Y583" i="36"/>
  <c r="J607" i="35" s="1"/>
  <c r="K607" i="35" s="1"/>
  <c r="Z583" i="36"/>
  <c r="Y594" i="36"/>
  <c r="AB594" i="36" s="1"/>
  <c r="Y575" i="36"/>
  <c r="AB575" i="36" s="1"/>
  <c r="Z584" i="36"/>
  <c r="Y592" i="36"/>
  <c r="AB592" i="36" s="1"/>
  <c r="Y577" i="36"/>
  <c r="AB577" i="36" s="1"/>
  <c r="Y585" i="36"/>
  <c r="AB585" i="36" s="1"/>
  <c r="AB589" i="36"/>
  <c r="Z578" i="36"/>
  <c r="Y586" i="36"/>
  <c r="AB586" i="36" s="1"/>
  <c r="AC586" i="36" s="1"/>
  <c r="AB580" i="36"/>
  <c r="Z575" i="36"/>
  <c r="Y584" i="36"/>
  <c r="AB584" i="36" s="1"/>
  <c r="Y578" i="36"/>
  <c r="AB578" i="36" s="1"/>
  <c r="Z594" i="36"/>
  <c r="Y1664" i="36"/>
  <c r="AB1664" i="36" s="1"/>
  <c r="Y1655" i="36"/>
  <c r="AB1655" i="36" s="1"/>
  <c r="Y1654" i="36"/>
  <c r="AB1654" i="36" s="1"/>
  <c r="Z1670" i="36"/>
  <c r="Z1655" i="36"/>
  <c r="Y1679" i="36"/>
  <c r="AB1679" i="36" s="1"/>
  <c r="Z1661" i="36"/>
  <c r="Y1669" i="36"/>
  <c r="AB1669" i="36" s="1"/>
  <c r="Y1663" i="36"/>
  <c r="AB1663" i="36" s="1"/>
  <c r="Z5688" i="36"/>
  <c r="Y5694" i="36"/>
  <c r="AB5694" i="36" s="1"/>
  <c r="Z5694" i="36"/>
  <c r="Z5678" i="36"/>
  <c r="Y5685" i="36"/>
  <c r="AB5685" i="36" s="1"/>
  <c r="Z5668" i="36"/>
  <c r="Z5671" i="36"/>
  <c r="Z5676" i="36"/>
  <c r="Y5686" i="36"/>
  <c r="AB5686" i="36" s="1"/>
  <c r="Z2435" i="36"/>
  <c r="Z2446" i="36"/>
  <c r="Y2439" i="36"/>
  <c r="AB2439" i="36" s="1"/>
  <c r="Z2453" i="36"/>
  <c r="Z2437" i="36"/>
  <c r="Y2461" i="36"/>
  <c r="AB2461" i="36" s="1"/>
  <c r="Y2444" i="36"/>
  <c r="Y2438" i="36"/>
  <c r="AB2438" i="36" s="1"/>
  <c r="Z5281" i="36"/>
  <c r="Y5289" i="36"/>
  <c r="AB5289" i="36" s="1"/>
  <c r="Y5281" i="36"/>
  <c r="AB5281" i="36" s="1"/>
  <c r="Y5288" i="36"/>
  <c r="AB5288" i="36" s="1"/>
  <c r="Z5288" i="36"/>
  <c r="Y5297" i="36"/>
  <c r="AB5297" i="36" s="1"/>
  <c r="Y5283" i="36"/>
  <c r="AB5283" i="36" s="1"/>
  <c r="Z5297" i="36"/>
  <c r="AB5302" i="36"/>
  <c r="Z5290" i="36"/>
  <c r="Y966" i="36"/>
  <c r="AB966" i="36" s="1"/>
  <c r="AB971" i="36"/>
  <c r="Z974" i="36"/>
  <c r="Y986" i="36"/>
  <c r="AB986" i="36" s="1"/>
  <c r="AB980" i="36"/>
  <c r="Z993" i="36"/>
  <c r="Y983" i="36"/>
  <c r="AB983" i="36" s="1"/>
  <c r="Y967" i="36"/>
  <c r="AB967" i="36" s="1"/>
  <c r="Z968" i="36"/>
  <c r="Z966" i="36"/>
  <c r="Z313" i="36"/>
  <c r="Y306" i="36"/>
  <c r="AB306" i="36" s="1"/>
  <c r="Z297" i="36"/>
  <c r="Z305" i="36"/>
  <c r="Z287" i="36"/>
  <c r="Z288" i="36"/>
  <c r="Y297" i="36"/>
  <c r="AB297" i="36" s="1"/>
  <c r="Y296" i="36"/>
  <c r="AB296" i="36" s="1"/>
  <c r="Y2799" i="36"/>
  <c r="AB2799" i="36" s="1"/>
  <c r="Z2798" i="36"/>
  <c r="Y5436" i="36"/>
  <c r="AB5436" i="36" s="1"/>
  <c r="Z5444" i="36"/>
  <c r="Y5153" i="36"/>
  <c r="AB5153" i="36" s="1"/>
  <c r="Y5159" i="36"/>
  <c r="AB5159" i="36" s="1"/>
  <c r="AC5159" i="36" s="1"/>
  <c r="Z5152" i="36"/>
  <c r="Z1375" i="36"/>
  <c r="Y1366" i="36"/>
  <c r="AB1366" i="36" s="1"/>
  <c r="Z1384" i="36"/>
  <c r="Y595" i="36"/>
  <c r="AB595" i="36" s="1"/>
  <c r="Z600" i="36"/>
  <c r="Y1064" i="36"/>
  <c r="AB1064" i="36" s="1"/>
  <c r="Y1072" i="36"/>
  <c r="J627" i="35" s="1"/>
  <c r="K627" i="35" s="1"/>
  <c r="AB5049" i="36"/>
  <c r="Y5037" i="36"/>
  <c r="AB5037" i="36" s="1"/>
  <c r="Y1947" i="36"/>
  <c r="AB1947" i="36" s="1"/>
  <c r="Z1955" i="36"/>
  <c r="Y2798" i="36"/>
  <c r="AB2798" i="36" s="1"/>
  <c r="Z2789" i="36"/>
  <c r="Z2796" i="36"/>
  <c r="AB2784" i="36"/>
  <c r="Y2789" i="36"/>
  <c r="AB2789" i="36" s="1"/>
  <c r="Z2782" i="36"/>
  <c r="Y2782" i="36"/>
  <c r="AB2782" i="36" s="1"/>
  <c r="Y2797" i="36"/>
  <c r="AB2797" i="36" s="1"/>
  <c r="Y2779" i="36"/>
  <c r="AB2779" i="36" s="1"/>
  <c r="Z2791" i="36"/>
  <c r="Z2780" i="36"/>
  <c r="Y2781" i="36"/>
  <c r="AB2781" i="36" s="1"/>
  <c r="Y2791" i="36"/>
  <c r="AB2791" i="36" s="1"/>
  <c r="Z2799" i="36"/>
  <c r="AB2801" i="36"/>
  <c r="Y2806" i="36"/>
  <c r="AB2806" i="36" s="1"/>
  <c r="Z2804" i="36"/>
  <c r="AB2793" i="36"/>
  <c r="Y2780" i="36"/>
  <c r="AB2780" i="36" s="1"/>
  <c r="Y2787" i="36"/>
  <c r="Z2806" i="36"/>
  <c r="Z2788" i="36"/>
  <c r="Z2790" i="36"/>
  <c r="AB2808" i="36"/>
  <c r="Z2797" i="36"/>
  <c r="Z2787" i="36"/>
  <c r="Y2790" i="36"/>
  <c r="AB2790" i="36" s="1"/>
  <c r="Z2805" i="36"/>
  <c r="Y2061" i="36"/>
  <c r="AB2061" i="36" s="1"/>
  <c r="AC2061" i="36" s="1"/>
  <c r="Z1652" i="36"/>
  <c r="Z1679" i="36"/>
  <c r="Z1672" i="36"/>
  <c r="Z1669" i="36"/>
  <c r="Y1653" i="36"/>
  <c r="AB1653" i="36" s="1"/>
  <c r="Y1672" i="36"/>
  <c r="AB1672" i="36" s="1"/>
  <c r="Z1664" i="36"/>
  <c r="Z1678" i="36"/>
  <c r="Z1654" i="36"/>
  <c r="Z1660" i="36"/>
  <c r="Y5677" i="36"/>
  <c r="AB5677" i="36" s="1"/>
  <c r="Z5677" i="36"/>
  <c r="Z5669" i="36"/>
  <c r="Z5680" i="36"/>
  <c r="Z5695" i="36"/>
  <c r="Y5695" i="36"/>
  <c r="AB5695" i="36" s="1"/>
  <c r="Y5688" i="36"/>
  <c r="AB5688" i="36" s="1"/>
  <c r="Y5676" i="36"/>
  <c r="AB5676" i="36" s="1"/>
  <c r="Y5679" i="36"/>
  <c r="AB5679" i="36" s="1"/>
  <c r="Z2462" i="36"/>
  <c r="AB2441" i="36"/>
  <c r="Y2456" i="36"/>
  <c r="AB2456" i="36" s="1"/>
  <c r="Y2448" i="36"/>
  <c r="AB2448" i="36" s="1"/>
  <c r="Z2463" i="36"/>
  <c r="Z2438" i="36"/>
  <c r="Z2436" i="36"/>
  <c r="Y2463" i="36"/>
  <c r="AB2463" i="36" s="1"/>
  <c r="Y2447" i="36"/>
  <c r="AB2447" i="36" s="1"/>
  <c r="Y5290" i="36"/>
  <c r="AB5290" i="36" s="1"/>
  <c r="Z5306" i="36"/>
  <c r="AB5285" i="36"/>
  <c r="Z5292" i="36"/>
  <c r="Z5305" i="36"/>
  <c r="Y5306" i="36"/>
  <c r="AB5306" i="36" s="1"/>
  <c r="Z5299" i="36"/>
  <c r="Y5291" i="36"/>
  <c r="AB5291" i="36" s="1"/>
  <c r="Y5282" i="36"/>
  <c r="AB5282" i="36" s="1"/>
  <c r="Z969" i="36"/>
  <c r="Y985" i="36"/>
  <c r="AB985" i="36" s="1"/>
  <c r="AB995" i="36"/>
  <c r="Z983" i="36"/>
  <c r="Y977" i="36"/>
  <c r="AB977" i="36" s="1"/>
  <c r="AB988" i="36"/>
  <c r="Z975" i="36"/>
  <c r="Z992" i="36"/>
  <c r="Y978" i="36"/>
  <c r="AB978" i="36" s="1"/>
  <c r="AC978" i="36" s="1"/>
  <c r="Z304" i="36"/>
  <c r="Z296" i="36"/>
  <c r="Z298" i="36"/>
  <c r="Y305" i="36"/>
  <c r="AB305" i="36" s="1"/>
  <c r="Y290" i="36"/>
  <c r="AB290" i="36" s="1"/>
  <c r="Z286" i="36"/>
  <c r="Z295" i="36"/>
  <c r="Z2781" i="36"/>
  <c r="Y2805" i="36"/>
  <c r="AB2805" i="36" s="1"/>
  <c r="Y5429" i="36"/>
  <c r="AB5429" i="36" s="1"/>
  <c r="Z5133" i="36"/>
  <c r="Z5135" i="36"/>
  <c r="Z1369" i="36"/>
  <c r="AB1387" i="36"/>
  <c r="AB603" i="36"/>
  <c r="Z601" i="36"/>
  <c r="AB597" i="36"/>
  <c r="Z1064" i="36"/>
  <c r="Z1073" i="36"/>
  <c r="Y5046" i="36"/>
  <c r="AB5046" i="36" s="1"/>
  <c r="Z1963" i="36"/>
  <c r="Z1973" i="36"/>
  <c r="Z5043" i="36"/>
  <c r="Z5055" i="36"/>
  <c r="Y5055" i="36"/>
  <c r="AB5055" i="36" s="1"/>
  <c r="Z5061" i="36"/>
  <c r="Z5034" i="36"/>
  <c r="Y5038" i="36"/>
  <c r="AB5038" i="36" s="1"/>
  <c r="Z5038" i="36"/>
  <c r="Y5044" i="36"/>
  <c r="AB5044" i="36" s="1"/>
  <c r="Z5045" i="36"/>
  <c r="Y5035" i="36"/>
  <c r="AB5035" i="36" s="1"/>
  <c r="Y5036" i="36"/>
  <c r="AB5036" i="36" s="1"/>
  <c r="Y5052" i="36"/>
  <c r="AB5052" i="36" s="1"/>
  <c r="Y5043" i="36"/>
  <c r="J484" i="35" s="1"/>
  <c r="K484" i="35" s="1"/>
  <c r="Z5047" i="36"/>
  <c r="Z5060" i="36"/>
  <c r="Z5037" i="36"/>
  <c r="Z5052" i="36"/>
  <c r="Z5062" i="36"/>
  <c r="Y5054" i="36"/>
  <c r="AB5054" i="36" s="1"/>
  <c r="AC5054" i="36" s="1"/>
  <c r="AB5064" i="36"/>
  <c r="Y5062" i="36"/>
  <c r="AB5062" i="36" s="1"/>
  <c r="Z5035" i="36"/>
  <c r="Y5045" i="36"/>
  <c r="AB5045" i="36" s="1"/>
  <c r="Y5060" i="36"/>
  <c r="AB5060" i="36" s="1"/>
  <c r="Z5044" i="36"/>
  <c r="Y5053" i="36"/>
  <c r="AB5053" i="36" s="1"/>
  <c r="Y5061" i="36"/>
  <c r="AB5061" i="36" s="1"/>
  <c r="Z5046" i="36"/>
  <c r="Y5438" i="36"/>
  <c r="AB5438" i="36" s="1"/>
  <c r="Z5452" i="36"/>
  <c r="Z5436" i="36"/>
  <c r="Y5446" i="36"/>
  <c r="AB5446" i="36" s="1"/>
  <c r="Y5444" i="36"/>
  <c r="AB5444" i="36" s="1"/>
  <c r="AC5444" i="36" s="1"/>
  <c r="AB5441" i="36"/>
  <c r="Z5454" i="36"/>
  <c r="AB5456" i="36"/>
  <c r="Z5437" i="36"/>
  <c r="Z5435" i="36"/>
  <c r="Z5430" i="36"/>
  <c r="Y5439" i="36"/>
  <c r="AB5439" i="36" s="1"/>
  <c r="Y5437" i="36"/>
  <c r="AB5437" i="36" s="1"/>
  <c r="Z5429" i="36"/>
  <c r="Z5445" i="36"/>
  <c r="Y5430" i="36"/>
  <c r="AB5430" i="36" s="1"/>
  <c r="AB5432" i="36"/>
  <c r="Y5435" i="36"/>
  <c r="AB5435" i="36" s="1"/>
  <c r="Z5426" i="36"/>
  <c r="Y5453" i="36"/>
  <c r="AB5453" i="36" s="1"/>
  <c r="Y5427" i="36"/>
  <c r="AB5427" i="36" s="1"/>
  <c r="AC5427" i="36" s="1"/>
  <c r="Z5453" i="36"/>
  <c r="Z5428" i="36"/>
  <c r="Y5447" i="36"/>
  <c r="AB5447" i="36" s="1"/>
  <c r="Y5428" i="36"/>
  <c r="AB5428" i="36" s="1"/>
  <c r="Z5447" i="36"/>
  <c r="Z5446" i="36"/>
  <c r="Y1384" i="36"/>
  <c r="AB1384" i="36" s="1"/>
  <c r="Y1378" i="36"/>
  <c r="AB1378" i="36" s="1"/>
  <c r="Z1378" i="36"/>
  <c r="Y1360" i="36"/>
  <c r="AB1360" i="36" s="1"/>
  <c r="Y1376" i="36"/>
  <c r="AB1376" i="36" s="1"/>
  <c r="Z1383" i="36"/>
  <c r="Z1376" i="36"/>
  <c r="Y1367" i="36"/>
  <c r="AB1367" i="36" s="1"/>
  <c r="AB1372" i="36"/>
  <c r="Z1367" i="36"/>
  <c r="Y1383" i="36"/>
  <c r="AB1383" i="36" s="1"/>
  <c r="Y1369" i="36"/>
  <c r="AB1369" i="36" s="1"/>
  <c r="Y1361" i="36"/>
  <c r="AB1361" i="36" s="1"/>
  <c r="Y1368" i="36"/>
  <c r="AB1368" i="36" s="1"/>
  <c r="Y1377" i="36"/>
  <c r="AB1377" i="36" s="1"/>
  <c r="Z1361" i="36"/>
  <c r="Z1370" i="36"/>
  <c r="Y1385" i="36"/>
  <c r="AB1385" i="36" s="1"/>
  <c r="Y1375" i="36"/>
  <c r="AB1375" i="36" s="1"/>
  <c r="Y1358" i="36"/>
  <c r="AB1358" i="36" s="1"/>
  <c r="AB1380" i="36"/>
  <c r="Z1357" i="36"/>
  <c r="Z1366" i="36"/>
  <c r="AB1363" i="36"/>
  <c r="Z1360" i="36"/>
  <c r="Y1370" i="36"/>
  <c r="AB1370" i="36" s="1"/>
  <c r="Z1385" i="36"/>
  <c r="Z2461" i="36"/>
  <c r="Z1663" i="36"/>
  <c r="Y1661" i="36"/>
  <c r="AB1661" i="36" s="1"/>
  <c r="Y1678" i="36"/>
  <c r="AB1678" i="36" s="1"/>
  <c r="AB1657" i="36"/>
  <c r="Z1662" i="36"/>
  <c r="Y1662" i="36"/>
  <c r="AB1662" i="36" s="1"/>
  <c r="AB1681" i="36"/>
  <c r="Y1677" i="36"/>
  <c r="AB1677" i="36" s="1"/>
  <c r="AB5697" i="36"/>
  <c r="Z5670" i="36"/>
  <c r="Y5668" i="36"/>
  <c r="AB5668" i="36" s="1"/>
  <c r="Y5678" i="36"/>
  <c r="AB5678" i="36" s="1"/>
  <c r="Z5687" i="36"/>
  <c r="Y5671" i="36"/>
  <c r="AB5671" i="36" s="1"/>
  <c r="AB5682" i="36"/>
  <c r="Y5687" i="36"/>
  <c r="AB5687" i="36" s="1"/>
  <c r="Z5685" i="36"/>
  <c r="Y2437" i="36"/>
  <c r="AB2437" i="36" s="1"/>
  <c r="Z2455" i="36"/>
  <c r="Y2446" i="36"/>
  <c r="AB2446" i="36" s="1"/>
  <c r="AC2446" i="36" s="1"/>
  <c r="AB2450" i="36"/>
  <c r="Z2445" i="36"/>
  <c r="Y2462" i="36"/>
  <c r="AB2462" i="36" s="1"/>
  <c r="Y2455" i="36"/>
  <c r="AB2455" i="36" s="1"/>
  <c r="Z2439" i="36"/>
  <c r="AB2465" i="36"/>
  <c r="Z5289" i="36"/>
  <c r="AB5309" i="36"/>
  <c r="Z5279" i="36"/>
  <c r="Y5305" i="36"/>
  <c r="AB5305" i="36" s="1"/>
  <c r="Z5283" i="36"/>
  <c r="Z5280" i="36"/>
  <c r="Y5280" i="36"/>
  <c r="AB5280" i="36" s="1"/>
  <c r="Y5300" i="36"/>
  <c r="AB5300" i="36" s="1"/>
  <c r="Y991" i="36"/>
  <c r="AB991" i="36" s="1"/>
  <c r="Z991" i="36"/>
  <c r="Y969" i="36"/>
  <c r="AB969" i="36" s="1"/>
  <c r="Y984" i="36"/>
  <c r="AB984" i="36" s="1"/>
  <c r="Z986" i="36"/>
  <c r="Y993" i="36"/>
  <c r="AB993" i="36" s="1"/>
  <c r="Y976" i="36"/>
  <c r="AB976" i="36" s="1"/>
  <c r="Y992" i="36"/>
  <c r="AB992" i="36" s="1"/>
  <c r="Y287" i="36"/>
  <c r="AB287" i="36" s="1"/>
  <c r="AB315" i="36"/>
  <c r="Z289" i="36"/>
  <c r="Z299" i="36"/>
  <c r="Y313" i="36"/>
  <c r="AB313" i="36" s="1"/>
  <c r="AC313" i="36" s="1"/>
  <c r="Y304" i="36"/>
  <c r="AB304" i="36" s="1"/>
  <c r="Y288" i="36"/>
  <c r="AB288" i="36" s="1"/>
  <c r="Z2779" i="36"/>
  <c r="Y2788" i="36"/>
  <c r="AB2788" i="36" s="1"/>
  <c r="AB5449" i="36"/>
  <c r="Y5452" i="36"/>
  <c r="AB5452" i="36" s="1"/>
  <c r="Y5445" i="36"/>
  <c r="AB5445" i="36" s="1"/>
  <c r="Z5142" i="36"/>
  <c r="Y5133" i="36"/>
  <c r="AB5133" i="36" s="1"/>
  <c r="Z1358" i="36"/>
  <c r="Z1368" i="36"/>
  <c r="Z585" i="36"/>
  <c r="Z577" i="36"/>
  <c r="Z1084" i="36"/>
  <c r="Z1089" i="36"/>
  <c r="Z1081" i="36"/>
  <c r="Y5047" i="36"/>
  <c r="AB5047" i="36" s="1"/>
  <c r="Z5036" i="36"/>
  <c r="AB5040" i="36"/>
  <c r="Y1958" i="36"/>
  <c r="AB1958" i="36" s="1"/>
  <c r="Y1954" i="36"/>
  <c r="J677" i="35" s="1"/>
  <c r="K677" i="35" s="1"/>
  <c r="Y1963" i="36"/>
  <c r="AB1963" i="36" s="1"/>
  <c r="Y343" i="36"/>
  <c r="AB343" i="36" s="1"/>
  <c r="Z1164" i="36"/>
  <c r="Z1179" i="36"/>
  <c r="Y4066" i="36"/>
  <c r="AB4066" i="36" s="1"/>
  <c r="Z4064" i="36"/>
  <c r="Y361" i="36"/>
  <c r="AB361" i="36" s="1"/>
  <c r="Z1162" i="36"/>
  <c r="Z4054" i="36"/>
  <c r="Y4057" i="36"/>
  <c r="AB4057" i="36" s="1"/>
  <c r="Z347" i="36"/>
  <c r="Y338" i="36"/>
  <c r="AB338" i="36" s="1"/>
  <c r="Z1161" i="36"/>
  <c r="Z1165" i="36"/>
  <c r="Y4073" i="36"/>
  <c r="AB4073" i="36" s="1"/>
  <c r="Y4080" i="36"/>
  <c r="AB4080" i="36" s="1"/>
  <c r="Z697" i="36"/>
  <c r="Y682" i="36"/>
  <c r="AB682" i="36" s="1"/>
  <c r="Z2536" i="36"/>
  <c r="Y2560" i="36"/>
  <c r="AB2560" i="36" s="1"/>
  <c r="Z2552" i="36"/>
  <c r="Z675" i="36"/>
  <c r="Z698" i="36"/>
  <c r="Y684" i="36"/>
  <c r="AB684" i="36" s="1"/>
  <c r="Z2545" i="36"/>
  <c r="Z2554" i="36"/>
  <c r="AC2554" i="36" s="1"/>
  <c r="AB694" i="36"/>
  <c r="Z343" i="36"/>
  <c r="AB1191" i="36"/>
  <c r="Z4055" i="36"/>
  <c r="Z338" i="36"/>
  <c r="AB1176" i="36"/>
  <c r="AB701" i="36"/>
  <c r="Z689" i="36"/>
  <c r="Y675" i="36"/>
  <c r="AB675" i="36" s="1"/>
  <c r="Y2544" i="36"/>
  <c r="AB2544" i="36" s="1"/>
  <c r="Z2551" i="36"/>
  <c r="Y2929" i="36"/>
  <c r="AB2929" i="36" s="1"/>
  <c r="Z4692" i="36"/>
  <c r="Z2928" i="36"/>
  <c r="AB3046" i="36"/>
  <c r="Z4711" i="36"/>
  <c r="Y1476" i="36"/>
  <c r="AB1476" i="36" s="1"/>
  <c r="Z3051" i="36"/>
  <c r="Y3044" i="36"/>
  <c r="AB3044" i="36" s="1"/>
  <c r="Z2944" i="36"/>
  <c r="Z2929" i="36"/>
  <c r="Y1467" i="36"/>
  <c r="AB1467" i="36" s="1"/>
  <c r="Z4695" i="36"/>
  <c r="AB4714" i="36"/>
  <c r="Y4702" i="36"/>
  <c r="AB4702" i="36" s="1"/>
  <c r="Z4691" i="36"/>
  <c r="AB3038" i="36"/>
  <c r="Z3025" i="36"/>
  <c r="Y2938" i="36"/>
  <c r="AB2938" i="36" s="1"/>
  <c r="Z2945" i="36"/>
  <c r="Y1116" i="36"/>
  <c r="AB1116" i="36" s="1"/>
  <c r="Z4719" i="36"/>
  <c r="Y4712" i="36"/>
  <c r="AB4712" i="36" s="1"/>
  <c r="Y4693" i="36"/>
  <c r="AB4693" i="36" s="1"/>
  <c r="Z3050" i="36"/>
  <c r="Z2934" i="36"/>
  <c r="Z1125" i="36"/>
  <c r="Y3041" i="36"/>
  <c r="AB3041" i="36" s="1"/>
  <c r="AC3041" i="36" s="1"/>
  <c r="AB3053" i="36"/>
  <c r="Z3034" i="36"/>
  <c r="Z3043" i="36"/>
  <c r="Y3034" i="36"/>
  <c r="AB3034" i="36" s="1"/>
  <c r="Z3042" i="36"/>
  <c r="Y3026" i="36"/>
  <c r="AB3026" i="36" s="1"/>
  <c r="Z2946" i="36"/>
  <c r="Z2937" i="36"/>
  <c r="Y2927" i="36"/>
  <c r="AB2927" i="36" s="1"/>
  <c r="Z2925" i="36"/>
  <c r="Y2951" i="36"/>
  <c r="AB2951" i="36" s="1"/>
  <c r="Z2951" i="36"/>
  <c r="AB2931" i="36"/>
  <c r="Y1475" i="36"/>
  <c r="AB1475" i="36" s="1"/>
  <c r="Z1467" i="36"/>
  <c r="Y1130" i="36"/>
  <c r="AB1130" i="36" s="1"/>
  <c r="Y1123" i="36"/>
  <c r="AB1123" i="36" s="1"/>
  <c r="AB4706" i="36"/>
  <c r="Y4692" i="36"/>
  <c r="AB4692" i="36" s="1"/>
  <c r="Z4703" i="36"/>
  <c r="Z4710" i="36"/>
  <c r="Z4702" i="36"/>
  <c r="Y4701" i="36"/>
  <c r="AB4701" i="36" s="1"/>
  <c r="Y4695" i="36"/>
  <c r="AB4695" i="36" s="1"/>
  <c r="Y4711" i="36"/>
  <c r="AB4711" i="36" s="1"/>
  <c r="Y4694" i="36"/>
  <c r="AB4694" i="36" s="1"/>
  <c r="Z4693" i="36"/>
  <c r="Z4709" i="36"/>
  <c r="Y4718" i="36"/>
  <c r="AB4718" i="36" s="1"/>
  <c r="AC4718" i="36" s="1"/>
  <c r="Y3032" i="36"/>
  <c r="AB3032" i="36" s="1"/>
  <c r="Y3050" i="36"/>
  <c r="AB3050" i="36" s="1"/>
  <c r="Z3032" i="36"/>
  <c r="Z3026" i="36"/>
  <c r="Z3044" i="36"/>
  <c r="Z3049" i="36"/>
  <c r="Z3035" i="36"/>
  <c r="Z2943" i="36"/>
  <c r="Z2935" i="36"/>
  <c r="AB2948" i="36"/>
  <c r="Y2935" i="36"/>
  <c r="AB2935" i="36" s="1"/>
  <c r="Z2926" i="36"/>
  <c r="Y2928" i="36"/>
  <c r="AB2928" i="36" s="1"/>
  <c r="Y2944" i="36"/>
  <c r="AB2944" i="36" s="1"/>
  <c r="Z1456" i="36"/>
  <c r="Y1466" i="36"/>
  <c r="AB1466" i="36" s="1"/>
  <c r="Z1455" i="36"/>
  <c r="Y1131" i="36"/>
  <c r="AB1131" i="36" s="1"/>
  <c r="Z1130" i="36"/>
  <c r="Y4709" i="36"/>
  <c r="AB4709" i="36" s="1"/>
  <c r="AB4721" i="36"/>
  <c r="Y4700" i="36"/>
  <c r="AB4700" i="36" s="1"/>
  <c r="Y4719" i="36"/>
  <c r="AB4719" i="36" s="1"/>
  <c r="Z4717" i="36"/>
  <c r="Z4712" i="36"/>
  <c r="Z4694" i="36"/>
  <c r="Y4717" i="36"/>
  <c r="AB4717" i="36" s="1"/>
  <c r="Y4710" i="36"/>
  <c r="AB4710" i="36" s="1"/>
  <c r="AC4710" i="36" s="1"/>
  <c r="Z4701" i="36"/>
  <c r="Y4703" i="36"/>
  <c r="AB4703" i="36" s="1"/>
  <c r="Z4700" i="36"/>
  <c r="AB4697" i="36"/>
  <c r="Z4704" i="36"/>
  <c r="Z3024" i="36"/>
  <c r="Y3036" i="36"/>
  <c r="AB3036" i="36" s="1"/>
  <c r="Y3024" i="36"/>
  <c r="AB3024" i="36" s="1"/>
  <c r="Z3033" i="36"/>
  <c r="Z3027" i="36"/>
  <c r="Y3033" i="36"/>
  <c r="AB3033" i="36" s="1"/>
  <c r="Y3051" i="36"/>
  <c r="AB3051" i="36" s="1"/>
  <c r="AB2940" i="36"/>
  <c r="Y2943" i="36"/>
  <c r="AB2943" i="36" s="1"/>
  <c r="Y2952" i="36"/>
  <c r="AB2952" i="36" s="1"/>
  <c r="AB2955" i="36"/>
  <c r="Y2945" i="36"/>
  <c r="AB2945" i="36" s="1"/>
  <c r="Y2926" i="36"/>
  <c r="AB2926" i="36" s="1"/>
  <c r="Y2937" i="36"/>
  <c r="AB2937" i="36" s="1"/>
  <c r="Z1458" i="36"/>
  <c r="AB1478" i="36"/>
  <c r="Z1115" i="36"/>
  <c r="Z1124" i="36"/>
  <c r="Y1113" i="36"/>
  <c r="AB1113" i="36" s="1"/>
  <c r="Z1464" i="36"/>
  <c r="Y1465" i="36"/>
  <c r="AB1465" i="36" s="1"/>
  <c r="AB1485" i="36"/>
  <c r="Z1483" i="36"/>
  <c r="Z1465" i="36"/>
  <c r="Z1457" i="36"/>
  <c r="Z1474" i="36"/>
  <c r="Y1456" i="36"/>
  <c r="AB1456" i="36" s="1"/>
  <c r="Y1482" i="36"/>
  <c r="AB1482" i="36" s="1"/>
  <c r="Y1122" i="36"/>
  <c r="AB1122" i="36" s="1"/>
  <c r="Z1123" i="36"/>
  <c r="Y1139" i="36"/>
  <c r="AB1139" i="36" s="1"/>
  <c r="AC1139" i="36" s="1"/>
  <c r="Z1113" i="36"/>
  <c r="Z1138" i="36"/>
  <c r="Z1131" i="36"/>
  <c r="Z1140" i="36"/>
  <c r="AB1118" i="36"/>
  <c r="Z1133" i="36"/>
  <c r="Z3036" i="36"/>
  <c r="Y3025" i="36"/>
  <c r="AB3025" i="36" s="1"/>
  <c r="Z3023" i="36"/>
  <c r="Y3035" i="36"/>
  <c r="AB3035" i="36" s="1"/>
  <c r="Y3049" i="36"/>
  <c r="AB3049" i="36" s="1"/>
  <c r="Y3042" i="36"/>
  <c r="AB3042" i="36" s="1"/>
  <c r="Y3027" i="36"/>
  <c r="AB3027" i="36" s="1"/>
  <c r="Y3043" i="36"/>
  <c r="AB3043" i="36" s="1"/>
  <c r="AB3029" i="36"/>
  <c r="Y2953" i="36"/>
  <c r="AB2953" i="36" s="1"/>
  <c r="AC2953" i="36" s="1"/>
  <c r="Y2936" i="36"/>
  <c r="AB2936" i="36" s="1"/>
  <c r="Z2936" i="36"/>
  <c r="Z2927" i="36"/>
  <c r="Z2938" i="36"/>
  <c r="Z2952" i="36"/>
  <c r="Y2934" i="36"/>
  <c r="J669" i="35" s="1"/>
  <c r="K669" i="35" s="1"/>
  <c r="Y2946" i="36"/>
  <c r="AB2946" i="36" s="1"/>
  <c r="Y1459" i="36"/>
  <c r="AB1459" i="36" s="1"/>
  <c r="Y1483" i="36"/>
  <c r="AB1483" i="36" s="1"/>
  <c r="Z1481" i="36"/>
  <c r="Z1466" i="36"/>
  <c r="Y1464" i="36"/>
  <c r="J658" i="35" s="1"/>
  <c r="K658" i="35" s="1"/>
  <c r="Z1482" i="36"/>
  <c r="Z1473" i="36"/>
  <c r="AC1473" i="36" s="1"/>
  <c r="Y1457" i="36"/>
  <c r="AB1457" i="36" s="1"/>
  <c r="Y1481" i="36"/>
  <c r="AB1481" i="36" s="1"/>
  <c r="Z1468" i="36"/>
  <c r="Y1115" i="36"/>
  <c r="AB1115" i="36" s="1"/>
  <c r="AC1115" i="36" s="1"/>
  <c r="Y1133" i="36"/>
  <c r="AB1133" i="36" s="1"/>
  <c r="Y1124" i="36"/>
  <c r="AB1124" i="36" s="1"/>
  <c r="AB1135" i="36"/>
  <c r="Y1132" i="36"/>
  <c r="AB1132" i="36" s="1"/>
  <c r="Y1114" i="36"/>
  <c r="AB1114" i="36" s="1"/>
  <c r="Z1114" i="36"/>
  <c r="Z1132" i="36"/>
  <c r="Y1138" i="36"/>
  <c r="AB1138" i="36" s="1"/>
  <c r="Y1458" i="36"/>
  <c r="AB1458" i="36" s="1"/>
  <c r="Y1468" i="36"/>
  <c r="AB1468" i="36" s="1"/>
  <c r="Z1476" i="36"/>
  <c r="Z1459" i="36"/>
  <c r="Z1475" i="36"/>
  <c r="Y1474" i="36"/>
  <c r="AB1474" i="36" s="1"/>
  <c r="AB1461" i="36"/>
  <c r="AB1470" i="36"/>
  <c r="AB1142" i="36"/>
  <c r="AB1127" i="36"/>
  <c r="Z1116" i="36"/>
  <c r="Y1125" i="36"/>
  <c r="AB1125" i="36" s="1"/>
  <c r="Y1140" i="36"/>
  <c r="AB1140" i="36" s="1"/>
  <c r="Z1122" i="36"/>
  <c r="Z1121" i="36"/>
  <c r="Y1121" i="36"/>
  <c r="AB1121" i="36" s="1"/>
  <c r="Z1112" i="36"/>
  <c r="AB349" i="36"/>
  <c r="Y347" i="36"/>
  <c r="Y346" i="36"/>
  <c r="AB363" i="36"/>
  <c r="Z361" i="36"/>
  <c r="Z335" i="36"/>
  <c r="Y335" i="36"/>
  <c r="AB335" i="36" s="1"/>
  <c r="Z353" i="36"/>
  <c r="Z352" i="36"/>
  <c r="Y1174" i="36"/>
  <c r="AB1174" i="36" s="1"/>
  <c r="Y1180" i="36"/>
  <c r="AB1180" i="36" s="1"/>
  <c r="AB1167" i="36"/>
  <c r="Z1170" i="36"/>
  <c r="Y1172" i="36"/>
  <c r="AB1172" i="36" s="1"/>
  <c r="Y1173" i="36"/>
  <c r="AB1173" i="36" s="1"/>
  <c r="Y1187" i="36"/>
  <c r="AB1187" i="36" s="1"/>
  <c r="Z1171" i="36"/>
  <c r="Y1165" i="36"/>
  <c r="AB1165" i="36" s="1"/>
  <c r="Y4056" i="36"/>
  <c r="AB4056" i="36" s="1"/>
  <c r="Y4064" i="36"/>
  <c r="AB4064" i="36" s="1"/>
  <c r="Z4082" i="36"/>
  <c r="Z4075" i="36"/>
  <c r="Y4067" i="36"/>
  <c r="AB4067" i="36" s="1"/>
  <c r="Z4073" i="36"/>
  <c r="Y4063" i="36"/>
  <c r="AB4063" i="36" s="1"/>
  <c r="Z4072" i="36"/>
  <c r="Y4075" i="36"/>
  <c r="AB4075" i="36" s="1"/>
  <c r="Y698" i="36"/>
  <c r="AB698" i="36" s="1"/>
  <c r="Z682" i="36"/>
  <c r="Y681" i="36"/>
  <c r="AB681" i="36" s="1"/>
  <c r="Z691" i="36"/>
  <c r="Y674" i="36"/>
  <c r="AB674" i="36" s="1"/>
  <c r="Z673" i="36"/>
  <c r="Z680" i="36"/>
  <c r="Y692" i="36"/>
  <c r="AB692" i="36" s="1"/>
  <c r="Y689" i="36"/>
  <c r="AB689" i="36" s="1"/>
  <c r="Z690" i="36"/>
  <c r="Z2546" i="36"/>
  <c r="Y2536" i="36"/>
  <c r="AB2536" i="36" s="1"/>
  <c r="Y2551" i="36"/>
  <c r="AB2551" i="36" s="1"/>
  <c r="Y2535" i="36"/>
  <c r="AB2535" i="36" s="1"/>
  <c r="Z2535" i="36"/>
  <c r="Z2561" i="36"/>
  <c r="Y2559" i="36"/>
  <c r="AB2559" i="36" s="1"/>
  <c r="Y2545" i="36"/>
  <c r="AB2545" i="36" s="1"/>
  <c r="Y2537" i="36"/>
  <c r="AB2537" i="36" s="1"/>
  <c r="Y690" i="36"/>
  <c r="AB690" i="36" s="1"/>
  <c r="AB677" i="36"/>
  <c r="Z684" i="36"/>
  <c r="Y673" i="36"/>
  <c r="AB673" i="36" s="1"/>
  <c r="Z674" i="36"/>
  <c r="Z683" i="36"/>
  <c r="Y691" i="36"/>
  <c r="AB691" i="36" s="1"/>
  <c r="Y680" i="36"/>
  <c r="J609" i="35" s="1"/>
  <c r="K609" i="35" s="1"/>
  <c r="Z699" i="36"/>
  <c r="Y2552" i="36"/>
  <c r="AB2552" i="36" s="1"/>
  <c r="Z2543" i="36"/>
  <c r="Z2553" i="36"/>
  <c r="Z2542" i="36"/>
  <c r="Y2553" i="36"/>
  <c r="AB2553" i="36" s="1"/>
  <c r="Z2559" i="36"/>
  <c r="Z2560" i="36"/>
  <c r="Y2546" i="36"/>
  <c r="AB2546" i="36" s="1"/>
  <c r="Z2544" i="36"/>
  <c r="AB357" i="36"/>
  <c r="Z354" i="36"/>
  <c r="Z346" i="36"/>
  <c r="Z355" i="36"/>
  <c r="Z360" i="36"/>
  <c r="Y337" i="36"/>
  <c r="AB337" i="36" s="1"/>
  <c r="Z337" i="36"/>
  <c r="Z336" i="36"/>
  <c r="Z1180" i="36"/>
  <c r="Z1174" i="36"/>
  <c r="Z1189" i="36"/>
  <c r="Y1181" i="36"/>
  <c r="AB1181" i="36" s="1"/>
  <c r="Y1163" i="36"/>
  <c r="AB1163" i="36" s="1"/>
  <c r="AC1163" i="36" s="1"/>
  <c r="Y1164" i="36"/>
  <c r="AB1164" i="36" s="1"/>
  <c r="Z1182" i="36"/>
  <c r="AB1184" i="36"/>
  <c r="Y1188" i="36"/>
  <c r="AB1188" i="36" s="1"/>
  <c r="Z1173" i="36"/>
  <c r="Z4080" i="36"/>
  <c r="Z4056" i="36"/>
  <c r="AB4060" i="36"/>
  <c r="Y4058" i="36"/>
  <c r="AB4058" i="36" s="1"/>
  <c r="Y4081" i="36"/>
  <c r="AB4081" i="36" s="1"/>
  <c r="AC4081" i="36" s="1"/>
  <c r="Z4058" i="36"/>
  <c r="Y4082" i="36"/>
  <c r="AB4082" i="36" s="1"/>
  <c r="AB4077" i="36"/>
  <c r="AB4069" i="36"/>
  <c r="Z4066" i="36"/>
  <c r="Y344" i="36"/>
  <c r="AB344" i="36" s="1"/>
  <c r="Y345" i="36"/>
  <c r="AB345" i="36" s="1"/>
  <c r="AC345" i="36" s="1"/>
  <c r="Y354" i="36"/>
  <c r="AB354" i="36" s="1"/>
  <c r="Z334" i="36"/>
  <c r="Y336" i="36"/>
  <c r="AB336" i="36" s="1"/>
  <c r="Y360" i="36"/>
  <c r="AB360" i="36" s="1"/>
  <c r="AB340" i="36"/>
  <c r="Y352" i="36"/>
  <c r="AB352" i="36" s="1"/>
  <c r="Y1189" i="36"/>
  <c r="AB1189" i="36" s="1"/>
  <c r="Y1171" i="36"/>
  <c r="AB1171" i="36" s="1"/>
  <c r="Y1182" i="36"/>
  <c r="AB1182" i="36" s="1"/>
  <c r="AC1182" i="36" s="1"/>
  <c r="Z1187" i="36"/>
  <c r="Z1188" i="36"/>
  <c r="Z1172" i="36"/>
  <c r="Y1162" i="36"/>
  <c r="AB1162" i="36" s="1"/>
  <c r="Z1181" i="36"/>
  <c r="Y4074" i="36"/>
  <c r="AB4074" i="36" s="1"/>
  <c r="Z4057" i="36"/>
  <c r="Y4072" i="36"/>
  <c r="AB4072" i="36" s="1"/>
  <c r="Z4074" i="36"/>
  <c r="Z4063" i="36"/>
  <c r="AB4084" i="36"/>
  <c r="Z4065" i="36"/>
  <c r="Z4067" i="36"/>
  <c r="Y683" i="36"/>
  <c r="AB683" i="36" s="1"/>
  <c r="Z672" i="36"/>
  <c r="Y699" i="36"/>
  <c r="AB699" i="36" s="1"/>
  <c r="Z681" i="36"/>
  <c r="Z692" i="36"/>
  <c r="Y697" i="36"/>
  <c r="AB697" i="36" s="1"/>
  <c r="Y672" i="36"/>
  <c r="AB672" i="36" s="1"/>
  <c r="AB686" i="36"/>
  <c r="Y2542" i="36"/>
  <c r="J854" i="35" s="1"/>
  <c r="K854" i="35" s="1"/>
  <c r="Y2561" i="36"/>
  <c r="AB2561" i="36" s="1"/>
  <c r="Z2533" i="36"/>
  <c r="AB2556" i="36"/>
  <c r="Y2543" i="36"/>
  <c r="AB2543" i="36" s="1"/>
  <c r="AC2543" i="36" s="1"/>
  <c r="Y2534" i="36"/>
  <c r="AB2534" i="36" s="1"/>
  <c r="Z2534" i="36"/>
  <c r="AB2548" i="36"/>
  <c r="AB2066" i="36"/>
  <c r="Y2150" i="36"/>
  <c r="J644" i="35" s="1"/>
  <c r="K644" i="35" s="1"/>
  <c r="Y2069" i="36"/>
  <c r="AB2069" i="36" s="1"/>
  <c r="Y2159" i="36"/>
  <c r="AB2159" i="36" s="1"/>
  <c r="AB1436" i="36"/>
  <c r="Z2043" i="36"/>
  <c r="Z1424" i="36"/>
  <c r="AB2171" i="36"/>
  <c r="AB2164" i="36"/>
  <c r="Z1433" i="36"/>
  <c r="Y1416" i="36"/>
  <c r="AB1416" i="36" s="1"/>
  <c r="Z2046" i="36"/>
  <c r="AB2049" i="36"/>
  <c r="Z2064" i="36"/>
  <c r="Y2047" i="36"/>
  <c r="AB2047" i="36" s="1"/>
  <c r="Z2063" i="36"/>
  <c r="AB2073" i="36"/>
  <c r="Y2142" i="36"/>
  <c r="AB2142" i="36" s="1"/>
  <c r="Z2151" i="36"/>
  <c r="AC2151" i="36" s="1"/>
  <c r="AB2147" i="36"/>
  <c r="Y1424" i="36"/>
  <c r="AB1424" i="36" s="1"/>
  <c r="Z1425" i="36"/>
  <c r="Y2055" i="36"/>
  <c r="AB2055" i="36" s="1"/>
  <c r="Y2056" i="36"/>
  <c r="AB2056" i="36" s="1"/>
  <c r="Z2055" i="36"/>
  <c r="Y2064" i="36"/>
  <c r="AB2064" i="36" s="1"/>
  <c r="AC2064" i="36" s="1"/>
  <c r="Y2071" i="36"/>
  <c r="AB2071" i="36" s="1"/>
  <c r="Y2045" i="36"/>
  <c r="AB2045" i="36" s="1"/>
  <c r="AB2058" i="36"/>
  <c r="Y2052" i="36"/>
  <c r="J642" i="35" s="1"/>
  <c r="K642" i="35" s="1"/>
  <c r="Z2159" i="36"/>
  <c r="Z2169" i="36"/>
  <c r="Z2150" i="36"/>
  <c r="AB1412" i="36"/>
  <c r="AB1429" i="36"/>
  <c r="Z1419" i="36"/>
  <c r="Y2044" i="36"/>
  <c r="AB2044" i="36" s="1"/>
  <c r="Z2045" i="36"/>
  <c r="Z2056" i="36"/>
  <c r="Z2070" i="36"/>
  <c r="Y2054" i="36"/>
  <c r="AB2054" i="36" s="1"/>
  <c r="Y2070" i="36"/>
  <c r="AB2070" i="36" s="1"/>
  <c r="Z2071" i="36"/>
  <c r="Z2052" i="36"/>
  <c r="Y2063" i="36"/>
  <c r="AB2063" i="36" s="1"/>
  <c r="Z2062" i="36"/>
  <c r="Z2153" i="36"/>
  <c r="Y2161" i="36"/>
  <c r="AB2161" i="36" s="1"/>
  <c r="Z2162" i="36"/>
  <c r="Y2162" i="36"/>
  <c r="AB2162" i="36" s="1"/>
  <c r="Y2153" i="36"/>
  <c r="AB2153" i="36" s="1"/>
  <c r="Y2169" i="36"/>
  <c r="AB2169" i="36" s="1"/>
  <c r="Z2154" i="36"/>
  <c r="Y2143" i="36"/>
  <c r="AB2143" i="36" s="1"/>
  <c r="Y2154" i="36"/>
  <c r="AB2154" i="36" s="1"/>
  <c r="Y1417" i="36"/>
  <c r="AB1417" i="36" s="1"/>
  <c r="Y1418" i="36"/>
  <c r="AB1418" i="36" s="1"/>
  <c r="Y1432" i="36"/>
  <c r="AB1432" i="36" s="1"/>
  <c r="Z1417" i="36"/>
  <c r="Y1410" i="36"/>
  <c r="AB1410" i="36" s="1"/>
  <c r="Z1406" i="36"/>
  <c r="Z1408" i="36"/>
  <c r="Y1427" i="36"/>
  <c r="AB1427" i="36" s="1"/>
  <c r="Y1415" i="36"/>
  <c r="J639" i="35" s="1"/>
  <c r="K639" i="35" s="1"/>
  <c r="Y2046" i="36"/>
  <c r="AB2046" i="36" s="1"/>
  <c r="Y2062" i="36"/>
  <c r="AB2062" i="36" s="1"/>
  <c r="Z2053" i="36"/>
  <c r="Z2044" i="36"/>
  <c r="Z2069" i="36"/>
  <c r="Z2047" i="36"/>
  <c r="Y2053" i="36"/>
  <c r="AB2053" i="36" s="1"/>
  <c r="Z2054" i="36"/>
  <c r="Z2145" i="36"/>
  <c r="Z2152" i="36"/>
  <c r="Y2144" i="36"/>
  <c r="AB2144" i="36" s="1"/>
  <c r="Z2141" i="36"/>
  <c r="Z2143" i="36"/>
  <c r="Z2161" i="36"/>
  <c r="Y2152" i="36"/>
  <c r="AB2152" i="36" s="1"/>
  <c r="Y2168" i="36"/>
  <c r="AB2168" i="36" s="1"/>
  <c r="Z2167" i="36"/>
  <c r="Y1409" i="36"/>
  <c r="AB1409" i="36" s="1"/>
  <c r="Z1415" i="36"/>
  <c r="Y1434" i="36"/>
  <c r="AB1434" i="36" s="1"/>
  <c r="Y1433" i="36"/>
  <c r="AB1433" i="36" s="1"/>
  <c r="Z1410" i="36"/>
  <c r="Y1419" i="36"/>
  <c r="AB1419" i="36" s="1"/>
  <c r="Y1425" i="36"/>
  <c r="AB1425" i="36" s="1"/>
  <c r="AB1421" i="36"/>
  <c r="Z1407" i="36"/>
  <c r="Y2167" i="36"/>
  <c r="AB2167" i="36" s="1"/>
  <c r="AB2156" i="36"/>
  <c r="Y2145" i="36"/>
  <c r="AB2145" i="36" s="1"/>
  <c r="Y2160" i="36"/>
  <c r="AB2160" i="36" s="1"/>
  <c r="Z2168" i="36"/>
  <c r="Z2144" i="36"/>
  <c r="Z2142" i="36"/>
  <c r="Z2160" i="36"/>
  <c r="Z1427" i="36"/>
  <c r="Y1407" i="36"/>
  <c r="AB1407" i="36" s="1"/>
  <c r="Z1432" i="36"/>
  <c r="Z1418" i="36"/>
  <c r="Z1426" i="36"/>
  <c r="Z1416" i="36"/>
  <c r="Z1409" i="36"/>
  <c r="Y1426" i="36"/>
  <c r="AB1426" i="36" s="1"/>
  <c r="Y632" i="36"/>
  <c r="AB632" i="36" s="1"/>
  <c r="Y624" i="36"/>
  <c r="AB624" i="36" s="1"/>
  <c r="Y634" i="36"/>
  <c r="AB634" i="36" s="1"/>
  <c r="Y642" i="36"/>
  <c r="AB642" i="36" s="1"/>
  <c r="Y635" i="36"/>
  <c r="AB635" i="36" s="1"/>
  <c r="AB637" i="36"/>
  <c r="Z650" i="36"/>
  <c r="Z641" i="36"/>
  <c r="AB645" i="36"/>
  <c r="AB652" i="36"/>
  <c r="Z640" i="36"/>
  <c r="Y631" i="36"/>
  <c r="J608" i="35" s="1"/>
  <c r="K608" i="35" s="1"/>
  <c r="Z623" i="36"/>
  <c r="Z635" i="36"/>
  <c r="Z649" i="36"/>
  <c r="Y623" i="36"/>
  <c r="AB623" i="36" s="1"/>
  <c r="Z648" i="36"/>
  <c r="Z633" i="36"/>
  <c r="Y640" i="36"/>
  <c r="AB640" i="36" s="1"/>
  <c r="Y625" i="36"/>
  <c r="AB625" i="36" s="1"/>
  <c r="Z632" i="36"/>
  <c r="Y633" i="36"/>
  <c r="AB633" i="36" s="1"/>
  <c r="Y650" i="36"/>
  <c r="AB650" i="36" s="1"/>
  <c r="AB628" i="36"/>
  <c r="Z642" i="36"/>
  <c r="Y648" i="36"/>
  <c r="Z626" i="36"/>
  <c r="Z624" i="36"/>
  <c r="Z643" i="36"/>
  <c r="Y643" i="36"/>
  <c r="AB643" i="36" s="1"/>
  <c r="Z622" i="36"/>
  <c r="Z625" i="36"/>
  <c r="Y626" i="36"/>
  <c r="AB626" i="36" s="1"/>
  <c r="Y3731" i="36"/>
  <c r="AB3731" i="36" s="1"/>
  <c r="Z3737" i="36"/>
  <c r="AC3737" i="36" s="1"/>
  <c r="Y3732" i="36"/>
  <c r="AB3732" i="36" s="1"/>
  <c r="Y3729" i="36"/>
  <c r="Z3720" i="36"/>
  <c r="Y3739" i="36"/>
  <c r="AB3739" i="36" s="1"/>
  <c r="AB3741" i="36"/>
  <c r="Y3714" i="36"/>
  <c r="AB3714" i="36" s="1"/>
  <c r="Y3720" i="36"/>
  <c r="Y3721" i="36"/>
  <c r="AB3721" i="36" s="1"/>
  <c r="AB3726" i="36"/>
  <c r="Z3722" i="36"/>
  <c r="Z3730" i="36"/>
  <c r="Z3731" i="36"/>
  <c r="Z3739" i="36"/>
  <c r="Z3738" i="36"/>
  <c r="Y3715" i="36"/>
  <c r="AB3715" i="36" s="1"/>
  <c r="Z3729" i="36"/>
  <c r="AB3734" i="36"/>
  <c r="Z3711" i="36"/>
  <c r="Y3723" i="36"/>
  <c r="AB3723" i="36" s="1"/>
  <c r="Z3712" i="36"/>
  <c r="Y3738" i="36"/>
  <c r="AB3738" i="36" s="1"/>
  <c r="Z3723" i="36"/>
  <c r="Y3713" i="36"/>
  <c r="AB3713" i="36" s="1"/>
  <c r="Y3712" i="36"/>
  <c r="AB3712" i="36" s="1"/>
  <c r="Z3724" i="36"/>
  <c r="AB3717" i="36"/>
  <c r="Y3730" i="36"/>
  <c r="AB3730" i="36" s="1"/>
  <c r="Z3713" i="36"/>
  <c r="Z3732" i="36"/>
  <c r="Y3722" i="36"/>
  <c r="AB3722" i="36" s="1"/>
  <c r="Z3714" i="36"/>
  <c r="Y3724" i="36"/>
  <c r="AB3724" i="36" s="1"/>
  <c r="Z3721" i="36"/>
  <c r="Z3715" i="36"/>
  <c r="Y3786" i="36"/>
  <c r="AB3786" i="36" s="1"/>
  <c r="Z3773" i="36"/>
  <c r="Y3770" i="36"/>
  <c r="AB3770" i="36" s="1"/>
  <c r="Z3769" i="36"/>
  <c r="Z3764" i="36"/>
  <c r="Y3761" i="36"/>
  <c r="AB3761" i="36" s="1"/>
  <c r="Y3781" i="36"/>
  <c r="AB3781" i="36" s="1"/>
  <c r="Z3780" i="36"/>
  <c r="Z3778" i="36"/>
  <c r="Z3761" i="36"/>
  <c r="Z3788" i="36"/>
  <c r="Z3779" i="36"/>
  <c r="Y3773" i="36"/>
  <c r="AB3773" i="36" s="1"/>
  <c r="Z3772" i="36"/>
  <c r="Y3769" i="36"/>
  <c r="Y3764" i="36"/>
  <c r="AB3764" i="36" s="1"/>
  <c r="Z3763" i="36"/>
  <c r="Y3787" i="36"/>
  <c r="AB3787" i="36" s="1"/>
  <c r="Y3771" i="36"/>
  <c r="AB3771" i="36" s="1"/>
  <c r="Y3788" i="36"/>
  <c r="AB3788" i="36" s="1"/>
  <c r="Z3787" i="36"/>
  <c r="Z3781" i="36"/>
  <c r="Y3779" i="36"/>
  <c r="AB3779" i="36" s="1"/>
  <c r="Y3772" i="36"/>
  <c r="AB3772" i="36" s="1"/>
  <c r="Z3771" i="36"/>
  <c r="Y3763" i="36"/>
  <c r="AB3763" i="36" s="1"/>
  <c r="Z3762" i="36"/>
  <c r="Z3760" i="36"/>
  <c r="Z3786" i="36"/>
  <c r="Z3770" i="36"/>
  <c r="Y3762" i="36"/>
  <c r="AB3762" i="36" s="1"/>
  <c r="Y3778" i="36"/>
  <c r="AB3778" i="36" s="1"/>
  <c r="Y3780" i="36"/>
  <c r="AB3780" i="36" s="1"/>
  <c r="AB3775" i="36"/>
  <c r="AB3783" i="36"/>
  <c r="AB3790" i="36"/>
  <c r="AB3766" i="36"/>
  <c r="Y3811" i="36"/>
  <c r="AB3811" i="36" s="1"/>
  <c r="Y3813" i="36"/>
  <c r="AB3813" i="36" s="1"/>
  <c r="Y3688" i="36"/>
  <c r="AB3688" i="36" s="1"/>
  <c r="Z3675" i="36"/>
  <c r="Y3672" i="36"/>
  <c r="AB3672" i="36" s="1"/>
  <c r="Z3671" i="36"/>
  <c r="Z3666" i="36"/>
  <c r="Y3663" i="36"/>
  <c r="AB3663" i="36" s="1"/>
  <c r="Z3672" i="36"/>
  <c r="Z3690" i="36"/>
  <c r="Z3681" i="36"/>
  <c r="Y3675" i="36"/>
  <c r="AB3675" i="36" s="1"/>
  <c r="Z3674" i="36"/>
  <c r="Y3671" i="36"/>
  <c r="J871" i="35" s="1"/>
  <c r="K871" i="35" s="1"/>
  <c r="Y3666" i="36"/>
  <c r="AB3666" i="36" s="1"/>
  <c r="Z3665" i="36"/>
  <c r="Y3689" i="36"/>
  <c r="AB3689" i="36" s="1"/>
  <c r="Z3688" i="36"/>
  <c r="Y3683" i="36"/>
  <c r="AB3683" i="36" s="1"/>
  <c r="Z3682" i="36"/>
  <c r="Z3680" i="36"/>
  <c r="Y3664" i="36"/>
  <c r="AB3664" i="36" s="1"/>
  <c r="Y3690" i="36"/>
  <c r="AB3690" i="36" s="1"/>
  <c r="Z3689" i="36"/>
  <c r="Z3683" i="36"/>
  <c r="Y3674" i="36"/>
  <c r="AB3674" i="36" s="1"/>
  <c r="Z3673" i="36"/>
  <c r="Y3665" i="36"/>
  <c r="AB3665" i="36" s="1"/>
  <c r="AC3665" i="36" s="1"/>
  <c r="Z3664" i="36"/>
  <c r="Z3662" i="36"/>
  <c r="Y3673" i="36"/>
  <c r="AB3673" i="36" s="1"/>
  <c r="Z3663" i="36"/>
  <c r="Y3680" i="36"/>
  <c r="AB3680" i="36" s="1"/>
  <c r="Y3682" i="36"/>
  <c r="AB3682" i="36" s="1"/>
  <c r="Y3681" i="36"/>
  <c r="AB3681" i="36" s="1"/>
  <c r="AC3681" i="36" s="1"/>
  <c r="AB3685" i="36"/>
  <c r="AB3677" i="36"/>
  <c r="AB3692" i="36"/>
  <c r="AB3668" i="36"/>
  <c r="Y3837" i="36"/>
  <c r="AB3837" i="36" s="1"/>
  <c r="AB3839" i="36"/>
  <c r="AB3832" i="36"/>
  <c r="Y3836" i="36"/>
  <c r="AB3836" i="36" s="1"/>
  <c r="Y3819" i="36"/>
  <c r="AB3819" i="36" s="1"/>
  <c r="Z3811" i="36"/>
  <c r="Y3829" i="36"/>
  <c r="AB3829" i="36" s="1"/>
  <c r="Z3827" i="36"/>
  <c r="Z3813" i="36"/>
  <c r="Z3820" i="36"/>
  <c r="Z3819" i="36"/>
  <c r="Z3828" i="36"/>
  <c r="Y3639" i="36"/>
  <c r="AB3639" i="36" s="1"/>
  <c r="Z3626" i="36"/>
  <c r="Y3623" i="36"/>
  <c r="AB3623" i="36" s="1"/>
  <c r="Z3622" i="36"/>
  <c r="Z3617" i="36"/>
  <c r="Y3614" i="36"/>
  <c r="AB3614" i="36" s="1"/>
  <c r="Z3641" i="36"/>
  <c r="Z3632" i="36"/>
  <c r="Y3626" i="36"/>
  <c r="AB3626" i="36" s="1"/>
  <c r="Z3625" i="36"/>
  <c r="Y3622" i="36"/>
  <c r="Y3617" i="36"/>
  <c r="AB3617" i="36" s="1"/>
  <c r="Z3616" i="36"/>
  <c r="Y3641" i="36"/>
  <c r="AB3641" i="36" s="1"/>
  <c r="Z3640" i="36"/>
  <c r="Z3634" i="36"/>
  <c r="Y3632" i="36"/>
  <c r="AB3632" i="36" s="1"/>
  <c r="Y3625" i="36"/>
  <c r="AB3625" i="36" s="1"/>
  <c r="Z3624" i="36"/>
  <c r="Y3616" i="36"/>
  <c r="AB3616" i="36" s="1"/>
  <c r="Z3615" i="36"/>
  <c r="Z3613" i="36"/>
  <c r="Y3640" i="36"/>
  <c r="AB3640" i="36" s="1"/>
  <c r="Z3639" i="36"/>
  <c r="Y3634" i="36"/>
  <c r="AB3634" i="36" s="1"/>
  <c r="Z3633" i="36"/>
  <c r="Z3631" i="36"/>
  <c r="Y3624" i="36"/>
  <c r="AB3624" i="36" s="1"/>
  <c r="Z3623" i="36"/>
  <c r="Y3615" i="36"/>
  <c r="AB3615" i="36" s="1"/>
  <c r="Z3614" i="36"/>
  <c r="Y3633" i="36"/>
  <c r="AB3633" i="36" s="1"/>
  <c r="Y3631" i="36"/>
  <c r="AB3631" i="36" s="1"/>
  <c r="AB3636" i="36"/>
  <c r="AB3628" i="36"/>
  <c r="AB3643" i="36"/>
  <c r="AB3619" i="36"/>
  <c r="Y3828" i="36"/>
  <c r="AB3828" i="36" s="1"/>
  <c r="Y3830" i="36"/>
  <c r="AB3830" i="36" s="1"/>
  <c r="Y3835" i="36"/>
  <c r="AB3835" i="36" s="1"/>
  <c r="Z3821" i="36"/>
  <c r="Y3590" i="36"/>
  <c r="AB3590" i="36" s="1"/>
  <c r="Z3577" i="36"/>
  <c r="Y3574" i="36"/>
  <c r="AB3574" i="36" s="1"/>
  <c r="Z3573" i="36"/>
  <c r="Z3568" i="36"/>
  <c r="Y3565" i="36"/>
  <c r="AB3565" i="36" s="1"/>
  <c r="Y3575" i="36"/>
  <c r="Z3574" i="36"/>
  <c r="Z3592" i="36"/>
  <c r="Z3583" i="36"/>
  <c r="Y3577" i="36"/>
  <c r="AB3577" i="36" s="1"/>
  <c r="Z3576" i="36"/>
  <c r="Y3573" i="36"/>
  <c r="J867" i="35" s="1"/>
  <c r="K867" i="35" s="1"/>
  <c r="Y3568" i="36"/>
  <c r="AB3568" i="36" s="1"/>
  <c r="Z3567" i="36"/>
  <c r="Y3585" i="36"/>
  <c r="AB3585" i="36" s="1"/>
  <c r="Y3566" i="36"/>
  <c r="AB3566" i="36" s="1"/>
  <c r="Z3565" i="36"/>
  <c r="Y3592" i="36"/>
  <c r="AB3592" i="36" s="1"/>
  <c r="Z3591" i="36"/>
  <c r="Z3585" i="36"/>
  <c r="Y3576" i="36"/>
  <c r="Z3575" i="36"/>
  <c r="Y3567" i="36"/>
  <c r="AB3567" i="36" s="1"/>
  <c r="Z3566" i="36"/>
  <c r="Z3564" i="36"/>
  <c r="Y3591" i="36"/>
  <c r="AB3591" i="36" s="1"/>
  <c r="Z3590" i="36"/>
  <c r="Z3584" i="36"/>
  <c r="Z3582" i="36"/>
  <c r="Y3583" i="36"/>
  <c r="AB3583" i="36" s="1"/>
  <c r="Y3584" i="36"/>
  <c r="AB3584" i="36" s="1"/>
  <c r="Y3582" i="36"/>
  <c r="AB3582" i="36" s="1"/>
  <c r="AB3587" i="36"/>
  <c r="AB3579" i="36"/>
  <c r="AB3594" i="36"/>
  <c r="AB3570" i="36"/>
  <c r="AB3815" i="36"/>
  <c r="Y3827" i="36"/>
  <c r="AB3827" i="36" s="1"/>
  <c r="AC3827" i="36" s="1"/>
  <c r="Y3821" i="36"/>
  <c r="AB3821" i="36" s="1"/>
  <c r="Z3810" i="36"/>
  <c r="Z3829" i="36"/>
  <c r="Y3810" i="36"/>
  <c r="AB3810" i="36" s="1"/>
  <c r="Z3822" i="36"/>
  <c r="Z3837" i="36"/>
  <c r="Y3818" i="36"/>
  <c r="AB3818" i="36" s="1"/>
  <c r="Z3809" i="36"/>
  <c r="AB3824" i="36"/>
  <c r="Z3830" i="36"/>
  <c r="Y3812" i="36"/>
  <c r="AB3812" i="36" s="1"/>
  <c r="AC3812" i="36" s="1"/>
  <c r="Z3835" i="36"/>
  <c r="Y3820" i="36"/>
  <c r="AB3820" i="36" s="1"/>
  <c r="Z3836" i="36"/>
  <c r="Z3818" i="36"/>
  <c r="Y3822" i="36"/>
  <c r="AB3822" i="36" s="1"/>
  <c r="Y3541" i="36"/>
  <c r="AB3541" i="36" s="1"/>
  <c r="Z3528" i="36"/>
  <c r="Y3525" i="36"/>
  <c r="AB3525" i="36" s="1"/>
  <c r="Z3524" i="36"/>
  <c r="Z3519" i="36"/>
  <c r="Y3516" i="36"/>
  <c r="AB3516" i="36" s="1"/>
  <c r="Z3543" i="36"/>
  <c r="Z3534" i="36"/>
  <c r="Y3528" i="36"/>
  <c r="AB3528" i="36" s="1"/>
  <c r="Z3527" i="36"/>
  <c r="Y3524" i="36"/>
  <c r="Y3519" i="36"/>
  <c r="AB3519" i="36" s="1"/>
  <c r="Z3518" i="36"/>
  <c r="Y3542" i="36"/>
  <c r="AB3542" i="36" s="1"/>
  <c r="Z3541" i="36"/>
  <c r="Y3536" i="36"/>
  <c r="AB3536" i="36" s="1"/>
  <c r="Z3535" i="36"/>
  <c r="Z3533" i="36"/>
  <c r="Y3526" i="36"/>
  <c r="AB3526" i="36" s="1"/>
  <c r="Z3525" i="36"/>
  <c r="Y3517" i="36"/>
  <c r="AB3517" i="36" s="1"/>
  <c r="Z3516" i="36"/>
  <c r="Y3543" i="36"/>
  <c r="AB3543" i="36" s="1"/>
  <c r="Z3542" i="36"/>
  <c r="Z3536" i="36"/>
  <c r="Y3534" i="36"/>
  <c r="AB3534" i="36" s="1"/>
  <c r="Y3527" i="36"/>
  <c r="AB3527" i="36" s="1"/>
  <c r="Z3526" i="36"/>
  <c r="Y3518" i="36"/>
  <c r="AB3518" i="36" s="1"/>
  <c r="Z3517" i="36"/>
  <c r="Z3515" i="36"/>
  <c r="Y3533" i="36"/>
  <c r="AB3533" i="36" s="1"/>
  <c r="Y3535" i="36"/>
  <c r="AB3535" i="36" s="1"/>
  <c r="AB3530" i="36"/>
  <c r="AB3538" i="36"/>
  <c r="AB3545" i="36"/>
  <c r="AB3521" i="36"/>
  <c r="AC2020" i="36"/>
  <c r="AC2731" i="36"/>
  <c r="Y3492" i="36"/>
  <c r="AB3492" i="36" s="1"/>
  <c r="Z3479" i="36"/>
  <c r="Y3476" i="36"/>
  <c r="AB3476" i="36" s="1"/>
  <c r="Z3475" i="36"/>
  <c r="Z3470" i="36"/>
  <c r="Y3467" i="36"/>
  <c r="AB3467" i="36" s="1"/>
  <c r="Z3492" i="36"/>
  <c r="Y3477" i="36"/>
  <c r="AB3477" i="36" s="1"/>
  <c r="Z3494" i="36"/>
  <c r="Z3485" i="36"/>
  <c r="Y3479" i="36"/>
  <c r="AB3479" i="36" s="1"/>
  <c r="Z3478" i="36"/>
  <c r="Y3475" i="36"/>
  <c r="Y3470" i="36"/>
  <c r="AB3470" i="36" s="1"/>
  <c r="Z3469" i="36"/>
  <c r="Z3484" i="36"/>
  <c r="Z3467" i="36"/>
  <c r="Y3494" i="36"/>
  <c r="AB3494" i="36" s="1"/>
  <c r="Z3493" i="36"/>
  <c r="Z3487" i="36"/>
  <c r="Y3478" i="36"/>
  <c r="AB3478" i="36" s="1"/>
  <c r="Z3477" i="36"/>
  <c r="Y3469" i="36"/>
  <c r="AB3469" i="36" s="1"/>
  <c r="Z3468" i="36"/>
  <c r="Z3466" i="36"/>
  <c r="Y3493" i="36"/>
  <c r="AB3493" i="36" s="1"/>
  <c r="Y3487" i="36"/>
  <c r="AB3487" i="36" s="1"/>
  <c r="Z3486" i="36"/>
  <c r="Z3476" i="36"/>
  <c r="Y3468" i="36"/>
  <c r="AB3468" i="36" s="1"/>
  <c r="Y3485" i="36"/>
  <c r="AB3485" i="36" s="1"/>
  <c r="Y3484" i="36"/>
  <c r="AB3484" i="36" s="1"/>
  <c r="Y3486" i="36"/>
  <c r="AB3486" i="36" s="1"/>
  <c r="AB3481" i="36"/>
  <c r="AB3489" i="36"/>
  <c r="AB3496" i="36"/>
  <c r="AB3472" i="36"/>
  <c r="AC4546" i="36"/>
  <c r="AC4997" i="36"/>
  <c r="AC3246" i="36"/>
  <c r="Z4999" i="36"/>
  <c r="Z5000" i="36" s="1"/>
  <c r="P116" i="1" s="1"/>
  <c r="AC5005" i="36"/>
  <c r="AC4565" i="36"/>
  <c r="AC2021" i="36"/>
  <c r="AC4555" i="36"/>
  <c r="AC4570" i="36"/>
  <c r="AB5017" i="36"/>
  <c r="AB4994" i="36"/>
  <c r="AC4994" i="36" s="1"/>
  <c r="J476" i="35"/>
  <c r="K476" i="35" s="1"/>
  <c r="AC4557" i="36"/>
  <c r="AB2640" i="36"/>
  <c r="J742" i="35"/>
  <c r="K742" i="35" s="1"/>
  <c r="AB5485" i="36"/>
  <c r="AC5485" i="36" s="1"/>
  <c r="Z5477" i="36"/>
  <c r="Z5478" i="36" s="1"/>
  <c r="O128" i="1" s="1"/>
  <c r="Z5014" i="36"/>
  <c r="Z5015" i="36" s="1"/>
  <c r="AC5012" i="36"/>
  <c r="J625" i="35"/>
  <c r="K625" i="35" s="1"/>
  <c r="AB925" i="36"/>
  <c r="AC925" i="36" s="1"/>
  <c r="AB2297" i="36"/>
  <c r="AC2297" i="36" s="1"/>
  <c r="J751" i="35"/>
  <c r="K751" i="35" s="1"/>
  <c r="AB1807" i="36"/>
  <c r="AC4989" i="36"/>
  <c r="AC2748" i="36"/>
  <c r="AB5488" i="36"/>
  <c r="AC5488" i="36" s="1"/>
  <c r="AB5486" i="36"/>
  <c r="AC5486" i="36" s="1"/>
  <c r="AC2014" i="36"/>
  <c r="AC4995" i="36"/>
  <c r="AC5013" i="36"/>
  <c r="AC5003" i="36"/>
  <c r="AC4996" i="36"/>
  <c r="Y142" i="36"/>
  <c r="J321" i="35"/>
  <c r="K321" i="35" s="1"/>
  <c r="AC4545" i="36"/>
  <c r="AC4563" i="36"/>
  <c r="AC4554" i="36"/>
  <c r="AC4571" i="36"/>
  <c r="Z4549" i="36"/>
  <c r="Z4550" i="36" s="1"/>
  <c r="O105" i="1" s="1"/>
  <c r="AC4572" i="36"/>
  <c r="AC4556" i="36"/>
  <c r="Z4558" i="36"/>
  <c r="Z4559" i="36" s="1"/>
  <c r="P105" i="1" s="1"/>
  <c r="AC3321" i="36"/>
  <c r="AC4564" i="36"/>
  <c r="Z4573" i="36"/>
  <c r="Z4574" i="36" s="1"/>
  <c r="AC4574" i="36" s="1"/>
  <c r="Z4566" i="36"/>
  <c r="Z4567" i="36" s="1"/>
  <c r="Q105" i="1" s="1"/>
  <c r="AB2400" i="36"/>
  <c r="AB3181" i="36"/>
  <c r="J823" i="35"/>
  <c r="K823" i="35" s="1"/>
  <c r="AC3174" i="36"/>
  <c r="AC2887" i="36"/>
  <c r="J811" i="35"/>
  <c r="K811" i="35" s="1"/>
  <c r="AB3228" i="36"/>
  <c r="AC5493" i="36"/>
  <c r="AC4742" i="36"/>
  <c r="AC5004" i="36"/>
  <c r="Z4990" i="36"/>
  <c r="Z4991" i="36" s="1"/>
  <c r="O116" i="1" s="1"/>
  <c r="AC5011" i="36"/>
  <c r="Z5007" i="36"/>
  <c r="Z5008" i="36" s="1"/>
  <c r="Q116" i="1" s="1"/>
  <c r="AC5006" i="36"/>
  <c r="AC4988" i="36"/>
  <c r="J853" i="35"/>
  <c r="K853" i="35" s="1"/>
  <c r="AC3132" i="36"/>
  <c r="AC3142" i="36"/>
  <c r="AC4173" i="36"/>
  <c r="AC2307" i="36"/>
  <c r="AB4576" i="36"/>
  <c r="AB4553" i="36"/>
  <c r="AC4553" i="36" s="1"/>
  <c r="J470" i="35"/>
  <c r="K470" i="35" s="1"/>
  <c r="AC4547" i="36"/>
  <c r="J477" i="35"/>
  <c r="K477" i="35" s="1"/>
  <c r="AB536" i="36"/>
  <c r="AB1660" i="36" l="1"/>
  <c r="AC1214" i="36"/>
  <c r="AC4180" i="36"/>
  <c r="AC3122" i="36"/>
  <c r="AC3229" i="36"/>
  <c r="AC2013" i="36"/>
  <c r="J740" i="35"/>
  <c r="K740" i="35" s="1"/>
  <c r="AC2633" i="36"/>
  <c r="AB3326" i="36"/>
  <c r="AC3326" i="36" s="1"/>
  <c r="AC3345" i="36"/>
  <c r="AC4204" i="36"/>
  <c r="AC2641" i="36"/>
  <c r="AC4766" i="36"/>
  <c r="Z2023" i="36"/>
  <c r="Z2024" i="36" s="1"/>
  <c r="R49" i="1" s="1"/>
  <c r="Z2645" i="36"/>
  <c r="Z2646" i="36" s="1"/>
  <c r="P64" i="1" s="1"/>
  <c r="AC3344" i="36"/>
  <c r="AC3330" i="36"/>
  <c r="Z1999" i="36"/>
  <c r="Z2000" i="36" s="1"/>
  <c r="O49" i="1" s="1"/>
  <c r="AC2004" i="36"/>
  <c r="Z2660" i="36"/>
  <c r="Z2661" i="36" s="1"/>
  <c r="AC640" i="36"/>
  <c r="AC4082" i="36"/>
  <c r="AC2634" i="36"/>
  <c r="AC4612" i="36"/>
  <c r="AC4752" i="36"/>
  <c r="AC4115" i="36"/>
  <c r="AC4760" i="36"/>
  <c r="AC2838" i="36"/>
  <c r="AC2210" i="36"/>
  <c r="AC2006" i="36"/>
  <c r="AC2005" i="36"/>
  <c r="AC4205" i="36"/>
  <c r="AC2886" i="36"/>
  <c r="AC2298" i="36"/>
  <c r="AC1898" i="36"/>
  <c r="AC2202" i="36"/>
  <c r="AC929" i="36"/>
  <c r="AC3338" i="36"/>
  <c r="Z4769" i="36"/>
  <c r="Z4770" i="36" s="1"/>
  <c r="AC4770" i="36" s="1"/>
  <c r="AC2650" i="36"/>
  <c r="AC2649" i="36"/>
  <c r="AC2314" i="36"/>
  <c r="AC2658" i="36"/>
  <c r="AC1860" i="36"/>
  <c r="AB3182" i="36"/>
  <c r="AC927" i="36"/>
  <c r="AC190" i="36"/>
  <c r="Z3346" i="36"/>
  <c r="Z3347" i="36" s="1"/>
  <c r="AC3886" i="36"/>
  <c r="J799" i="35"/>
  <c r="K799" i="35" s="1"/>
  <c r="O799" i="35" s="1"/>
  <c r="AC2805" i="36"/>
  <c r="AC4768" i="36"/>
  <c r="AC4104" i="36"/>
  <c r="AC1995" i="36"/>
  <c r="AC4466" i="36"/>
  <c r="J735" i="35"/>
  <c r="K735" i="35" s="1"/>
  <c r="AC3042" i="36"/>
  <c r="AC4171" i="36"/>
  <c r="AC5498" i="36"/>
  <c r="AC2659" i="36"/>
  <c r="AC2022" i="36"/>
  <c r="AC3484" i="36"/>
  <c r="AC4459" i="36"/>
  <c r="AC937" i="36"/>
  <c r="AC4026" i="36"/>
  <c r="AC4114" i="36"/>
  <c r="AC2012" i="36"/>
  <c r="AC2315" i="36"/>
  <c r="AC2308" i="36"/>
  <c r="AC3328" i="36"/>
  <c r="AC3125" i="36"/>
  <c r="AC3680" i="36"/>
  <c r="AC1777" i="36"/>
  <c r="AC4472" i="36"/>
  <c r="AC2496" i="36"/>
  <c r="AB2395" i="36"/>
  <c r="AC5305" i="36"/>
  <c r="AC1799" i="36"/>
  <c r="AC4170" i="36"/>
  <c r="AC3337" i="36"/>
  <c r="AC4212" i="36"/>
  <c r="AC4744" i="36"/>
  <c r="AC4841" i="36"/>
  <c r="AC5398" i="36"/>
  <c r="AC2289" i="36"/>
  <c r="AB5503" i="36"/>
  <c r="Z2653" i="36"/>
  <c r="Z2654" i="36" s="1"/>
  <c r="Q64" i="1" s="1"/>
  <c r="AC4594" i="36"/>
  <c r="AC3343" i="36"/>
  <c r="AC3319" i="36"/>
  <c r="Z2302" i="36"/>
  <c r="Z2303" i="36" s="1"/>
  <c r="AB2320" i="36"/>
  <c r="AC2301" i="36"/>
  <c r="AC1996" i="36"/>
  <c r="AC5483" i="36"/>
  <c r="AC2657" i="36"/>
  <c r="J628" i="35"/>
  <c r="K628" i="35" s="1"/>
  <c r="O628" i="35" s="1"/>
  <c r="AC3762" i="36"/>
  <c r="AC3920" i="36"/>
  <c r="AC3394" i="36"/>
  <c r="AC4178" i="36"/>
  <c r="Z3322" i="36"/>
  <c r="Z3323" i="36" s="1"/>
  <c r="O78" i="1" s="1"/>
  <c r="AB3349" i="36"/>
  <c r="AC2643" i="36"/>
  <c r="AC1997" i="36"/>
  <c r="AC2053" i="36"/>
  <c r="AC699" i="36"/>
  <c r="AC4751" i="36"/>
  <c r="AB2836" i="36"/>
  <c r="AC2836" i="36" s="1"/>
  <c r="AC2640" i="36"/>
  <c r="AC895" i="36"/>
  <c r="AC5240" i="36"/>
  <c r="AC3543" i="36"/>
  <c r="AC3829" i="36"/>
  <c r="AC1612" i="36"/>
  <c r="AC4963" i="36"/>
  <c r="AC4369" i="36"/>
  <c r="AC1523" i="36"/>
  <c r="Z2317" i="36"/>
  <c r="Z2318" i="36" s="1"/>
  <c r="R55" i="1" s="1"/>
  <c r="J737" i="35"/>
  <c r="K737" i="35" s="1"/>
  <c r="AC210" i="36"/>
  <c r="AC5595" i="36"/>
  <c r="AC831" i="36"/>
  <c r="AC5932" i="36"/>
  <c r="AC5916" i="36"/>
  <c r="AB3436" i="36"/>
  <c r="J631" i="35"/>
  <c r="K631" i="35" s="1"/>
  <c r="AB5481" i="36"/>
  <c r="AC5481" i="36" s="1"/>
  <c r="AC4456" i="36"/>
  <c r="AC2340" i="36"/>
  <c r="AC2393" i="36"/>
  <c r="AC3673" i="36"/>
  <c r="AC1125" i="36"/>
  <c r="AC877" i="36"/>
  <c r="AC3969" i="36"/>
  <c r="AC1231" i="36"/>
  <c r="AC4938" i="36"/>
  <c r="AC3098" i="36"/>
  <c r="AC1615" i="36"/>
  <c r="AC538" i="36"/>
  <c r="AC3281" i="36"/>
  <c r="AC240" i="36"/>
  <c r="AC5208" i="36"/>
  <c r="AC1802" i="36"/>
  <c r="AC935" i="36"/>
  <c r="AC942" i="36"/>
  <c r="AC3327" i="36"/>
  <c r="AC3123" i="36"/>
  <c r="Z2293" i="36"/>
  <c r="Z2294" i="36" s="1"/>
  <c r="O55" i="1" s="1"/>
  <c r="AC2292" i="36"/>
  <c r="AB2026" i="36"/>
  <c r="AC4761" i="36"/>
  <c r="AB2663" i="36"/>
  <c r="AB4772" i="36"/>
  <c r="AC2651" i="36"/>
  <c r="AC5882" i="36"/>
  <c r="AC5572" i="36"/>
  <c r="AC5639" i="36"/>
  <c r="Z4230" i="36"/>
  <c r="Z4231" i="36" s="1"/>
  <c r="R98" i="1" s="1"/>
  <c r="AC4220" i="36"/>
  <c r="AC2757" i="36"/>
  <c r="Z2310" i="36"/>
  <c r="Z2311" i="36" s="1"/>
  <c r="Q55" i="1" s="1"/>
  <c r="AC2291" i="36"/>
  <c r="AC2632" i="36"/>
  <c r="AC5183" i="36"/>
  <c r="AC2512" i="36"/>
  <c r="Z4181" i="36"/>
  <c r="Z4182" i="36" s="1"/>
  <c r="AC4182" i="36" s="1"/>
  <c r="AC1427" i="36"/>
  <c r="AC3675" i="36"/>
  <c r="AC5728" i="36"/>
  <c r="AC4749" i="36"/>
  <c r="AC5925" i="36"/>
  <c r="AC4859" i="36"/>
  <c r="AC5389" i="36"/>
  <c r="AC3279" i="36"/>
  <c r="AC5793" i="36"/>
  <c r="Z1631" i="36"/>
  <c r="Z1632" i="36" s="1"/>
  <c r="R41" i="1" s="1"/>
  <c r="AC2104" i="36"/>
  <c r="AC539" i="36"/>
  <c r="AC3518" i="36"/>
  <c r="AC4107" i="36"/>
  <c r="AC5881" i="36"/>
  <c r="AC2652" i="36"/>
  <c r="Z2008" i="36"/>
  <c r="Z2009" i="36" s="1"/>
  <c r="P49" i="1" s="1"/>
  <c r="AC3130" i="36"/>
  <c r="AC2880" i="36"/>
  <c r="AC5588" i="36"/>
  <c r="AC4229" i="36"/>
  <c r="AC2211" i="36"/>
  <c r="Z2856" i="36"/>
  <c r="Z2857" i="36" s="1"/>
  <c r="AC3133" i="36"/>
  <c r="AC3336" i="36"/>
  <c r="AC3147" i="36"/>
  <c r="AC2309" i="36"/>
  <c r="AC3149" i="36"/>
  <c r="Z2016" i="36"/>
  <c r="Z2017" i="36" s="1"/>
  <c r="Q49" i="1" s="1"/>
  <c r="Z2636" i="36"/>
  <c r="Z2637" i="36" s="1"/>
  <c r="O64" i="1" s="1"/>
  <c r="AC4767" i="36"/>
  <c r="AB1758" i="36"/>
  <c r="J746" i="35"/>
  <c r="K746" i="35" s="1"/>
  <c r="Q746" i="35" s="1"/>
  <c r="AB4357" i="36"/>
  <c r="AC4357" i="36" s="1"/>
  <c r="AB2003" i="36"/>
  <c r="AC2003" i="36" s="1"/>
  <c r="J860" i="35"/>
  <c r="K860" i="35" s="1"/>
  <c r="Q860" i="35" s="1"/>
  <c r="AC4743" i="36"/>
  <c r="J11" i="35"/>
  <c r="K11" i="35" s="1"/>
  <c r="Q11" i="35" s="1"/>
  <c r="AC3446" i="36"/>
  <c r="Z3135" i="36"/>
  <c r="Z3136" i="36" s="1"/>
  <c r="P74" i="1" s="1"/>
  <c r="AC928" i="36"/>
  <c r="AC5487" i="36"/>
  <c r="AC2889" i="36"/>
  <c r="AC2015" i="36"/>
  <c r="AC2062" i="36"/>
  <c r="AC4408" i="36"/>
  <c r="AC1032" i="36"/>
  <c r="AC5110" i="36"/>
  <c r="AC2338" i="36"/>
  <c r="AC2250" i="36"/>
  <c r="J779" i="35"/>
  <c r="K779" i="35" s="1"/>
  <c r="Q779" i="35" s="1"/>
  <c r="AC1041" i="36"/>
  <c r="AC5484" i="36"/>
  <c r="AC5719" i="36"/>
  <c r="AC4172" i="36"/>
  <c r="AC1040" i="36"/>
  <c r="AC1614" i="36"/>
  <c r="AC2488" i="36"/>
  <c r="AC1321" i="36"/>
  <c r="AC2602" i="36"/>
  <c r="AC1817" i="36"/>
  <c r="AC5482" i="36"/>
  <c r="AC4162" i="36"/>
  <c r="AC5638" i="36"/>
  <c r="AC2153" i="36"/>
  <c r="AC2536" i="36"/>
  <c r="AC3043" i="36"/>
  <c r="AC5668" i="36"/>
  <c r="AC5435" i="36"/>
  <c r="Z4754" i="36"/>
  <c r="Z4755" i="36" s="1"/>
  <c r="P109" i="1" s="1"/>
  <c r="AC4112" i="36"/>
  <c r="AC287" i="36"/>
  <c r="AC2780" i="36"/>
  <c r="AC198" i="36"/>
  <c r="AC1525" i="36"/>
  <c r="AC2413" i="36"/>
  <c r="AC3868" i="36"/>
  <c r="AC3535" i="36"/>
  <c r="AC5437" i="36"/>
  <c r="AC3469" i="36"/>
  <c r="AC2145" i="36"/>
  <c r="AC297" i="36"/>
  <c r="AC1563" i="36"/>
  <c r="AC5232" i="36"/>
  <c r="AC4955" i="36"/>
  <c r="AC633" i="36"/>
  <c r="AC2937" i="36"/>
  <c r="AC217" i="36"/>
  <c r="AC3625" i="36"/>
  <c r="AC1138" i="36"/>
  <c r="AC5306" i="36"/>
  <c r="AC2790" i="36"/>
  <c r="AC2497" i="36"/>
  <c r="AC5521" i="36"/>
  <c r="AC2300" i="36"/>
  <c r="AC5792" i="36"/>
  <c r="AC5769" i="36"/>
  <c r="AC5405" i="36"/>
  <c r="AC1603" i="36"/>
  <c r="AC4417" i="36"/>
  <c r="AC3870" i="36"/>
  <c r="AC5734" i="36"/>
  <c r="AC5768" i="36"/>
  <c r="AC5778" i="36"/>
  <c r="AC499" i="36"/>
  <c r="AC5923" i="36"/>
  <c r="AC3134" i="36"/>
  <c r="AC5346" i="36"/>
  <c r="AC5499" i="36"/>
  <c r="AC3666" i="36"/>
  <c r="AC4351" i="36"/>
  <c r="AC5736" i="36"/>
  <c r="AC4856" i="36"/>
  <c r="AC5355" i="36"/>
  <c r="AC2730" i="36"/>
  <c r="AC4890" i="36"/>
  <c r="AC3640" i="36"/>
  <c r="AC985" i="36"/>
  <c r="AC593" i="36"/>
  <c r="AC4467" i="36"/>
  <c r="AC3393" i="36"/>
  <c r="AC2094" i="36"/>
  <c r="AC2487" i="36"/>
  <c r="AC3432" i="36"/>
  <c r="AC1867" i="36"/>
  <c r="AC4858" i="36"/>
  <c r="AC1506" i="36"/>
  <c r="AC3190" i="36"/>
  <c r="AC3192" i="36"/>
  <c r="AC4122" i="36"/>
  <c r="AC943" i="36"/>
  <c r="AC4124" i="36"/>
  <c r="AC4179" i="36"/>
  <c r="Z4157" i="36"/>
  <c r="Z4158" i="36" s="1"/>
  <c r="O97" i="1" s="1"/>
  <c r="Z3331" i="36"/>
  <c r="Z3332" i="36" s="1"/>
  <c r="P78" i="1" s="1"/>
  <c r="AC3148" i="36"/>
  <c r="AC3140" i="36"/>
  <c r="AC2290" i="36"/>
  <c r="AC2192" i="36"/>
  <c r="AC4106" i="36"/>
  <c r="AB3153" i="36"/>
  <c r="AC3329" i="36"/>
  <c r="AC2299" i="36"/>
  <c r="Z5489" i="36"/>
  <c r="Z5490" i="36" s="1"/>
  <c r="P128" i="1" s="1"/>
  <c r="AC4906" i="36"/>
  <c r="AC2251" i="36"/>
  <c r="AC3280" i="36"/>
  <c r="AC1809" i="36"/>
  <c r="Z930" i="36"/>
  <c r="Z931" i="36" s="1"/>
  <c r="P27" i="1" s="1"/>
  <c r="Z3150" i="36"/>
  <c r="Z3151" i="36" s="1"/>
  <c r="R74" i="1" s="1"/>
  <c r="Z3126" i="36"/>
  <c r="Z3127" i="36" s="1"/>
  <c r="O74" i="1" s="1"/>
  <c r="J606" i="35"/>
  <c r="K606" i="35" s="1"/>
  <c r="O606" i="35" s="1"/>
  <c r="Z4174" i="36"/>
  <c r="Z4175" i="36" s="1"/>
  <c r="Q97" i="1" s="1"/>
  <c r="Z945" i="36"/>
  <c r="Z946" i="36" s="1"/>
  <c r="AC946" i="36" s="1"/>
  <c r="Z5500" i="36"/>
  <c r="Z5501" i="36" s="1"/>
  <c r="AC2242" i="36"/>
  <c r="AB4900" i="36"/>
  <c r="AC4900" i="36" s="1"/>
  <c r="J354" i="35"/>
  <c r="K354" i="35" s="1"/>
  <c r="AB4898" i="36"/>
  <c r="J394" i="35"/>
  <c r="K394" i="35" s="1"/>
  <c r="AC2585" i="36"/>
  <c r="AC4915" i="36"/>
  <c r="AC4908" i="36"/>
  <c r="Z4901" i="36"/>
  <c r="Z4902" i="36" s="1"/>
  <c r="P112" i="1" s="1"/>
  <c r="AC4905" i="36"/>
  <c r="AC4891" i="36"/>
  <c r="AC4897" i="36"/>
  <c r="AC4889" i="36"/>
  <c r="AC4899" i="36"/>
  <c r="AC4907" i="36"/>
  <c r="AC4898" i="36"/>
  <c r="Z4909" i="36"/>
  <c r="Z4910" i="36" s="1"/>
  <c r="Q112" i="1" s="1"/>
  <c r="AC4913" i="36"/>
  <c r="AB4919" i="36"/>
  <c r="Z4916" i="36"/>
  <c r="Z4917" i="36" s="1"/>
  <c r="AC4914" i="36"/>
  <c r="Z4892" i="36"/>
  <c r="Z4893" i="36" s="1"/>
  <c r="AC4896" i="36"/>
  <c r="AC4888" i="36"/>
  <c r="AB4849" i="36"/>
  <c r="AC4849" i="36" s="1"/>
  <c r="J538" i="35"/>
  <c r="K538" i="35" s="1"/>
  <c r="AB4848" i="36"/>
  <c r="AC4848" i="36" s="1"/>
  <c r="J537" i="35"/>
  <c r="K537" i="35" s="1"/>
  <c r="AC672" i="36"/>
  <c r="AC2929" i="36"/>
  <c r="AC5062" i="36"/>
  <c r="AC1073" i="36"/>
  <c r="AC983" i="36"/>
  <c r="AC5288" i="36"/>
  <c r="AB221" i="36"/>
  <c r="AC1557" i="36"/>
  <c r="AC2984" i="36"/>
  <c r="Z3003" i="36"/>
  <c r="Z3004" i="36" s="1"/>
  <c r="R71" i="1" s="1"/>
  <c r="AC5522" i="36"/>
  <c r="AC3926" i="36"/>
  <c r="AC828" i="36"/>
  <c r="AC3911" i="36"/>
  <c r="AC3171" i="36"/>
  <c r="AC2749" i="36"/>
  <c r="AC3139" i="36"/>
  <c r="AC3335" i="36"/>
  <c r="AC3131" i="36"/>
  <c r="AC2259" i="36"/>
  <c r="AC2847" i="36"/>
  <c r="AC4153" i="36"/>
  <c r="AC3347" i="36"/>
  <c r="AC944" i="36"/>
  <c r="Z2751" i="36"/>
  <c r="Z2752" i="36" s="1"/>
  <c r="Q66" i="1" s="1"/>
  <c r="Z602" i="36"/>
  <c r="Z603" i="36" s="1"/>
  <c r="AC603" i="36" s="1"/>
  <c r="AC1375" i="36"/>
  <c r="AC5135" i="36"/>
  <c r="AC1947" i="36"/>
  <c r="AC5053" i="36"/>
  <c r="AC2706" i="36"/>
  <c r="Z4664" i="36"/>
  <c r="Z4665" i="36" s="1"/>
  <c r="Q107" i="1" s="1"/>
  <c r="AC4496" i="36"/>
  <c r="AC1613" i="36"/>
  <c r="AC1701" i="36"/>
  <c r="AC1873" i="36"/>
  <c r="AC5337" i="36"/>
  <c r="AC4791" i="36"/>
  <c r="AC4816" i="36"/>
  <c r="AC5329" i="36"/>
  <c r="AC5331" i="36"/>
  <c r="AC4808" i="36"/>
  <c r="AC5338" i="36"/>
  <c r="AC5341" i="36"/>
  <c r="AC4802" i="36"/>
  <c r="AC5390" i="36"/>
  <c r="Z5406" i="36"/>
  <c r="Z5407" i="36" s="1"/>
  <c r="AC5407" i="36" s="1"/>
  <c r="AC4800" i="36"/>
  <c r="AC5339" i="36"/>
  <c r="Z5342" i="36"/>
  <c r="Z5343" i="36" s="1"/>
  <c r="P123" i="1" s="1"/>
  <c r="AC4807" i="36"/>
  <c r="AC4799" i="36"/>
  <c r="AC5340" i="36"/>
  <c r="AC5348" i="36"/>
  <c r="AC4792" i="36"/>
  <c r="Z4818" i="36"/>
  <c r="Z4819" i="36" s="1"/>
  <c r="AC4819" i="36" s="1"/>
  <c r="AC5356" i="36"/>
  <c r="Z5350" i="36"/>
  <c r="Z5351" i="36" s="1"/>
  <c r="Q123" i="1" s="1"/>
  <c r="Z5333" i="36"/>
  <c r="Z5334" i="36" s="1"/>
  <c r="AC5334" i="36" s="1"/>
  <c r="AB4821" i="36"/>
  <c r="Z4843" i="36"/>
  <c r="Z4844" i="36" s="1"/>
  <c r="O111" i="1" s="1"/>
  <c r="AC4850" i="36"/>
  <c r="AC4847" i="36"/>
  <c r="AC4798" i="36"/>
  <c r="AC4817" i="36"/>
  <c r="AB5360" i="36"/>
  <c r="Z4860" i="36"/>
  <c r="Z4861" i="36" s="1"/>
  <c r="Q111" i="1" s="1"/>
  <c r="AC5330" i="36"/>
  <c r="AC5380" i="36"/>
  <c r="Z4811" i="36"/>
  <c r="Z4812" i="36" s="1"/>
  <c r="Q110" i="1" s="1"/>
  <c r="AC4790" i="36"/>
  <c r="Z5357" i="36"/>
  <c r="Z5358" i="36" s="1"/>
  <c r="AC5358" i="36" s="1"/>
  <c r="AC5404" i="36"/>
  <c r="AC5386" i="36"/>
  <c r="AC4857" i="36"/>
  <c r="Z4867" i="36"/>
  <c r="Z4868" i="36" s="1"/>
  <c r="AC4868" i="36" s="1"/>
  <c r="AC4801" i="36"/>
  <c r="AC5396" i="36"/>
  <c r="AC5388" i="36"/>
  <c r="Z5382" i="36"/>
  <c r="Z5383" i="36" s="1"/>
  <c r="AC5383" i="36" s="1"/>
  <c r="AC5379" i="36"/>
  <c r="AC5347" i="36"/>
  <c r="AC4809" i="36"/>
  <c r="Z4794" i="36"/>
  <c r="Z4795" i="36" s="1"/>
  <c r="O110" i="1" s="1"/>
  <c r="AC5403" i="36"/>
  <c r="AB5409" i="36"/>
  <c r="Z5399" i="36"/>
  <c r="Z5400" i="36" s="1"/>
  <c r="Q124" i="1" s="1"/>
  <c r="Z5391" i="36"/>
  <c r="Z5392" i="36" s="1"/>
  <c r="P124" i="1" s="1"/>
  <c r="AC4810" i="36"/>
  <c r="AC5381" i="36"/>
  <c r="AC5387" i="36"/>
  <c r="AC5349" i="36"/>
  <c r="AC5332" i="36"/>
  <c r="AC5378" i="36"/>
  <c r="AC4645" i="36"/>
  <c r="AC738" i="36"/>
  <c r="AC5201" i="36"/>
  <c r="AB4968" i="36"/>
  <c r="Z4803" i="36"/>
  <c r="Z4804" i="36" s="1"/>
  <c r="AC2355" i="36"/>
  <c r="AC4865" i="36"/>
  <c r="AC4866" i="36"/>
  <c r="AC4842" i="36"/>
  <c r="AC4839" i="36"/>
  <c r="AC2853" i="36"/>
  <c r="AC4864" i="36"/>
  <c r="AC1016" i="36"/>
  <c r="AC4514" i="36"/>
  <c r="AC1606" i="36"/>
  <c r="AC1628" i="36"/>
  <c r="AC1604" i="36"/>
  <c r="AC4374" i="36"/>
  <c r="AC4352" i="36"/>
  <c r="AC2502" i="36"/>
  <c r="Z1337" i="36"/>
  <c r="Z1338" i="36" s="1"/>
  <c r="AC535" i="36"/>
  <c r="Z2415" i="36"/>
  <c r="Z2416" i="36" s="1"/>
  <c r="AC2416" i="36" s="1"/>
  <c r="AC3221" i="36"/>
  <c r="Z4852" i="36"/>
  <c r="Z4853" i="36" s="1"/>
  <c r="P111" i="1" s="1"/>
  <c r="AC4793" i="36"/>
  <c r="AC5523" i="36"/>
  <c r="AC3230" i="36"/>
  <c r="AC2750" i="36"/>
  <c r="AB4870" i="36"/>
  <c r="AC4851" i="36"/>
  <c r="AC4840" i="36"/>
  <c r="AC2609" i="36"/>
  <c r="Z2587" i="36"/>
  <c r="Z2588" i="36" s="1"/>
  <c r="O63" i="1" s="1"/>
  <c r="Z3863" i="36"/>
  <c r="Z3864" i="36" s="1"/>
  <c r="O91" i="1" s="1"/>
  <c r="AC239" i="36"/>
  <c r="Z2261" i="36"/>
  <c r="Z2262" i="36" s="1"/>
  <c r="Q54" i="1" s="1"/>
  <c r="AC2879" i="36"/>
  <c r="Z2905" i="36"/>
  <c r="Z2906" i="36" s="1"/>
  <c r="AC2906" i="36" s="1"/>
  <c r="AB3203" i="36"/>
  <c r="AC2897" i="36"/>
  <c r="AC3199" i="36"/>
  <c r="AC4163" i="36"/>
  <c r="AC2895" i="36"/>
  <c r="AB4184" i="36"/>
  <c r="AC5151" i="36"/>
  <c r="AB2689" i="36"/>
  <c r="AC2689" i="36" s="1"/>
  <c r="J503" i="35"/>
  <c r="K503" i="35" s="1"/>
  <c r="Q503" i="35" s="1"/>
  <c r="Z3143" i="36"/>
  <c r="Z3144" i="36" s="1"/>
  <c r="Q74" i="1" s="1"/>
  <c r="J821" i="35"/>
  <c r="K821" i="35" s="1"/>
  <c r="O821" i="35" s="1"/>
  <c r="J392" i="35"/>
  <c r="K392" i="35" s="1"/>
  <c r="O392" i="35" s="1"/>
  <c r="AC3232" i="36"/>
  <c r="AC1211" i="36"/>
  <c r="Z1036" i="36"/>
  <c r="Z1037" i="36" s="1"/>
  <c r="Q29" i="1" s="1"/>
  <c r="Z774" i="36"/>
  <c r="Z775" i="36" s="1"/>
  <c r="O24" i="1" s="1"/>
  <c r="AC3085" i="36"/>
  <c r="AC5636" i="36"/>
  <c r="AC4350" i="36"/>
  <c r="AC3435" i="36"/>
  <c r="AC2902" i="36"/>
  <c r="AC2395" i="36"/>
  <c r="AC1336" i="36"/>
  <c r="AB1905" i="36"/>
  <c r="AC1905" i="36" s="1"/>
  <c r="J752" i="35"/>
  <c r="K752" i="35" s="1"/>
  <c r="J647" i="35"/>
  <c r="K647" i="35" s="1"/>
  <c r="AB1709" i="36"/>
  <c r="AC1709" i="36" s="1"/>
  <c r="AB2398" i="36"/>
  <c r="AC2398" i="36" s="1"/>
  <c r="AC1900" i="36"/>
  <c r="AC770" i="36"/>
  <c r="AC5101" i="36"/>
  <c r="AC409" i="36"/>
  <c r="AC2403" i="36"/>
  <c r="AC3859" i="36"/>
  <c r="AC4663" i="36"/>
  <c r="J722" i="35"/>
  <c r="K722" i="35" s="1"/>
  <c r="O722" i="35" s="1"/>
  <c r="AC723" i="36"/>
  <c r="J668" i="35"/>
  <c r="K668" i="35" s="1"/>
  <c r="J388" i="35"/>
  <c r="K388" i="35" s="1"/>
  <c r="O388" i="35" s="1"/>
  <c r="AC1482" i="36"/>
  <c r="AC600" i="36"/>
  <c r="AC1089" i="36"/>
  <c r="AB899" i="36"/>
  <c r="AC2700" i="36"/>
  <c r="AC1121" i="36"/>
  <c r="AB1268" i="36"/>
  <c r="AC1268" i="36" s="1"/>
  <c r="AB680" i="36"/>
  <c r="AC680" i="36" s="1"/>
  <c r="AB876" i="36"/>
  <c r="AC876" i="36" s="1"/>
  <c r="AB5587" i="36"/>
  <c r="AC5587" i="36" s="1"/>
  <c r="J474" i="35"/>
  <c r="K474" i="35" s="1"/>
  <c r="AC2904" i="36"/>
  <c r="Z3339" i="36"/>
  <c r="Z3340" i="36" s="1"/>
  <c r="Q78" i="1" s="1"/>
  <c r="AC2903" i="36"/>
  <c r="AC2840" i="36"/>
  <c r="AC3034" i="36"/>
  <c r="AC2928" i="36"/>
  <c r="AC5133" i="36"/>
  <c r="AC5045" i="36"/>
  <c r="AC870" i="36"/>
  <c r="AC893" i="36"/>
  <c r="AC3919" i="36"/>
  <c r="AC4473" i="36"/>
  <c r="AC4033" i="36"/>
  <c r="AC1776" i="36"/>
  <c r="AC782" i="36"/>
  <c r="AC1285" i="36"/>
  <c r="AC1923" i="36"/>
  <c r="Z1901" i="36"/>
  <c r="Z1902" i="36" s="1"/>
  <c r="O47" i="1" s="1"/>
  <c r="AC1621" i="36"/>
  <c r="AC3091" i="36"/>
  <c r="AC1702" i="36"/>
  <c r="AC3423" i="36"/>
  <c r="Z3086" i="36"/>
  <c r="Z3087" i="36" s="1"/>
  <c r="P73" i="1" s="1"/>
  <c r="AB5921" i="36"/>
  <c r="AC5921" i="36" s="1"/>
  <c r="J531" i="35"/>
  <c r="K531" i="35" s="1"/>
  <c r="Z5892" i="36"/>
  <c r="Z5893" i="36" s="1"/>
  <c r="AC5893" i="36" s="1"/>
  <c r="AC3320" i="36"/>
  <c r="AC2756" i="36"/>
  <c r="AC5875" i="36"/>
  <c r="AC5876" i="36"/>
  <c r="AC5866" i="36"/>
  <c r="AB5872" i="36"/>
  <c r="AC5872" i="36" s="1"/>
  <c r="J530" i="35"/>
  <c r="K530" i="35" s="1"/>
  <c r="AC5891" i="36"/>
  <c r="AC5889" i="36"/>
  <c r="AC5867" i="36"/>
  <c r="Z5868" i="36"/>
  <c r="Z5869" i="36" s="1"/>
  <c r="O136" i="1" s="1"/>
  <c r="Z5885" i="36"/>
  <c r="Z5886" i="36" s="1"/>
  <c r="Q136" i="1" s="1"/>
  <c r="AC5883" i="36"/>
  <c r="AC2152" i="36"/>
  <c r="AC3141" i="36"/>
  <c r="AC5930" i="36"/>
  <c r="AC5933" i="36"/>
  <c r="AC5873" i="36"/>
  <c r="AC5874" i="36"/>
  <c r="AB5895" i="36"/>
  <c r="Z5934" i="36"/>
  <c r="Z5935" i="36" s="1"/>
  <c r="Q137" i="1" s="1"/>
  <c r="Z5877" i="36"/>
  <c r="Z5878" i="36" s="1"/>
  <c r="P136" i="1" s="1"/>
  <c r="AC5884" i="36"/>
  <c r="AC5939" i="36"/>
  <c r="AC5924" i="36"/>
  <c r="AC5864" i="36"/>
  <c r="AC5841" i="36"/>
  <c r="AC5842" i="36"/>
  <c r="AC5815" i="36"/>
  <c r="AC5827" i="36"/>
  <c r="Z5836" i="36"/>
  <c r="Z5837" i="36" s="1"/>
  <c r="Q135" i="1" s="1"/>
  <c r="AC5915" i="36"/>
  <c r="AC5938" i="36"/>
  <c r="AC3861" i="36"/>
  <c r="AB5944" i="36"/>
  <c r="Z5926" i="36"/>
  <c r="Z5927" i="36" s="1"/>
  <c r="P137" i="1" s="1"/>
  <c r="AC5914" i="36"/>
  <c r="AC4228" i="36"/>
  <c r="Z5917" i="36"/>
  <c r="Z5918" i="36" s="1"/>
  <c r="O137" i="1" s="1"/>
  <c r="Z5941" i="36"/>
  <c r="Z5942" i="36" s="1"/>
  <c r="AC5942" i="36" s="1"/>
  <c r="AC5940" i="36"/>
  <c r="AC5922" i="36"/>
  <c r="AC5890" i="36"/>
  <c r="AC5913" i="36"/>
  <c r="AC5931" i="36"/>
  <c r="Z5819" i="36"/>
  <c r="Z5820" i="36" s="1"/>
  <c r="O135" i="1" s="1"/>
  <c r="AC5918" i="36"/>
  <c r="R136" i="1"/>
  <c r="AC5834" i="36"/>
  <c r="AC5818" i="36"/>
  <c r="AC1367" i="36"/>
  <c r="AC5445" i="36"/>
  <c r="AC984" i="36"/>
  <c r="AC1565" i="36"/>
  <c r="AB4429" i="36"/>
  <c r="AC4263" i="36"/>
  <c r="AC771" i="36"/>
  <c r="AC722" i="36"/>
  <c r="AC1629" i="36"/>
  <c r="AC5621" i="36"/>
  <c r="AC1703" i="36"/>
  <c r="AC1311" i="36"/>
  <c r="AC1513" i="36"/>
  <c r="AC528" i="36"/>
  <c r="AC2396" i="36"/>
  <c r="AC3367" i="36"/>
  <c r="AC3387" i="36"/>
  <c r="AC3287" i="36"/>
  <c r="AC3286" i="36"/>
  <c r="AC247" i="36"/>
  <c r="AC264" i="36"/>
  <c r="AC4309" i="36"/>
  <c r="AB2222" i="36"/>
  <c r="AC4219" i="36"/>
  <c r="AC1819" i="36"/>
  <c r="AC2265" i="36"/>
  <c r="AC3233" i="36"/>
  <c r="Z3224" i="36"/>
  <c r="Z3225" i="36" s="1"/>
  <c r="O76" i="1" s="1"/>
  <c r="AC2896" i="36"/>
  <c r="AC3222" i="36"/>
  <c r="AC4222" i="36"/>
  <c r="AC3180" i="36"/>
  <c r="AC2218" i="36"/>
  <c r="AC3173" i="36"/>
  <c r="AC3189" i="36"/>
  <c r="AC3245" i="36"/>
  <c r="AC2878" i="36"/>
  <c r="Z3234" i="36"/>
  <c r="Z3235" i="36" s="1"/>
  <c r="P76" i="1" s="1"/>
  <c r="AC2845" i="36"/>
  <c r="AC2854" i="36"/>
  <c r="AC2855" i="36"/>
  <c r="AC919" i="36"/>
  <c r="AC2741" i="36"/>
  <c r="AC2732" i="36"/>
  <c r="AC4116" i="36"/>
  <c r="Z4117" i="36"/>
  <c r="Z4118" i="36" s="1"/>
  <c r="P96" i="1" s="1"/>
  <c r="AC4129" i="36"/>
  <c r="AC5833" i="36"/>
  <c r="Z5843" i="36"/>
  <c r="Z5844" i="36" s="1"/>
  <c r="AC5844" i="36" s="1"/>
  <c r="AC5823" i="36"/>
  <c r="AC5835" i="36"/>
  <c r="AC5816" i="36"/>
  <c r="AC2755" i="36"/>
  <c r="AB5846" i="36"/>
  <c r="AC5824" i="36"/>
  <c r="AC5826" i="36"/>
  <c r="AC3025" i="36"/>
  <c r="Z4720" i="36"/>
  <c r="Z4721" i="36" s="1"/>
  <c r="AC4711" i="36"/>
  <c r="AC3044" i="36"/>
  <c r="AC1084" i="36"/>
  <c r="AC1370" i="36"/>
  <c r="AB5066" i="36"/>
  <c r="AC5037" i="36"/>
  <c r="AC5044" i="36"/>
  <c r="AC584" i="36"/>
  <c r="AC5141" i="36"/>
  <c r="AC1972" i="36"/>
  <c r="AC1581" i="36"/>
  <c r="AC1554" i="36"/>
  <c r="AC4410" i="36"/>
  <c r="AC885" i="36"/>
  <c r="AC5570" i="36"/>
  <c r="AC4644" i="36"/>
  <c r="AC1221" i="36"/>
  <c r="AC5581" i="36"/>
  <c r="AC4009" i="36"/>
  <c r="AC3935" i="36"/>
  <c r="AC1760" i="36"/>
  <c r="AC5209" i="36"/>
  <c r="AC5111" i="36"/>
  <c r="AC5087" i="36"/>
  <c r="AC5250" i="36"/>
  <c r="Z3077" i="36"/>
  <c r="Z3078" i="36" s="1"/>
  <c r="O73" i="1" s="1"/>
  <c r="AC3073" i="36"/>
  <c r="AB5650" i="36"/>
  <c r="AC1326" i="36"/>
  <c r="AC1505" i="36"/>
  <c r="Z2351" i="36"/>
  <c r="Z2352" i="36" s="1"/>
  <c r="P56" i="1" s="1"/>
  <c r="AC2583" i="36"/>
  <c r="AC2601" i="36"/>
  <c r="AC1897" i="36"/>
  <c r="AC2846" i="36"/>
  <c r="AC4105" i="36"/>
  <c r="AC926" i="36"/>
  <c r="AC4131" i="36"/>
  <c r="AC4164" i="36"/>
  <c r="AC5817" i="36"/>
  <c r="AC5825" i="36"/>
  <c r="Z5828" i="36"/>
  <c r="Z5829" i="36" s="1"/>
  <c r="P135" i="1" s="1"/>
  <c r="AC5840" i="36"/>
  <c r="AC1409" i="36"/>
  <c r="AC1418" i="36"/>
  <c r="AC697" i="36"/>
  <c r="AC2779" i="36"/>
  <c r="AC869" i="36"/>
  <c r="AC936" i="36"/>
  <c r="Y99" i="36"/>
  <c r="AC2414" i="36"/>
  <c r="AC3884" i="36"/>
  <c r="AC3369" i="36"/>
  <c r="AC3296" i="36"/>
  <c r="AC3295" i="36"/>
  <c r="AB269" i="36"/>
  <c r="Z243" i="36"/>
  <c r="Z244" i="36" s="1"/>
  <c r="O11" i="1" s="1"/>
  <c r="AC4320" i="36"/>
  <c r="AC4211" i="36"/>
  <c r="AC2209" i="36"/>
  <c r="AC2240" i="36"/>
  <c r="AC2201" i="36"/>
  <c r="AC2243" i="36"/>
  <c r="AC3239" i="36"/>
  <c r="Z3248" i="36"/>
  <c r="Z3249" i="36" s="1"/>
  <c r="R76" i="1" s="1"/>
  <c r="AB4233" i="36"/>
  <c r="AC4758" i="36"/>
  <c r="AC2888" i="36"/>
  <c r="Z3200" i="36"/>
  <c r="Z3201" i="36" s="1"/>
  <c r="AC3201" i="36" s="1"/>
  <c r="AC4130" i="36"/>
  <c r="AB2761" i="36"/>
  <c r="AC920" i="36"/>
  <c r="Z2734" i="36"/>
  <c r="Z2735" i="36" s="1"/>
  <c r="O66" i="1" s="1"/>
  <c r="AC4121" i="36"/>
  <c r="Z4108" i="36"/>
  <c r="Z4109" i="36" s="1"/>
  <c r="O96" i="1" s="1"/>
  <c r="Z4166" i="36"/>
  <c r="Z4167" i="36" s="1"/>
  <c r="P97" i="1" s="1"/>
  <c r="AC4165" i="36"/>
  <c r="AC4516" i="36"/>
  <c r="AC3712" i="36"/>
  <c r="AB2591" i="36"/>
  <c r="AC2591" i="36" s="1"/>
  <c r="AC2024" i="36"/>
  <c r="AC536" i="36"/>
  <c r="AC1758" i="36"/>
  <c r="AB3277" i="36"/>
  <c r="AC3277" i="36" s="1"/>
  <c r="Z1509" i="36"/>
  <c r="Z1510" i="36" s="1"/>
  <c r="O39" i="1" s="1"/>
  <c r="AC4155" i="36"/>
  <c r="AC2071" i="36"/>
  <c r="AC1378" i="36"/>
  <c r="Z2792" i="36"/>
  <c r="Z2793" i="36" s="1"/>
  <c r="P67" i="1" s="1"/>
  <c r="AC1957" i="36"/>
  <c r="AC1572" i="36"/>
  <c r="AC295" i="36"/>
  <c r="AC5580" i="36"/>
  <c r="AC819" i="36"/>
  <c r="AC2096" i="36"/>
  <c r="AC2503" i="36"/>
  <c r="AC1866" i="36"/>
  <c r="AC1366" i="36"/>
  <c r="J626" i="35"/>
  <c r="K626" i="35" s="1"/>
  <c r="O626" i="35" s="1"/>
  <c r="AB974" i="36"/>
  <c r="AC974" i="36" s="1"/>
  <c r="AC5619" i="36"/>
  <c r="AB2493" i="36"/>
  <c r="AC2493" i="36" s="1"/>
  <c r="J866" i="35"/>
  <c r="K866" i="35" s="1"/>
  <c r="Q866" i="35" s="1"/>
  <c r="AC1851" i="36"/>
  <c r="AB1562" i="36"/>
  <c r="AC1562" i="36" s="1"/>
  <c r="Z676" i="36"/>
  <c r="Z677" i="36" s="1"/>
  <c r="O22" i="1" s="1"/>
  <c r="AC1122" i="36"/>
  <c r="AC1481" i="36"/>
  <c r="AC3024" i="36"/>
  <c r="AC2943" i="36"/>
  <c r="AC976" i="36"/>
  <c r="AC969" i="36"/>
  <c r="AC1376" i="36"/>
  <c r="AC5447" i="36"/>
  <c r="AC5453" i="36"/>
  <c r="AC5439" i="36"/>
  <c r="Z5048" i="36"/>
  <c r="Z5049" i="36" s="1"/>
  <c r="P117" i="1" s="1"/>
  <c r="AC1973" i="36"/>
  <c r="AC5429" i="36"/>
  <c r="Z979" i="36"/>
  <c r="Z980" i="36" s="1"/>
  <c r="P28" i="1" s="1"/>
  <c r="AC2462" i="36"/>
  <c r="AC5281" i="36"/>
  <c r="AC5676" i="36"/>
  <c r="AC200" i="36"/>
  <c r="Z4419" i="36"/>
  <c r="Z4420" i="36" s="1"/>
  <c r="Q102" i="1" s="1"/>
  <c r="AC3002" i="36"/>
  <c r="AC868" i="36"/>
  <c r="AC2987" i="36"/>
  <c r="AC4401" i="36"/>
  <c r="AC2537" i="36"/>
  <c r="Z2709" i="36"/>
  <c r="Z2710" i="36" s="1"/>
  <c r="AC2710" i="36" s="1"/>
  <c r="AC1026" i="36"/>
  <c r="Z5549" i="36"/>
  <c r="Z5550" i="36" s="1"/>
  <c r="AC5550" i="36" s="1"/>
  <c r="AC5533" i="36"/>
  <c r="Z3978" i="36"/>
  <c r="Z3979" i="36" s="1"/>
  <c r="Q93" i="1" s="1"/>
  <c r="Z4451" i="36"/>
  <c r="Z4452" i="36" s="1"/>
  <c r="O103" i="1" s="1"/>
  <c r="AC1271" i="36"/>
  <c r="Z1043" i="36"/>
  <c r="Z1044" i="36" s="1"/>
  <c r="R29" i="1" s="1"/>
  <c r="AC4008" i="36"/>
  <c r="AC4605" i="36"/>
  <c r="AC747" i="36"/>
  <c r="AC1915" i="36"/>
  <c r="AC2693" i="36"/>
  <c r="AC1277" i="36"/>
  <c r="Z1778" i="36"/>
  <c r="Z1779" i="36" s="1"/>
  <c r="AC1779" i="36" s="1"/>
  <c r="Z5186" i="36"/>
  <c r="Z5187" i="36" s="1"/>
  <c r="O120" i="1" s="1"/>
  <c r="AC830" i="36"/>
  <c r="Z5244" i="36"/>
  <c r="Z5245" i="36" s="1"/>
  <c r="P121" i="1" s="1"/>
  <c r="AC741" i="36"/>
  <c r="AC1727" i="36"/>
  <c r="AC3090" i="36"/>
  <c r="AC1719" i="36"/>
  <c r="AC5644" i="36"/>
  <c r="AC5622" i="36"/>
  <c r="Z1852" i="36"/>
  <c r="Z1853" i="36" s="1"/>
  <c r="O46" i="1" s="1"/>
  <c r="AC545" i="36"/>
  <c r="Z3880" i="36"/>
  <c r="Z3881" i="36" s="1"/>
  <c r="Q91" i="1" s="1"/>
  <c r="AC3294" i="36"/>
  <c r="Z1420" i="36"/>
  <c r="Z1421" i="36" s="1"/>
  <c r="P37" i="1" s="1"/>
  <c r="AC2144" i="36"/>
  <c r="AC2168" i="36"/>
  <c r="Z1469" i="36"/>
  <c r="Z1470" i="36" s="1"/>
  <c r="P38" i="1" s="1"/>
  <c r="AC5047" i="36"/>
  <c r="AC2455" i="36"/>
  <c r="Z5455" i="36"/>
  <c r="Z5456" i="36" s="1"/>
  <c r="AC5456" i="36" s="1"/>
  <c r="AC5038" i="36"/>
  <c r="AC2781" i="36"/>
  <c r="AC967" i="36"/>
  <c r="AC1670" i="36"/>
  <c r="AC585" i="36"/>
  <c r="AC5142" i="36"/>
  <c r="AC5145" i="36"/>
  <c r="AC1949" i="36"/>
  <c r="AB1977" i="36"/>
  <c r="AC5153" i="36"/>
  <c r="AC4406" i="36"/>
  <c r="AC4399" i="36"/>
  <c r="Z203" i="36"/>
  <c r="Z204" i="36" s="1"/>
  <c r="P10" i="1" s="1"/>
  <c r="AC4418" i="36"/>
  <c r="AC2986" i="36"/>
  <c r="AC2985" i="36"/>
  <c r="AC1042" i="36"/>
  <c r="AC1015" i="36"/>
  <c r="AC5548" i="36"/>
  <c r="AC3925" i="36"/>
  <c r="Z4460" i="36"/>
  <c r="Z4461" i="36" s="1"/>
  <c r="P103" i="1" s="1"/>
  <c r="AB4478" i="36"/>
  <c r="AB850" i="36"/>
  <c r="Z4647" i="36"/>
  <c r="Z4648" i="36" s="1"/>
  <c r="O107" i="1" s="1"/>
  <c r="AC4253" i="36"/>
  <c r="Z840" i="36"/>
  <c r="Z841" i="36" s="1"/>
  <c r="Q25" i="1" s="1"/>
  <c r="AC730" i="36"/>
  <c r="Z832" i="36"/>
  <c r="Z833" i="36" s="1"/>
  <c r="P25" i="1" s="1"/>
  <c r="Z1215" i="36"/>
  <c r="Z1216" i="36" s="1"/>
  <c r="O33" i="1" s="1"/>
  <c r="Z1910" i="36"/>
  <c r="Z1911" i="36" s="1"/>
  <c r="P47" i="1" s="1"/>
  <c r="Z4272" i="36"/>
  <c r="Z4273" i="36" s="1"/>
  <c r="Q99" i="1" s="1"/>
  <c r="AC1287" i="36"/>
  <c r="AB5115" i="36"/>
  <c r="AC1230" i="36"/>
  <c r="AC4262" i="36"/>
  <c r="AC5190" i="36"/>
  <c r="AC1721" i="36"/>
  <c r="AC1605" i="36"/>
  <c r="Z1607" i="36"/>
  <c r="Z1608" i="36" s="1"/>
  <c r="O41" i="1" s="1"/>
  <c r="Z1616" i="36"/>
  <c r="Z1617" i="36" s="1"/>
  <c r="P41" i="1" s="1"/>
  <c r="AC5628" i="36"/>
  <c r="AC1720" i="36"/>
  <c r="AB2124" i="36"/>
  <c r="Z4377" i="36"/>
  <c r="Z4378" i="36" s="1"/>
  <c r="AC4378" i="36" s="1"/>
  <c r="AC4358" i="36"/>
  <c r="AC4375" i="36"/>
  <c r="AC2485" i="36"/>
  <c r="AB3398" i="36"/>
  <c r="Z1526" i="36"/>
  <c r="Z1527" i="36" s="1"/>
  <c r="Q39" i="1" s="1"/>
  <c r="AC1532" i="36"/>
  <c r="AC2358" i="36"/>
  <c r="AC1335" i="36"/>
  <c r="AC1875" i="36"/>
  <c r="Z531" i="36"/>
  <c r="Z532" i="36" s="1"/>
  <c r="O19" i="1" s="1"/>
  <c r="AC2610" i="36"/>
  <c r="AC2603" i="36"/>
  <c r="AB3450" i="36"/>
  <c r="AC1328" i="36"/>
  <c r="AC1476" i="36"/>
  <c r="AC1279" i="36"/>
  <c r="AC4521" i="36"/>
  <c r="AC845" i="36"/>
  <c r="AC2093" i="36"/>
  <c r="AB347" i="36"/>
  <c r="AC347" i="36" s="1"/>
  <c r="J771" i="35"/>
  <c r="K771" i="35" s="1"/>
  <c r="AB346" i="36"/>
  <c r="AC346" i="36" s="1"/>
  <c r="J766" i="35"/>
  <c r="K766" i="35" s="1"/>
  <c r="AC537" i="36"/>
  <c r="J501" i="35"/>
  <c r="K501" i="35" s="1"/>
  <c r="O501" i="35" s="1"/>
  <c r="AC3181" i="36"/>
  <c r="AB3183" i="36"/>
  <c r="AC3183" i="36" s="1"/>
  <c r="J709" i="35"/>
  <c r="K709" i="35" s="1"/>
  <c r="Z1705" i="36"/>
  <c r="Z1706" i="36" s="1"/>
  <c r="O43" i="1" s="1"/>
  <c r="Z2538" i="36"/>
  <c r="Z2539" i="36" s="1"/>
  <c r="O62" i="1" s="1"/>
  <c r="AB4037" i="36"/>
  <c r="AC5258" i="36"/>
  <c r="AC1236" i="36"/>
  <c r="AC4523" i="36"/>
  <c r="Z3273" i="36"/>
  <c r="Z3274" i="36" s="1"/>
  <c r="O77" i="1" s="1"/>
  <c r="Z3416" i="36"/>
  <c r="Z3417" i="36" s="1"/>
  <c r="O80" i="1" s="1"/>
  <c r="AC4368" i="36"/>
  <c r="AB1879" i="36"/>
  <c r="AC2600" i="36"/>
  <c r="AB948" i="36"/>
  <c r="Z783" i="36"/>
  <c r="Z784" i="36" s="1"/>
  <c r="P24" i="1" s="1"/>
  <c r="Z5623" i="36"/>
  <c r="Z5624" i="36" s="1"/>
  <c r="O131" i="1" s="1"/>
  <c r="AB3081" i="36"/>
  <c r="AC3081" i="36" s="1"/>
  <c r="Z4264" i="36"/>
  <c r="Z4265" i="36" s="1"/>
  <c r="P99" i="1" s="1"/>
  <c r="Z266" i="36"/>
  <c r="Z267" i="36" s="1"/>
  <c r="AC267" i="36" s="1"/>
  <c r="AC2401" i="36"/>
  <c r="AC4376" i="36"/>
  <c r="J648" i="35"/>
  <c r="K648" i="35" s="1"/>
  <c r="O648" i="35" s="1"/>
  <c r="AB3424" i="36"/>
  <c r="AC3424" i="36" s="1"/>
  <c r="AB1072" i="36"/>
  <c r="AC1072" i="36" s="1"/>
  <c r="J713" i="35"/>
  <c r="K713" i="35" s="1"/>
  <c r="O713" i="35" s="1"/>
  <c r="AC5630" i="36"/>
  <c r="Z5431" i="36"/>
  <c r="Z5432" i="36" s="1"/>
  <c r="O127" i="1" s="1"/>
  <c r="Z5448" i="36"/>
  <c r="Z5449" i="36" s="1"/>
  <c r="Q127" i="1" s="1"/>
  <c r="AC2798" i="36"/>
  <c r="AC1971" i="36"/>
  <c r="AB1095" i="36"/>
  <c r="Z4426" i="36"/>
  <c r="Z4427" i="36" s="1"/>
  <c r="AC4427" i="36" s="1"/>
  <c r="Z881" i="36"/>
  <c r="Z882" i="36" s="1"/>
  <c r="P26" i="1" s="1"/>
  <c r="AC2707" i="36"/>
  <c r="AC5529" i="36"/>
  <c r="Z1019" i="36"/>
  <c r="Z1020" i="36" s="1"/>
  <c r="O29" i="1" s="1"/>
  <c r="Z5259" i="36"/>
  <c r="Z5260" i="36" s="1"/>
  <c r="AC5260" i="36" s="1"/>
  <c r="AB5601" i="36"/>
  <c r="Z4034" i="36"/>
  <c r="Z4035" i="36" s="1"/>
  <c r="AB5213" i="36"/>
  <c r="AC1622" i="36"/>
  <c r="AC5629" i="36"/>
  <c r="Z4958" i="36"/>
  <c r="Z4959" i="36" s="1"/>
  <c r="Q115" i="1" s="1"/>
  <c r="AB2516" i="36"/>
  <c r="Z1322" i="36"/>
  <c r="Z1323" i="36" s="1"/>
  <c r="P35" i="1" s="1"/>
  <c r="Z1533" i="36"/>
  <c r="Z1534" i="36" s="1"/>
  <c r="AC1534" i="36" s="1"/>
  <c r="AC1531" i="36"/>
  <c r="AC546" i="36"/>
  <c r="AB2418" i="36"/>
  <c r="AC2595" i="36"/>
  <c r="Z3872" i="36"/>
  <c r="Z3873" i="36" s="1"/>
  <c r="P91" i="1" s="1"/>
  <c r="Z3388" i="36"/>
  <c r="Z3389" i="36" s="1"/>
  <c r="Q79" i="1" s="1"/>
  <c r="AC3272" i="36"/>
  <c r="AC3270" i="36"/>
  <c r="Z725" i="36"/>
  <c r="Z726" i="36" s="1"/>
  <c r="O23" i="1" s="1"/>
  <c r="AC250" i="36"/>
  <c r="AC1726" i="36"/>
  <c r="Z1925" i="36"/>
  <c r="Z1926" i="36" s="1"/>
  <c r="AC1926" i="36" s="1"/>
  <c r="Z1803" i="36"/>
  <c r="Z1804" i="36" s="1"/>
  <c r="O45" i="1" s="1"/>
  <c r="AC838" i="36"/>
  <c r="Z4762" i="36"/>
  <c r="Z4763" i="36" s="1"/>
  <c r="Q109" i="1" s="1"/>
  <c r="AB2859" i="36"/>
  <c r="AC1810" i="36"/>
  <c r="AB2908" i="36"/>
  <c r="AC934" i="36"/>
  <c r="AC242" i="36"/>
  <c r="AC2739" i="36"/>
  <c r="AC259" i="36"/>
  <c r="AC1237" i="36"/>
  <c r="AC3965" i="36"/>
  <c r="AB4504" i="36"/>
  <c r="AC4504" i="36" s="1"/>
  <c r="J464" i="35"/>
  <c r="K464" i="35" s="1"/>
  <c r="O464" i="35" s="1"/>
  <c r="J611" i="35"/>
  <c r="K611" i="35" s="1"/>
  <c r="O611" i="35" s="1"/>
  <c r="AB778" i="36"/>
  <c r="AC778" i="36" s="1"/>
  <c r="Z2268" i="36"/>
  <c r="Z2269" i="36" s="1"/>
  <c r="AC2269" i="36" s="1"/>
  <c r="AC2266" i="36"/>
  <c r="AC4202" i="36"/>
  <c r="AC3223" i="36"/>
  <c r="Z921" i="36"/>
  <c r="Z922" i="36" s="1"/>
  <c r="O27" i="1" s="1"/>
  <c r="AC4113" i="36"/>
  <c r="AC4423" i="36"/>
  <c r="AC4954" i="36"/>
  <c r="Z5146" i="36"/>
  <c r="Z5147" i="36" s="1"/>
  <c r="P119" i="1" s="1"/>
  <c r="AC3384" i="36"/>
  <c r="AC3032" i="36"/>
  <c r="J815" i="35"/>
  <c r="K815" i="35" s="1"/>
  <c r="Q815" i="35" s="1"/>
  <c r="AB1954" i="36"/>
  <c r="AC1954" i="36" s="1"/>
  <c r="J634" i="35"/>
  <c r="K634" i="35" s="1"/>
  <c r="AB1415" i="36"/>
  <c r="AC1415" i="36" s="1"/>
  <c r="AB4455" i="36"/>
  <c r="AC4455" i="36" s="1"/>
  <c r="AC2857" i="36"/>
  <c r="J661" i="35"/>
  <c r="K661" i="35" s="1"/>
  <c r="O661" i="35" s="1"/>
  <c r="AB2787" i="36"/>
  <c r="AC2787" i="36" s="1"/>
  <c r="AC4948" i="36"/>
  <c r="AC3099" i="36"/>
  <c r="J638" i="35"/>
  <c r="K638" i="35" s="1"/>
  <c r="O638" i="35" s="1"/>
  <c r="AB1317" i="36"/>
  <c r="AC1317" i="36" s="1"/>
  <c r="J623" i="35"/>
  <c r="K623" i="35" s="1"/>
  <c r="O623" i="35" s="1"/>
  <c r="J765" i="35"/>
  <c r="K765" i="35" s="1"/>
  <c r="AC2747" i="36"/>
  <c r="J858" i="35"/>
  <c r="K858" i="35" s="1"/>
  <c r="AB3420" i="36"/>
  <c r="AC3420" i="36" s="1"/>
  <c r="J782" i="35"/>
  <c r="K782" i="35" s="1"/>
  <c r="Q782" i="35" s="1"/>
  <c r="AC3436" i="36"/>
  <c r="AC3228" i="36"/>
  <c r="AC2400" i="36"/>
  <c r="AB3375" i="36"/>
  <c r="AC3375" i="36" s="1"/>
  <c r="AC4259" i="36"/>
  <c r="AC1807" i="36"/>
  <c r="AC5202" i="36"/>
  <c r="Z2146" i="36"/>
  <c r="Z2147" i="36" s="1"/>
  <c r="O52" i="1" s="1"/>
  <c r="Z2170" i="36"/>
  <c r="Z2171" i="36" s="1"/>
  <c r="AC2559" i="36"/>
  <c r="AB1144" i="36"/>
  <c r="AC1458" i="36"/>
  <c r="AC1963" i="36"/>
  <c r="AC1358" i="36"/>
  <c r="Z5284" i="36"/>
  <c r="Z5285" i="36" s="1"/>
  <c r="O122" i="1" s="1"/>
  <c r="AC1384" i="36"/>
  <c r="AC5446" i="36"/>
  <c r="AC5060" i="36"/>
  <c r="Z1068" i="36"/>
  <c r="Z1069" i="36" s="1"/>
  <c r="O30" i="1" s="1"/>
  <c r="Z5293" i="36"/>
  <c r="Z5294" i="36" s="1"/>
  <c r="P122" i="1" s="1"/>
  <c r="Z2800" i="36"/>
  <c r="Z2801" i="36" s="1"/>
  <c r="Q67" i="1" s="1"/>
  <c r="AC5136" i="36"/>
  <c r="AC1966" i="36"/>
  <c r="AC1066" i="36"/>
  <c r="AB5311" i="36"/>
  <c r="Z5301" i="36"/>
  <c r="Z5302" i="36" s="1"/>
  <c r="Q122" i="1" s="1"/>
  <c r="Z2449" i="36"/>
  <c r="Z2450" i="36" s="1"/>
  <c r="P60" i="1" s="1"/>
  <c r="AC1566" i="36"/>
  <c r="Z1575" i="36"/>
  <c r="Z1576" i="36" s="1"/>
  <c r="Q40" i="1" s="1"/>
  <c r="Z1558" i="36"/>
  <c r="Z1559" i="36" s="1"/>
  <c r="O40" i="1" s="1"/>
  <c r="Z2988" i="36"/>
  <c r="Z2989" i="36" s="1"/>
  <c r="P71" i="1" s="1"/>
  <c r="AC888" i="36"/>
  <c r="Z3961" i="36"/>
  <c r="Z3962" i="36" s="1"/>
  <c r="O93" i="1" s="1"/>
  <c r="AB3939" i="36"/>
  <c r="Z3936" i="36"/>
  <c r="Z3937" i="36" s="1"/>
  <c r="AC3937" i="36" s="1"/>
  <c r="Z2694" i="36"/>
  <c r="Z2695" i="36" s="1"/>
  <c r="P65" i="1" s="1"/>
  <c r="AC5578" i="36"/>
  <c r="Z5525" i="36"/>
  <c r="Z5526" i="36" s="1"/>
  <c r="O129" i="1" s="1"/>
  <c r="Z1264" i="36"/>
  <c r="Z1265" i="36" s="1"/>
  <c r="O34" i="1" s="1"/>
  <c r="AC1262" i="36"/>
  <c r="Z5105" i="36"/>
  <c r="Z5106" i="36" s="1"/>
  <c r="Q118" i="1" s="1"/>
  <c r="AC5092" i="36"/>
  <c r="Z1232" i="36"/>
  <c r="Z1233" i="36" s="1"/>
  <c r="Q33" i="1" s="1"/>
  <c r="AC4522" i="36"/>
  <c r="AB5552" i="36"/>
  <c r="AC4016" i="36"/>
  <c r="AB1242" i="36"/>
  <c r="Z4475" i="36"/>
  <c r="Z4476" i="36" s="1"/>
  <c r="AC4476" i="36" s="1"/>
  <c r="Z1722" i="36"/>
  <c r="Z1723" i="36" s="1"/>
  <c r="Q43" i="1" s="1"/>
  <c r="Z5632" i="36"/>
  <c r="Z5633" i="36" s="1"/>
  <c r="P131" i="1" s="1"/>
  <c r="AB3104" i="36"/>
  <c r="Z5640" i="36"/>
  <c r="Z5641" i="36" s="1"/>
  <c r="Q131" i="1" s="1"/>
  <c r="AC4957" i="36"/>
  <c r="AB1732" i="36"/>
  <c r="AC4366" i="36"/>
  <c r="AB2369" i="36"/>
  <c r="Z4353" i="36"/>
  <c r="Z4354" i="36" s="1"/>
  <c r="O101" i="1" s="1"/>
  <c r="AC2495" i="36"/>
  <c r="Z2513" i="36"/>
  <c r="Z2514" i="36" s="1"/>
  <c r="AC2514" i="36" s="1"/>
  <c r="AB1340" i="36"/>
  <c r="Z1518" i="36"/>
  <c r="Z1519" i="36" s="1"/>
  <c r="P39" i="1" s="1"/>
  <c r="AC2339" i="36"/>
  <c r="Z2404" i="36"/>
  <c r="Z2405" i="36" s="1"/>
  <c r="P57" i="1" s="1"/>
  <c r="Z1869" i="36"/>
  <c r="Z1870" i="36" s="1"/>
  <c r="Q46" i="1" s="1"/>
  <c r="AC547" i="36"/>
  <c r="Z548" i="36"/>
  <c r="Z549" i="36" s="1"/>
  <c r="Q19" i="1" s="1"/>
  <c r="Z2611" i="36"/>
  <c r="Z2612" i="36" s="1"/>
  <c r="AC2612" i="36" s="1"/>
  <c r="Z3395" i="36"/>
  <c r="Z3396" i="36" s="1"/>
  <c r="AC3396" i="36" s="1"/>
  <c r="Z3380" i="36"/>
  <c r="Z3381" i="36" s="1"/>
  <c r="P79" i="1" s="1"/>
  <c r="Z3282" i="36"/>
  <c r="Z3283" i="36" s="1"/>
  <c r="P77" i="1" s="1"/>
  <c r="AC248" i="36"/>
  <c r="AC249" i="36"/>
  <c r="AC4025" i="36"/>
  <c r="AC4303" i="36"/>
  <c r="AC4300" i="36"/>
  <c r="Z4328" i="36"/>
  <c r="Z4329" i="36" s="1"/>
  <c r="R100" i="1" s="1"/>
  <c r="Z2204" i="36"/>
  <c r="Z2205" i="36" s="1"/>
  <c r="P53" i="1" s="1"/>
  <c r="AC1826" i="36"/>
  <c r="AC2252" i="36"/>
  <c r="Z4206" i="36"/>
  <c r="Z4207" i="36" s="1"/>
  <c r="O98" i="1" s="1"/>
  <c r="AC3238" i="36"/>
  <c r="AB3251" i="36"/>
  <c r="AC2877" i="36"/>
  <c r="Z3185" i="36"/>
  <c r="Z3186" i="36" s="1"/>
  <c r="P75" i="1" s="1"/>
  <c r="Z1812" i="36"/>
  <c r="Z1813" i="36" s="1"/>
  <c r="P45" i="1" s="1"/>
  <c r="Z3175" i="36"/>
  <c r="Z3176" i="36" s="1"/>
  <c r="O75" i="1" s="1"/>
  <c r="Z2898" i="36"/>
  <c r="Z2899" i="36" s="1"/>
  <c r="Q69" i="1" s="1"/>
  <c r="AC918" i="36"/>
  <c r="AC265" i="36"/>
  <c r="AB4135" i="36"/>
  <c r="AC2553" i="36"/>
  <c r="AC689" i="36"/>
  <c r="AB1487" i="36"/>
  <c r="AC3033" i="36"/>
  <c r="Z5154" i="36"/>
  <c r="Z5155" i="36" s="1"/>
  <c r="Q119" i="1" s="1"/>
  <c r="J475" i="35"/>
  <c r="K475" i="35" s="1"/>
  <c r="O475" i="35" s="1"/>
  <c r="Z1967" i="36"/>
  <c r="Z1968" i="36" s="1"/>
  <c r="Q48" i="1" s="1"/>
  <c r="Z1411" i="36"/>
  <c r="Z1412" i="36" s="1"/>
  <c r="O37" i="1" s="1"/>
  <c r="AB2542" i="36"/>
  <c r="AC2542" i="36" s="1"/>
  <c r="AB1464" i="36"/>
  <c r="AC1464" i="36" s="1"/>
  <c r="AC4424" i="36"/>
  <c r="AB3006" i="36"/>
  <c r="Z847" i="36"/>
  <c r="Z848" i="36" s="1"/>
  <c r="AC848" i="36" s="1"/>
  <c r="AB1536" i="36"/>
  <c r="Z4215" i="36"/>
  <c r="Z4216" i="36" s="1"/>
  <c r="P98" i="1" s="1"/>
  <c r="AC2545" i="36"/>
  <c r="Z1085" i="36"/>
  <c r="Z1086" i="36" s="1"/>
  <c r="Q30" i="1" s="1"/>
  <c r="AC626" i="36"/>
  <c r="Z627" i="36"/>
  <c r="Z628" i="36" s="1"/>
  <c r="O21" i="1" s="1"/>
  <c r="Z685" i="36"/>
  <c r="Z686" i="36" s="1"/>
  <c r="P22" i="1" s="1"/>
  <c r="AC2552" i="36"/>
  <c r="AC683" i="36"/>
  <c r="Z1117" i="36"/>
  <c r="Z1118" i="36" s="1"/>
  <c r="O31" i="1" s="1"/>
  <c r="Z2930" i="36"/>
  <c r="Z2931" i="36" s="1"/>
  <c r="O70" i="1" s="1"/>
  <c r="AC1124" i="36"/>
  <c r="AC1456" i="36"/>
  <c r="Z4713" i="36"/>
  <c r="Z4714" i="36" s="1"/>
  <c r="Q108" i="1" s="1"/>
  <c r="Z2939" i="36"/>
  <c r="Z2940" i="36" s="1"/>
  <c r="P70" i="1" s="1"/>
  <c r="Z1126" i="36"/>
  <c r="Z1127" i="36" s="1"/>
  <c r="P31" i="1" s="1"/>
  <c r="AC1162" i="36"/>
  <c r="AC1467" i="36"/>
  <c r="P55" i="1"/>
  <c r="AC2303" i="36"/>
  <c r="AB3055" i="36"/>
  <c r="Z579" i="36"/>
  <c r="Z580" i="36" s="1"/>
  <c r="O20" i="1" s="1"/>
  <c r="Z5137" i="36"/>
  <c r="Z5138" i="36" s="1"/>
  <c r="O119" i="1" s="1"/>
  <c r="AC1956" i="36"/>
  <c r="AB2467" i="36"/>
  <c r="Z4411" i="36"/>
  <c r="Z4412" i="36" s="1"/>
  <c r="P102" i="1" s="1"/>
  <c r="Z1028" i="36"/>
  <c r="Z1029" i="36" s="1"/>
  <c r="P29" i="1" s="1"/>
  <c r="Z3970" i="36"/>
  <c r="Z3971" i="36" s="1"/>
  <c r="P93" i="1" s="1"/>
  <c r="AB4651" i="36"/>
  <c r="AC4651" i="36" s="1"/>
  <c r="J462" i="35"/>
  <c r="K462" i="35" s="1"/>
  <c r="Q462" i="35" s="1"/>
  <c r="AC789" i="36"/>
  <c r="Z5088" i="36"/>
  <c r="Z5089" i="36" s="1"/>
  <c r="O118" i="1" s="1"/>
  <c r="AC4450" i="36"/>
  <c r="Z3921" i="36"/>
  <c r="Z3922" i="36" s="1"/>
  <c r="P92" i="1" s="1"/>
  <c r="Z1624" i="36"/>
  <c r="Z1625" i="36" s="1"/>
  <c r="Q41" i="1" s="1"/>
  <c r="AB1634" i="36"/>
  <c r="AB5627" i="36"/>
  <c r="AC5627" i="36" s="1"/>
  <c r="J318" i="35"/>
  <c r="K318" i="35" s="1"/>
  <c r="Q318" i="35" s="1"/>
  <c r="Z4950" i="36"/>
  <c r="Z4951" i="36" s="1"/>
  <c r="P115" i="1" s="1"/>
  <c r="AC4949" i="36"/>
  <c r="AB3434" i="36"/>
  <c r="AC3434" i="36" s="1"/>
  <c r="J778" i="35"/>
  <c r="K778" i="35" s="1"/>
  <c r="Q778" i="35" s="1"/>
  <c r="Z2547" i="36"/>
  <c r="Z2548" i="36" s="1"/>
  <c r="P62" i="1" s="1"/>
  <c r="AC2551" i="36"/>
  <c r="Z1477" i="36"/>
  <c r="Z1478" i="36" s="1"/>
  <c r="Q38" i="1" s="1"/>
  <c r="AC4695" i="36"/>
  <c r="J865" i="35"/>
  <c r="K865" i="35" s="1"/>
  <c r="O865" i="35" s="1"/>
  <c r="AB2444" i="36"/>
  <c r="AC2444" i="36" s="1"/>
  <c r="Z1362" i="36"/>
  <c r="Z1363" i="36" s="1"/>
  <c r="O36" i="1" s="1"/>
  <c r="Z1582" i="36"/>
  <c r="Z1583" i="36" s="1"/>
  <c r="AC1583" i="36" s="1"/>
  <c r="J624" i="35"/>
  <c r="K624" i="35" s="1"/>
  <c r="Q624" i="35" s="1"/>
  <c r="AC4415" i="36"/>
  <c r="AC4409" i="36"/>
  <c r="Z1371" i="36"/>
  <c r="Z1372" i="36" s="1"/>
  <c r="P36" i="1" s="1"/>
  <c r="AC681" i="36"/>
  <c r="AC2983" i="36"/>
  <c r="AC3278" i="36"/>
  <c r="Z4125" i="36"/>
  <c r="Z4126" i="36" s="1"/>
  <c r="Q96" i="1" s="1"/>
  <c r="AC2738" i="36"/>
  <c r="Z1141" i="36"/>
  <c r="Z1142" i="36" s="1"/>
  <c r="R31" i="1" s="1"/>
  <c r="AC3198" i="36"/>
  <c r="Z994" i="36"/>
  <c r="Z995" i="36" s="1"/>
  <c r="AC995" i="36" s="1"/>
  <c r="Z308" i="36"/>
  <c r="Z309" i="36" s="1"/>
  <c r="Q12" i="1" s="1"/>
  <c r="Z4019" i="36"/>
  <c r="Z4020" i="36" s="1"/>
  <c r="AC4020" i="36" s="1"/>
  <c r="Z4622" i="36"/>
  <c r="Z4623" i="36" s="1"/>
  <c r="AC4623" i="36" s="1"/>
  <c r="Z2489" i="36"/>
  <c r="Z2490" i="36" s="1"/>
  <c r="O61" i="1" s="1"/>
  <c r="AB2394" i="36"/>
  <c r="AC2394" i="36" s="1"/>
  <c r="AC4161" i="36"/>
  <c r="Z2881" i="36"/>
  <c r="Z2882" i="36" s="1"/>
  <c r="O69" i="1" s="1"/>
  <c r="Z938" i="36"/>
  <c r="Z939" i="36" s="1"/>
  <c r="Q27" i="1" s="1"/>
  <c r="AB3988" i="36"/>
  <c r="AC3958" i="36"/>
  <c r="AC5242" i="36"/>
  <c r="Z4468" i="36"/>
  <c r="Z4469" i="36" s="1"/>
  <c r="Q103" i="1" s="1"/>
  <c r="AC3074" i="36"/>
  <c r="Z2121" i="36"/>
  <c r="Z2122" i="36" s="1"/>
  <c r="R51" i="1" s="1"/>
  <c r="AC1801" i="36"/>
  <c r="AC4024" i="36"/>
  <c r="Z5039" i="36"/>
  <c r="Z5040" i="36" s="1"/>
  <c r="O117" i="1" s="1"/>
  <c r="Z1959" i="36"/>
  <c r="Z1960" i="36" s="1"/>
  <c r="P48" i="1" s="1"/>
  <c r="Z1386" i="36"/>
  <c r="Z1387" i="36" s="1"/>
  <c r="R36" i="1" s="1"/>
  <c r="AC288" i="36"/>
  <c r="AC1965" i="36"/>
  <c r="AC1653" i="36"/>
  <c r="AC879" i="36"/>
  <c r="AC1023" i="36"/>
  <c r="AC5571" i="36"/>
  <c r="Z5574" i="36"/>
  <c r="Z5575" i="36" s="1"/>
  <c r="O130" i="1" s="1"/>
  <c r="AC5233" i="36"/>
  <c r="Z1273" i="36"/>
  <c r="Z1274" i="36" s="1"/>
  <c r="P34" i="1" s="1"/>
  <c r="AC5531" i="36"/>
  <c r="AC1272" i="36"/>
  <c r="AC1432" i="36"/>
  <c r="Z1428" i="36"/>
  <c r="Z1429" i="36" s="1"/>
  <c r="Q37" i="1" s="1"/>
  <c r="AC5241" i="36"/>
  <c r="AC643" i="36"/>
  <c r="AC2504" i="36"/>
  <c r="AC1865" i="36"/>
  <c r="AB3867" i="36"/>
  <c r="AC3867" i="36" s="1"/>
  <c r="J472" i="35"/>
  <c r="K472" i="35" s="1"/>
  <c r="O472" i="35" s="1"/>
  <c r="AB3433" i="36"/>
  <c r="AC3433" i="36" s="1"/>
  <c r="J712" i="35"/>
  <c r="K712" i="35" s="1"/>
  <c r="O712" i="35" s="1"/>
  <c r="J393" i="35"/>
  <c r="K393" i="35" s="1"/>
  <c r="Q393" i="35" s="1"/>
  <c r="AB3430" i="36"/>
  <c r="AC3430" i="36" s="1"/>
  <c r="AC2103" i="36"/>
  <c r="AC257" i="36"/>
  <c r="AB4331" i="36"/>
  <c r="Z4321" i="36"/>
  <c r="Z4322" i="36" s="1"/>
  <c r="Q100" i="1" s="1"/>
  <c r="AC2217" i="36"/>
  <c r="Z2219" i="36"/>
  <c r="Z2220" i="36" s="1"/>
  <c r="AB1830" i="36"/>
  <c r="Z1820" i="36"/>
  <c r="Z1821" i="36" s="1"/>
  <c r="Q45" i="1" s="1"/>
  <c r="AC1818" i="36"/>
  <c r="AC3191" i="36"/>
  <c r="Z3193" i="36"/>
  <c r="Z3194" i="36" s="1"/>
  <c r="Q75" i="1" s="1"/>
  <c r="Z2253" i="36"/>
  <c r="Z2254" i="36" s="1"/>
  <c r="P54" i="1" s="1"/>
  <c r="AC3240" i="36"/>
  <c r="Z3241" i="36"/>
  <c r="Z3242" i="36" s="1"/>
  <c r="Q76" i="1" s="1"/>
  <c r="AB2885" i="36"/>
  <c r="AC2885" i="36" s="1"/>
  <c r="J665" i="35"/>
  <c r="K665" i="35" s="1"/>
  <c r="Q665" i="35" s="1"/>
  <c r="AC2831" i="36"/>
  <c r="J810" i="35"/>
  <c r="K810" i="35" s="1"/>
  <c r="O810" i="35" s="1"/>
  <c r="AB3184" i="36"/>
  <c r="AC3184" i="36" s="1"/>
  <c r="AB3179" i="36"/>
  <c r="AC3179" i="36" s="1"/>
  <c r="J807" i="35"/>
  <c r="K807" i="35" s="1"/>
  <c r="Q807" i="35" s="1"/>
  <c r="Z2743" i="36"/>
  <c r="Z2744" i="36" s="1"/>
  <c r="P66" i="1" s="1"/>
  <c r="AC2740" i="36"/>
  <c r="Z1567" i="36"/>
  <c r="Z1568" i="36" s="1"/>
  <c r="P40" i="1" s="1"/>
  <c r="AB4602" i="36"/>
  <c r="AC4602" i="36" s="1"/>
  <c r="J482" i="35"/>
  <c r="K482" i="35" s="1"/>
  <c r="O482" i="35" s="1"/>
  <c r="AB5239" i="36"/>
  <c r="AC5239" i="36" s="1"/>
  <c r="J466" i="35"/>
  <c r="K466" i="35" s="1"/>
  <c r="Q466" i="35" s="1"/>
  <c r="AB1046" i="36"/>
  <c r="AC1212" i="36"/>
  <c r="AB1908" i="36"/>
  <c r="AC1908" i="36" s="1"/>
  <c r="J863" i="35"/>
  <c r="K863" i="35" s="1"/>
  <c r="O863" i="35" s="1"/>
  <c r="AC731" i="36"/>
  <c r="Z2685" i="36"/>
  <c r="Z2686" i="36" s="1"/>
  <c r="O65" i="1" s="1"/>
  <c r="AB2392" i="36"/>
  <c r="AC2392" i="36" s="1"/>
  <c r="AC3247" i="36"/>
  <c r="AC552" i="36"/>
  <c r="J861" i="35"/>
  <c r="K861" i="35" s="1"/>
  <c r="O861" i="35" s="1"/>
  <c r="Z2212" i="36"/>
  <c r="Z2213" i="36" s="1"/>
  <c r="Q53" i="1" s="1"/>
  <c r="Z4132" i="36"/>
  <c r="Z4133" i="36" s="1"/>
  <c r="R96" i="1" s="1"/>
  <c r="AB648" i="36"/>
  <c r="AC648" i="36" s="1"/>
  <c r="J225" i="35"/>
  <c r="K225" i="35" s="1"/>
  <c r="Q225" i="35" s="1"/>
  <c r="AC3182" i="36"/>
  <c r="AC773" i="36"/>
  <c r="AC781" i="36"/>
  <c r="AC2346" i="36"/>
  <c r="AC2397" i="36"/>
  <c r="AC355" i="36"/>
  <c r="AC3976" i="36"/>
  <c r="AC5104" i="36"/>
  <c r="AC1811" i="36"/>
  <c r="AC2837" i="36"/>
  <c r="AC2830" i="36"/>
  <c r="AC4302" i="36"/>
  <c r="AC4318" i="36"/>
  <c r="AC4213" i="36"/>
  <c r="AC4210" i="36"/>
  <c r="Z4745" i="36"/>
  <c r="Z4746" i="36" s="1"/>
  <c r="O109" i="1" s="1"/>
  <c r="AC1677" i="36"/>
  <c r="AC5454" i="36"/>
  <c r="AC1179" i="36"/>
  <c r="AC1958" i="36"/>
  <c r="AC5300" i="36"/>
  <c r="AC1678" i="36"/>
  <c r="AC5290" i="36"/>
  <c r="AC592" i="36"/>
  <c r="AC5680" i="36"/>
  <c r="Z2849" i="36"/>
  <c r="Z2850" i="36" s="1"/>
  <c r="Q68" i="1" s="1"/>
  <c r="AC2733" i="36"/>
  <c r="AC4203" i="36"/>
  <c r="AC2203" i="36"/>
  <c r="Z2758" i="36"/>
  <c r="Z2759" i="36" s="1"/>
  <c r="R66" i="1" s="1"/>
  <c r="AC692" i="36"/>
  <c r="AC992" i="36"/>
  <c r="AC5670" i="36"/>
  <c r="AC5546" i="36"/>
  <c r="AC1924" i="36"/>
  <c r="AC1767" i="36"/>
  <c r="AC1728" i="36"/>
  <c r="AC5086" i="36"/>
  <c r="J862" i="35"/>
  <c r="K862" i="35" s="1"/>
  <c r="O862" i="35" s="1"/>
  <c r="AC5199" i="36"/>
  <c r="AC4515" i="36"/>
  <c r="AC2742" i="36"/>
  <c r="AC2828" i="36"/>
  <c r="AC4311" i="36"/>
  <c r="AC4327" i="36"/>
  <c r="AC4301" i="36"/>
  <c r="AC4312" i="36"/>
  <c r="AC2193" i="36"/>
  <c r="AC2257" i="36"/>
  <c r="AC2194" i="36"/>
  <c r="AC2200" i="36"/>
  <c r="Z1239" i="36"/>
  <c r="Z1240" i="36" s="1"/>
  <c r="AC1240" i="36" s="1"/>
  <c r="AC1768" i="36"/>
  <c r="AC917" i="36"/>
  <c r="AC846" i="36"/>
  <c r="Z742" i="36"/>
  <c r="Z743" i="36" s="1"/>
  <c r="Q23" i="1" s="1"/>
  <c r="AC4325" i="36"/>
  <c r="Z4313" i="36"/>
  <c r="Z4314" i="36" s="1"/>
  <c r="P100" i="1" s="1"/>
  <c r="AC4310" i="36"/>
  <c r="AC2216" i="36"/>
  <c r="Z2244" i="36"/>
  <c r="Z2245" i="36" s="1"/>
  <c r="O54" i="1" s="1"/>
  <c r="Z2195" i="36"/>
  <c r="Z2196" i="36" s="1"/>
  <c r="AC1800" i="36"/>
  <c r="AC2258" i="36"/>
  <c r="AC2260" i="36"/>
  <c r="AB2271" i="36"/>
  <c r="Z2890" i="36"/>
  <c r="Z2891" i="36" s="1"/>
  <c r="AC2891" i="36" s="1"/>
  <c r="AC3934" i="36"/>
  <c r="AC4614" i="36"/>
  <c r="AC5207" i="36"/>
  <c r="AC1769" i="36"/>
  <c r="AC3982" i="36"/>
  <c r="Z4965" i="36"/>
  <c r="Z4966" i="36" s="1"/>
  <c r="AC4966" i="36" s="1"/>
  <c r="AC733" i="36"/>
  <c r="AC3172" i="36"/>
  <c r="AC2248" i="36"/>
  <c r="AC4753" i="36"/>
  <c r="AC1906" i="36"/>
  <c r="AC4023" i="36"/>
  <c r="AC1165" i="36"/>
  <c r="AC601" i="36"/>
  <c r="AC3933" i="36"/>
  <c r="Z1175" i="36"/>
  <c r="Z1176" i="36" s="1"/>
  <c r="P32" i="1" s="1"/>
  <c r="AC1171" i="36"/>
  <c r="AC675" i="36"/>
  <c r="AC5280" i="36"/>
  <c r="AC1360" i="36"/>
  <c r="AC1361" i="36"/>
  <c r="AC5289" i="36"/>
  <c r="AC797" i="36"/>
  <c r="AC2848" i="36"/>
  <c r="AC1816" i="36"/>
  <c r="AC3197" i="36"/>
  <c r="AC1173" i="36"/>
  <c r="AC4072" i="36"/>
  <c r="AC1174" i="36"/>
  <c r="AC4704" i="36"/>
  <c r="AC2439" i="36"/>
  <c r="AC1075" i="36"/>
  <c r="AC1580" i="36"/>
  <c r="AC201" i="36"/>
  <c r="AC2977" i="36"/>
  <c r="AC1035" i="36"/>
  <c r="AC3908" i="36"/>
  <c r="AC4449" i="36"/>
  <c r="AB5262" i="36"/>
  <c r="AC4621" i="36"/>
  <c r="Z1918" i="36"/>
  <c r="Z1919" i="36" s="1"/>
  <c r="Q47" i="1" s="1"/>
  <c r="AC780" i="36"/>
  <c r="Z734" i="36"/>
  <c r="Z735" i="36" s="1"/>
  <c r="J461" i="35"/>
  <c r="K461" i="35" s="1"/>
  <c r="O461" i="35" s="1"/>
  <c r="AC1263" i="36"/>
  <c r="Z798" i="36"/>
  <c r="Z799" i="36" s="1"/>
  <c r="R24" i="1" s="1"/>
  <c r="AC4508" i="36"/>
  <c r="AC1718" i="36"/>
  <c r="AC4946" i="36"/>
  <c r="AB4380" i="36"/>
  <c r="AC1514" i="36"/>
  <c r="AC2364" i="36"/>
  <c r="AC2118" i="36"/>
  <c r="AC2102" i="36"/>
  <c r="AC2347" i="36"/>
  <c r="AC1849" i="36"/>
  <c r="AC553" i="36"/>
  <c r="AC2586" i="36"/>
  <c r="AC3876" i="36"/>
  <c r="AC3385" i="36"/>
  <c r="AC3427" i="36"/>
  <c r="AC2191" i="36"/>
  <c r="AC1824" i="36"/>
  <c r="Z1827" i="36"/>
  <c r="Z1828" i="36" s="1"/>
  <c r="AC1828" i="36" s="1"/>
  <c r="AC4221" i="36"/>
  <c r="Z4223" i="36"/>
  <c r="Z4224" i="36" s="1"/>
  <c r="Q98" i="1" s="1"/>
  <c r="AC4712" i="36"/>
  <c r="AC5061" i="36"/>
  <c r="Z5063" i="36"/>
  <c r="Z5064" i="36" s="1"/>
  <c r="AC5064" i="36" s="1"/>
  <c r="AC4597" i="36"/>
  <c r="Z5252" i="36"/>
  <c r="Z5253" i="36" s="1"/>
  <c r="Q121" i="1" s="1"/>
  <c r="AB1928" i="36"/>
  <c r="AC1917" i="36"/>
  <c r="AC3909" i="36"/>
  <c r="J650" i="35"/>
  <c r="K650" i="35" s="1"/>
  <c r="O650" i="35" s="1"/>
  <c r="AB1611" i="36"/>
  <c r="AC1611" i="36" s="1"/>
  <c r="AC4940" i="36"/>
  <c r="AC1312" i="36"/>
  <c r="AC1508" i="36"/>
  <c r="AC1530" i="36"/>
  <c r="J460" i="35"/>
  <c r="K460" i="35" s="1"/>
  <c r="O460" i="35" s="1"/>
  <c r="AC4750" i="36"/>
  <c r="AC1660" i="36"/>
  <c r="AC641" i="36"/>
  <c r="AC4457" i="36"/>
  <c r="AC1270" i="36"/>
  <c r="AC4260" i="36"/>
  <c r="AC772" i="36"/>
  <c r="AB801" i="36"/>
  <c r="AC2701" i="36"/>
  <c r="AC1761" i="36"/>
  <c r="AC724" i="36"/>
  <c r="AC829" i="36"/>
  <c r="AC1909" i="36"/>
  <c r="AC5102" i="36"/>
  <c r="AC2113" i="36"/>
  <c r="AC5438" i="36"/>
  <c r="AC4308" i="36"/>
  <c r="AC2199" i="36"/>
  <c r="AC698" i="36"/>
  <c r="AC353" i="36"/>
  <c r="AC975" i="36"/>
  <c r="AC5292" i="36"/>
  <c r="Z314" i="36"/>
  <c r="Z315" i="36" s="1"/>
  <c r="AC315" i="36" s="1"/>
  <c r="Z211" i="36"/>
  <c r="Z212" i="36" s="1"/>
  <c r="Q10" i="1" s="1"/>
  <c r="AC1573" i="36"/>
  <c r="AC4407" i="36"/>
  <c r="AC199" i="36"/>
  <c r="AC215" i="36"/>
  <c r="AC2992" i="36"/>
  <c r="AC3959" i="36"/>
  <c r="AC4646" i="36"/>
  <c r="AC4654" i="36"/>
  <c r="AC4604" i="36"/>
  <c r="AC4613" i="36"/>
  <c r="AC1033" i="36"/>
  <c r="Z3985" i="36"/>
  <c r="Z3986" i="36" s="1"/>
  <c r="R93" i="1" s="1"/>
  <c r="AC2684" i="36"/>
  <c r="AC5257" i="36"/>
  <c r="AC4276" i="36"/>
  <c r="AC3917" i="36"/>
  <c r="AC4270" i="36"/>
  <c r="AB1291" i="36"/>
  <c r="Z1754" i="36"/>
  <c r="Z1755" i="36" s="1"/>
  <c r="O44" i="1" s="1"/>
  <c r="AC880" i="36"/>
  <c r="AC4741" i="36"/>
  <c r="AC2142" i="36"/>
  <c r="AC1433" i="36"/>
  <c r="AC354" i="36"/>
  <c r="AC4075" i="36"/>
  <c r="AC335" i="36"/>
  <c r="AC3027" i="36"/>
  <c r="AC4694" i="36"/>
  <c r="AC4701" i="36"/>
  <c r="Z3045" i="36"/>
  <c r="Z3046" i="36" s="1"/>
  <c r="Q72" i="1" s="1"/>
  <c r="Z2783" i="36"/>
  <c r="Z2784" i="36" s="1"/>
  <c r="O67" i="1" s="1"/>
  <c r="AC5052" i="36"/>
  <c r="AC5679" i="36"/>
  <c r="AC1672" i="36"/>
  <c r="AB2810" i="36"/>
  <c r="AC312" i="36"/>
  <c r="AC2683" i="36"/>
  <c r="AC1017" i="36"/>
  <c r="AC5248" i="36"/>
  <c r="AC3966" i="36"/>
  <c r="Z5598" i="36"/>
  <c r="Z5599" i="36" s="1"/>
  <c r="AC5599" i="36" s="1"/>
  <c r="AC5524" i="36"/>
  <c r="AC1278" i="36"/>
  <c r="Z4524" i="36"/>
  <c r="Z4525" i="36" s="1"/>
  <c r="R104" i="1" s="1"/>
  <c r="AC729" i="36"/>
  <c r="AC5182" i="36"/>
  <c r="AC1220" i="36"/>
  <c r="AC748" i="36"/>
  <c r="Z5203" i="36"/>
  <c r="Z5204" i="36" s="1"/>
  <c r="Q120" i="1" s="1"/>
  <c r="AC5191" i="36"/>
  <c r="AC5094" i="36"/>
  <c r="Z1763" i="36"/>
  <c r="Z1764" i="36" s="1"/>
  <c r="P44" i="1" s="1"/>
  <c r="AC4964" i="36"/>
  <c r="AC1620" i="36"/>
  <c r="Z1861" i="36"/>
  <c r="Z1862" i="36" s="1"/>
  <c r="P46" i="1" s="1"/>
  <c r="AC2095" i="36"/>
  <c r="AC1859" i="36"/>
  <c r="AC1856" i="36"/>
  <c r="Z554" i="36"/>
  <c r="Z555" i="36" s="1"/>
  <c r="R19" i="1" s="1"/>
  <c r="AC4759" i="36"/>
  <c r="AC1416" i="36"/>
  <c r="AC5669" i="36"/>
  <c r="AC4214" i="36"/>
  <c r="Z2163" i="36"/>
  <c r="Z2164" i="36" s="1"/>
  <c r="Q52" i="1" s="1"/>
  <c r="Z2464" i="36"/>
  <c r="Z2465" i="36" s="1"/>
  <c r="AC2465" i="36" s="1"/>
  <c r="Z2440" i="36"/>
  <c r="Z2441" i="36" s="1"/>
  <c r="O60" i="1" s="1"/>
  <c r="AB1438" i="36"/>
  <c r="AC674" i="36"/>
  <c r="AC3049" i="36"/>
  <c r="AB5458" i="36"/>
  <c r="Z2457" i="36"/>
  <c r="Z2458" i="36" s="1"/>
  <c r="Q60" i="1" s="1"/>
  <c r="AC1018" i="36"/>
  <c r="J355" i="35"/>
  <c r="K355" i="35" s="1"/>
  <c r="O355" i="35" s="1"/>
  <c r="AC2267" i="36"/>
  <c r="Z4279" i="36"/>
  <c r="Z4280" i="36" s="1"/>
  <c r="AC4280" i="36" s="1"/>
  <c r="AC2387" i="36"/>
  <c r="AC491" i="36"/>
  <c r="J528" i="35"/>
  <c r="K528" i="35" s="1"/>
  <c r="Q528" i="35" s="1"/>
  <c r="AC993" i="36"/>
  <c r="AB317" i="36"/>
  <c r="Z1656" i="36"/>
  <c r="Z1657" i="36" s="1"/>
  <c r="O42" i="1" s="1"/>
  <c r="Z4402" i="36"/>
  <c r="Z4403" i="36" s="1"/>
  <c r="O102" i="1" s="1"/>
  <c r="AC2975" i="36"/>
  <c r="AC2976" i="36"/>
  <c r="AB2712" i="36"/>
  <c r="Z4500" i="36"/>
  <c r="Z4501" i="36" s="1"/>
  <c r="O104" i="1" s="1"/>
  <c r="Z749" i="36"/>
  <c r="Z750" i="36" s="1"/>
  <c r="AC750" i="36" s="1"/>
  <c r="AC4619" i="36"/>
  <c r="AC2110" i="36"/>
  <c r="AC1318" i="36"/>
  <c r="AC2341" i="36"/>
  <c r="AC3869" i="36"/>
  <c r="AC529" i="36"/>
  <c r="AC3871" i="36"/>
  <c r="AC3379" i="36"/>
  <c r="AB3300" i="36"/>
  <c r="AC3421" i="36"/>
  <c r="AB509" i="36"/>
  <c r="AB4625" i="36"/>
  <c r="AC746" i="36"/>
  <c r="Z2841" i="36"/>
  <c r="Z2842" i="36" s="1"/>
  <c r="AC2842" i="36" s="1"/>
  <c r="AC4319" i="36"/>
  <c r="AC4326" i="36"/>
  <c r="Z3028" i="36"/>
  <c r="Z3029" i="36" s="1"/>
  <c r="O72" i="1" s="1"/>
  <c r="AC4080" i="36"/>
  <c r="AC1024" i="36"/>
  <c r="Z4010" i="36"/>
  <c r="Z4011" i="36" s="1"/>
  <c r="AC4011" i="36" s="1"/>
  <c r="AC4032" i="36"/>
  <c r="AC4670" i="36"/>
  <c r="AC5084" i="36"/>
  <c r="AC1770" i="36"/>
  <c r="Z2498" i="36"/>
  <c r="Z2499" i="36" s="1"/>
  <c r="P61" i="1" s="1"/>
  <c r="AC2505" i="36"/>
  <c r="Z2506" i="36"/>
  <c r="Z2507" i="36" s="1"/>
  <c r="Q61" i="1" s="1"/>
  <c r="AC1516" i="36"/>
  <c r="AC1850" i="36"/>
  <c r="Z3887" i="36"/>
  <c r="Z3888" i="36" s="1"/>
  <c r="AC649" i="36"/>
  <c r="AC740" i="36"/>
  <c r="Z252" i="36"/>
  <c r="Z253" i="36" s="1"/>
  <c r="P11" i="1" s="1"/>
  <c r="AC241" i="36"/>
  <c r="AC1269" i="36"/>
  <c r="Z2832" i="36"/>
  <c r="Z2833" i="36" s="1"/>
  <c r="O68" i="1" s="1"/>
  <c r="AC1261" i="36"/>
  <c r="Z5210" i="36"/>
  <c r="Z5211" i="36" s="1"/>
  <c r="AC5211" i="36" s="1"/>
  <c r="Z4304" i="36"/>
  <c r="Z4305" i="36" s="1"/>
  <c r="O100" i="1" s="1"/>
  <c r="AC304" i="36"/>
  <c r="AB2934" i="36"/>
  <c r="AC2934" i="36" s="1"/>
  <c r="AB2150" i="36"/>
  <c r="AC2150" i="36" s="1"/>
  <c r="Z1673" i="36"/>
  <c r="Z1674" i="36" s="1"/>
  <c r="Q42" i="1" s="1"/>
  <c r="AB2052" i="36"/>
  <c r="AC2052" i="36" s="1"/>
  <c r="AC4474" i="36"/>
  <c r="AB5043" i="36"/>
  <c r="AC5043" i="36" s="1"/>
  <c r="J610" i="35"/>
  <c r="K610" i="35" s="1"/>
  <c r="O610" i="35" s="1"/>
  <c r="AC2839" i="36"/>
  <c r="AC3441" i="36"/>
  <c r="AC1228" i="36"/>
  <c r="AC4643" i="36"/>
  <c r="AC4458" i="36"/>
  <c r="AC4007" i="36"/>
  <c r="Z1288" i="36"/>
  <c r="Z1289" i="36" s="1"/>
  <c r="AC1289" i="36" s="1"/>
  <c r="AC4269" i="36"/>
  <c r="AC739" i="36"/>
  <c r="AC5185" i="36"/>
  <c r="AC4939" i="36"/>
  <c r="AC2447" i="36"/>
  <c r="AC5695" i="36"/>
  <c r="AC3960" i="36"/>
  <c r="AC5243" i="36"/>
  <c r="AC2690" i="36"/>
  <c r="AC4006" i="36"/>
  <c r="AC5590" i="36"/>
  <c r="AC3967" i="36"/>
  <c r="AC4603" i="36"/>
  <c r="AC1916" i="36"/>
  <c r="AC4505" i="36"/>
  <c r="AC3927" i="36"/>
  <c r="AB4527" i="36"/>
  <c r="Z4517" i="36"/>
  <c r="Z4518" i="36" s="1"/>
  <c r="Q104" i="1" s="1"/>
  <c r="AC4252" i="36"/>
  <c r="AB752" i="36"/>
  <c r="AC2692" i="36"/>
  <c r="Z1771" i="36"/>
  <c r="Z1772" i="36" s="1"/>
  <c r="Q44" i="1" s="1"/>
  <c r="AC1711" i="36"/>
  <c r="AC5620" i="36"/>
  <c r="AC4956" i="36"/>
  <c r="Z2114" i="36"/>
  <c r="Z2115" i="36" s="1"/>
  <c r="Q51" i="1" s="1"/>
  <c r="J529" i="35"/>
  <c r="K529" i="35" s="1"/>
  <c r="Q529" i="35" s="1"/>
  <c r="Z483" i="36"/>
  <c r="Z484" i="36" s="1"/>
  <c r="O16" i="1" s="1"/>
  <c r="AB1781" i="36"/>
  <c r="AC1524" i="36"/>
  <c r="AC1522" i="36"/>
  <c r="AC1507" i="36"/>
  <c r="AC2119" i="36"/>
  <c r="AC3878" i="36"/>
  <c r="AC3392" i="36"/>
  <c r="AC3415" i="36"/>
  <c r="Z2342" i="36"/>
  <c r="Z2343" i="36" s="1"/>
  <c r="O56" i="1" s="1"/>
  <c r="AC1858" i="36"/>
  <c r="AC487" i="36"/>
  <c r="AB5776" i="36"/>
  <c r="AC5776" i="36" s="1"/>
  <c r="J74" i="35"/>
  <c r="K74" i="35" s="1"/>
  <c r="AC479" i="36"/>
  <c r="AC5046" i="36"/>
  <c r="Z2596" i="36"/>
  <c r="Z2597" i="36" s="1"/>
  <c r="P63" i="1" s="1"/>
  <c r="AC3885" i="36"/>
  <c r="AC258" i="36"/>
  <c r="AC2681" i="36"/>
  <c r="AC2454" i="36"/>
  <c r="AC5547" i="36"/>
  <c r="AC5095" i="36"/>
  <c r="Z5097" i="36"/>
  <c r="Z5098" i="36" s="1"/>
  <c r="P118" i="1" s="1"/>
  <c r="AC2511" i="36"/>
  <c r="AC3918" i="36"/>
  <c r="AC721" i="36"/>
  <c r="Z651" i="36"/>
  <c r="Z652" i="36" s="1"/>
  <c r="AC652" i="36" s="1"/>
  <c r="AC4067" i="36"/>
  <c r="Z339" i="36"/>
  <c r="Z340" i="36" s="1"/>
  <c r="O13" i="1" s="1"/>
  <c r="Z4068" i="36"/>
  <c r="Z4069" i="36" s="1"/>
  <c r="P95" i="1" s="1"/>
  <c r="AC4056" i="36"/>
  <c r="AC336" i="36"/>
  <c r="Z4076" i="36"/>
  <c r="Z4077" i="36" s="1"/>
  <c r="Q95" i="1" s="1"/>
  <c r="AC3036" i="36"/>
  <c r="Z3037" i="36"/>
  <c r="Z3038" i="36" s="1"/>
  <c r="P72" i="1" s="1"/>
  <c r="AC986" i="36"/>
  <c r="AC5035" i="36"/>
  <c r="AC2804" i="36"/>
  <c r="AC2791" i="36"/>
  <c r="AC2799" i="36"/>
  <c r="AC577" i="36"/>
  <c r="Z5161" i="36"/>
  <c r="Z5162" i="36" s="1"/>
  <c r="AC5162" i="36" s="1"/>
  <c r="Z1950" i="36"/>
  <c r="Z1951" i="36" s="1"/>
  <c r="O48" i="1" s="1"/>
  <c r="AC1083" i="36"/>
  <c r="AC298" i="36"/>
  <c r="Z5308" i="36"/>
  <c r="Z5309" i="36" s="1"/>
  <c r="AC5309" i="36" s="1"/>
  <c r="AB5699" i="36"/>
  <c r="AC1571" i="36"/>
  <c r="AC192" i="36"/>
  <c r="AC3975" i="36"/>
  <c r="AC1408" i="36"/>
  <c r="AC2944" i="36"/>
  <c r="AC299" i="36"/>
  <c r="AC5671" i="36"/>
  <c r="AC1369" i="36"/>
  <c r="AC2438" i="36"/>
  <c r="AC5686" i="36"/>
  <c r="AC5688" i="36"/>
  <c r="AC1946" i="36"/>
  <c r="AC1652" i="36"/>
  <c r="AC1564" i="36"/>
  <c r="AC4398" i="36"/>
  <c r="AC191" i="36"/>
  <c r="AC193" i="36"/>
  <c r="AC4400" i="36"/>
  <c r="AB5774" i="36"/>
  <c r="AC5774" i="36" s="1"/>
  <c r="J551" i="35"/>
  <c r="K551" i="35" s="1"/>
  <c r="AC634" i="36"/>
  <c r="AC2445" i="36"/>
  <c r="AC2437" i="36"/>
  <c r="AC1661" i="36"/>
  <c r="AB827" i="36"/>
  <c r="AC827" i="36" s="1"/>
  <c r="AC2402" i="36"/>
  <c r="AC4513" i="36"/>
  <c r="J465" i="35"/>
  <c r="K465" i="35" s="1"/>
  <c r="Q465" i="35" s="1"/>
  <c r="J819" i="35"/>
  <c r="K819" i="35" s="1"/>
  <c r="O819" i="35" s="1"/>
  <c r="AB5725" i="36"/>
  <c r="AC5725" i="36" s="1"/>
  <c r="J550" i="35"/>
  <c r="K550" i="35" s="1"/>
  <c r="AC505" i="36"/>
  <c r="AC3860" i="36"/>
  <c r="AC2592" i="36"/>
  <c r="AC3378" i="36"/>
  <c r="AC3431" i="36"/>
  <c r="AC3429" i="36"/>
  <c r="AC530" i="36"/>
  <c r="Z2388" i="36"/>
  <c r="Z2389" i="36" s="1"/>
  <c r="AC2389" i="36" s="1"/>
  <c r="Z506" i="36"/>
  <c r="Z507" i="36" s="1"/>
  <c r="AC507" i="36" s="1"/>
  <c r="AC1189" i="36"/>
  <c r="AB4086" i="36"/>
  <c r="AC209" i="36"/>
  <c r="AC2993" i="36"/>
  <c r="AC4595" i="36"/>
  <c r="AC821" i="36"/>
  <c r="AC4031" i="36"/>
  <c r="AC4271" i="36"/>
  <c r="AC1309" i="36"/>
  <c r="Z500" i="36"/>
  <c r="Z501" i="36" s="1"/>
  <c r="Q16" i="1" s="1"/>
  <c r="AC4055" i="36"/>
  <c r="AC498" i="36"/>
  <c r="AC490" i="36"/>
  <c r="AC489" i="36"/>
  <c r="AC482" i="36"/>
  <c r="AC504" i="36"/>
  <c r="AC3035" i="36"/>
  <c r="AC2946" i="36"/>
  <c r="AB1193" i="36"/>
  <c r="AC2560" i="36"/>
  <c r="Z1166" i="36"/>
  <c r="Z1167" i="36" s="1"/>
  <c r="O32" i="1" s="1"/>
  <c r="AC2463" i="36"/>
  <c r="AC2448" i="36"/>
  <c r="Z5696" i="36"/>
  <c r="Z5697" i="36" s="1"/>
  <c r="R132" i="1" s="1"/>
  <c r="Z2807" i="36"/>
  <c r="Z2808" i="36" s="1"/>
  <c r="R67" i="1" s="1"/>
  <c r="AC2806" i="36"/>
  <c r="AC2797" i="36"/>
  <c r="AC296" i="36"/>
  <c r="AC5158" i="36"/>
  <c r="AC1948" i="36"/>
  <c r="AC1082" i="36"/>
  <c r="AC5307" i="36"/>
  <c r="Z596" i="36"/>
  <c r="Z597" i="36" s="1"/>
  <c r="Q20" i="1" s="1"/>
  <c r="Z194" i="36"/>
  <c r="Z195" i="36" s="1"/>
  <c r="O10" i="1" s="1"/>
  <c r="AC208" i="36"/>
  <c r="AC871" i="36"/>
  <c r="AC2994" i="36"/>
  <c r="AC3000" i="36"/>
  <c r="AC5532" i="36"/>
  <c r="AC3984" i="36"/>
  <c r="AC3977" i="36"/>
  <c r="AC5538" i="36"/>
  <c r="AC4448" i="36"/>
  <c r="AB4282" i="36"/>
  <c r="AC1753" i="36"/>
  <c r="AC1223" i="36"/>
  <c r="AC4278" i="36"/>
  <c r="AC5192" i="36"/>
  <c r="AC488" i="36"/>
  <c r="AC496" i="36"/>
  <c r="Z492" i="36"/>
  <c r="Z493" i="36" s="1"/>
  <c r="P16" i="1" s="1"/>
  <c r="AC5109" i="36"/>
  <c r="Z3101" i="36"/>
  <c r="Z3102" i="36" s="1"/>
  <c r="AC3102" i="36" s="1"/>
  <c r="AC5637" i="36"/>
  <c r="AC5645" i="36"/>
  <c r="AC2111" i="36"/>
  <c r="AC2365" i="36"/>
  <c r="AC481" i="36"/>
  <c r="AC5717" i="36"/>
  <c r="AC5718" i="36"/>
  <c r="AC480" i="36"/>
  <c r="Z5787" i="36"/>
  <c r="Z5788" i="36" s="1"/>
  <c r="Q134" i="1" s="1"/>
  <c r="AC5784" i="36"/>
  <c r="Z5794" i="36"/>
  <c r="Z5795" i="36" s="1"/>
  <c r="AC5795" i="36" s="1"/>
  <c r="AC5742" i="36"/>
  <c r="AC5786" i="36"/>
  <c r="AC5775" i="36"/>
  <c r="AC5737" i="36"/>
  <c r="AC5744" i="36"/>
  <c r="AB5748" i="36"/>
  <c r="AC5729" i="36"/>
  <c r="AC5766" i="36"/>
  <c r="AC5720" i="36"/>
  <c r="Z5730" i="36"/>
  <c r="Z5731" i="36" s="1"/>
  <c r="P133" i="1" s="1"/>
  <c r="Z5721" i="36"/>
  <c r="Z5722" i="36" s="1"/>
  <c r="O133" i="1" s="1"/>
  <c r="AC5727" i="36"/>
  <c r="Z5745" i="36"/>
  <c r="Z5746" i="36" s="1"/>
  <c r="AC5785" i="36"/>
  <c r="AC5791" i="36"/>
  <c r="Z1665" i="36"/>
  <c r="Z1666" i="36" s="1"/>
  <c r="P42" i="1" s="1"/>
  <c r="AC1655" i="36"/>
  <c r="Z588" i="36"/>
  <c r="Z589" i="36" s="1"/>
  <c r="P20" i="1" s="1"/>
  <c r="AC2436" i="36"/>
  <c r="Z5235" i="36"/>
  <c r="Z5236" i="36" s="1"/>
  <c r="O121" i="1" s="1"/>
  <c r="AB4674" i="36"/>
  <c r="AC1219" i="36"/>
  <c r="Z3912" i="36"/>
  <c r="Z3913" i="36" s="1"/>
  <c r="O92" i="1" s="1"/>
  <c r="AC4254" i="36"/>
  <c r="Z896" i="36"/>
  <c r="Z897" i="36" s="1"/>
  <c r="R26" i="1" s="1"/>
  <c r="AC1899" i="36"/>
  <c r="AC796" i="36"/>
  <c r="Z823" i="36"/>
  <c r="Z824" i="36" s="1"/>
  <c r="AC824" i="36" s="1"/>
  <c r="Z4598" i="36"/>
  <c r="Z4599" i="36" s="1"/>
  <c r="O106" i="1" s="1"/>
  <c r="AC1286" i="36"/>
  <c r="Z791" i="36"/>
  <c r="Z792" i="36" s="1"/>
  <c r="Q24" i="1" s="1"/>
  <c r="Z889" i="36"/>
  <c r="Z890" i="36" s="1"/>
  <c r="Q26" i="1" s="1"/>
  <c r="Z5112" i="36"/>
  <c r="Z5113" i="36" s="1"/>
  <c r="AC5113" i="36" s="1"/>
  <c r="AC2708" i="36"/>
  <c r="Z4671" i="36"/>
  <c r="Z4672" i="36" s="1"/>
  <c r="AC4672" i="36" s="1"/>
  <c r="Z3929" i="36"/>
  <c r="Z3930" i="36" s="1"/>
  <c r="Q92" i="1" s="1"/>
  <c r="AC4620" i="36"/>
  <c r="Z4509" i="36"/>
  <c r="Z4510" i="36" s="1"/>
  <c r="P104" i="1" s="1"/>
  <c r="Z5195" i="36"/>
  <c r="Z5196" i="36" s="1"/>
  <c r="P120" i="1" s="1"/>
  <c r="Z872" i="36"/>
  <c r="Z873" i="36" s="1"/>
  <c r="O26" i="1" s="1"/>
  <c r="Z1281" i="36"/>
  <c r="Z1282" i="36" s="1"/>
  <c r="Q34" i="1" s="1"/>
  <c r="AC5093" i="36"/>
  <c r="AC4661" i="36"/>
  <c r="AC1238" i="36"/>
  <c r="AC4945" i="36"/>
  <c r="Z1714" i="36"/>
  <c r="Z1715" i="36" s="1"/>
  <c r="P43" i="1" s="1"/>
  <c r="AC1623" i="36"/>
  <c r="Z1729" i="36"/>
  <c r="Z1730" i="36" s="1"/>
  <c r="R43" i="1" s="1"/>
  <c r="AB3890" i="36"/>
  <c r="Z2366" i="36"/>
  <c r="Z2367" i="36" s="1"/>
  <c r="AC2367" i="36" s="1"/>
  <c r="AC2101" i="36"/>
  <c r="Z4362" i="36"/>
  <c r="Z4363" i="36" s="1"/>
  <c r="P101" i="1" s="1"/>
  <c r="AC2494" i="36"/>
  <c r="AC3425" i="36"/>
  <c r="AC2348" i="36"/>
  <c r="Z1876" i="36"/>
  <c r="Z1877" i="36" s="1"/>
  <c r="AC1877" i="36" s="1"/>
  <c r="AC527" i="36"/>
  <c r="AB557" i="36"/>
  <c r="AB2614" i="36"/>
  <c r="AC2593" i="36"/>
  <c r="AC2594" i="36"/>
  <c r="AC3862" i="36"/>
  <c r="AC3377" i="36"/>
  <c r="Z3297" i="36"/>
  <c r="Z3298" i="36" s="1"/>
  <c r="R77" i="1" s="1"/>
  <c r="AC3271" i="36"/>
  <c r="AC3428" i="36"/>
  <c r="AC3422" i="36"/>
  <c r="AC5726" i="36"/>
  <c r="Z5738" i="36"/>
  <c r="Z5739" i="36" s="1"/>
  <c r="Q133" i="1" s="1"/>
  <c r="AC5743" i="36"/>
  <c r="AB5797" i="36"/>
  <c r="AC5783" i="36"/>
  <c r="AC5767" i="36"/>
  <c r="Z5770" i="36"/>
  <c r="Z5771" i="36" s="1"/>
  <c r="O134" i="1" s="1"/>
  <c r="AC5777" i="36"/>
  <c r="Z5779" i="36"/>
  <c r="Z5780" i="36" s="1"/>
  <c r="P134" i="1" s="1"/>
  <c r="Z2106" i="36"/>
  <c r="Z2107" i="36" s="1"/>
  <c r="P51" i="1" s="1"/>
  <c r="Z3290" i="36"/>
  <c r="Z3291" i="36" s="1"/>
  <c r="Q77" i="1" s="1"/>
  <c r="AC684" i="36"/>
  <c r="AC1368" i="36"/>
  <c r="Z5672" i="36"/>
  <c r="Z5673" i="36" s="1"/>
  <c r="O132" i="1" s="1"/>
  <c r="AB1585" i="36"/>
  <c r="Z2702" i="36"/>
  <c r="Z2703" i="36" s="1"/>
  <c r="Q65" i="1" s="1"/>
  <c r="Z5689" i="36"/>
  <c r="Z5690" i="36" s="1"/>
  <c r="Q132" i="1" s="1"/>
  <c r="AC3974" i="36"/>
  <c r="AC3968" i="36"/>
  <c r="AC822" i="36"/>
  <c r="AC1229" i="36"/>
  <c r="Z4255" i="36"/>
  <c r="Z4256" i="36" s="1"/>
  <c r="O99" i="1" s="1"/>
  <c r="AC1750" i="36"/>
  <c r="AC1922" i="36"/>
  <c r="AC1334" i="36"/>
  <c r="Z540" i="36"/>
  <c r="Z541" i="36" s="1"/>
  <c r="P19" i="1" s="1"/>
  <c r="Z3371" i="36"/>
  <c r="Z3372" i="36" s="1"/>
  <c r="O79" i="1" s="1"/>
  <c r="Z2097" i="36"/>
  <c r="Z2098" i="36" s="1"/>
  <c r="O51" i="1" s="1"/>
  <c r="Z4941" i="36"/>
  <c r="Z4942" i="36" s="1"/>
  <c r="O115" i="1" s="1"/>
  <c r="Z3437" i="36"/>
  <c r="Z3438" i="36" s="1"/>
  <c r="P80" i="1" s="1"/>
  <c r="Z5591" i="36"/>
  <c r="Z5592" i="36" s="1"/>
  <c r="Q130" i="1" s="1"/>
  <c r="Z4615" i="36"/>
  <c r="Z4616" i="36" s="1"/>
  <c r="Q106" i="1" s="1"/>
  <c r="AC839" i="36"/>
  <c r="Z2359" i="36"/>
  <c r="Z2360" i="36" s="1"/>
  <c r="Q56" i="1" s="1"/>
  <c r="Z260" i="36"/>
  <c r="Z261" i="36" s="1"/>
  <c r="Q11" i="1" s="1"/>
  <c r="AC1857" i="36"/>
  <c r="Z4656" i="36"/>
  <c r="Z4657" i="36" s="1"/>
  <c r="J371" i="35"/>
  <c r="K371" i="35" s="1"/>
  <c r="O371" i="35" s="1"/>
  <c r="AC787" i="36"/>
  <c r="AC256" i="36"/>
  <c r="AC4507" i="36"/>
  <c r="AC3448" i="36"/>
  <c r="J788" i="35"/>
  <c r="K788" i="35" s="1"/>
  <c r="Q788" i="35" s="1"/>
  <c r="J629" i="35"/>
  <c r="K629" i="35" s="1"/>
  <c r="O629" i="35" s="1"/>
  <c r="Z5647" i="36"/>
  <c r="Z5648" i="36" s="1"/>
  <c r="Z2996" i="36"/>
  <c r="Z2997" i="36" s="1"/>
  <c r="Q71" i="1" s="1"/>
  <c r="Z4607" i="36"/>
  <c r="Z4608" i="36" s="1"/>
  <c r="P106" i="1" s="1"/>
  <c r="J317" i="35"/>
  <c r="K317" i="35" s="1"/>
  <c r="AC1907" i="36"/>
  <c r="J680" i="35"/>
  <c r="K680" i="35" s="1"/>
  <c r="Q680" i="35" s="1"/>
  <c r="AC1713" i="36"/>
  <c r="Z1224" i="36"/>
  <c r="Z1225" i="36" s="1"/>
  <c r="AC1874" i="36"/>
  <c r="AB631" i="36"/>
  <c r="AC631" i="36" s="1"/>
  <c r="J363" i="35"/>
  <c r="K363" i="35" s="1"/>
  <c r="Q363" i="35" s="1"/>
  <c r="AC3916" i="36"/>
  <c r="AC343" i="36"/>
  <c r="J761" i="35"/>
  <c r="K761" i="35" s="1"/>
  <c r="Q761" i="35" s="1"/>
  <c r="J749" i="35"/>
  <c r="K749" i="35" s="1"/>
  <c r="O749" i="35" s="1"/>
  <c r="Z5534" i="36"/>
  <c r="Z5535" i="36" s="1"/>
  <c r="P129" i="1" s="1"/>
  <c r="AC3100" i="36"/>
  <c r="AC4277" i="36"/>
  <c r="AC795" i="36"/>
  <c r="AC4962" i="36"/>
  <c r="AC3370" i="36"/>
  <c r="AC2105" i="36"/>
  <c r="AC2510" i="36"/>
  <c r="AC1319" i="36"/>
  <c r="AC2357" i="36"/>
  <c r="AC2349" i="36"/>
  <c r="AC3879" i="36"/>
  <c r="AC4652" i="36"/>
  <c r="AC5589" i="36"/>
  <c r="AC4015" i="36"/>
  <c r="AC1574" i="36"/>
  <c r="AC887" i="36"/>
  <c r="AC4425" i="36"/>
  <c r="Z5542" i="36"/>
  <c r="Z5543" i="36" s="1"/>
  <c r="Q129" i="1" s="1"/>
  <c r="AC4268" i="36"/>
  <c r="AC1025" i="36"/>
  <c r="AC3928" i="36"/>
  <c r="Z5583" i="36"/>
  <c r="Z5584" i="36" s="1"/>
  <c r="AC5584" i="36" s="1"/>
  <c r="AC4596" i="36"/>
  <c r="AC5530" i="36"/>
  <c r="AC4447" i="36"/>
  <c r="AC1027" i="36"/>
  <c r="AC4464" i="36"/>
  <c r="AC1260" i="36"/>
  <c r="AC4465" i="36"/>
  <c r="Z1330" i="36"/>
  <c r="Z1331" i="36" s="1"/>
  <c r="Q35" i="1" s="1"/>
  <c r="AC1329" i="36"/>
  <c r="AC2399" i="36"/>
  <c r="Z4027" i="36"/>
  <c r="Z4028" i="36" s="1"/>
  <c r="AC4017" i="36"/>
  <c r="AC5200" i="36"/>
  <c r="AC4506" i="36"/>
  <c r="AC790" i="36"/>
  <c r="AC5096" i="36"/>
  <c r="AC1710" i="36"/>
  <c r="Z4370" i="36"/>
  <c r="Z4371" i="36" s="1"/>
  <c r="Q101" i="1" s="1"/>
  <c r="AC544" i="36"/>
  <c r="Z2604" i="36"/>
  <c r="Z2605" i="36" s="1"/>
  <c r="Q63" i="1" s="1"/>
  <c r="AC3818" i="36"/>
  <c r="AC1383" i="36"/>
  <c r="Z1313" i="36"/>
  <c r="Z1314" i="36" s="1"/>
  <c r="O35" i="1" s="1"/>
  <c r="AC1868" i="36"/>
  <c r="AC2112" i="36"/>
  <c r="AC5282" i="36"/>
  <c r="AC837" i="36"/>
  <c r="AC4065" i="36"/>
  <c r="Z5440" i="36"/>
  <c r="Z5441" i="36" s="1"/>
  <c r="P127" i="1" s="1"/>
  <c r="AC5036" i="36"/>
  <c r="Z987" i="36"/>
  <c r="Z988" i="36" s="1"/>
  <c r="Q28" i="1" s="1"/>
  <c r="AC2788" i="36"/>
  <c r="AC2461" i="36"/>
  <c r="AC1669" i="36"/>
  <c r="AC1090" i="36"/>
  <c r="Z5056" i="36"/>
  <c r="Z5057" i="36" s="1"/>
  <c r="Q117" i="1" s="1"/>
  <c r="AC5291" i="36"/>
  <c r="Z2979" i="36"/>
  <c r="Z2980" i="36" s="1"/>
  <c r="AC2980" i="36" s="1"/>
  <c r="AC894" i="36"/>
  <c r="AC5540" i="36"/>
  <c r="AC5541" i="36"/>
  <c r="AC4497" i="36"/>
  <c r="Z3094" i="36"/>
  <c r="Z3095" i="36" s="1"/>
  <c r="Q73" i="1" s="1"/>
  <c r="AC2408" i="36"/>
  <c r="AC5193" i="36"/>
  <c r="AC1320" i="36"/>
  <c r="AC1751" i="36"/>
  <c r="AC1712" i="36"/>
  <c r="AC4360" i="36"/>
  <c r="AC3289" i="36"/>
  <c r="AC3368" i="36"/>
  <c r="AC3075" i="36"/>
  <c r="AC2363" i="36"/>
  <c r="AC2356" i="36"/>
  <c r="AC3376" i="36"/>
  <c r="AC2584" i="36"/>
  <c r="AC3093" i="36"/>
  <c r="AC3083" i="36"/>
  <c r="AC3288" i="36"/>
  <c r="AC3092" i="36"/>
  <c r="AC5631" i="36"/>
  <c r="AC1704" i="36"/>
  <c r="AC4367" i="36"/>
  <c r="AC1310" i="36"/>
  <c r="AC1517" i="36"/>
  <c r="AC3269" i="36"/>
  <c r="AC5231" i="36"/>
  <c r="AB392" i="36"/>
  <c r="AC392" i="36" s="1"/>
  <c r="J527" i="35"/>
  <c r="K527" i="35" s="1"/>
  <c r="AC384" i="36"/>
  <c r="AB391" i="36"/>
  <c r="AC391" i="36" s="1"/>
  <c r="J772" i="35"/>
  <c r="K772" i="35" s="1"/>
  <c r="AC4660" i="36"/>
  <c r="AC4066" i="36"/>
  <c r="AC4064" i="36"/>
  <c r="AC5452" i="36"/>
  <c r="AC289" i="36"/>
  <c r="AC977" i="36"/>
  <c r="AC2796" i="36"/>
  <c r="AC595" i="36"/>
  <c r="Z435" i="36"/>
  <c r="Z436" i="36" s="1"/>
  <c r="O15" i="1" s="1"/>
  <c r="AC441" i="36"/>
  <c r="AC442" i="36"/>
  <c r="AC439" i="36"/>
  <c r="AC5194" i="36"/>
  <c r="AC450" i="36"/>
  <c r="AC385" i="36"/>
  <c r="AC2699" i="36"/>
  <c r="Z458" i="36"/>
  <c r="Z459" i="36" s="1"/>
  <c r="R15" i="1" s="1"/>
  <c r="AC403" i="36"/>
  <c r="AC2698" i="36"/>
  <c r="AC344" i="36"/>
  <c r="AC1170" i="36"/>
  <c r="AC5234" i="36"/>
  <c r="AC4018" i="36"/>
  <c r="AC394" i="36"/>
  <c r="AC5251" i="36"/>
  <c r="AC457" i="36"/>
  <c r="Z410" i="36"/>
  <c r="Z411" i="36" s="1"/>
  <c r="AC5256" i="36"/>
  <c r="AC5085" i="36"/>
  <c r="AC4611" i="36"/>
  <c r="AC433" i="36"/>
  <c r="AC844" i="36"/>
  <c r="AC1468" i="36"/>
  <c r="AB4723" i="36"/>
  <c r="Z700" i="36"/>
  <c r="Z701" i="36" s="1"/>
  <c r="R22" i="1" s="1"/>
  <c r="AC1164" i="36"/>
  <c r="AC5687" i="36"/>
  <c r="AB1389" i="36"/>
  <c r="AC5436" i="36"/>
  <c r="AC968" i="36"/>
  <c r="AC5283" i="36"/>
  <c r="AC5678" i="36"/>
  <c r="AC451" i="36"/>
  <c r="AC448" i="36"/>
  <c r="AC1752" i="36"/>
  <c r="AC432" i="36"/>
  <c r="AC4251" i="36"/>
  <c r="AC449" i="36"/>
  <c r="AC779" i="36"/>
  <c r="AB461" i="36"/>
  <c r="AC456" i="36"/>
  <c r="Z452" i="36"/>
  <c r="Z453" i="36" s="1"/>
  <c r="Q15" i="1" s="1"/>
  <c r="Z444" i="36"/>
  <c r="Z445" i="36" s="1"/>
  <c r="P15" i="1" s="1"/>
  <c r="AC440" i="36"/>
  <c r="AC434" i="36"/>
  <c r="AC431" i="36"/>
  <c r="AC443" i="36"/>
  <c r="AC4499" i="36"/>
  <c r="AC402" i="36"/>
  <c r="AC393" i="36"/>
  <c r="AC400" i="36"/>
  <c r="AC2691" i="36"/>
  <c r="AC401" i="36"/>
  <c r="Z404" i="36"/>
  <c r="Z405" i="36" s="1"/>
  <c r="Q14" i="1" s="1"/>
  <c r="AC386" i="36"/>
  <c r="AC408" i="36"/>
  <c r="AC5539" i="36"/>
  <c r="AC383" i="36"/>
  <c r="AC395" i="36"/>
  <c r="AB413" i="36"/>
  <c r="Z387" i="36"/>
  <c r="Z388" i="36" s="1"/>
  <c r="Z396" i="36"/>
  <c r="Z397" i="36" s="1"/>
  <c r="P14" i="1" s="1"/>
  <c r="AC5582" i="36"/>
  <c r="AC650" i="36"/>
  <c r="AC305" i="36"/>
  <c r="AC3001" i="36"/>
  <c r="AC338" i="36"/>
  <c r="Z348" i="36"/>
  <c r="Z349" i="36" s="1"/>
  <c r="P13" i="1" s="1"/>
  <c r="AC1662" i="36"/>
  <c r="AC2456" i="36"/>
  <c r="AC1679" i="36"/>
  <c r="AB997" i="36"/>
  <c r="AB605" i="36"/>
  <c r="AC5144" i="36"/>
  <c r="Z300" i="36"/>
  <c r="Z301" i="36" s="1"/>
  <c r="P12" i="1" s="1"/>
  <c r="AB5164" i="36"/>
  <c r="AC5694" i="36"/>
  <c r="AB2565" i="36"/>
  <c r="Z4705" i="36"/>
  <c r="Z4706" i="36" s="1"/>
  <c r="P108" i="1" s="1"/>
  <c r="AC4702" i="36"/>
  <c r="AC4073" i="36"/>
  <c r="Z5681" i="36"/>
  <c r="Z5682" i="36" s="1"/>
  <c r="P132" i="1" s="1"/>
  <c r="AC1663" i="36"/>
  <c r="AC307" i="36"/>
  <c r="Z1077" i="36"/>
  <c r="Z1078" i="36" s="1"/>
  <c r="P30" i="1" s="1"/>
  <c r="AC1076" i="36"/>
  <c r="Z1092" i="36"/>
  <c r="Z1093" i="36" s="1"/>
  <c r="AC1093" i="36" s="1"/>
  <c r="AC5299" i="36"/>
  <c r="AB1683" i="36"/>
  <c r="AC1377" i="36"/>
  <c r="AC290" i="36"/>
  <c r="J364" i="35"/>
  <c r="K364" i="35" s="1"/>
  <c r="O364" i="35" s="1"/>
  <c r="AB583" i="36"/>
  <c r="AC583" i="36" s="1"/>
  <c r="Z1379" i="36"/>
  <c r="Z1380" i="36" s="1"/>
  <c r="Q36" i="1" s="1"/>
  <c r="Z291" i="36"/>
  <c r="Z292" i="36" s="1"/>
  <c r="O12" i="1" s="1"/>
  <c r="Z970" i="36"/>
  <c r="Z971" i="36" s="1"/>
  <c r="Y13" i="36"/>
  <c r="Y37" i="36" s="1"/>
  <c r="Z1680" i="36"/>
  <c r="Z1681" i="36" s="1"/>
  <c r="AC1681" i="36" s="1"/>
  <c r="AC1385" i="36"/>
  <c r="J14" i="35"/>
  <c r="K14" i="35" s="1"/>
  <c r="Q14" i="35" s="1"/>
  <c r="AC2544" i="36"/>
  <c r="AC1081" i="36"/>
  <c r="AC5685" i="36"/>
  <c r="AC5152" i="36"/>
  <c r="AC1654" i="36"/>
  <c r="AC594" i="36"/>
  <c r="Z1974" i="36"/>
  <c r="Z1975" i="36" s="1"/>
  <c r="R48" i="1" s="1"/>
  <c r="AC1579" i="36"/>
  <c r="AC1074" i="36"/>
  <c r="AC1091" i="36"/>
  <c r="AC886" i="36"/>
  <c r="AC207" i="36"/>
  <c r="AC2995" i="36"/>
  <c r="Z218" i="36"/>
  <c r="Z219" i="36" s="1"/>
  <c r="AC575" i="36"/>
  <c r="AC1664" i="36"/>
  <c r="AC5150" i="36"/>
  <c r="AC2453" i="36"/>
  <c r="AC1434" i="36"/>
  <c r="AC361" i="36"/>
  <c r="AC4692" i="36"/>
  <c r="AC1955" i="36"/>
  <c r="AC306" i="36"/>
  <c r="AC682" i="36"/>
  <c r="AC2154" i="36"/>
  <c r="Z4059" i="36"/>
  <c r="Z4060" i="36" s="1"/>
  <c r="AC4060" i="36" s="1"/>
  <c r="AC578" i="36"/>
  <c r="AB3729" i="36"/>
  <c r="AC3729" i="36" s="1"/>
  <c r="J141" i="35"/>
  <c r="K141" i="35" s="1"/>
  <c r="AC5160" i="36"/>
  <c r="AC5055" i="36"/>
  <c r="AC1064" i="36"/>
  <c r="AC966" i="36"/>
  <c r="AC1065" i="36"/>
  <c r="AC2561" i="36"/>
  <c r="AC1140" i="36"/>
  <c r="AC4717" i="36"/>
  <c r="AC991" i="36"/>
  <c r="AC2789" i="36"/>
  <c r="AC5297" i="36"/>
  <c r="AC5134" i="36"/>
  <c r="AC5428" i="36"/>
  <c r="AC5677" i="36"/>
  <c r="AC587" i="36"/>
  <c r="AC5430" i="36"/>
  <c r="AC2782" i="36"/>
  <c r="AC2162" i="36"/>
  <c r="AB2075" i="36"/>
  <c r="AC337" i="36"/>
  <c r="AC2546" i="36"/>
  <c r="AC1172" i="36"/>
  <c r="AC1130" i="36"/>
  <c r="Z2555" i="36"/>
  <c r="Z2556" i="36" s="1"/>
  <c r="Q62" i="1" s="1"/>
  <c r="AC4057" i="36"/>
  <c r="J219" i="35"/>
  <c r="K219" i="35" s="1"/>
  <c r="Q219" i="35" s="1"/>
  <c r="AB703" i="36"/>
  <c r="AC3151" i="36"/>
  <c r="AC5000" i="36"/>
  <c r="AC3026" i="36"/>
  <c r="AB3622" i="36"/>
  <c r="AC3622" i="36" s="1"/>
  <c r="J800" i="35"/>
  <c r="K800" i="35" s="1"/>
  <c r="AC1116" i="36"/>
  <c r="AC2945" i="36"/>
  <c r="AC690" i="36"/>
  <c r="AC3051" i="36"/>
  <c r="AC4703" i="36"/>
  <c r="AC4700" i="36"/>
  <c r="Z3052" i="36"/>
  <c r="Z3053" i="36" s="1"/>
  <c r="AC3053" i="36" s="1"/>
  <c r="AC3050" i="36"/>
  <c r="AC2069" i="36"/>
  <c r="AC4058" i="36"/>
  <c r="Z1134" i="36"/>
  <c r="Z1135" i="36" s="1"/>
  <c r="Q31" i="1" s="1"/>
  <c r="AC2952" i="36"/>
  <c r="AC1474" i="36"/>
  <c r="AC4709" i="36"/>
  <c r="Z1435" i="36"/>
  <c r="Z1436" i="36" s="1"/>
  <c r="AC1436" i="36" s="1"/>
  <c r="Z693" i="36"/>
  <c r="Z694" i="36" s="1"/>
  <c r="Q22" i="1" s="1"/>
  <c r="AC1466" i="36"/>
  <c r="AC1123" i="36"/>
  <c r="AC2927" i="36"/>
  <c r="AC4719" i="36"/>
  <c r="AC1181" i="36"/>
  <c r="AC1187" i="36"/>
  <c r="AC1483" i="36"/>
  <c r="AC1113" i="36"/>
  <c r="AC2935" i="36"/>
  <c r="AC1475" i="36"/>
  <c r="AC2938" i="36"/>
  <c r="AC4721" i="36"/>
  <c r="Z2954" i="36"/>
  <c r="Z2955" i="36" s="1"/>
  <c r="Z2072" i="36"/>
  <c r="Z2073" i="36" s="1"/>
  <c r="AC2073" i="36" s="1"/>
  <c r="Z1190" i="36"/>
  <c r="Z1191" i="36" s="1"/>
  <c r="R32" i="1" s="1"/>
  <c r="Z1183" i="36"/>
  <c r="Z1184" i="36" s="1"/>
  <c r="Q32" i="1" s="1"/>
  <c r="AC360" i="36"/>
  <c r="Z2562" i="36"/>
  <c r="Z2563" i="36" s="1"/>
  <c r="AC2563" i="36" s="1"/>
  <c r="AC691" i="36"/>
  <c r="AC673" i="36"/>
  <c r="AC1459" i="36"/>
  <c r="Z1484" i="36"/>
  <c r="Z1485" i="36" s="1"/>
  <c r="AC1485" i="36" s="1"/>
  <c r="AC1133" i="36"/>
  <c r="AC2926" i="36"/>
  <c r="AC1188" i="36"/>
  <c r="AB365" i="36"/>
  <c r="AC4063" i="36"/>
  <c r="Z356" i="36"/>
  <c r="Z357" i="36" s="1"/>
  <c r="Q13" i="1" s="1"/>
  <c r="AC1457" i="36"/>
  <c r="AC1131" i="36"/>
  <c r="AB2957" i="36"/>
  <c r="Z4696" i="36"/>
  <c r="Z4697" i="36" s="1"/>
  <c r="O108" i="1" s="1"/>
  <c r="AC2951" i="36"/>
  <c r="Z2947" i="36"/>
  <c r="Z2948" i="36" s="1"/>
  <c r="Q70" i="1" s="1"/>
  <c r="AC1180" i="36"/>
  <c r="Z362" i="36"/>
  <c r="Z363" i="36" s="1"/>
  <c r="AC352" i="36"/>
  <c r="Z1460" i="36"/>
  <c r="Z1461" i="36" s="1"/>
  <c r="AC4693" i="36"/>
  <c r="Z4083" i="36"/>
  <c r="Z4084" i="36" s="1"/>
  <c r="R95" i="1" s="1"/>
  <c r="AC4074" i="36"/>
  <c r="AC1132" i="36"/>
  <c r="AC1465" i="36"/>
  <c r="AC1114" i="36"/>
  <c r="AC4550" i="36"/>
  <c r="AC2936" i="36"/>
  <c r="AC2534" i="36"/>
  <c r="AC2535" i="36"/>
  <c r="AC1425" i="36"/>
  <c r="AC2045" i="36"/>
  <c r="AC1410" i="36"/>
  <c r="Z2057" i="36"/>
  <c r="Z2058" i="36" s="1"/>
  <c r="P50" i="1" s="1"/>
  <c r="AC2056" i="36"/>
  <c r="Z2065" i="36"/>
  <c r="Z2066" i="36" s="1"/>
  <c r="Q50" i="1" s="1"/>
  <c r="AB2173" i="36"/>
  <c r="AC2159" i="36"/>
  <c r="AC2063" i="36"/>
  <c r="AC642" i="36"/>
  <c r="AC1419" i="36"/>
  <c r="AC2161" i="36"/>
  <c r="AC2167" i="36"/>
  <c r="AC2055" i="36"/>
  <c r="AC1424" i="36"/>
  <c r="AC2070" i="36"/>
  <c r="Z636" i="36"/>
  <c r="Z637" i="36" s="1"/>
  <c r="P21" i="1" s="1"/>
  <c r="AC2169" i="36"/>
  <c r="AC2046" i="36"/>
  <c r="AC623" i="36"/>
  <c r="AC1407" i="36"/>
  <c r="AC1426" i="36"/>
  <c r="AC2143" i="36"/>
  <c r="AC2160" i="36"/>
  <c r="AC2047" i="36"/>
  <c r="Z2155" i="36"/>
  <c r="Z2156" i="36" s="1"/>
  <c r="P52" i="1" s="1"/>
  <c r="Z644" i="36"/>
  <c r="Z645" i="36" s="1"/>
  <c r="Q21" i="1" s="1"/>
  <c r="AB654" i="36"/>
  <c r="J226" i="35"/>
  <c r="K226" i="35" s="1"/>
  <c r="O226" i="35" s="1"/>
  <c r="AC2054" i="36"/>
  <c r="AC2044" i="36"/>
  <c r="AC632" i="36"/>
  <c r="AC1417" i="36"/>
  <c r="Z2048" i="36"/>
  <c r="Z2049" i="36" s="1"/>
  <c r="O50" i="1" s="1"/>
  <c r="AC624" i="36"/>
  <c r="AC635" i="36"/>
  <c r="AC3714" i="36"/>
  <c r="J143" i="35"/>
  <c r="K143" i="35" s="1"/>
  <c r="AC625" i="36"/>
  <c r="AB3769" i="36"/>
  <c r="AC3769" i="36" s="1"/>
  <c r="J873" i="35"/>
  <c r="K873" i="35" s="1"/>
  <c r="AC3722" i="36"/>
  <c r="AB3720" i="36"/>
  <c r="AC3720" i="36" s="1"/>
  <c r="J872" i="35"/>
  <c r="K872" i="35" s="1"/>
  <c r="Q871" i="35"/>
  <c r="O871" i="35"/>
  <c r="AB3671" i="36"/>
  <c r="AC3671" i="36" s="1"/>
  <c r="J838" i="35"/>
  <c r="K838" i="35" s="1"/>
  <c r="AB3576" i="36"/>
  <c r="AC3576" i="36" s="1"/>
  <c r="J870" i="35"/>
  <c r="K870" i="35" s="1"/>
  <c r="AB3575" i="36"/>
  <c r="AC3575" i="36" s="1"/>
  <c r="J869" i="35"/>
  <c r="K869" i="35" s="1"/>
  <c r="R108" i="1"/>
  <c r="Q867" i="35"/>
  <c r="O867" i="35"/>
  <c r="AB3573" i="36"/>
  <c r="AC3573" i="36" s="1"/>
  <c r="J868" i="35"/>
  <c r="K868" i="35" s="1"/>
  <c r="AC3732" i="36"/>
  <c r="AC3731" i="36"/>
  <c r="AB3524" i="36"/>
  <c r="AC3524" i="36" s="1"/>
  <c r="J856" i="35"/>
  <c r="K856" i="35" s="1"/>
  <c r="AB3475" i="36"/>
  <c r="AC3475" i="36" s="1"/>
  <c r="J855" i="35"/>
  <c r="K855" i="35" s="1"/>
  <c r="AC3730" i="36"/>
  <c r="AC3810" i="36"/>
  <c r="AC3633" i="36"/>
  <c r="AC3828" i="36"/>
  <c r="AC3772" i="36"/>
  <c r="AC3723" i="36"/>
  <c r="AC3739" i="36"/>
  <c r="AC3781" i="36"/>
  <c r="Z3733" i="36"/>
  <c r="Z3734" i="36" s="1"/>
  <c r="Q86" i="1" s="1"/>
  <c r="AC3715" i="36"/>
  <c r="AC3721" i="36"/>
  <c r="AB3743" i="36"/>
  <c r="AC3778" i="36"/>
  <c r="AC3764" i="36"/>
  <c r="AC3724" i="36"/>
  <c r="Z3740" i="36"/>
  <c r="Z3741" i="36" s="1"/>
  <c r="AC3741" i="36" s="1"/>
  <c r="AC3830" i="36"/>
  <c r="AC3837" i="36"/>
  <c r="AC3771" i="36"/>
  <c r="AC3820" i="36"/>
  <c r="AC3813" i="36"/>
  <c r="AC3819" i="36"/>
  <c r="Z3725" i="36"/>
  <c r="Z3726" i="36" s="1"/>
  <c r="AC3726" i="36" s="1"/>
  <c r="AC3763" i="36"/>
  <c r="AC3787" i="36"/>
  <c r="AC3779" i="36"/>
  <c r="AC3770" i="36"/>
  <c r="AC3713" i="36"/>
  <c r="AB3841" i="36"/>
  <c r="AC3682" i="36"/>
  <c r="AC3780" i="36"/>
  <c r="AC3773" i="36"/>
  <c r="AC3738" i="36"/>
  <c r="AC3527" i="36"/>
  <c r="AC3583" i="36"/>
  <c r="AC3577" i="36"/>
  <c r="AC3615" i="36"/>
  <c r="AC3811" i="36"/>
  <c r="AC3674" i="36"/>
  <c r="AB3792" i="36"/>
  <c r="Z3765" i="36"/>
  <c r="Z3766" i="36" s="1"/>
  <c r="AC3766" i="36" s="1"/>
  <c r="AC3788" i="36"/>
  <c r="Z3774" i="36"/>
  <c r="Z3775" i="36" s="1"/>
  <c r="AC3775" i="36" s="1"/>
  <c r="AC3528" i="36"/>
  <c r="AC3582" i="36"/>
  <c r="AC3616" i="36"/>
  <c r="AC3617" i="36"/>
  <c r="AC3761" i="36"/>
  <c r="Z3716" i="36"/>
  <c r="Z3717" i="36" s="1"/>
  <c r="AC3717" i="36" s="1"/>
  <c r="R68" i="1"/>
  <c r="AC3821" i="36"/>
  <c r="Z3635" i="36"/>
  <c r="Z3636" i="36" s="1"/>
  <c r="Q84" i="1" s="1"/>
  <c r="AC3690" i="36"/>
  <c r="AC3683" i="36"/>
  <c r="Z3789" i="36"/>
  <c r="Z3790" i="36" s="1"/>
  <c r="AC3790" i="36" s="1"/>
  <c r="Z3782" i="36"/>
  <c r="Z3783" i="36" s="1"/>
  <c r="Q87" i="1" s="1"/>
  <c r="AC3786" i="36"/>
  <c r="AC3517" i="36"/>
  <c r="Z3667" i="36"/>
  <c r="Z3668" i="36" s="1"/>
  <c r="AC3668" i="36" s="1"/>
  <c r="AC3541" i="36"/>
  <c r="AC3624" i="36"/>
  <c r="Z3642" i="36"/>
  <c r="Z3643" i="36" s="1"/>
  <c r="R84" i="1" s="1"/>
  <c r="AC3663" i="36"/>
  <c r="Z3823" i="36"/>
  <c r="Z3824" i="36" s="1"/>
  <c r="AC3824" i="36" s="1"/>
  <c r="AC3623" i="36"/>
  <c r="AC3688" i="36"/>
  <c r="AB3694" i="36"/>
  <c r="AC3664" i="36"/>
  <c r="Z3691" i="36"/>
  <c r="Z3692" i="36" s="1"/>
  <c r="R85" i="1" s="1"/>
  <c r="Z3676" i="36"/>
  <c r="Z3677" i="36" s="1"/>
  <c r="AC3677" i="36" s="1"/>
  <c r="Z3684" i="36"/>
  <c r="Z3685" i="36" s="1"/>
  <c r="Q85" i="1" s="1"/>
  <c r="AC3689" i="36"/>
  <c r="AC3672" i="36"/>
  <c r="AC3836" i="36"/>
  <c r="Z3831" i="36"/>
  <c r="Z3832" i="36" s="1"/>
  <c r="Q90" i="1" s="1"/>
  <c r="AC3631" i="36"/>
  <c r="AC3634" i="36"/>
  <c r="AC3632" i="36"/>
  <c r="AC3626" i="36"/>
  <c r="AC3639" i="36"/>
  <c r="AB3645" i="36"/>
  <c r="Z3627" i="36"/>
  <c r="Z3628" i="36" s="1"/>
  <c r="P84" i="1" s="1"/>
  <c r="AC3584" i="36"/>
  <c r="Z3593" i="36"/>
  <c r="Z3594" i="36" s="1"/>
  <c r="AC3594" i="36" s="1"/>
  <c r="Z3814" i="36"/>
  <c r="Z3815" i="36" s="1"/>
  <c r="AC3815" i="36" s="1"/>
  <c r="AC3591" i="36"/>
  <c r="AC3592" i="36"/>
  <c r="AC3574" i="36"/>
  <c r="Z3618" i="36"/>
  <c r="Z3619" i="36" s="1"/>
  <c r="AC3619" i="36" s="1"/>
  <c r="AC3641" i="36"/>
  <c r="AC3614" i="36"/>
  <c r="AC3533" i="36"/>
  <c r="AC3536" i="36"/>
  <c r="AC3519" i="36"/>
  <c r="AC3822" i="36"/>
  <c r="Z3838" i="36"/>
  <c r="Z3839" i="36" s="1"/>
  <c r="Z3586" i="36"/>
  <c r="Z3587" i="36" s="1"/>
  <c r="Q83" i="1" s="1"/>
  <c r="Z3569" i="36"/>
  <c r="Z3570" i="36" s="1"/>
  <c r="AC3570" i="36" s="1"/>
  <c r="AC3568" i="36"/>
  <c r="AC3565" i="36"/>
  <c r="AC3566" i="36"/>
  <c r="AC3590" i="36"/>
  <c r="AB3596" i="36"/>
  <c r="AC3567" i="36"/>
  <c r="AC3585" i="36"/>
  <c r="Z3578" i="36"/>
  <c r="Z3579" i="36" s="1"/>
  <c r="AC3579" i="36" s="1"/>
  <c r="AC3835" i="36"/>
  <c r="AC3534" i="36"/>
  <c r="Z3537" i="36"/>
  <c r="Z3538" i="36" s="1"/>
  <c r="AC3542" i="36"/>
  <c r="AC3516" i="36"/>
  <c r="AB3547" i="36"/>
  <c r="Z3529" i="36"/>
  <c r="Z3530" i="36" s="1"/>
  <c r="AC3530" i="36" s="1"/>
  <c r="Z3520" i="36"/>
  <c r="Z3521" i="36" s="1"/>
  <c r="AC3521" i="36" s="1"/>
  <c r="AC3526" i="36"/>
  <c r="Z3544" i="36"/>
  <c r="Z3545" i="36" s="1"/>
  <c r="R82" i="1" s="1"/>
  <c r="AC3525" i="36"/>
  <c r="AC3492" i="36"/>
  <c r="AC3477" i="36"/>
  <c r="AC3485" i="36"/>
  <c r="AC3479" i="36"/>
  <c r="AC3468" i="36"/>
  <c r="AC3493" i="36"/>
  <c r="AC3494" i="36"/>
  <c r="AC3470" i="36"/>
  <c r="AC3467" i="36"/>
  <c r="AC3486" i="36"/>
  <c r="Z3471" i="36"/>
  <c r="Z3472" i="36" s="1"/>
  <c r="AC3478" i="36"/>
  <c r="AB3498" i="36"/>
  <c r="Z3488" i="36"/>
  <c r="Z3489" i="36" s="1"/>
  <c r="Q81" i="1" s="1"/>
  <c r="Z3480" i="36"/>
  <c r="Z3481" i="36" s="1"/>
  <c r="AC3487" i="36"/>
  <c r="Z3495" i="36"/>
  <c r="Z3496" i="36" s="1"/>
  <c r="AC3476" i="36"/>
  <c r="AC3864" i="36"/>
  <c r="AC4559" i="36"/>
  <c r="AC3323" i="36"/>
  <c r="AC5478" i="36"/>
  <c r="AC2989" i="36"/>
  <c r="AC5049" i="36"/>
  <c r="AC980" i="36"/>
  <c r="AC2646" i="36"/>
  <c r="AC4207" i="36"/>
  <c r="AC4755" i="36"/>
  <c r="R57" i="1"/>
  <c r="Q470" i="35"/>
  <c r="O470" i="35"/>
  <c r="Z2320" i="36"/>
  <c r="AC2320" i="36" s="1"/>
  <c r="R94" i="1"/>
  <c r="AC4035" i="36"/>
  <c r="O668" i="35"/>
  <c r="Q668" i="35"/>
  <c r="O780" i="35"/>
  <c r="Q780" i="35"/>
  <c r="S49" i="1"/>
  <c r="Q740" i="35"/>
  <c r="O740" i="35"/>
  <c r="O746" i="35"/>
  <c r="O811" i="35"/>
  <c r="Q811" i="35"/>
  <c r="O677" i="35"/>
  <c r="Q677" i="35"/>
  <c r="Q631" i="35"/>
  <c r="O631" i="35"/>
  <c r="O609" i="35"/>
  <c r="Q609" i="35"/>
  <c r="Q502" i="35"/>
  <c r="O502" i="35"/>
  <c r="Y148" i="36"/>
  <c r="AB148" i="36" s="1"/>
  <c r="Y168" i="36"/>
  <c r="AB168" i="36" s="1"/>
  <c r="Y176" i="36"/>
  <c r="AB176" i="36" s="1"/>
  <c r="Z170" i="36"/>
  <c r="Z167" i="36"/>
  <c r="Y177" i="36"/>
  <c r="AB177" i="36" s="1"/>
  <c r="Z169" i="36"/>
  <c r="Z175" i="36"/>
  <c r="Y160" i="36"/>
  <c r="AB160" i="36" s="1"/>
  <c r="Y158" i="36"/>
  <c r="AB158" i="36" s="1"/>
  <c r="Z149" i="36"/>
  <c r="Y156" i="36"/>
  <c r="AB156" i="36" s="1"/>
  <c r="Y150" i="36"/>
  <c r="AB150" i="36" s="1"/>
  <c r="Y170" i="36"/>
  <c r="AB170" i="36" s="1"/>
  <c r="Z147" i="36"/>
  <c r="Y157" i="36"/>
  <c r="AB157" i="36" s="1"/>
  <c r="Z159" i="36"/>
  <c r="AB179" i="36"/>
  <c r="Y149" i="36"/>
  <c r="AB149" i="36" s="1"/>
  <c r="Y161" i="36"/>
  <c r="AB161" i="36" s="1"/>
  <c r="Y147" i="36"/>
  <c r="AB147" i="36" s="1"/>
  <c r="Z161" i="36"/>
  <c r="Z155" i="36"/>
  <c r="Y169" i="36"/>
  <c r="AB169" i="36" s="1"/>
  <c r="Z156" i="36"/>
  <c r="Z146" i="36"/>
  <c r="Y159" i="36"/>
  <c r="AB159" i="36" s="1"/>
  <c r="Z158" i="36"/>
  <c r="Y166" i="36"/>
  <c r="AB166" i="36" s="1"/>
  <c r="Z166" i="36"/>
  <c r="Z148" i="36"/>
  <c r="AB172" i="36"/>
  <c r="Z150" i="36"/>
  <c r="Y175" i="36"/>
  <c r="AB175" i="36" s="1"/>
  <c r="Z168" i="36"/>
  <c r="Z160" i="36"/>
  <c r="Y155" i="36"/>
  <c r="AB155" i="36" s="1"/>
  <c r="AB152" i="36"/>
  <c r="Z176" i="36"/>
  <c r="Z157" i="36"/>
  <c r="Z177" i="36"/>
  <c r="Y167" i="36"/>
  <c r="AB167" i="36" s="1"/>
  <c r="AB163" i="36"/>
  <c r="O860" i="35"/>
  <c r="AC3873" i="36"/>
  <c r="O669" i="35"/>
  <c r="Q669" i="35"/>
  <c r="Q743" i="35"/>
  <c r="O743" i="35"/>
  <c r="AC2661" i="36"/>
  <c r="R64" i="1"/>
  <c r="AC4354" i="36"/>
  <c r="Q625" i="35"/>
  <c r="O625" i="35"/>
  <c r="Q809" i="35"/>
  <c r="O809" i="35"/>
  <c r="O764" i="35"/>
  <c r="Q764" i="35"/>
  <c r="Q607" i="35"/>
  <c r="O607" i="35"/>
  <c r="Q476" i="35"/>
  <c r="O476" i="35"/>
  <c r="O637" i="35"/>
  <c r="Q637" i="35"/>
  <c r="R52" i="1"/>
  <c r="O857" i="35"/>
  <c r="Q857" i="35"/>
  <c r="Q578" i="35"/>
  <c r="O578" i="35"/>
  <c r="O664" i="35"/>
  <c r="Q664" i="35"/>
  <c r="Q628" i="35"/>
  <c r="AC2318" i="36"/>
  <c r="AC4648" i="36"/>
  <c r="O750" i="35"/>
  <c r="Q750" i="35"/>
  <c r="Q791" i="35"/>
  <c r="O791" i="35"/>
  <c r="Q627" i="35"/>
  <c r="O627" i="35"/>
  <c r="AB109" i="36"/>
  <c r="Y116" i="36"/>
  <c r="AB116" i="36" s="1"/>
  <c r="Z126" i="36"/>
  <c r="Y104" i="36"/>
  <c r="AB104" i="36" s="1"/>
  <c r="Z116" i="36"/>
  <c r="Y127" i="36"/>
  <c r="AB127" i="36" s="1"/>
  <c r="Z112" i="36"/>
  <c r="Y113" i="36"/>
  <c r="AB113" i="36" s="1"/>
  <c r="AB129" i="36"/>
  <c r="Z123" i="36"/>
  <c r="AB120" i="36"/>
  <c r="Z103" i="36"/>
  <c r="Y105" i="36"/>
  <c r="AB105" i="36" s="1"/>
  <c r="Z107" i="36"/>
  <c r="Y107" i="36"/>
  <c r="AB107" i="36" s="1"/>
  <c r="Y124" i="36"/>
  <c r="AB124" i="36" s="1"/>
  <c r="Z133" i="36"/>
  <c r="Z115" i="36"/>
  <c r="Y134" i="36"/>
  <c r="AB134" i="36" s="1"/>
  <c r="Z105" i="36"/>
  <c r="Z134" i="36"/>
  <c r="Z124" i="36"/>
  <c r="Z114" i="36"/>
  <c r="Z104" i="36"/>
  <c r="Z117" i="36"/>
  <c r="Y106" i="36"/>
  <c r="AB106" i="36" s="1"/>
  <c r="Y125" i="36"/>
  <c r="AB125" i="36" s="1"/>
  <c r="Y123" i="36"/>
  <c r="AB123" i="36" s="1"/>
  <c r="Z113" i="36"/>
  <c r="Z127" i="36"/>
  <c r="AB136" i="36"/>
  <c r="Y126" i="36"/>
  <c r="AB126" i="36" s="1"/>
  <c r="Z125" i="36"/>
  <c r="Y114" i="36"/>
  <c r="AB114" i="36" s="1"/>
  <c r="Y132" i="36"/>
  <c r="AB132" i="36" s="1"/>
  <c r="Y133" i="36"/>
  <c r="AB133" i="36" s="1"/>
  <c r="Z118" i="36"/>
  <c r="Z132" i="36"/>
  <c r="Y118" i="36"/>
  <c r="AB118" i="36" s="1"/>
  <c r="Y117" i="36"/>
  <c r="AB117" i="36" s="1"/>
  <c r="Y115" i="36"/>
  <c r="AB115" i="36" s="1"/>
  <c r="Y112" i="36"/>
  <c r="AB112" i="36" s="1"/>
  <c r="Z106" i="36"/>
  <c r="O670" i="35"/>
  <c r="Q670" i="35"/>
  <c r="AC3087" i="36"/>
  <c r="Q613" i="35"/>
  <c r="O613" i="35"/>
  <c r="Q654" i="35"/>
  <c r="O654" i="35"/>
  <c r="R127" i="1"/>
  <c r="AC3078" i="36"/>
  <c r="AC2171" i="36"/>
  <c r="Q608" i="35"/>
  <c r="O608" i="35"/>
  <c r="O735" i="35"/>
  <c r="Q735" i="35"/>
  <c r="O741" i="35"/>
  <c r="Q741" i="35"/>
  <c r="AC244" i="36"/>
  <c r="R75" i="1"/>
  <c r="R54" i="1"/>
  <c r="O119" i="35"/>
  <c r="Q119" i="35"/>
  <c r="AC3283" i="36"/>
  <c r="AC2000" i="36"/>
  <c r="Q751" i="35"/>
  <c r="O751" i="35"/>
  <c r="O612" i="35"/>
  <c r="Q612" i="35"/>
  <c r="O813" i="35"/>
  <c r="Q813" i="35"/>
  <c r="AC4991" i="36"/>
  <c r="R109" i="1"/>
  <c r="AC2009" i="36"/>
  <c r="Q737" i="35"/>
  <c r="O737" i="35"/>
  <c r="AC2588" i="36"/>
  <c r="AC2294" i="36"/>
  <c r="O321" i="35"/>
  <c r="Q321" i="35"/>
  <c r="R35" i="1"/>
  <c r="AC775" i="36"/>
  <c r="AC5187" i="36"/>
  <c r="R27" i="1"/>
  <c r="O484" i="35"/>
  <c r="Q484" i="35"/>
  <c r="Q759" i="35"/>
  <c r="O759" i="35"/>
  <c r="O734" i="35"/>
  <c r="Q734" i="35"/>
  <c r="Q474" i="35"/>
  <c r="O474" i="35"/>
  <c r="AC5294" i="36"/>
  <c r="AC1853" i="36"/>
  <c r="R116" i="1"/>
  <c r="S116" i="1" s="1"/>
  <c r="Z5017" i="36"/>
  <c r="Q742" i="35"/>
  <c r="O742" i="35"/>
  <c r="AC2637" i="36"/>
  <c r="Q709" i="35"/>
  <c r="O709" i="35"/>
  <c r="O662" i="35"/>
  <c r="Q662" i="35"/>
  <c r="O758" i="35"/>
  <c r="Q758" i="35"/>
  <c r="AC1608" i="36"/>
  <c r="AC5624" i="36"/>
  <c r="AC5015" i="36"/>
  <c r="AC4118" i="36"/>
  <c r="O854" i="35"/>
  <c r="Q854" i="35"/>
  <c r="Q765" i="35"/>
  <c r="O765" i="35"/>
  <c r="O853" i="35"/>
  <c r="Q853" i="35"/>
  <c r="O663" i="35"/>
  <c r="Q663" i="35"/>
  <c r="Q634" i="35"/>
  <c r="O634" i="35"/>
  <c r="R39" i="1"/>
  <c r="Q858" i="35"/>
  <c r="O858" i="35"/>
  <c r="Q658" i="35"/>
  <c r="O658" i="35"/>
  <c r="R105" i="1"/>
  <c r="S105" i="1" s="1"/>
  <c r="Z4576" i="36"/>
  <c r="AC4576" i="36" s="1"/>
  <c r="R97" i="1"/>
  <c r="AC3962" i="36"/>
  <c r="Q477" i="35"/>
  <c r="O477" i="35"/>
  <c r="AC1363" i="36"/>
  <c r="Z2026" i="36"/>
  <c r="O823" i="35"/>
  <c r="Q823" i="35"/>
  <c r="Q469" i="35"/>
  <c r="O469" i="35"/>
  <c r="O736" i="35"/>
  <c r="Q736" i="35"/>
  <c r="Q814" i="35"/>
  <c r="O814" i="35"/>
  <c r="AC1216" i="36"/>
  <c r="O639" i="35"/>
  <c r="Q639" i="35"/>
  <c r="Q577" i="35"/>
  <c r="O577" i="35"/>
  <c r="AC1338" i="36"/>
  <c r="R78" i="1"/>
  <c r="R79" i="1"/>
  <c r="Q752" i="35"/>
  <c r="O752" i="35"/>
  <c r="O387" i="35"/>
  <c r="Q387" i="35"/>
  <c r="O647" i="35"/>
  <c r="Q647" i="35"/>
  <c r="AC2147" i="36"/>
  <c r="O644" i="35"/>
  <c r="Q644" i="35"/>
  <c r="AC5501" i="36"/>
  <c r="R128" i="1"/>
  <c r="S128" i="1" s="1"/>
  <c r="Z5503" i="36"/>
  <c r="Q642" i="35"/>
  <c r="O642" i="35"/>
  <c r="Q676" i="35"/>
  <c r="O676" i="35"/>
  <c r="Q678" i="35"/>
  <c r="O678" i="35"/>
  <c r="AC5432" i="36"/>
  <c r="Q808" i="35"/>
  <c r="O808" i="35"/>
  <c r="Q799" i="35"/>
  <c r="O739" i="35"/>
  <c r="Q739" i="35"/>
  <c r="AC4109" i="36"/>
  <c r="AC1617" i="36" l="1"/>
  <c r="Q821" i="35"/>
  <c r="AC1323" i="36"/>
  <c r="AC1902" i="36"/>
  <c r="AC4329" i="36"/>
  <c r="Q501" i="35"/>
  <c r="Z2663" i="36"/>
  <c r="Q392" i="35"/>
  <c r="AC5490" i="36"/>
  <c r="Q475" i="35"/>
  <c r="AC882" i="36"/>
  <c r="AC5526" i="36"/>
  <c r="S74" i="1"/>
  <c r="Z1046" i="36"/>
  <c r="Z1049" i="36" s="1"/>
  <c r="Q865" i="35"/>
  <c r="AC4231" i="36"/>
  <c r="AC5147" i="36"/>
  <c r="Q464" i="35"/>
  <c r="AC1387" i="36"/>
  <c r="AC1470" i="36"/>
  <c r="Q638" i="35"/>
  <c r="AC1804" i="36"/>
  <c r="Z3890" i="36"/>
  <c r="AC3890" i="36" s="1"/>
  <c r="R121" i="1"/>
  <c r="S121" i="1" s="1"/>
  <c r="AC4461" i="36"/>
  <c r="AC3136" i="36"/>
  <c r="O779" i="35"/>
  <c r="AC1020" i="36"/>
  <c r="S64" i="1"/>
  <c r="AC3332" i="36"/>
  <c r="AC1510" i="36"/>
  <c r="R44" i="1"/>
  <c r="AC1632" i="36"/>
  <c r="R129" i="1"/>
  <c r="S129" i="1" s="1"/>
  <c r="AC833" i="36"/>
  <c r="AC2735" i="36"/>
  <c r="AC2539" i="36"/>
  <c r="AC2759" i="36"/>
  <c r="Q606" i="35"/>
  <c r="Q388" i="35"/>
  <c r="O815" i="35"/>
  <c r="AC1142" i="36"/>
  <c r="Q713" i="35"/>
  <c r="AC1559" i="36"/>
  <c r="AC784" i="36"/>
  <c r="Z3349" i="36"/>
  <c r="AC3349" i="36" s="1"/>
  <c r="Q623" i="35"/>
  <c r="R65" i="1"/>
  <c r="S65" i="1" s="1"/>
  <c r="AC3127" i="36"/>
  <c r="S78" i="1"/>
  <c r="AC677" i="36"/>
  <c r="AC1069" i="36"/>
  <c r="R63" i="1"/>
  <c r="S63" i="1" s="1"/>
  <c r="AC2931" i="36"/>
  <c r="AC204" i="36"/>
  <c r="Z3153" i="36"/>
  <c r="AC3153" i="36" s="1"/>
  <c r="AC1706" i="36"/>
  <c r="AC5138" i="36"/>
  <c r="Q611" i="35"/>
  <c r="S39" i="1"/>
  <c r="AC4158" i="36"/>
  <c r="R102" i="1"/>
  <c r="S102" i="1" s="1"/>
  <c r="Q661" i="35"/>
  <c r="AC2793" i="36"/>
  <c r="R101" i="1"/>
  <c r="S101" i="1" s="1"/>
  <c r="AC3249" i="36"/>
  <c r="AC1519" i="36"/>
  <c r="O11" i="35"/>
  <c r="AC3417" i="36"/>
  <c r="S80" i="1"/>
  <c r="AC726" i="36"/>
  <c r="R103" i="1"/>
  <c r="S103" i="1" s="1"/>
  <c r="O782" i="35"/>
  <c r="AC3004" i="36"/>
  <c r="R11" i="1"/>
  <c r="AC2548" i="36"/>
  <c r="Z4478" i="36"/>
  <c r="AC4478" i="36" s="1"/>
  <c r="AC5245" i="36"/>
  <c r="AC1044" i="36"/>
  <c r="AC5633" i="36"/>
  <c r="Z4184" i="36"/>
  <c r="AC4184" i="36" s="1"/>
  <c r="AC922" i="36"/>
  <c r="AC2695" i="36"/>
  <c r="AC4167" i="36"/>
  <c r="AC4452" i="36"/>
  <c r="O503" i="35"/>
  <c r="AC3274" i="36"/>
  <c r="AC3186" i="36"/>
  <c r="S97" i="1"/>
  <c r="AC686" i="36"/>
  <c r="AC3225" i="36"/>
  <c r="AC3235" i="36"/>
  <c r="R47" i="1"/>
  <c r="S47" i="1" s="1"/>
  <c r="R130" i="1"/>
  <c r="Q722" i="35"/>
  <c r="AC1265" i="36"/>
  <c r="O866" i="35"/>
  <c r="Q648" i="35"/>
  <c r="AC2352" i="36"/>
  <c r="AC5343" i="36"/>
  <c r="AC2450" i="36"/>
  <c r="R20" i="1"/>
  <c r="AC931" i="36"/>
  <c r="AC2405" i="36"/>
  <c r="R69" i="1"/>
  <c r="AC5285" i="36"/>
  <c r="R34" i="1"/>
  <c r="S34" i="1" s="1"/>
  <c r="AC149" i="36"/>
  <c r="P94" i="1"/>
  <c r="AC1911" i="36"/>
  <c r="AC4265" i="36"/>
  <c r="AC1421" i="36"/>
  <c r="AC3643" i="36"/>
  <c r="AC532" i="36"/>
  <c r="R92" i="1"/>
  <c r="Q626" i="35"/>
  <c r="AC1127" i="36"/>
  <c r="R61" i="1"/>
  <c r="S61" i="1" s="1"/>
  <c r="Z1536" i="36"/>
  <c r="AC1536" i="36" s="1"/>
  <c r="AC3381" i="36"/>
  <c r="AC1813" i="36"/>
  <c r="AC2205" i="36"/>
  <c r="AC1118" i="36"/>
  <c r="O354" i="35"/>
  <c r="Q354" i="35"/>
  <c r="Q394" i="35"/>
  <c r="O394" i="35"/>
  <c r="AC4902" i="36"/>
  <c r="AC4893" i="36"/>
  <c r="O112" i="1"/>
  <c r="AC4917" i="36"/>
  <c r="R112" i="1"/>
  <c r="Z4919" i="36"/>
  <c r="R111" i="1"/>
  <c r="S111" i="1" s="1"/>
  <c r="R124" i="1"/>
  <c r="R123" i="1"/>
  <c r="Q538" i="35"/>
  <c r="O538" i="35"/>
  <c r="Q537" i="35"/>
  <c r="O537" i="35"/>
  <c r="AC4844" i="36"/>
  <c r="AC4795" i="36"/>
  <c r="R110" i="1"/>
  <c r="Z4821" i="36"/>
  <c r="AC4821" i="36" s="1"/>
  <c r="Z5409" i="36"/>
  <c r="Z5413" i="36" s="1"/>
  <c r="Z5360" i="36"/>
  <c r="AC5360" i="36" s="1"/>
  <c r="AC5392" i="36"/>
  <c r="P110" i="1"/>
  <c r="AC4804" i="36"/>
  <c r="AC4853" i="36"/>
  <c r="Z4870" i="36"/>
  <c r="Q472" i="35"/>
  <c r="R25" i="1"/>
  <c r="O462" i="35"/>
  <c r="AC5089" i="36"/>
  <c r="R33" i="1"/>
  <c r="AC4951" i="36"/>
  <c r="O807" i="35"/>
  <c r="Z948" i="36"/>
  <c r="AC948" i="36" s="1"/>
  <c r="S41" i="1"/>
  <c r="AC1274" i="36"/>
  <c r="S96" i="1"/>
  <c r="AC2940" i="36"/>
  <c r="S27" i="1"/>
  <c r="AC3176" i="36"/>
  <c r="Q810" i="35"/>
  <c r="AC1412" i="36"/>
  <c r="S55" i="1"/>
  <c r="AC4216" i="36"/>
  <c r="AC3922" i="36"/>
  <c r="AC628" i="36"/>
  <c r="AC5575" i="36"/>
  <c r="R40" i="1"/>
  <c r="S40" i="1" s="1"/>
  <c r="AC3971" i="36"/>
  <c r="AC4412" i="36"/>
  <c r="Q461" i="35"/>
  <c r="O466" i="35"/>
  <c r="Z1585" i="36"/>
  <c r="Z1589" i="36" s="1"/>
  <c r="R23" i="1"/>
  <c r="Z1830" i="36"/>
  <c r="AC1830" i="36" s="1"/>
  <c r="Q863" i="35"/>
  <c r="AC1568" i="36"/>
  <c r="AC3888" i="36"/>
  <c r="AC1372" i="36"/>
  <c r="O318" i="35"/>
  <c r="AC580" i="36"/>
  <c r="S76" i="1"/>
  <c r="O531" i="35"/>
  <c r="Q531" i="35"/>
  <c r="O530" i="35"/>
  <c r="Q530" i="35"/>
  <c r="O665" i="35"/>
  <c r="S109" i="1"/>
  <c r="Z4135" i="36"/>
  <c r="Z4138" i="36" s="1"/>
  <c r="O778" i="35"/>
  <c r="S136" i="1"/>
  <c r="Z5895" i="36"/>
  <c r="AC5895" i="36" s="1"/>
  <c r="AC5869" i="36"/>
  <c r="AC5927" i="36"/>
  <c r="AC5878" i="36"/>
  <c r="AC4746" i="36"/>
  <c r="AC1755" i="36"/>
  <c r="AC1862" i="36"/>
  <c r="AC5820" i="36"/>
  <c r="R135" i="1"/>
  <c r="S135" i="1" s="1"/>
  <c r="Z5944" i="36"/>
  <c r="R137" i="1"/>
  <c r="S137" i="1" s="1"/>
  <c r="Z3203" i="36"/>
  <c r="AC3203" i="36" s="1"/>
  <c r="O393" i="35"/>
  <c r="R60" i="1"/>
  <c r="S60" i="1" s="1"/>
  <c r="S75" i="1"/>
  <c r="Q650" i="35"/>
  <c r="Q861" i="35"/>
  <c r="Z5846" i="36"/>
  <c r="AC5829" i="36"/>
  <c r="Q460" i="35"/>
  <c r="R117" i="1"/>
  <c r="S117" i="1" s="1"/>
  <c r="Q712" i="35"/>
  <c r="AC2122" i="36"/>
  <c r="R91" i="1"/>
  <c r="S91" i="1" s="1"/>
  <c r="R45" i="1"/>
  <c r="S45" i="1" s="1"/>
  <c r="Z1928" i="36"/>
  <c r="Z1931" i="36" s="1"/>
  <c r="O225" i="35"/>
  <c r="R120" i="1"/>
  <c r="S120" i="1" s="1"/>
  <c r="Q482" i="35"/>
  <c r="AC2744" i="36"/>
  <c r="R106" i="1"/>
  <c r="S106" i="1" s="1"/>
  <c r="Z1242" i="36"/>
  <c r="Z1245" i="36" s="1"/>
  <c r="AC5697" i="36"/>
  <c r="AC4525" i="36"/>
  <c r="AC2490" i="36"/>
  <c r="AC1960" i="36"/>
  <c r="AC2597" i="36"/>
  <c r="S66" i="1"/>
  <c r="Z5650" i="36"/>
  <c r="Z5654" i="36" s="1"/>
  <c r="AC1657" i="36"/>
  <c r="AC4069" i="36"/>
  <c r="Q771" i="35"/>
  <c r="O771" i="35"/>
  <c r="Q766" i="35"/>
  <c r="O766" i="35"/>
  <c r="Z752" i="36"/>
  <c r="AC752" i="36" s="1"/>
  <c r="AC2441" i="36"/>
  <c r="Q862" i="35"/>
  <c r="AC4314" i="36"/>
  <c r="AC4133" i="36"/>
  <c r="AC2245" i="36"/>
  <c r="AC799" i="36"/>
  <c r="R28" i="1"/>
  <c r="AC4501" i="36"/>
  <c r="S54" i="1"/>
  <c r="Z2516" i="36"/>
  <c r="AC2516" i="36" s="1"/>
  <c r="Q610" i="35"/>
  <c r="Q355" i="35"/>
  <c r="AC3986" i="36"/>
  <c r="Z3988" i="36"/>
  <c r="Z3992" i="36" s="1"/>
  <c r="Z4233" i="36"/>
  <c r="Z4236" i="36" s="1"/>
  <c r="R115" i="1"/>
  <c r="S115" i="1" s="1"/>
  <c r="Z2271" i="36"/>
  <c r="AC2271" i="36" s="1"/>
  <c r="Z1781" i="36"/>
  <c r="AC1781" i="36" s="1"/>
  <c r="S98" i="1"/>
  <c r="Z4331" i="36"/>
  <c r="AC4331" i="36" s="1"/>
  <c r="S100" i="1"/>
  <c r="AC4084" i="36"/>
  <c r="R119" i="1"/>
  <c r="S119" i="1" s="1"/>
  <c r="R12" i="1"/>
  <c r="S12" i="1" s="1"/>
  <c r="Z1732" i="36"/>
  <c r="AC1732" i="36" s="1"/>
  <c r="Z4772" i="36"/>
  <c r="AC4772" i="36" s="1"/>
  <c r="Z2467" i="36"/>
  <c r="Z2470" i="36" s="1"/>
  <c r="Z2761" i="36"/>
  <c r="Z2764" i="36" s="1"/>
  <c r="AC1029" i="36"/>
  <c r="Z1634" i="36"/>
  <c r="AC1634" i="36" s="1"/>
  <c r="S29" i="1"/>
  <c r="O624" i="35"/>
  <c r="AC2686" i="36"/>
  <c r="AC2833" i="36"/>
  <c r="Z2908" i="36"/>
  <c r="Z2912" i="36" s="1"/>
  <c r="Z3251" i="36"/>
  <c r="AC3251" i="36" s="1"/>
  <c r="AC1176" i="36"/>
  <c r="AC5040" i="36"/>
  <c r="Z3398" i="36"/>
  <c r="AC3398" i="36" s="1"/>
  <c r="AC2254" i="36"/>
  <c r="AC2882" i="36"/>
  <c r="Z1291" i="36"/>
  <c r="Z1296" i="36" s="1"/>
  <c r="Z1297" i="36" s="1"/>
  <c r="Z2222" i="36"/>
  <c r="Z2225" i="36" s="1"/>
  <c r="P69" i="1"/>
  <c r="AC2220" i="36"/>
  <c r="R53" i="1"/>
  <c r="R46" i="1"/>
  <c r="S46" i="1" s="1"/>
  <c r="Z4037" i="36"/>
  <c r="Z4041" i="36" s="1"/>
  <c r="R73" i="1"/>
  <c r="S73" i="1" s="1"/>
  <c r="O126" i="1"/>
  <c r="O465" i="35"/>
  <c r="AC340" i="36"/>
  <c r="AC2343" i="36"/>
  <c r="Q126" i="1"/>
  <c r="O53" i="1"/>
  <c r="AC2196" i="36"/>
  <c r="Q114" i="1"/>
  <c r="S19" i="1"/>
  <c r="AC2784" i="36"/>
  <c r="Z2859" i="36"/>
  <c r="AC2859" i="36" s="1"/>
  <c r="Z557" i="36"/>
  <c r="Z560" i="36" s="1"/>
  <c r="AC1764" i="36"/>
  <c r="S44" i="1"/>
  <c r="S79" i="1"/>
  <c r="Z850" i="36"/>
  <c r="Z854" i="36" s="1"/>
  <c r="Z5262" i="36"/>
  <c r="Z5266" i="36" s="1"/>
  <c r="Z2369" i="36"/>
  <c r="Z2373" i="36" s="1"/>
  <c r="Z5115" i="36"/>
  <c r="AC5115" i="36" s="1"/>
  <c r="AC1666" i="36"/>
  <c r="AC3029" i="36"/>
  <c r="AC253" i="36"/>
  <c r="AC2499" i="36"/>
  <c r="O528" i="35"/>
  <c r="Z3450" i="36"/>
  <c r="AC3450" i="36" s="1"/>
  <c r="R99" i="1"/>
  <c r="S99" i="1" s="1"/>
  <c r="AC2107" i="36"/>
  <c r="Q819" i="35"/>
  <c r="AC3438" i="36"/>
  <c r="AC1167" i="36"/>
  <c r="AC5196" i="36"/>
  <c r="AC555" i="36"/>
  <c r="Z2614" i="36"/>
  <c r="Z2619" i="36" s="1"/>
  <c r="Z2620" i="36" s="1"/>
  <c r="AC5098" i="36"/>
  <c r="P68" i="1"/>
  <c r="S68" i="1" s="1"/>
  <c r="P23" i="1"/>
  <c r="AC735" i="36"/>
  <c r="R56" i="1"/>
  <c r="S56" i="1" s="1"/>
  <c r="Z2124" i="36"/>
  <c r="Z2127" i="36" s="1"/>
  <c r="Z4429" i="36"/>
  <c r="Z4432" i="36" s="1"/>
  <c r="Z3939" i="36"/>
  <c r="Z3944" i="36" s="1"/>
  <c r="Z3945" i="36" s="1"/>
  <c r="Z2810" i="36"/>
  <c r="Z2813" i="36" s="1"/>
  <c r="Z801" i="36"/>
  <c r="AC801" i="36" s="1"/>
  <c r="AC4403" i="36"/>
  <c r="O94" i="1"/>
  <c r="P114" i="1"/>
  <c r="AC4305" i="36"/>
  <c r="P130" i="1"/>
  <c r="P126" i="1" s="1"/>
  <c r="Z269" i="36"/>
  <c r="AC269" i="36" s="1"/>
  <c r="R118" i="1"/>
  <c r="S118" i="1" s="1"/>
  <c r="AC484" i="36"/>
  <c r="Z5213" i="36"/>
  <c r="Z5218" i="36" s="1"/>
  <c r="Z5219" i="36" s="1"/>
  <c r="Z5311" i="36"/>
  <c r="Z5316" i="36" s="1"/>
  <c r="Z5317" i="36" s="1"/>
  <c r="S24" i="1"/>
  <c r="S67" i="1"/>
  <c r="Z605" i="36"/>
  <c r="Z608" i="36" s="1"/>
  <c r="O529" i="35"/>
  <c r="S77" i="1"/>
  <c r="AC3298" i="36"/>
  <c r="Q74" i="35"/>
  <c r="O74" i="35"/>
  <c r="Z1879" i="36"/>
  <c r="Z1882" i="36" s="1"/>
  <c r="AC4510" i="36"/>
  <c r="Z5552" i="36"/>
  <c r="AC5552" i="36" s="1"/>
  <c r="Z4527" i="36"/>
  <c r="Z4530" i="36" s="1"/>
  <c r="Z5066" i="36"/>
  <c r="AC5066" i="36" s="1"/>
  <c r="O761" i="35"/>
  <c r="R122" i="1"/>
  <c r="S122" i="1" s="1"/>
  <c r="Z2712" i="36"/>
  <c r="Z2715" i="36" s="1"/>
  <c r="O57" i="1"/>
  <c r="S57" i="1" s="1"/>
  <c r="Q371" i="35"/>
  <c r="AC493" i="36"/>
  <c r="S51" i="1"/>
  <c r="Z5164" i="36"/>
  <c r="Z5168" i="36" s="1"/>
  <c r="Q749" i="35"/>
  <c r="AC3372" i="36"/>
  <c r="O680" i="35"/>
  <c r="S104" i="1"/>
  <c r="Q629" i="35"/>
  <c r="R16" i="1"/>
  <c r="S16" i="1" s="1"/>
  <c r="Z997" i="36"/>
  <c r="Z1001" i="36" s="1"/>
  <c r="AC4599" i="36"/>
  <c r="R134" i="1"/>
  <c r="S134" i="1" s="1"/>
  <c r="O788" i="35"/>
  <c r="Z4625" i="36"/>
  <c r="Z4629" i="36" s="1"/>
  <c r="AC4363" i="36"/>
  <c r="AC1951" i="36"/>
  <c r="Z899" i="36"/>
  <c r="Z902" i="36" s="1"/>
  <c r="AC1730" i="36"/>
  <c r="AC897" i="36"/>
  <c r="AC3913" i="36"/>
  <c r="AC1715" i="36"/>
  <c r="R107" i="1"/>
  <c r="Z4968" i="36"/>
  <c r="Z4973" i="36" s="1"/>
  <c r="Z4974" i="36" s="1"/>
  <c r="Z221" i="36"/>
  <c r="Z224" i="36" s="1"/>
  <c r="S43" i="1"/>
  <c r="Z4674" i="36"/>
  <c r="Z4678" i="36" s="1"/>
  <c r="O363" i="35"/>
  <c r="AC195" i="36"/>
  <c r="S26" i="1"/>
  <c r="Z1683" i="36"/>
  <c r="AC1683" i="36" s="1"/>
  <c r="R21" i="1"/>
  <c r="S21" i="1" s="1"/>
  <c r="AC873" i="36"/>
  <c r="Z4282" i="36"/>
  <c r="AC4282" i="36" s="1"/>
  <c r="Z3300" i="36"/>
  <c r="AC3300" i="36" s="1"/>
  <c r="Z2418" i="36"/>
  <c r="Z2423" i="36" s="1"/>
  <c r="Z2424" i="36" s="1"/>
  <c r="AC5673" i="36"/>
  <c r="S48" i="1"/>
  <c r="Z509" i="36"/>
  <c r="AC509" i="36" s="1"/>
  <c r="AC3038" i="36"/>
  <c r="R50" i="1"/>
  <c r="S50" i="1" s="1"/>
  <c r="Q94" i="1"/>
  <c r="Q89" i="1" s="1"/>
  <c r="Y46" i="36"/>
  <c r="J220" i="35" s="1"/>
  <c r="K220" i="35" s="1"/>
  <c r="Q551" i="35"/>
  <c r="O551" i="35"/>
  <c r="Q550" i="35"/>
  <c r="O550" i="35"/>
  <c r="AC4256" i="36"/>
  <c r="AC4608" i="36"/>
  <c r="AC2808" i="36"/>
  <c r="Y41" i="36"/>
  <c r="AB41" i="36" s="1"/>
  <c r="Z365" i="36"/>
  <c r="Z370" i="36" s="1"/>
  <c r="Z371" i="36" s="1"/>
  <c r="AC4942" i="36"/>
  <c r="Z5601" i="36"/>
  <c r="Z5605" i="36" s="1"/>
  <c r="O25" i="1"/>
  <c r="AC1314" i="36"/>
  <c r="AC5236" i="36"/>
  <c r="AC5535" i="36"/>
  <c r="AC541" i="36"/>
  <c r="AC2098" i="36"/>
  <c r="AC589" i="36"/>
  <c r="AC5771" i="36"/>
  <c r="S20" i="1"/>
  <c r="AC5731" i="36"/>
  <c r="AC5780" i="36"/>
  <c r="Z5797" i="36"/>
  <c r="Z5748" i="36"/>
  <c r="R133" i="1"/>
  <c r="S133" i="1" s="1"/>
  <c r="AC5746" i="36"/>
  <c r="AC5722" i="36"/>
  <c r="P107" i="1"/>
  <c r="AC4657" i="36"/>
  <c r="P33" i="1"/>
  <c r="AC1225" i="36"/>
  <c r="AC5648" i="36"/>
  <c r="R131" i="1"/>
  <c r="S131" i="1" s="1"/>
  <c r="Z46" i="36"/>
  <c r="Y47" i="36"/>
  <c r="AB47" i="36" s="1"/>
  <c r="R30" i="1"/>
  <c r="S30" i="1" s="1"/>
  <c r="Q9" i="1"/>
  <c r="Z3006" i="36"/>
  <c r="Z3009" i="36" s="1"/>
  <c r="AC5682" i="36"/>
  <c r="AC701" i="36"/>
  <c r="Z5699" i="36"/>
  <c r="AC5699" i="36" s="1"/>
  <c r="Z1340" i="36"/>
  <c r="Z1345" i="36" s="1"/>
  <c r="Z1346" i="36" s="1"/>
  <c r="Z28" i="36"/>
  <c r="Y39" i="36"/>
  <c r="J115" i="35" s="1"/>
  <c r="K115" i="35" s="1"/>
  <c r="Y38" i="36"/>
  <c r="AB38" i="36" s="1"/>
  <c r="Z29" i="36"/>
  <c r="S127" i="1"/>
  <c r="S35" i="1"/>
  <c r="Z18" i="36"/>
  <c r="Y26" i="36"/>
  <c r="AB26" i="36" s="1"/>
  <c r="Y30" i="36"/>
  <c r="AB30" i="36" s="1"/>
  <c r="Z27" i="36"/>
  <c r="Z40" i="36"/>
  <c r="Z17" i="36"/>
  <c r="K10" i="35" s="1"/>
  <c r="Z37" i="36"/>
  <c r="Z39" i="36"/>
  <c r="O71" i="1"/>
  <c r="S71" i="1" s="1"/>
  <c r="Z5458" i="36"/>
  <c r="Z5463" i="36" s="1"/>
  <c r="Z5464" i="36" s="1"/>
  <c r="Z4380" i="36"/>
  <c r="AC4380" i="36" s="1"/>
  <c r="AC5441" i="36"/>
  <c r="Q364" i="35"/>
  <c r="Z3104" i="36"/>
  <c r="AC3104" i="36" s="1"/>
  <c r="S132" i="1"/>
  <c r="S36" i="1"/>
  <c r="AB43" i="36"/>
  <c r="Z47" i="36"/>
  <c r="Y31" i="36"/>
  <c r="AB31" i="36" s="1"/>
  <c r="Z30" i="36"/>
  <c r="Z31" i="36"/>
  <c r="O219" i="35"/>
  <c r="Z1095" i="36"/>
  <c r="Z1100" i="36" s="1"/>
  <c r="Z1101" i="36" s="1"/>
  <c r="AC349" i="36"/>
  <c r="AB50" i="36"/>
  <c r="Z20" i="36"/>
  <c r="Z48" i="36"/>
  <c r="Y21" i="36"/>
  <c r="AB21" i="36" s="1"/>
  <c r="Z38" i="36"/>
  <c r="Y29" i="36"/>
  <c r="J335" i="35" s="1"/>
  <c r="K335" i="35" s="1"/>
  <c r="Y20" i="36"/>
  <c r="AB20" i="36" s="1"/>
  <c r="Y28" i="36"/>
  <c r="AB28" i="36" s="1"/>
  <c r="Y48" i="36"/>
  <c r="AB48" i="36" s="1"/>
  <c r="Y27" i="36"/>
  <c r="AB27" i="36" s="1"/>
  <c r="Z19" i="36"/>
  <c r="Z4723" i="36"/>
  <c r="AC4723" i="36" s="1"/>
  <c r="Z32" i="36"/>
  <c r="AB34" i="36"/>
  <c r="Y32" i="36"/>
  <c r="AB32" i="36" s="1"/>
  <c r="AB23" i="36"/>
  <c r="Y40" i="36"/>
  <c r="AB40" i="36" s="1"/>
  <c r="Y19" i="36"/>
  <c r="AB19" i="36" s="1"/>
  <c r="Y18" i="36"/>
  <c r="J17" i="35" s="1"/>
  <c r="K17" i="35" s="1"/>
  <c r="Z21" i="36"/>
  <c r="Z26" i="36"/>
  <c r="Z41" i="36"/>
  <c r="Z3055" i="36"/>
  <c r="Z3059" i="36" s="1"/>
  <c r="AC4706" i="36"/>
  <c r="AC436" i="36"/>
  <c r="AC459" i="36"/>
  <c r="AC2156" i="36"/>
  <c r="Q527" i="35"/>
  <c r="O527" i="35"/>
  <c r="Q772" i="35"/>
  <c r="O772" i="35"/>
  <c r="AC411" i="36"/>
  <c r="R14" i="1"/>
  <c r="AC388" i="36"/>
  <c r="O14" i="1"/>
  <c r="S15" i="1"/>
  <c r="O95" i="1"/>
  <c r="S95" i="1" s="1"/>
  <c r="S22" i="1"/>
  <c r="Z413" i="36"/>
  <c r="Z417" i="36" s="1"/>
  <c r="Z461" i="36"/>
  <c r="Z466" i="36" s="1"/>
  <c r="Z467" i="36" s="1"/>
  <c r="AC445" i="36"/>
  <c r="AC397" i="36"/>
  <c r="P9" i="1"/>
  <c r="Z1977" i="36"/>
  <c r="AC1977" i="36" s="1"/>
  <c r="Z317" i="36"/>
  <c r="AC317" i="36" s="1"/>
  <c r="AC301" i="36"/>
  <c r="R42" i="1"/>
  <c r="S42" i="1" s="1"/>
  <c r="Z1389" i="36"/>
  <c r="Z1392" i="36" s="1"/>
  <c r="AC292" i="36"/>
  <c r="AC1078" i="36"/>
  <c r="O28" i="1"/>
  <c r="AC971" i="36"/>
  <c r="O14" i="35"/>
  <c r="Z703" i="36"/>
  <c r="Z707" i="36" s="1"/>
  <c r="Q143" i="35"/>
  <c r="AC1975" i="36"/>
  <c r="R10" i="1"/>
  <c r="S10" i="1" s="1"/>
  <c r="AC219" i="36"/>
  <c r="R72" i="1"/>
  <c r="S72" i="1" s="1"/>
  <c r="Z4086" i="36"/>
  <c r="AC4086" i="36" s="1"/>
  <c r="Z1144" i="36"/>
  <c r="AC1144" i="36" s="1"/>
  <c r="Z2565" i="36"/>
  <c r="AC2565" i="36" s="1"/>
  <c r="Q226" i="35"/>
  <c r="Z1193" i="36"/>
  <c r="AC1193" i="36" s="1"/>
  <c r="Q141" i="35"/>
  <c r="O141" i="35"/>
  <c r="Q800" i="35"/>
  <c r="O800" i="35"/>
  <c r="S31" i="1"/>
  <c r="Z1438" i="36"/>
  <c r="Z1442" i="36" s="1"/>
  <c r="R37" i="1"/>
  <c r="S37" i="1" s="1"/>
  <c r="S52" i="1"/>
  <c r="Q18" i="1"/>
  <c r="Z1487" i="36"/>
  <c r="AC1487" i="36" s="1"/>
  <c r="S32" i="1"/>
  <c r="R38" i="1"/>
  <c r="R62" i="1"/>
  <c r="S62" i="1" s="1"/>
  <c r="AC1191" i="36"/>
  <c r="Z2957" i="36"/>
  <c r="AC2957" i="36" s="1"/>
  <c r="AC637" i="36"/>
  <c r="AC2058" i="36"/>
  <c r="AC2955" i="36"/>
  <c r="R70" i="1"/>
  <c r="S70" i="1" s="1"/>
  <c r="AC4697" i="36"/>
  <c r="S108" i="1"/>
  <c r="AC363" i="36"/>
  <c r="R13" i="1"/>
  <c r="S13" i="1" s="1"/>
  <c r="O38" i="1"/>
  <c r="AC1461" i="36"/>
  <c r="AC2049" i="36"/>
  <c r="Z2173" i="36"/>
  <c r="AC2173" i="36" s="1"/>
  <c r="Z2075" i="36"/>
  <c r="AC2075" i="36" s="1"/>
  <c r="Z654" i="36"/>
  <c r="AC654" i="36" s="1"/>
  <c r="R86" i="1"/>
  <c r="O143" i="35"/>
  <c r="Q873" i="35"/>
  <c r="O873" i="35"/>
  <c r="O872" i="35"/>
  <c r="Q872" i="35"/>
  <c r="O838" i="35"/>
  <c r="Q838" i="35"/>
  <c r="Q870" i="35"/>
  <c r="O870" i="35"/>
  <c r="Q869" i="35"/>
  <c r="O869" i="35"/>
  <c r="Q868" i="35"/>
  <c r="O868" i="35"/>
  <c r="O87" i="1"/>
  <c r="O86" i="1"/>
  <c r="R83" i="1"/>
  <c r="Q856" i="35"/>
  <c r="O856" i="35"/>
  <c r="O855" i="35"/>
  <c r="Q855" i="35"/>
  <c r="S92" i="1"/>
  <c r="P85" i="1"/>
  <c r="P86" i="1"/>
  <c r="P87" i="1"/>
  <c r="P90" i="1"/>
  <c r="R87" i="1"/>
  <c r="O84" i="1"/>
  <c r="S84" i="1" s="1"/>
  <c r="Z3792" i="36"/>
  <c r="AC3792" i="36" s="1"/>
  <c r="Z3743" i="36"/>
  <c r="O85" i="1"/>
  <c r="O90" i="1"/>
  <c r="Z3694" i="36"/>
  <c r="Z3697" i="36" s="1"/>
  <c r="Z3841" i="36"/>
  <c r="Z3845" i="36" s="1"/>
  <c r="Z3596" i="36"/>
  <c r="AC3596" i="36" s="1"/>
  <c r="Z3645" i="36"/>
  <c r="Z3648" i="36" s="1"/>
  <c r="AC3692" i="36"/>
  <c r="AC3628" i="36"/>
  <c r="AC3839" i="36"/>
  <c r="R90" i="1"/>
  <c r="S93" i="1"/>
  <c r="Z3547" i="36"/>
  <c r="AC3547" i="36" s="1"/>
  <c r="AC3545" i="36"/>
  <c r="Q82" i="1"/>
  <c r="Q59" i="1" s="1"/>
  <c r="O83" i="1"/>
  <c r="AC3481" i="36"/>
  <c r="P81" i="1"/>
  <c r="AC3496" i="36"/>
  <c r="R81" i="1"/>
  <c r="AC3472" i="36"/>
  <c r="O81" i="1"/>
  <c r="P82" i="1"/>
  <c r="P83" i="1"/>
  <c r="O82" i="1"/>
  <c r="Z3498" i="36"/>
  <c r="AC3498" i="36" s="1"/>
  <c r="S11" i="1"/>
  <c r="AC118" i="36"/>
  <c r="AC125" i="36"/>
  <c r="AC134" i="36"/>
  <c r="AC159" i="36"/>
  <c r="AC132" i="36"/>
  <c r="AC107" i="36"/>
  <c r="AC160" i="36"/>
  <c r="Z162" i="36"/>
  <c r="Z163" i="36" s="1"/>
  <c r="AC163" i="36" s="1"/>
  <c r="Z135" i="36"/>
  <c r="Z136" i="36" s="1"/>
  <c r="AC136" i="36" s="1"/>
  <c r="AC116" i="36"/>
  <c r="AC167" i="36"/>
  <c r="AC175" i="36"/>
  <c r="AC170" i="36"/>
  <c r="AC158" i="36"/>
  <c r="AC177" i="36"/>
  <c r="AC105" i="36"/>
  <c r="Z952" i="36"/>
  <c r="Z953" i="36"/>
  <c r="Z954" i="36" s="1"/>
  <c r="AB138" i="36"/>
  <c r="Z119" i="36"/>
  <c r="Z120" i="36" s="1"/>
  <c r="AC120" i="36" s="1"/>
  <c r="Z2666" i="36"/>
  <c r="Z2668" i="36"/>
  <c r="Z2669" i="36" s="1"/>
  <c r="Z2667" i="36"/>
  <c r="Z3156" i="36"/>
  <c r="Z3157" i="36"/>
  <c r="AC106" i="36"/>
  <c r="AC127" i="36"/>
  <c r="Z5507" i="36"/>
  <c r="Z5508" i="36"/>
  <c r="Z5509" i="36" s="1"/>
  <c r="Z5506" i="36"/>
  <c r="Z2031" i="36"/>
  <c r="Z2032" i="36" s="1"/>
  <c r="Z2029" i="36"/>
  <c r="Z2030" i="36"/>
  <c r="Z5020" i="36"/>
  <c r="Z5022" i="36"/>
  <c r="Z5023" i="36" s="1"/>
  <c r="Z5021" i="36"/>
  <c r="AB37" i="36"/>
  <c r="J134" i="35"/>
  <c r="K134" i="35" s="1"/>
  <c r="AC5503" i="36"/>
  <c r="Z171" i="36"/>
  <c r="Z172" i="36" s="1"/>
  <c r="Z4580" i="36"/>
  <c r="Z4579" i="36"/>
  <c r="Z4581" i="36"/>
  <c r="Z4582" i="36" s="1"/>
  <c r="AC2663" i="36"/>
  <c r="AC115" i="36"/>
  <c r="AC155" i="36"/>
  <c r="AC166" i="36"/>
  <c r="AC147" i="36"/>
  <c r="AC150" i="36"/>
  <c r="AC148" i="36"/>
  <c r="Z2323" i="36"/>
  <c r="Z2324" i="36"/>
  <c r="Z2325" i="36"/>
  <c r="Z2326" i="36" s="1"/>
  <c r="AC176" i="36"/>
  <c r="AC112" i="36"/>
  <c r="AC114" i="36"/>
  <c r="Z128" i="36"/>
  <c r="Z129" i="36" s="1"/>
  <c r="Z151" i="36"/>
  <c r="Z152" i="36" s="1"/>
  <c r="AC152" i="36" s="1"/>
  <c r="AB181" i="36"/>
  <c r="AC168" i="36"/>
  <c r="AC5017" i="36"/>
  <c r="Z4481" i="36"/>
  <c r="Z4188" i="36"/>
  <c r="AC2026" i="36"/>
  <c r="AC117" i="36"/>
  <c r="AC133" i="36"/>
  <c r="AC126" i="36"/>
  <c r="AC123" i="36"/>
  <c r="AC124" i="36"/>
  <c r="Z108" i="36"/>
  <c r="Z109" i="36" s="1"/>
  <c r="AC109" i="36" s="1"/>
  <c r="AC113" i="36"/>
  <c r="AC104" i="36"/>
  <c r="AC169" i="36"/>
  <c r="AC161" i="36"/>
  <c r="AC157" i="36"/>
  <c r="AC156" i="36"/>
  <c r="Z178" i="36"/>
  <c r="Z179" i="36" s="1"/>
  <c r="Z3893" i="36" l="1"/>
  <c r="Z1541" i="36"/>
  <c r="Z1542" i="36" s="1"/>
  <c r="Z3894" i="36"/>
  <c r="Z1539" i="36"/>
  <c r="Z3895" i="36"/>
  <c r="Z3896" i="36" s="1"/>
  <c r="Z1050" i="36"/>
  <c r="Z1051" i="36"/>
  <c r="Z1052" i="36" s="1"/>
  <c r="AC1046" i="36"/>
  <c r="Z3158" i="36"/>
  <c r="Z3159" i="36" s="1"/>
  <c r="Z4189" i="36"/>
  <c r="Z4190" i="36" s="1"/>
  <c r="Z4482" i="36"/>
  <c r="Z4485" i="36" s="1"/>
  <c r="Z4487" i="36" s="1"/>
  <c r="Z4483" i="36"/>
  <c r="Z4484" i="36" s="1"/>
  <c r="Z3353" i="36"/>
  <c r="Z3352" i="36"/>
  <c r="Z3354" i="36"/>
  <c r="Z3355" i="36" s="1"/>
  <c r="Z1540" i="36"/>
  <c r="Z4187" i="36"/>
  <c r="Z1590" i="36"/>
  <c r="Z1591" i="36" s="1"/>
  <c r="S69" i="1"/>
  <c r="S112" i="1"/>
  <c r="Z4924" i="36"/>
  <c r="Z4925" i="36" s="1"/>
  <c r="Z4922" i="36"/>
  <c r="Z4923" i="36"/>
  <c r="AC4919" i="36"/>
  <c r="AC5409" i="36"/>
  <c r="AC1585" i="36"/>
  <c r="Z4140" i="36"/>
  <c r="Z4141" i="36" s="1"/>
  <c r="AC4135" i="36"/>
  <c r="Z1588" i="36"/>
  <c r="Z4139" i="36"/>
  <c r="Z1294" i="36"/>
  <c r="Z951" i="36"/>
  <c r="Z955" i="36" s="1"/>
  <c r="Z957" i="36" s="1"/>
  <c r="Z4825" i="36"/>
  <c r="Z1835" i="36"/>
  <c r="Z1836" i="36" s="1"/>
  <c r="Z4824" i="36"/>
  <c r="Z4826" i="36"/>
  <c r="Z4827" i="36" s="1"/>
  <c r="S110" i="1"/>
  <c r="Z1834" i="36"/>
  <c r="Z3208" i="36"/>
  <c r="Z3209" i="36" s="1"/>
  <c r="S25" i="1"/>
  <c r="Z5363" i="36"/>
  <c r="Z5365" i="36"/>
  <c r="Z5366" i="36" s="1"/>
  <c r="Z5412" i="36"/>
  <c r="Z5414" i="36"/>
  <c r="Z5415" i="36" s="1"/>
  <c r="Z3207" i="36"/>
  <c r="Z1833" i="36"/>
  <c r="Z5364" i="36"/>
  <c r="Z4875" i="36"/>
  <c r="Z4876" i="36" s="1"/>
  <c r="Z4873" i="36"/>
  <c r="Z4874" i="36"/>
  <c r="AC4870" i="36"/>
  <c r="S33" i="1"/>
  <c r="S23" i="1"/>
  <c r="Z1637" i="36"/>
  <c r="Z2519" i="36"/>
  <c r="Z1932" i="36"/>
  <c r="AC1928" i="36"/>
  <c r="Z2521" i="36"/>
  <c r="Z2522" i="36" s="1"/>
  <c r="Z804" i="36"/>
  <c r="Z4775" i="36"/>
  <c r="Z1933" i="36"/>
  <c r="Z1934" i="36" s="1"/>
  <c r="Z5899" i="36"/>
  <c r="Z5898" i="36"/>
  <c r="Z3206" i="36"/>
  <c r="Z5900" i="36"/>
  <c r="Z5901" i="36" s="1"/>
  <c r="AC2908" i="36"/>
  <c r="Z4335" i="36"/>
  <c r="Z2274" i="36"/>
  <c r="Z1737" i="36"/>
  <c r="Z1738" i="36" s="1"/>
  <c r="Z4237" i="36"/>
  <c r="Z562" i="36"/>
  <c r="Z563" i="36" s="1"/>
  <c r="Z2765" i="36"/>
  <c r="Z4238" i="36"/>
  <c r="Z4239" i="36" s="1"/>
  <c r="Z1295" i="36"/>
  <c r="Z2913" i="36"/>
  <c r="Z2914" i="36" s="1"/>
  <c r="Z3401" i="36"/>
  <c r="Z2472" i="36"/>
  <c r="Z2473" i="36" s="1"/>
  <c r="Z1246" i="36"/>
  <c r="Z5655" i="36"/>
  <c r="Z5656" i="36" s="1"/>
  <c r="AC5650" i="36"/>
  <c r="Z3403" i="36"/>
  <c r="Z3404" i="36" s="1"/>
  <c r="Z3255" i="36"/>
  <c r="Z757" i="36"/>
  <c r="Z758" i="36" s="1"/>
  <c r="Z5949" i="36"/>
  <c r="Z5950" i="36" s="1"/>
  <c r="Z5947" i="36"/>
  <c r="Z5948" i="36"/>
  <c r="AC4233" i="36"/>
  <c r="AC1291" i="36"/>
  <c r="Z1247" i="36"/>
  <c r="Z1248" i="36" s="1"/>
  <c r="Z2911" i="36"/>
  <c r="Z5653" i="36"/>
  <c r="AC1242" i="36"/>
  <c r="Z3402" i="36"/>
  <c r="AC2467" i="36"/>
  <c r="Z2471" i="36"/>
  <c r="AC5944" i="36"/>
  <c r="Z5851" i="36"/>
  <c r="Z5852" i="36" s="1"/>
  <c r="Z5849" i="36"/>
  <c r="Z5850" i="36"/>
  <c r="AC5846" i="36"/>
  <c r="Z853" i="36"/>
  <c r="Z1639" i="36"/>
  <c r="Z1640" i="36" s="1"/>
  <c r="Z755" i="36"/>
  <c r="Z2276" i="36"/>
  <c r="Z2277" i="36" s="1"/>
  <c r="Z3993" i="36"/>
  <c r="Z3994" i="36" s="1"/>
  <c r="Z1784" i="36"/>
  <c r="Z4777" i="36"/>
  <c r="Z4778" i="36" s="1"/>
  <c r="Z756" i="36"/>
  <c r="Z1786" i="36"/>
  <c r="Z1787" i="36" s="1"/>
  <c r="Z3991" i="36"/>
  <c r="Z5217" i="36"/>
  <c r="Z3452" i="36"/>
  <c r="Z4433" i="36"/>
  <c r="AC5262" i="36"/>
  <c r="AC5213" i="36"/>
  <c r="AC557" i="36"/>
  <c r="Z4336" i="36"/>
  <c r="Z4337" i="36" s="1"/>
  <c r="Z5555" i="36"/>
  <c r="Z2129" i="36"/>
  <c r="Z2130" i="36" s="1"/>
  <c r="Z806" i="36"/>
  <c r="Z807" i="36" s="1"/>
  <c r="Z4334" i="36"/>
  <c r="AC605" i="36"/>
  <c r="Z855" i="36"/>
  <c r="Z856" i="36" s="1"/>
  <c r="Z2617" i="36"/>
  <c r="Z5314" i="36"/>
  <c r="Z273" i="36"/>
  <c r="Z2275" i="36"/>
  <c r="Z1736" i="36"/>
  <c r="Z1735" i="36"/>
  <c r="Z1785" i="36"/>
  <c r="Z4776" i="36"/>
  <c r="Z1638" i="36"/>
  <c r="Z2520" i="36"/>
  <c r="AC3988" i="36"/>
  <c r="S28" i="1"/>
  <c r="AC2124" i="36"/>
  <c r="AC5164" i="36"/>
  <c r="Z2128" i="36"/>
  <c r="Z561" i="36"/>
  <c r="AC2761" i="36"/>
  <c r="Z4630" i="36"/>
  <c r="Z4631" i="36" s="1"/>
  <c r="Z3254" i="36"/>
  <c r="Z2766" i="36"/>
  <c r="Z2767" i="36" s="1"/>
  <c r="Z805" i="36"/>
  <c r="AC850" i="36"/>
  <c r="Z5216" i="36"/>
  <c r="Z3256" i="36"/>
  <c r="Z3257" i="36" s="1"/>
  <c r="Z609" i="36"/>
  <c r="Z2374" i="36"/>
  <c r="Z2375" i="36" s="1"/>
  <c r="Z3943" i="36"/>
  <c r="Z4040" i="36"/>
  <c r="Z3942" i="36"/>
  <c r="Z2372" i="36"/>
  <c r="AC4037" i="36"/>
  <c r="Z4042" i="36"/>
  <c r="Z4043" i="36" s="1"/>
  <c r="AC2222" i="36"/>
  <c r="AC3939" i="36"/>
  <c r="AC2369" i="36"/>
  <c r="Z2226" i="36"/>
  <c r="Z2227" i="36"/>
  <c r="Z2228" i="36" s="1"/>
  <c r="AC2418" i="36"/>
  <c r="S53" i="1"/>
  <c r="Z2864" i="36"/>
  <c r="Z2865" i="36" s="1"/>
  <c r="Z5119" i="36"/>
  <c r="Z2815" i="36"/>
  <c r="Z2816" i="36" s="1"/>
  <c r="Z2814" i="36"/>
  <c r="Z903" i="36"/>
  <c r="Z2863" i="36"/>
  <c r="Z5120" i="36"/>
  <c r="Z5121" i="36" s="1"/>
  <c r="AC2810" i="36"/>
  <c r="Z225" i="36"/>
  <c r="Z5118" i="36"/>
  <c r="Z2862" i="36"/>
  <c r="Z5167" i="36"/>
  <c r="Z5556" i="36"/>
  <c r="Z2618" i="36"/>
  <c r="Z3454" i="36"/>
  <c r="Z3455" i="36" s="1"/>
  <c r="AC5311" i="36"/>
  <c r="Z272" i="36"/>
  <c r="Z4434" i="36"/>
  <c r="Z4435" i="36" s="1"/>
  <c r="Z5265" i="36"/>
  <c r="AC2614" i="36"/>
  <c r="Z274" i="36"/>
  <c r="Z275" i="36" s="1"/>
  <c r="S130" i="1"/>
  <c r="S126" i="1" s="1"/>
  <c r="R126" i="1"/>
  <c r="AC4968" i="36"/>
  <c r="Z4972" i="36"/>
  <c r="Z5557" i="36"/>
  <c r="Z5558" i="36" s="1"/>
  <c r="Z3453" i="36"/>
  <c r="Z5315" i="36"/>
  <c r="AC4429" i="36"/>
  <c r="Z5267" i="36"/>
  <c r="Z5268" i="36" s="1"/>
  <c r="Z610" i="36"/>
  <c r="Z611" i="36" s="1"/>
  <c r="Z4971" i="36"/>
  <c r="Z2422" i="36"/>
  <c r="Z2421" i="36"/>
  <c r="Z5606" i="36"/>
  <c r="Z5607" i="36" s="1"/>
  <c r="R114" i="1"/>
  <c r="AC5601" i="36"/>
  <c r="S94" i="1"/>
  <c r="Z5604" i="36"/>
  <c r="AC221" i="36"/>
  <c r="Z1000" i="36"/>
  <c r="Z5169" i="36"/>
  <c r="Z5170" i="36" s="1"/>
  <c r="AC4527" i="36"/>
  <c r="Z1884" i="36"/>
  <c r="Z1885" i="36" s="1"/>
  <c r="Z1883" i="36"/>
  <c r="Z2716" i="36"/>
  <c r="Z5069" i="36"/>
  <c r="AC1879" i="36"/>
  <c r="Z5071" i="36"/>
  <c r="Z5072" i="36" s="1"/>
  <c r="Z2717" i="36"/>
  <c r="Z2718" i="36" s="1"/>
  <c r="Z5070" i="36"/>
  <c r="Z1687" i="36"/>
  <c r="Z3304" i="36"/>
  <c r="AC4674" i="36"/>
  <c r="Z1686" i="36"/>
  <c r="Z4677" i="36"/>
  <c r="Z3305" i="36"/>
  <c r="Z3306" i="36" s="1"/>
  <c r="Z4679" i="36"/>
  <c r="Z4680" i="36" s="1"/>
  <c r="Z3303" i="36"/>
  <c r="Z1688" i="36"/>
  <c r="Z1689" i="36" s="1"/>
  <c r="Z4531" i="36"/>
  <c r="Z4532" i="36"/>
  <c r="Z4533" i="36" s="1"/>
  <c r="AC2712" i="36"/>
  <c r="Z4628" i="36"/>
  <c r="Z226" i="36"/>
  <c r="Z227" i="36" s="1"/>
  <c r="J114" i="35"/>
  <c r="K114" i="35" s="1"/>
  <c r="O114" i="35" s="1"/>
  <c r="Z1002" i="36"/>
  <c r="Z1003" i="36" s="1"/>
  <c r="AC27" i="36"/>
  <c r="Z1099" i="36"/>
  <c r="Z513" i="36"/>
  <c r="AC4625" i="36"/>
  <c r="AC997" i="36"/>
  <c r="Z904" i="36"/>
  <c r="Z905" i="36" s="1"/>
  <c r="AC899" i="36"/>
  <c r="Z512" i="36"/>
  <c r="J329" i="35"/>
  <c r="K329" i="35" s="1"/>
  <c r="O329" i="35" s="1"/>
  <c r="Z368" i="36"/>
  <c r="Z4287" i="36"/>
  <c r="Z4288" i="36" s="1"/>
  <c r="AC1340" i="36"/>
  <c r="AC47" i="36"/>
  <c r="AC365" i="36"/>
  <c r="AC21" i="36"/>
  <c r="Z4726" i="36"/>
  <c r="Z4728" i="36"/>
  <c r="Z4729" i="36" s="1"/>
  <c r="S107" i="1"/>
  <c r="AC40" i="36"/>
  <c r="Z4286" i="36"/>
  <c r="AC30" i="36"/>
  <c r="Z369" i="36"/>
  <c r="Z4285" i="36"/>
  <c r="Z4727" i="36"/>
  <c r="Z4384" i="36"/>
  <c r="AB18" i="36"/>
  <c r="AC18" i="36" s="1"/>
  <c r="AB46" i="36"/>
  <c r="AC46" i="36" s="1"/>
  <c r="P18" i="1"/>
  <c r="AC1095" i="36"/>
  <c r="Z3060" i="36"/>
  <c r="Z3061" i="36" s="1"/>
  <c r="Z5702" i="36"/>
  <c r="Z3011" i="36"/>
  <c r="Z3012" i="36" s="1"/>
  <c r="Z514" i="36"/>
  <c r="Z515" i="36" s="1"/>
  <c r="AC3006" i="36"/>
  <c r="Z1098" i="36"/>
  <c r="Z5704" i="36"/>
  <c r="Z5705" i="36" s="1"/>
  <c r="Z1343" i="36"/>
  <c r="AC48" i="36"/>
  <c r="AC28" i="36"/>
  <c r="J324" i="35"/>
  <c r="K324" i="35" s="1"/>
  <c r="Q324" i="35" s="1"/>
  <c r="Z4385" i="36"/>
  <c r="Z4386" i="36" s="1"/>
  <c r="AC3055" i="36"/>
  <c r="Z3010" i="36"/>
  <c r="Z4383" i="36"/>
  <c r="Z3058" i="36"/>
  <c r="AB39" i="36"/>
  <c r="AC39" i="36" s="1"/>
  <c r="Z1443" i="36"/>
  <c r="Z1444" i="36" s="1"/>
  <c r="Z5703" i="36"/>
  <c r="AC37" i="36"/>
  <c r="Z33" i="36"/>
  <c r="Z34" i="36" s="1"/>
  <c r="AC34" i="36" s="1"/>
  <c r="Z5753" i="36"/>
  <c r="Z5754" i="36" s="1"/>
  <c r="Z5751" i="36"/>
  <c r="Z5752" i="36"/>
  <c r="AC5748" i="36"/>
  <c r="Z5802" i="36"/>
  <c r="Z5803" i="36" s="1"/>
  <c r="Z5800" i="36"/>
  <c r="Z5801" i="36"/>
  <c r="AC5797" i="36"/>
  <c r="Z320" i="36"/>
  <c r="P89" i="1"/>
  <c r="Z49" i="36"/>
  <c r="Z50" i="36" s="1"/>
  <c r="AC50" i="36" s="1"/>
  <c r="Z1344" i="36"/>
  <c r="Z2178" i="36"/>
  <c r="Z2179" i="36" s="1"/>
  <c r="J109" i="35"/>
  <c r="K109" i="35" s="1"/>
  <c r="O109" i="35" s="1"/>
  <c r="Z5462" i="36"/>
  <c r="AC5458" i="36"/>
  <c r="J325" i="35"/>
  <c r="K325" i="35" s="1"/>
  <c r="O325" i="35" s="1"/>
  <c r="AB29" i="36"/>
  <c r="AC29" i="36" s="1"/>
  <c r="AC26" i="36"/>
  <c r="Z5461" i="36"/>
  <c r="Z3109" i="36"/>
  <c r="Z3110" i="36" s="1"/>
  <c r="Z3108" i="36"/>
  <c r="Z3107" i="36"/>
  <c r="Z1394" i="36"/>
  <c r="Z1395" i="36" s="1"/>
  <c r="Z1980" i="36"/>
  <c r="AC31" i="36"/>
  <c r="AC38" i="36"/>
  <c r="Z42" i="36"/>
  <c r="Z43" i="36" s="1"/>
  <c r="AC19" i="36"/>
  <c r="AB52" i="36"/>
  <c r="AC32" i="36"/>
  <c r="Z22" i="36"/>
  <c r="Z23" i="36" s="1"/>
  <c r="AC23" i="36" s="1"/>
  <c r="AC41" i="36"/>
  <c r="AC20" i="36"/>
  <c r="Z1393" i="36"/>
  <c r="Z1982" i="36"/>
  <c r="Z1983" i="36" s="1"/>
  <c r="Z2176" i="36"/>
  <c r="AC703" i="36"/>
  <c r="Z2570" i="36"/>
  <c r="Z2571" i="36" s="1"/>
  <c r="Z706" i="36"/>
  <c r="Z708" i="36"/>
  <c r="Z709" i="36" s="1"/>
  <c r="AC1438" i="36"/>
  <c r="Z2568" i="36"/>
  <c r="Z1441" i="36"/>
  <c r="Z1491" i="36"/>
  <c r="S14" i="1"/>
  <c r="S9" i="1" s="1"/>
  <c r="O9" i="1"/>
  <c r="O89" i="1"/>
  <c r="Z1148" i="36"/>
  <c r="Z416" i="36"/>
  <c r="Z418" i="36"/>
  <c r="Z419" i="36" s="1"/>
  <c r="AC1389" i="36"/>
  <c r="AC413" i="36"/>
  <c r="Z321" i="36"/>
  <c r="Z465" i="36"/>
  <c r="Z322" i="36"/>
  <c r="Z323" i="36" s="1"/>
  <c r="AC461" i="36"/>
  <c r="Z1981" i="36"/>
  <c r="Z464" i="36"/>
  <c r="Z2569" i="36"/>
  <c r="Z1198" i="36"/>
  <c r="Z1199" i="36" s="1"/>
  <c r="Z4089" i="36"/>
  <c r="Z1197" i="36"/>
  <c r="Z4090" i="36"/>
  <c r="Z1196" i="36"/>
  <c r="Z4091" i="36"/>
  <c r="Z4092" i="36" s="1"/>
  <c r="Z1147" i="36"/>
  <c r="Z1149" i="36"/>
  <c r="Z1150" i="36" s="1"/>
  <c r="Z1490" i="36"/>
  <c r="Z2961" i="36"/>
  <c r="Z2960" i="36"/>
  <c r="Z2962" i="36"/>
  <c r="Z2963" i="36" s="1"/>
  <c r="Z1492" i="36"/>
  <c r="Z1493" i="36" s="1"/>
  <c r="R18" i="1"/>
  <c r="Z659" i="36"/>
  <c r="Z660" i="36" s="1"/>
  <c r="S38" i="1"/>
  <c r="Z2177" i="36"/>
  <c r="Z657" i="36"/>
  <c r="Z658" i="36"/>
  <c r="R9" i="1"/>
  <c r="O18" i="1"/>
  <c r="Z2079" i="36"/>
  <c r="Z2078" i="36"/>
  <c r="Z2080" i="36"/>
  <c r="Z2081" i="36" s="1"/>
  <c r="S86" i="1"/>
  <c r="S87" i="1"/>
  <c r="R59" i="1"/>
  <c r="S90" i="1"/>
  <c r="S85" i="1"/>
  <c r="Z3599" i="36"/>
  <c r="AC3645" i="36"/>
  <c r="Z3601" i="36"/>
  <c r="Z3602" i="36" s="1"/>
  <c r="AC3694" i="36"/>
  <c r="Z3650" i="36"/>
  <c r="Z3651" i="36" s="1"/>
  <c r="Z3698" i="36"/>
  <c r="Z3649" i="36"/>
  <c r="Z3699" i="36"/>
  <c r="Z3700" i="36" s="1"/>
  <c r="Z3600" i="36"/>
  <c r="AC3743" i="36"/>
  <c r="Z3748" i="36"/>
  <c r="Z3749" i="36" s="1"/>
  <c r="Z3746" i="36"/>
  <c r="Z3747" i="36"/>
  <c r="Q139" i="1"/>
  <c r="Z3797" i="36"/>
  <c r="Z3798" i="36" s="1"/>
  <c r="Z3795" i="36"/>
  <c r="Z3796" i="36"/>
  <c r="S82" i="1"/>
  <c r="AC3841" i="36"/>
  <c r="Z3846" i="36"/>
  <c r="Z3847" i="36" s="1"/>
  <c r="Z3844" i="36"/>
  <c r="R89" i="1"/>
  <c r="Z3552" i="36"/>
  <c r="Z3553" i="36" s="1"/>
  <c r="Z3550" i="36"/>
  <c r="Z3551" i="36"/>
  <c r="S81" i="1"/>
  <c r="O59" i="1"/>
  <c r="S83" i="1"/>
  <c r="P59" i="1"/>
  <c r="Z3503" i="36"/>
  <c r="Z3504" i="36" s="1"/>
  <c r="Z3501" i="36"/>
  <c r="Z3502" i="36"/>
  <c r="Z181" i="36"/>
  <c r="AC181" i="36" s="1"/>
  <c r="AC179" i="36"/>
  <c r="Z138" i="36"/>
  <c r="AC138" i="36" s="1"/>
  <c r="Z2327" i="36"/>
  <c r="Z2329" i="36" s="1"/>
  <c r="Z2033" i="36"/>
  <c r="Z2035" i="36" s="1"/>
  <c r="O17" i="35"/>
  <c r="Q17" i="35"/>
  <c r="Q115" i="35"/>
  <c r="O115" i="35"/>
  <c r="Q134" i="35"/>
  <c r="O134" i="35"/>
  <c r="Z1543" i="36"/>
  <c r="Z1545" i="36" s="1"/>
  <c r="Q10" i="35"/>
  <c r="O10" i="35"/>
  <c r="Z2670" i="36"/>
  <c r="Z2672" i="36" s="1"/>
  <c r="Q335" i="35"/>
  <c r="O335" i="35"/>
  <c r="Z3897" i="36"/>
  <c r="Z3899" i="36" s="1"/>
  <c r="Z5024" i="36"/>
  <c r="Z5026" i="36" s="1"/>
  <c r="Z5510" i="36"/>
  <c r="Z5512" i="36" s="1"/>
  <c r="Q220" i="35"/>
  <c r="O220" i="35"/>
  <c r="K235" i="35"/>
  <c r="O235" i="35" s="1"/>
  <c r="Z1053" i="36"/>
  <c r="Z1055" i="36" s="1"/>
  <c r="Z4583" i="36"/>
  <c r="Z4585" i="36" s="1"/>
  <c r="Z3160" i="36"/>
  <c r="Z3162" i="36" s="1"/>
  <c r="Z4191" i="36" l="1"/>
  <c r="Z4193" i="36" s="1"/>
  <c r="Z3356" i="36"/>
  <c r="Z3358" i="36" s="1"/>
  <c r="Z1837" i="36"/>
  <c r="Z1839" i="36" s="1"/>
  <c r="Z1592" i="36"/>
  <c r="Z1594" i="36" s="1"/>
  <c r="Z2621" i="36"/>
  <c r="Z2623" i="36" s="1"/>
  <c r="Z4926" i="36"/>
  <c r="Z4928" i="36" s="1"/>
  <c r="Z4142" i="36"/>
  <c r="Z4144" i="36" s="1"/>
  <c r="Z1298" i="36"/>
  <c r="Z1300" i="36" s="1"/>
  <c r="Z4828" i="36"/>
  <c r="Z4830" i="36" s="1"/>
  <c r="Z3210" i="36"/>
  <c r="Z3212" i="36" s="1"/>
  <c r="Z5367" i="36"/>
  <c r="Z5369" i="36" s="1"/>
  <c r="Z5416" i="36"/>
  <c r="Z5418" i="36" s="1"/>
  <c r="Z4877" i="36"/>
  <c r="Z4879" i="36" s="1"/>
  <c r="Z3405" i="36"/>
  <c r="Z3407" i="36" s="1"/>
  <c r="Z1935" i="36"/>
  <c r="Z1937" i="36" s="1"/>
  <c r="Z4240" i="36"/>
  <c r="Z4242" i="36" s="1"/>
  <c r="Z4779" i="36"/>
  <c r="Z4781" i="36" s="1"/>
  <c r="Z808" i="36"/>
  <c r="Z810" i="36" s="1"/>
  <c r="Z2523" i="36"/>
  <c r="Z2525" i="36" s="1"/>
  <c r="Z5902" i="36"/>
  <c r="Z5904" i="36" s="1"/>
  <c r="Z1249" i="36"/>
  <c r="Z1251" i="36" s="1"/>
  <c r="Z5608" i="36"/>
  <c r="Z5610" i="36" s="1"/>
  <c r="Z4436" i="36"/>
  <c r="Z4438" i="36" s="1"/>
  <c r="Z4338" i="36"/>
  <c r="Z4340" i="36" s="1"/>
  <c r="Z2474" i="36"/>
  <c r="Z2476" i="36" s="1"/>
  <c r="Z5657" i="36"/>
  <c r="Z5659" i="36" s="1"/>
  <c r="Z564" i="36"/>
  <c r="Z566" i="36" s="1"/>
  <c r="Z1641" i="36"/>
  <c r="Z1643" i="36" s="1"/>
  <c r="Z2915" i="36"/>
  <c r="Z2917" i="36" s="1"/>
  <c r="Z2376" i="36"/>
  <c r="Z2378" i="36" s="1"/>
  <c r="Z3995" i="36"/>
  <c r="Z3997" i="36" s="1"/>
  <c r="Z5951" i="36"/>
  <c r="Z5953" i="36" s="1"/>
  <c r="Z2425" i="36"/>
  <c r="Z2427" i="36" s="1"/>
  <c r="Z1739" i="36"/>
  <c r="Z1741" i="36" s="1"/>
  <c r="Z5853" i="36"/>
  <c r="Z5855" i="36" s="1"/>
  <c r="Z1788" i="36"/>
  <c r="Z1790" i="36" s="1"/>
  <c r="Z5122" i="36"/>
  <c r="Z5124" i="36" s="1"/>
  <c r="Z2278" i="36"/>
  <c r="Z2280" i="36" s="1"/>
  <c r="Z759" i="36"/>
  <c r="Z761" i="36" s="1"/>
  <c r="Z5269" i="36"/>
  <c r="Z5271" i="36" s="1"/>
  <c r="Z5220" i="36"/>
  <c r="Z5222" i="36" s="1"/>
  <c r="Z2817" i="36"/>
  <c r="Z2819" i="36" s="1"/>
  <c r="Z857" i="36"/>
  <c r="Z859" i="36" s="1"/>
  <c r="Z5318" i="36"/>
  <c r="Z5320" i="36" s="1"/>
  <c r="Z2131" i="36"/>
  <c r="Z2133" i="36" s="1"/>
  <c r="Z4632" i="36"/>
  <c r="Z4634" i="36" s="1"/>
  <c r="Z4044" i="36"/>
  <c r="Z4046" i="36" s="1"/>
  <c r="Z3946" i="36"/>
  <c r="Z3948" i="36" s="1"/>
  <c r="Z3258" i="36"/>
  <c r="Z3260" i="36" s="1"/>
  <c r="Z2866" i="36"/>
  <c r="Z2868" i="36" s="1"/>
  <c r="Z2768" i="36"/>
  <c r="Z2770" i="36" s="1"/>
  <c r="Z276" i="36"/>
  <c r="Z278" i="36" s="1"/>
  <c r="Z468" i="36"/>
  <c r="Z470" i="36" s="1"/>
  <c r="Z2229" i="36"/>
  <c r="Z2231" i="36" s="1"/>
  <c r="Z612" i="36"/>
  <c r="Z614" i="36" s="1"/>
  <c r="S18" i="1"/>
  <c r="Z5559" i="36"/>
  <c r="Z5561" i="36" s="1"/>
  <c r="Z2719" i="36"/>
  <c r="Z2721" i="36" s="1"/>
  <c r="Z3456" i="36"/>
  <c r="Z3458" i="36" s="1"/>
  <c r="Z5171" i="36"/>
  <c r="Z5173" i="36" s="1"/>
  <c r="Z4975" i="36"/>
  <c r="Z4977" i="36" s="1"/>
  <c r="Z906" i="36"/>
  <c r="Z908" i="36" s="1"/>
  <c r="Z4534" i="36"/>
  <c r="Z4536" i="36" s="1"/>
  <c r="Z1886" i="36"/>
  <c r="Z1888" i="36" s="1"/>
  <c r="Z372" i="36"/>
  <c r="Z374" i="36" s="1"/>
  <c r="S89" i="1"/>
  <c r="Z5073" i="36"/>
  <c r="Z5075" i="36" s="1"/>
  <c r="Z3062" i="36"/>
  <c r="Z3064" i="36" s="1"/>
  <c r="Z228" i="36"/>
  <c r="Z230" i="36" s="1"/>
  <c r="Z1102" i="36"/>
  <c r="Z1104" i="36" s="1"/>
  <c r="Z4681" i="36"/>
  <c r="Z4683" i="36" s="1"/>
  <c r="Q329" i="35"/>
  <c r="K215" i="35"/>
  <c r="O215" i="35" s="1"/>
  <c r="Z3307" i="36"/>
  <c r="Z3309" i="36" s="1"/>
  <c r="Z1690" i="36"/>
  <c r="Z1692" i="36" s="1"/>
  <c r="Z1004" i="36"/>
  <c r="Z1006" i="36" s="1"/>
  <c r="Q114" i="35"/>
  <c r="Z1347" i="36"/>
  <c r="Z1349" i="36" s="1"/>
  <c r="Z4387" i="36"/>
  <c r="Z4389" i="36" s="1"/>
  <c r="Z4730" i="36"/>
  <c r="Z4732" i="36" s="1"/>
  <c r="Z516" i="36"/>
  <c r="Z518" i="36" s="1"/>
  <c r="Z4289" i="36"/>
  <c r="Z4291" i="36" s="1"/>
  <c r="Z3013" i="36"/>
  <c r="Z3015" i="36" s="1"/>
  <c r="Z5706" i="36"/>
  <c r="Z5708" i="36" s="1"/>
  <c r="O324" i="35"/>
  <c r="Z1445" i="36"/>
  <c r="Z1447" i="36" s="1"/>
  <c r="Z5804" i="36"/>
  <c r="Z5806" i="36" s="1"/>
  <c r="Z5755" i="36"/>
  <c r="Z5757" i="36" s="1"/>
  <c r="Z5465" i="36"/>
  <c r="Z5467" i="36" s="1"/>
  <c r="P139" i="1"/>
  <c r="Z2180" i="36"/>
  <c r="Z2182" i="36" s="1"/>
  <c r="K110" i="35"/>
  <c r="O110" i="35" s="1"/>
  <c r="Z3111" i="36"/>
  <c r="Z3113" i="36" s="1"/>
  <c r="K926" i="35"/>
  <c r="Q325" i="35"/>
  <c r="Z1396" i="36"/>
  <c r="Z1398" i="36" s="1"/>
  <c r="Z52" i="36"/>
  <c r="AC52" i="36" s="1"/>
  <c r="Z1984" i="36"/>
  <c r="Z1986" i="36" s="1"/>
  <c r="Z710" i="36"/>
  <c r="Z712" i="36" s="1"/>
  <c r="Z2572" i="36"/>
  <c r="Z2574" i="36" s="1"/>
  <c r="Z324" i="36"/>
  <c r="Z326" i="36" s="1"/>
  <c r="Z420" i="36"/>
  <c r="Z422" i="36" s="1"/>
  <c r="Z1200" i="36"/>
  <c r="Z1202" i="36" s="1"/>
  <c r="Z4093" i="36"/>
  <c r="Z4095" i="36" s="1"/>
  <c r="Z1151" i="36"/>
  <c r="Z1153" i="36" s="1"/>
  <c r="Z1494" i="36"/>
  <c r="Z1496" i="36" s="1"/>
  <c r="Z2964" i="36"/>
  <c r="Z2966" i="36" s="1"/>
  <c r="Z661" i="36"/>
  <c r="Z663" i="36" s="1"/>
  <c r="Z2082" i="36"/>
  <c r="Z2084" i="36" s="1"/>
  <c r="R139" i="1"/>
  <c r="Z3603" i="36"/>
  <c r="Z3605" i="36" s="1"/>
  <c r="Z3652" i="36"/>
  <c r="Z3654" i="36" s="1"/>
  <c r="Z3701" i="36"/>
  <c r="Z3703" i="36" s="1"/>
  <c r="Z3799" i="36"/>
  <c r="Z3801" i="36" s="1"/>
  <c r="Z3750" i="36"/>
  <c r="Z3752" i="36" s="1"/>
  <c r="Z3848" i="36"/>
  <c r="Z3850" i="36" s="1"/>
  <c r="Z3554" i="36"/>
  <c r="Z3556" i="36" s="1"/>
  <c r="S59" i="1"/>
  <c r="Z3505" i="36"/>
  <c r="Z3507" i="36" s="1"/>
  <c r="O124" i="1" l="1"/>
  <c r="S124" i="1" s="1"/>
  <c r="O123" i="1"/>
  <c r="K928" i="35"/>
  <c r="N929" i="35" s="1"/>
  <c r="S123" i="1" l="1"/>
  <c r="S114" i="1" s="1"/>
  <c r="S139" i="1" s="1"/>
  <c r="O114" i="1"/>
  <c r="O139" i="1" s="1"/>
</calcChain>
</file>

<file path=xl/sharedStrings.xml><?xml version="1.0" encoding="utf-8"?>
<sst xmlns="http://schemas.openxmlformats.org/spreadsheetml/2006/main" count="18205" uniqueCount="919">
  <si>
    <t>UNITARIOS O TOTALES</t>
  </si>
  <si>
    <t>UNITARIOS</t>
  </si>
  <si>
    <t>PRESUPUESTO GENERAL DE OBRA</t>
  </si>
  <si>
    <t>Decimales</t>
  </si>
  <si>
    <t>TOTALES</t>
  </si>
  <si>
    <t>ITEM</t>
  </si>
  <si>
    <t>UND</t>
  </si>
  <si>
    <t>CANTIDAD</t>
  </si>
  <si>
    <t>VR. UNIT.</t>
  </si>
  <si>
    <t>VR. TOTAL</t>
  </si>
  <si>
    <t>COSTO UNIT.</t>
  </si>
  <si>
    <t>COSTO TOTAL</t>
  </si>
  <si>
    <t>I. HERR</t>
  </si>
  <si>
    <t>II. MAT.</t>
  </si>
  <si>
    <t>III. TRANSP.</t>
  </si>
  <si>
    <t>IV. MO</t>
  </si>
  <si>
    <t>TOTAL</t>
  </si>
  <si>
    <t>COSTO TOTAL DIRECTO</t>
  </si>
  <si>
    <t>ADMINISTRACCION</t>
  </si>
  <si>
    <t>IMPREVISTOS</t>
  </si>
  <si>
    <t>UTILIDAD</t>
  </si>
  <si>
    <t>I.V.A. SOBRE LA UTILIDAD</t>
  </si>
  <si>
    <t>COSTO TOTAL INDIRECTO (A.I.U.)</t>
  </si>
  <si>
    <t>COSTO TOTAL OBRA</t>
  </si>
  <si>
    <t>COSTO TOTAL PROYECTO</t>
  </si>
  <si>
    <t>PROYECTO:</t>
  </si>
  <si>
    <t>DESCRIPCIÓN</t>
  </si>
  <si>
    <t>OBRA:</t>
  </si>
  <si>
    <t>CAP.1</t>
  </si>
  <si>
    <t>CAP.2</t>
  </si>
  <si>
    <t>CAP.3</t>
  </si>
  <si>
    <t>FECHA:</t>
  </si>
  <si>
    <t>m3</t>
  </si>
  <si>
    <t>ml</t>
  </si>
  <si>
    <t>und</t>
  </si>
  <si>
    <t>ING. EDWIN ANTONIO ORTIZ HIGUERA</t>
  </si>
  <si>
    <t>MP. 68202-096275 STD</t>
  </si>
  <si>
    <t>CAP.4</t>
  </si>
  <si>
    <t>LOCALIZACION:</t>
  </si>
  <si>
    <t>CLIENTE:</t>
  </si>
  <si>
    <t>m2</t>
  </si>
  <si>
    <t>CAP.5</t>
  </si>
  <si>
    <t>CAP.6</t>
  </si>
  <si>
    <t>PRESUPUESTO PLAN DE MANEJO AMBIENTAL</t>
  </si>
  <si>
    <t>INTERVENTORIA</t>
  </si>
  <si>
    <t>1.2</t>
  </si>
  <si>
    <t>2.1</t>
  </si>
  <si>
    <t>2.3</t>
  </si>
  <si>
    <t>2.2</t>
  </si>
  <si>
    <t>2.4</t>
  </si>
  <si>
    <t>1.1</t>
  </si>
  <si>
    <t>1.3</t>
  </si>
  <si>
    <t>1.4</t>
  </si>
  <si>
    <t>1.5</t>
  </si>
  <si>
    <t>2.5</t>
  </si>
  <si>
    <t>1.6</t>
  </si>
  <si>
    <t>1.7</t>
  </si>
  <si>
    <t>1.8</t>
  </si>
  <si>
    <t>1.9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</si>
  <si>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</si>
  <si>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</si>
  <si>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</si>
  <si>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</si>
  <si>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</si>
  <si>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</si>
  <si>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</si>
  <si>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</si>
  <si>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</si>
  <si>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</si>
  <si>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</si>
  <si>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</si>
  <si>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</si>
  <si>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</si>
  <si>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</t>
  </si>
  <si>
    <t>4.2</t>
  </si>
  <si>
    <t>4.3</t>
  </si>
  <si>
    <t>4.4</t>
  </si>
  <si>
    <t>4.5</t>
  </si>
  <si>
    <t>4.6</t>
  </si>
  <si>
    <t>5.1</t>
  </si>
  <si>
    <t>5.2</t>
  </si>
  <si>
    <t>5.3</t>
  </si>
  <si>
    <t>6.1</t>
  </si>
  <si>
    <t>6.2</t>
  </si>
  <si>
    <t>6.3</t>
  </si>
  <si>
    <t>COSTO DIRECTO</t>
  </si>
  <si>
    <t>COSTO INDIRECTO</t>
  </si>
  <si>
    <t>ANALISIS DE PRECIOS UNITARIOS (A.P.Us.) CAPITULO - BASICOS</t>
  </si>
  <si>
    <t>CAPITULO:</t>
  </si>
  <si>
    <t>CAP.B</t>
  </si>
  <si>
    <t>BASICOS</t>
  </si>
  <si>
    <t>UNIDAD</t>
  </si>
  <si>
    <t>ITEM:</t>
  </si>
  <si>
    <t>I. EQUIPOS/HERRAMIENTAS</t>
  </si>
  <si>
    <t>No. ART.</t>
  </si>
  <si>
    <t>DESCRIPCION</t>
  </si>
  <si>
    <t>UNID.</t>
  </si>
  <si>
    <t>REND.</t>
  </si>
  <si>
    <t>VR. PARCIAL</t>
  </si>
  <si>
    <t>HERRAMIENTA MENOR</t>
  </si>
  <si>
    <t>%</t>
  </si>
  <si>
    <t>SUBTOTAL EQUIPOS/HERRAMIENTAS</t>
  </si>
  <si>
    <t>VALOR REDONDEADO SUBTOTAL DE EQUIPOS/HERRAMIENTAS</t>
  </si>
  <si>
    <t>II. MATERIALES E INSUMOS</t>
  </si>
  <si>
    <t>CANT.</t>
  </si>
  <si>
    <t>DESP. (%)</t>
  </si>
  <si>
    <t>SUBTOTAL DE MATERIALES</t>
  </si>
  <si>
    <t>VALOR REDONDEADO SUBTOTAL DE MATERIALES E INSUMOS</t>
  </si>
  <si>
    <t>III. TRANSPORTE</t>
  </si>
  <si>
    <t>UND.</t>
  </si>
  <si>
    <t>CANT./ PESO/ VOL.</t>
  </si>
  <si>
    <t>KM.</t>
  </si>
  <si>
    <t>PRECIO/KM</t>
  </si>
  <si>
    <t>SUBTOTAL TRANSPORTE</t>
  </si>
  <si>
    <t>VALOR REDONDEADO SUBTOTAL TRANSPORTE</t>
  </si>
  <si>
    <t>IV. MANO DE OBRA</t>
  </si>
  <si>
    <t>RDTO.</t>
  </si>
  <si>
    <t>JORNAL</t>
  </si>
  <si>
    <t>I.D.P.D</t>
  </si>
  <si>
    <t>JORNAL+PS</t>
  </si>
  <si>
    <t>SUBTOTAL MANO DE OBRA</t>
  </si>
  <si>
    <t>VALOR REDONDEADO SUBTOTAL DE MANO DE OBRA</t>
  </si>
  <si>
    <t>TOTAL COSTO DIRECTO</t>
  </si>
  <si>
    <t>ANALISÍS DE PRECIOS UNITARIOS</t>
  </si>
  <si>
    <t xml:space="preserve">ELABORÓ: </t>
  </si>
  <si>
    <t>APROBO:</t>
  </si>
  <si>
    <t>CONTRATANTE:</t>
  </si>
  <si>
    <t>ELABORO:</t>
  </si>
  <si>
    <t>I</t>
  </si>
  <si>
    <t>II</t>
  </si>
  <si>
    <t>III</t>
  </si>
  <si>
    <t>IV</t>
  </si>
  <si>
    <t>CD</t>
  </si>
  <si>
    <t>CT</t>
  </si>
  <si>
    <t>REND</t>
  </si>
  <si>
    <t>SUBTOTAL</t>
  </si>
  <si>
    <t>SUBTOTAL RED.</t>
  </si>
  <si>
    <t>IVA SOBRE LA UTILIDAD</t>
  </si>
  <si>
    <t>ADMINISTRACION</t>
  </si>
  <si>
    <t>UTILIDADES</t>
  </si>
  <si>
    <t>LISTADO DE INSUMOS</t>
  </si>
  <si>
    <t>DISTANCIA DEPOSITO DE MATERIALES</t>
  </si>
  <si>
    <t>MAQUINARIA/EQUIPOS</t>
  </si>
  <si>
    <t>No.</t>
  </si>
  <si>
    <t>VR.UNIT.</t>
  </si>
  <si>
    <t>VIBRADOR DE CONCRETO</t>
  </si>
  <si>
    <t>DEMOLEDOR ELECTRICO PARA CONCRETOS</t>
  </si>
  <si>
    <t>FORMALETA PLACA</t>
  </si>
  <si>
    <t>FORMALETA MUROS</t>
  </si>
  <si>
    <t>MEZCLADORA DE CONCRETO</t>
  </si>
  <si>
    <t>DISPOSICION FINAL DE ESCOMBROS</t>
  </si>
  <si>
    <t>MARTILLO NEUMATICO CON COMPRESOR</t>
  </si>
  <si>
    <t>COMPACTADOR TIPO SALTARIN</t>
  </si>
  <si>
    <t>TEODOLITO DIGITAL (EQUIPO DE PRECISION TOPOGRAFICA)</t>
  </si>
  <si>
    <t>VIBROCOMPACTADOR TIPO RANA</t>
  </si>
  <si>
    <t>FORMALETA VIGAS</t>
  </si>
  <si>
    <t>FORMALETA COLUMNAS</t>
  </si>
  <si>
    <t>dia</t>
  </si>
  <si>
    <t>DIF.</t>
  </si>
  <si>
    <t>MANO DE OBRA</t>
  </si>
  <si>
    <t>JORNAL + AUX. TRANS</t>
  </si>
  <si>
    <t>I.D.P.D.</t>
  </si>
  <si>
    <t>P.S. (80%)</t>
  </si>
  <si>
    <t>JORNAL TOTAL</t>
  </si>
  <si>
    <t>TOPOGRAFO</t>
  </si>
  <si>
    <t>CADENERO</t>
  </si>
  <si>
    <t>DESGLOCE CUADRILLAS</t>
  </si>
  <si>
    <t>PORCENTAJE PRESTACIONES SOCIALES OBREROS</t>
  </si>
  <si>
    <t>PORCENTAJE PRESTACIONES SOCIALES PROFESIONALES</t>
  </si>
  <si>
    <t>Salud</t>
  </si>
  <si>
    <t>Pensión</t>
  </si>
  <si>
    <t>ARL (Riesgo 5)</t>
  </si>
  <si>
    <t>Vacaciones</t>
  </si>
  <si>
    <t>Prima de servicio</t>
  </si>
  <si>
    <t>Cesantías</t>
  </si>
  <si>
    <t>Intereses de cesantías</t>
  </si>
  <si>
    <t>Sena</t>
  </si>
  <si>
    <t>ICBF</t>
  </si>
  <si>
    <t>Caja de compensación familiar</t>
  </si>
  <si>
    <t>Dotacion y EPP (Camisa, pantalon, gafas, tapabocas N95 y botas de seguridad)</t>
  </si>
  <si>
    <t>Otros (horas extras,auxilios, ect.)</t>
  </si>
  <si>
    <t>UND/FACT</t>
  </si>
  <si>
    <t>AUXILIO DE TRANSPORTE</t>
  </si>
  <si>
    <t>INCREMENTO DIARIO POR DESPLAZAMIENTO</t>
  </si>
  <si>
    <t>JORNAL TOTAL O VR. UNIT.</t>
  </si>
  <si>
    <t>Ayudante Albañileria</t>
  </si>
  <si>
    <t>Oficial Albañileria</t>
  </si>
  <si>
    <t>Ayudante Acabados</t>
  </si>
  <si>
    <t>Oficial Acabados</t>
  </si>
  <si>
    <t>Ayudante PINTURA</t>
  </si>
  <si>
    <t>Oficial PINTURA</t>
  </si>
  <si>
    <t>M.O. ALBAÑILERIA</t>
  </si>
  <si>
    <t>M.O. ACABADOS</t>
  </si>
  <si>
    <t>M.O. HIDROSANITARIO</t>
  </si>
  <si>
    <t>FM</t>
  </si>
  <si>
    <t>M.O. ELECTRICOS</t>
  </si>
  <si>
    <t>M.O. TOPOGRAFIA</t>
  </si>
  <si>
    <t>M.O. PINTURA</t>
  </si>
  <si>
    <t>Oficial Hidrosanitario</t>
  </si>
  <si>
    <t>Ayudante Hidrosanitario</t>
  </si>
  <si>
    <t>Oficial Electrico</t>
  </si>
  <si>
    <t>Ayudante Electrico</t>
  </si>
  <si>
    <t>SUELDO BASICO</t>
  </si>
  <si>
    <t>PREST.</t>
  </si>
  <si>
    <t>V. APAGAR</t>
  </si>
  <si>
    <t>Director de Obra</t>
  </si>
  <si>
    <t>Residente de Obra (Ingeniero Civil)</t>
  </si>
  <si>
    <t>Auxiliar de ingenieria</t>
  </si>
  <si>
    <t>Ingeniero ambiental</t>
  </si>
  <si>
    <t>Apoyo ingeniería, gestión de calidad y SISO</t>
  </si>
  <si>
    <t xml:space="preserve">Secretaria </t>
  </si>
  <si>
    <t xml:space="preserve">Contadora </t>
  </si>
  <si>
    <t>Vigilancia de materiales y equipos</t>
  </si>
  <si>
    <t>Almacenista</t>
  </si>
  <si>
    <t>Conductor vehiculo</t>
  </si>
  <si>
    <t>Se asumen factores multiplicadores por cada una de las diferentes actividades de las cuadrilas, según el nivel de dificultad de la labor desarrollada y tomando en cuenta el conocimiento para la ejecucion de cada actividad.</t>
  </si>
  <si>
    <t>Pres. (80%)</t>
  </si>
  <si>
    <t>V. PREST.</t>
  </si>
  <si>
    <t>SUB-CONTRATOS</t>
  </si>
  <si>
    <t>kg</t>
  </si>
  <si>
    <t>TRANSPORTES</t>
  </si>
  <si>
    <t>DIST. (KM)</t>
  </si>
  <si>
    <t>m3/km</t>
  </si>
  <si>
    <t>kg/km</t>
  </si>
  <si>
    <t>ml/km</t>
  </si>
  <si>
    <t>und/km</t>
  </si>
  <si>
    <t>Transporte Acero de refuerzo</t>
  </si>
  <si>
    <t>Sobreacarreo</t>
  </si>
  <si>
    <t>transporte ladrillo</t>
  </si>
  <si>
    <t>transporte quimicos y material filtros</t>
  </si>
  <si>
    <t xml:space="preserve">Transporte Arena </t>
  </si>
  <si>
    <t>Transporte Base</t>
  </si>
  <si>
    <t>Transporte Sub Base</t>
  </si>
  <si>
    <t>Transporte Piedra rajon</t>
  </si>
  <si>
    <t>Transporte Cemento</t>
  </si>
  <si>
    <t>Transporte Accesorios hidraulicos</t>
  </si>
  <si>
    <t>transporte Accesorios electricos</t>
  </si>
  <si>
    <t>Transporte tuberia hidraulica</t>
  </si>
  <si>
    <t>MATERIALES</t>
  </si>
  <si>
    <t>CEMENTO GRIS</t>
  </si>
  <si>
    <t>ARENA GRUESA</t>
  </si>
  <si>
    <t>TRITURADO DE 3/4"</t>
  </si>
  <si>
    <t>AGUA</t>
  </si>
  <si>
    <t>lt</t>
  </si>
  <si>
    <t>PUNTILLA 2½"</t>
  </si>
  <si>
    <t>lb</t>
  </si>
  <si>
    <t>PIEDRA RAJON</t>
  </si>
  <si>
    <t>ESTACA DE MADERA DE 2CM * 2CM</t>
  </si>
  <si>
    <t>LADRILLO MACIZO</t>
  </si>
  <si>
    <t xml:space="preserve">MALLA ESLABONADA </t>
  </si>
  <si>
    <t>ALAMBRE DE AMARRE No 18</t>
  </si>
  <si>
    <t>Kg</t>
  </si>
  <si>
    <t>CABLE DE GUAYA Y ALMA DE ACERO</t>
  </si>
  <si>
    <t>PERROS EN ANCLAJE</t>
  </si>
  <si>
    <t xml:space="preserve">LADRILLO EN ARCILLA h:12 </t>
  </si>
  <si>
    <t>VENTANA METALICA 0,70x1,00</t>
  </si>
  <si>
    <t>TANQUE DE 250 LITROS</t>
  </si>
  <si>
    <t>VALVULA MARIPOSA 3"</t>
  </si>
  <si>
    <t>ACCESORIOS PVC 1/2" - PRESION</t>
  </si>
  <si>
    <t>ACCESORIOS PVC 1" - PRESION</t>
  </si>
  <si>
    <t>gl</t>
  </si>
  <si>
    <t>VALVULA DE COMPUERTA ELASTICA BRIDADA 8"</t>
  </si>
  <si>
    <t>VALVULA DE COMPUERTA ELASTICA BRIDADA 3"</t>
  </si>
  <si>
    <t>VALVULA VENTOSA DOBLE CAMARA (TRIPLE EFECTO) DE 2"</t>
  </si>
  <si>
    <t>MACROMEDIDOR 8" EXTREMOS BRIDADOS</t>
  </si>
  <si>
    <t>LLAVE PARA OPERAR VALVULA</t>
  </si>
  <si>
    <t>REJILLA 1.00x0.30 EN HIERRO DE 1/2" INSPECCIONABLE</t>
  </si>
  <si>
    <t>REJILLA 1.00x0.40 EN HIERRO DE 1/2" INSPECCIONABLE</t>
  </si>
  <si>
    <t>REJILLA 2.80x0.40 EN HIERRO DE 1/2" CON MALLA</t>
  </si>
  <si>
    <t xml:space="preserve">TEE REDUCIDA 8"x3" EXTREMOS BRIDADOS </t>
  </si>
  <si>
    <t>REDUCCION 3" a 2" EXTREMOS BRIDADOS</t>
  </si>
  <si>
    <t>ADAPTADOR 8" BRIDA x UNIVERSAL</t>
  </si>
  <si>
    <t>ADAPTADOR 3" BRIDA x UNIVERSAL</t>
  </si>
  <si>
    <t>TAPA INSPECCION VALVULAS EN HIERRO FUNDIDO</t>
  </si>
  <si>
    <t>TAPA BASCULANTE EN HIERRO FUNDIDO</t>
  </si>
  <si>
    <t>MARCO EN TUBO Y MALLA DE HIERRO DE 2,20x5,80</t>
  </si>
  <si>
    <t>VALVULA MARIPOSA 4"</t>
  </si>
  <si>
    <t>VALVULA MARIPOSA 6"</t>
  </si>
  <si>
    <t>MACROMEDIDOR 6" EXTREMOS BRIDADOS</t>
  </si>
  <si>
    <t>MODULO PARA BAJA TENSION</t>
  </si>
  <si>
    <t>SIKAFLEX 1A 300 mm</t>
  </si>
  <si>
    <t>CINTA SIKA PVC</t>
  </si>
  <si>
    <t>SIKA 1 MORTERO</t>
  </si>
  <si>
    <t>DESENCOFRANTE Separon N</t>
  </si>
  <si>
    <t>SIKAFLUID (Asentamiento de Concreto)</t>
  </si>
  <si>
    <t>PLASTOCRETE (Impermeabilizante Concreto)</t>
  </si>
  <si>
    <t>PINTURA EPOXICA</t>
  </si>
  <si>
    <t>TOTAL INSUMOS</t>
  </si>
  <si>
    <t>MATERIAL BASE GRANULAR</t>
  </si>
  <si>
    <t>MATERIAL SUB BASE</t>
  </si>
  <si>
    <t>PUNTILLA 1½"</t>
  </si>
  <si>
    <t>PUNTILLA 2"</t>
  </si>
  <si>
    <t>PIEDRA BOLO DE RIO</t>
  </si>
  <si>
    <t>LADRILLO EN ARCILLA h:10</t>
  </si>
  <si>
    <t>LADRILLO EN ARCILLA h:15</t>
  </si>
  <si>
    <t>ACCESORIOS PVC 3/4" - PRESION</t>
  </si>
  <si>
    <t>ACCESORIOS PVC 1 1/2" - PRESION</t>
  </si>
  <si>
    <t>ACCESORIOS PVC 2" - PRESION</t>
  </si>
  <si>
    <t>ACCESORIOS PVC 2 1/2" - PRESION</t>
  </si>
  <si>
    <t>ACCESORIOS PVC 3" - PRESION</t>
  </si>
  <si>
    <t>ACCESORIOS PVC 4" - PRESION</t>
  </si>
  <si>
    <t>ACCESORIOS PVC 1 1/4" - PRESION</t>
  </si>
  <si>
    <t>ACCESORIOS CPVC 1/2" - PRESION</t>
  </si>
  <si>
    <t>ACCESORIOS CPVC 3/4" - PRESION</t>
  </si>
  <si>
    <t>ACCESORIOS CPVC 1" - PRESION</t>
  </si>
  <si>
    <t>ACCESORIOS CPVC 1 1/4" - PRESION</t>
  </si>
  <si>
    <t>ACCESORIOS CPVC 1 1/2" - PRESION</t>
  </si>
  <si>
    <t>ACCESORIOS CPVC 2" - PRESION</t>
  </si>
  <si>
    <t>ACCESORIOS GRAN RADIO PVC 2" - U.M.</t>
  </si>
  <si>
    <t>ACCESORIOS GRAN RADIO PVC 2 1/2" - U.M.</t>
  </si>
  <si>
    <t>ACCESORIOS GRAN RADIO PVC 3" - U.M.</t>
  </si>
  <si>
    <t>ACCESORIOS GRAN RADIO PVC 4" - U.M.</t>
  </si>
  <si>
    <t>ACCESORIOS GRAN RADIO PVC 6" - U.M.</t>
  </si>
  <si>
    <t>ACCESORIOS GRAN RADIO PVC 8" - U.M.</t>
  </si>
  <si>
    <t>ACCESORIOS GRAN RADIO PVC 10" - U.M.</t>
  </si>
  <si>
    <t>ACCESORIOS GRAN RADIO PVC 12" - U.M.</t>
  </si>
  <si>
    <t>TUBERIA PVC 1/2" RDE 9 - PRESION</t>
  </si>
  <si>
    <t>TUBERIA PVC 3/4" RDE 11 - PRESION</t>
  </si>
  <si>
    <t>TUBERIA PVC 1/2" RDE 13.5 - PRESION</t>
  </si>
  <si>
    <t>TUBERIA PVC 1" RDE 13.5 - PRESION</t>
  </si>
  <si>
    <t>TUBERIA PVC 3/4" RDE 21 - PRESION</t>
  </si>
  <si>
    <t>TUBERIA PVC 1" RDE 21 - PRESION</t>
  </si>
  <si>
    <t>TUBERIA PVC 1 1/4" RDE 21 - PRESION</t>
  </si>
  <si>
    <t>TUBERIA PVC 1 1/2" RDE 21 - PRESION</t>
  </si>
  <si>
    <t>TUBERIA PVC 6" RDE 21 - PRESION</t>
  </si>
  <si>
    <t>TUBERIA PVC 3" RDE 21 - PRESION</t>
  </si>
  <si>
    <t>TUBERIA PVC 2 1/2" RDE 21 - PRESION</t>
  </si>
  <si>
    <t>TUBERIA PVC 2" RDE 21 - PRESION</t>
  </si>
  <si>
    <t>TUBERIA PVC 2" RDE 26 - PRESION</t>
  </si>
  <si>
    <t>TUBERIA PVC 3" RDE 26 - PRESION</t>
  </si>
  <si>
    <t>C1420</t>
  </si>
  <si>
    <t>C1700</t>
  </si>
  <si>
    <t>C2275</t>
  </si>
  <si>
    <t>C2400</t>
  </si>
  <si>
    <t>C2850</t>
  </si>
  <si>
    <t>C3224</t>
  </si>
  <si>
    <t>M 1:2</t>
  </si>
  <si>
    <t>MORTERO 1:2</t>
  </si>
  <si>
    <t>M 1:4 I.</t>
  </si>
  <si>
    <t>MORTERO 1:4 IMPERMEABILIZADO</t>
  </si>
  <si>
    <t>CONCRETO DE 1.420 PSI</t>
  </si>
  <si>
    <t>CONCRETO DE 1.700 PSI</t>
  </si>
  <si>
    <t>CONCRETO DE 2.275 PSI</t>
  </si>
  <si>
    <t>CONCRETO DE 2.400 PSI</t>
  </si>
  <si>
    <t>CONCRETO DE 2.850 PSI</t>
  </si>
  <si>
    <t>CONCRETO DE 3.224 PSI</t>
  </si>
  <si>
    <t>Transporte Triturado</t>
  </si>
  <si>
    <t>PS (80%)</t>
  </si>
  <si>
    <t>COSTOS INDIRECTOS</t>
  </si>
  <si>
    <t>TOTAL COSTOS INDIRECTOS</t>
  </si>
  <si>
    <t>RETROEXCAVADORA</t>
  </si>
  <si>
    <t>VALVULA DE COMPUERTA ELASTICA BRIDADA 6"</t>
  </si>
  <si>
    <t>VALVULA DE COMPUERTA ELASTICA BRIDADA 4"</t>
  </si>
  <si>
    <t>ADAPTADOR 4" BRIDA x UNIVERSAL</t>
  </si>
  <si>
    <t>VALVULA DE COMPUERTA ELASTICA BRIDADA 2"</t>
  </si>
  <si>
    <t>ADAPTADOR 2" BRIDA x UNIVERSAL</t>
  </si>
  <si>
    <t xml:space="preserve">TEE REDUCIDA 6"x4" EXTREMOS BRIDADOS </t>
  </si>
  <si>
    <t>MACROMEDIDOR 4" EXTREMOS BRIDADOS</t>
  </si>
  <si>
    <t>MACROMEDIDOR 3" EXTREMOS BRIDADOS</t>
  </si>
  <si>
    <t>HIDRANTE PARA TUBERIA DE 4"</t>
  </si>
  <si>
    <t>EQUIPO DE SOLDADURA</t>
  </si>
  <si>
    <t>PINTURA DE ESMALTE</t>
  </si>
  <si>
    <t>COMPRESOR DE AIRE</t>
  </si>
  <si>
    <t>PANTALLAS DEFLECTORAS CAJONERA</t>
  </si>
  <si>
    <t>PANTALLAS DEFLECTORAS FICALEÑA</t>
  </si>
  <si>
    <t>SUMINISTRO E INSTALACION TANQUE CILINDRICO DE 50 m3 (incluye transporte)</t>
  </si>
  <si>
    <t>SUMINISTRO E INSTALACION DE BOMBAS DOSIFICADORAS PARA QUIMICOS</t>
  </si>
  <si>
    <t>SUMINISTRO PARA EQUIPOS DE CONTROL Y CALIDAD</t>
  </si>
  <si>
    <t>VALVULA CHECK 4"</t>
  </si>
  <si>
    <t>CAJA EN CONCRETO PARA VALVULA DE CORTE DOMICILIARIA</t>
  </si>
  <si>
    <t>CAJA EN CONCRETO PARA MEDIDOR DOMICILIARIO</t>
  </si>
  <si>
    <t xml:space="preserve">REGISTRO INCORPORACION 1/2" MACHO X PEAD </t>
  </si>
  <si>
    <t>REGISTRO ANTIFRAUDE 1/2"</t>
  </si>
  <si>
    <t>VALVULA DE BOLA MANIJA MARIPOSA 1/2"</t>
  </si>
  <si>
    <t>SUMINISTRO E INSTALACION TANQUE DE 360 m3 EM MEMBRANA Y ESTRUCTURA DE HIERRO ( incluye transporte)</t>
  </si>
  <si>
    <t>MESES</t>
  </si>
  <si>
    <t>LOCALIZACIÓN:</t>
  </si>
  <si>
    <t>SUMINISTRO E INSTALACION TANQUE DE 160 m3 EM MEMBRANA Y ESTRUCTURA DE HIERRO ( incluye transporte)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</si>
  <si>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</si>
  <si>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</si>
  <si>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</si>
  <si>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</si>
  <si>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</si>
  <si>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</si>
  <si>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</si>
  <si>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</si>
  <si>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</si>
  <si>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</si>
  <si>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SUMINISTRO DE CLORO LIQUIDO AL 15%</t>
  </si>
  <si>
    <t>6.14</t>
  </si>
  <si>
    <t>6.15</t>
  </si>
  <si>
    <t>6.16</t>
  </si>
  <si>
    <t>6.17</t>
  </si>
  <si>
    <t>VALVULA CHECK 2"</t>
  </si>
  <si>
    <t>VALVULA CHECK HORIZONTAL 1/2"</t>
  </si>
  <si>
    <t>SUMINISTRO E INSTALACION DE BOMBA DE 5 HP</t>
  </si>
  <si>
    <t>SUMINISTRO E INSTALACION DE TORRE DE AIREACIÓN</t>
  </si>
  <si>
    <t>SUMINISTRO E INSTALACION CANALETA PARSHALL</t>
  </si>
  <si>
    <t>SUMINISTRO E INSTALACION FLOCULADOR</t>
  </si>
  <si>
    <t>SUMINISTRO E INSTALACION DE ESCALERAS Y TARIMA DE FLOCULADORES</t>
  </si>
  <si>
    <t>SUMINISTRO E INSTALACION DE PANEL SEDIMENTADOR</t>
  </si>
  <si>
    <t>SUMINISTRO E INSTALACION DE FILTRO FINOS Y GRUESOS</t>
  </si>
  <si>
    <t>SUMINISTRO SOPORTE PARA BOMBAS EN ACERO INOXIDABLE</t>
  </si>
  <si>
    <t>SUMINISTRO E INSTALACION SEPARADOR DE LODOS</t>
  </si>
  <si>
    <t>SUMINISTRO DE HIDROCLORO DE ALUMINIO</t>
  </si>
  <si>
    <t>FLOCULANTE LONICO ESPECIAL PARA TRATAMIENTO DE AGUA</t>
  </si>
  <si>
    <t xml:space="preserve">SUMINISTRO DE SEÑALES INFORMATIVAS Y PREVENTIVAS </t>
  </si>
  <si>
    <t>SUMINISTRO GRAVA CUARCICA (1/2" a 1") bulto por 25 kg</t>
  </si>
  <si>
    <t>SUMINISTRO GRAVA CUARCICA GRUESA (1/4" a 1/2") bulto por 25 kg</t>
  </si>
  <si>
    <t>SUMINISTRO GRAVA CUARCICA FINA (1/16" a 1/8") bulto por 25 kg</t>
  </si>
  <si>
    <t>SUMINISTRO ARENA CUARCICA MALLA 20/40 bulto por 25 kg</t>
  </si>
  <si>
    <t>SUMINISTRO LECHO DE CARBÓN ACTIVAADO DE MADERA DE PINO bulto por 25 kg</t>
  </si>
  <si>
    <t>bulto</t>
  </si>
  <si>
    <t>SUMINISTRO E INSTALACION DE TANQUE DE BOMBEO CAP. 14 L/S</t>
  </si>
  <si>
    <t>CORTADORA GRANDE</t>
  </si>
  <si>
    <t>VALVULA MARIPOSA 2"</t>
  </si>
  <si>
    <t>SUMINISTRO E INSTALACION BOMBA PARA TRAVASE AUTOMATICO, RECARGABLE</t>
  </si>
  <si>
    <t>SUMINISTRO DE AGITADOR ELECTRICO PARA PRODUCTOS QUIMICOS</t>
  </si>
  <si>
    <t>SUMINISTRO E INSTALACION DE SENSORES DE NIVEL DE ALTA CALIDAD</t>
  </si>
  <si>
    <t>DURACION:</t>
  </si>
  <si>
    <t>RENDIMIENTO</t>
  </si>
  <si>
    <t>DIAS</t>
  </si>
  <si>
    <t># CUARILLAS</t>
  </si>
  <si>
    <t>X CUADRILLA</t>
  </si>
  <si>
    <t>MEDIDOR DE AGUA DE VELOCIDAD 1/2"</t>
  </si>
  <si>
    <t>2.6</t>
  </si>
  <si>
    <t>5.4</t>
  </si>
  <si>
    <t>5.5</t>
  </si>
  <si>
    <t>5.6</t>
  </si>
  <si>
    <t>5.7</t>
  </si>
  <si>
    <t>5.8</t>
  </si>
  <si>
    <t>PIEDRA BARICHARA PARA ENCHAPE</t>
  </si>
  <si>
    <t>PIEDRA BARICHARA PARA PAVIMENTO</t>
  </si>
  <si>
    <t>Transporte Piedra Barichara</t>
  </si>
  <si>
    <t>Transporte Piedra bolo de rio</t>
  </si>
  <si>
    <t>ADOQUIN EN GRES</t>
  </si>
  <si>
    <t>GRAMA NATURAL</t>
  </si>
  <si>
    <t>FORMALETA DE SARDINEL</t>
  </si>
  <si>
    <t>PEGANTE CERAMICO</t>
  </si>
  <si>
    <t>SUMINISTRO E INSTALACION DE BANCA EN CONCRETO 150X50</t>
  </si>
  <si>
    <t>SUMINISTRO E INSTALACION DE BANCA EN MADERA SINTETICA</t>
  </si>
  <si>
    <t>SUMINISTRO E INSTALACION DE BANCA EN CONCRETO 350X50</t>
  </si>
  <si>
    <t>Transporte tuberia alcantarrillado</t>
  </si>
  <si>
    <t>REJILLA PARA SUMIDERO 50X180 EN HIERRO</t>
  </si>
  <si>
    <t>REJILLA PARA SUMIDERO 50X100 EN HIERRO</t>
  </si>
  <si>
    <t>6.18</t>
  </si>
  <si>
    <t>6.19</t>
  </si>
  <si>
    <t>6.20</t>
  </si>
  <si>
    <t>6.21</t>
  </si>
  <si>
    <t>Ingeniero de apoyo(Especialista en hidraulica)</t>
  </si>
  <si>
    <t>MALLA ELECTROSOLDADA</t>
  </si>
  <si>
    <t>MATERIAL DE RECEBO</t>
  </si>
  <si>
    <t>VIBROCOMPACTADOR DE 8 TONELADAS</t>
  </si>
  <si>
    <t>MOTONIVELADORA 120 HP</t>
  </si>
  <si>
    <t>Hora</t>
  </si>
  <si>
    <t>Transporte Material de recebo</t>
  </si>
  <si>
    <t>Transporte Material de excavacion</t>
  </si>
  <si>
    <t>Transporte Retiro de material sobrante</t>
  </si>
  <si>
    <t>CONCRETO DE 1.500 PSI</t>
  </si>
  <si>
    <t>C1500</t>
  </si>
  <si>
    <t>EQUIPO PARA MICROPILOTES DE DIAMETRO 30 CM</t>
  </si>
  <si>
    <t>TUBO ESTRUCTURAL 4" Calibre 2,5mm ASTM A 500gra, GALVANIZADO</t>
  </si>
  <si>
    <t>MORTERO PLASTICO</t>
  </si>
  <si>
    <t>FORMALETA PARA CAÑUELAS</t>
  </si>
  <si>
    <t>SECCION DE ANDAMIOS (2 marcos y crucetas)</t>
  </si>
  <si>
    <t>CERCHA EN CELOSIA SEGÚN DISEÑO ESTRUCTURAL, incluye suministro e instalacion de anclaje, platinas, contravientos, tensores y soldadura</t>
  </si>
  <si>
    <t>ANTICORROSIVO PREMIUM</t>
  </si>
  <si>
    <t>THINER EXTRAFINO</t>
  </si>
  <si>
    <t>Oficial Soldador</t>
  </si>
  <si>
    <t>Ayudante Soldador</t>
  </si>
  <si>
    <t>M.O. SOLDADOR</t>
  </si>
  <si>
    <t>CORREDA TIPO PHR 305X80X1.5MM, incluye suministro e instalacion de anclaje, platinas, y soldadura</t>
  </si>
  <si>
    <t>ACCESORIOS PVC 8" - SANITARIO</t>
  </si>
  <si>
    <t>ACCESORIOS PVC 10" - SANITARIO</t>
  </si>
  <si>
    <t>CONEXIONES ALCANTARILLADO 200mm</t>
  </si>
  <si>
    <t>FORMALETA PARA LOSA</t>
  </si>
  <si>
    <t>ALLANADORA HELICÓPTERO</t>
  </si>
  <si>
    <t>glb</t>
  </si>
  <si>
    <t>WASH PRIMER COMPONENTE A 1/4 GL REF. 509a O SIMILAR</t>
  </si>
  <si>
    <t>WASH PRIMER COMPONENTE A 1/4 GL REF. 509b O SIMILAR</t>
  </si>
  <si>
    <t>PLATINA SOPORTE 3mm</t>
  </si>
  <si>
    <t>SOLDADURA DE ESTAÑO 60-40 250gr 1/16" (1,6mm)</t>
  </si>
  <si>
    <t>GRAFIL 4 mm</t>
  </si>
  <si>
    <t>BOCEL MEDIA LUNA 15mm C/MACHO</t>
  </si>
  <si>
    <t>FORMALETA GRADERIA</t>
  </si>
  <si>
    <t>LIJA PARA AGUA #80 x PLIEGO</t>
  </si>
  <si>
    <t>CINTA DE ENMASCARAR 1" (CREPE) X ROLLO</t>
  </si>
  <si>
    <t>SUMINISTRO, MONTAJE Y CONEXIÓN DE LAMPARA METAL 400W - 220V, By 150P 1XHP1-P400W-BU SGR P-WB+By150GR+GC</t>
  </si>
  <si>
    <t>GRUA PH</t>
  </si>
  <si>
    <t>CUBIERTA AUTOPORTANTE EN LAMINA GALVANIZADA CAL. 20 SISTEMA CONALTECH</t>
  </si>
  <si>
    <t>TEJA TRANSLUCIDA</t>
  </si>
  <si>
    <t>PROYECTOR AREALID II DE 128W LED OPTICA PO1</t>
  </si>
  <si>
    <t>TUBO PVC Ø1-1/2"</t>
  </si>
  <si>
    <t>CAJA DE CONTADOR DE 0,80*0,50*0,20m.</t>
  </si>
  <si>
    <t>INTERRUPTOR AUTOMATICO TERMOMAGNETICO DE 3X80A TIPO INDUSTRIAL</t>
  </si>
  <si>
    <t>TABLERO DE AUTOMATICOS DE 18 PUESTOS TRIFASICO</t>
  </si>
  <si>
    <t>BREAKER DE 2X20A</t>
  </si>
  <si>
    <t>BREAKER DE 1X20A</t>
  </si>
  <si>
    <t>TUBO PVC Ø1/2"</t>
  </si>
  <si>
    <t>CAJA OCTAGONAL</t>
  </si>
  <si>
    <t>CAJA RECTANGULAR</t>
  </si>
  <si>
    <t xml:space="preserve">CURVA PVC Ø1/2" </t>
  </si>
  <si>
    <t>ACCESORIOS</t>
  </si>
  <si>
    <t xml:space="preserve">TUBO PVC Ø3/4" </t>
  </si>
  <si>
    <t>JACK CATEGORIA 6</t>
  </si>
  <si>
    <t>CAJA RECTANGULAR PARA ALOJAR PUNTO DE DATOS</t>
  </si>
  <si>
    <t>FACE PLATE DOBLE</t>
  </si>
  <si>
    <t xml:space="preserve">TOMA TELEVISION </t>
  </si>
  <si>
    <t>CABLE COAXIAL RG-6</t>
  </si>
  <si>
    <t>PATCH PANEL 24 PUESTOS CATEGORIA 6</t>
  </si>
  <si>
    <t>SWITCH DE 24 PUESTOS CON DOBLE PUERTO DE ENLACE</t>
  </si>
  <si>
    <t>PATCH CORD DE 3FT CATEGORIA 6</t>
  </si>
  <si>
    <t>PULIDORA ELECTRICA MANUAL - DISCO</t>
  </si>
  <si>
    <t>Ayudante de Demolicion</t>
  </si>
  <si>
    <t>PINTURA ANTIDESLIZANTE</t>
  </si>
  <si>
    <t>TUBO HG 2" E=1,5mm</t>
  </si>
  <si>
    <t>MALLA ESLABONADA CALIBRE 10</t>
  </si>
  <si>
    <t>SOLDADURA ELECTRODO 70-18</t>
  </si>
  <si>
    <t>DISTANCIA - ESCOMBRERA</t>
  </si>
  <si>
    <t>Ingeniero de apoyo(Especialista electrico)</t>
  </si>
  <si>
    <t>ACERO DE REFUERZO fy 420</t>
  </si>
  <si>
    <t>TUBO ESTRUCTURAL 3" Cal 3.00mm</t>
  </si>
  <si>
    <t>PLATINA ESPESOR 1/2"</t>
  </si>
  <si>
    <t>PERFIL 50X100 E=3.00MM</t>
  </si>
  <si>
    <t>PERFIL 100X150 E=3.00MM</t>
  </si>
  <si>
    <t>TEJA TERMOACUSTICA</t>
  </si>
  <si>
    <t>AMARRES PARA CUBIERTA</t>
  </si>
  <si>
    <t>CANAL EN LAMINA GALVANIZADA CAL. 18 DESARROLLO &gt;200&lt;=250 mm INCLUYE SOPORTES Y/O ANCLAJES</t>
  </si>
  <si>
    <t>TABLETA PARA PISO</t>
  </si>
  <si>
    <t>PUERTA METALICA 0.75x2,20</t>
  </si>
  <si>
    <t>PUERTA METALICA 1,00x2,20</t>
  </si>
  <si>
    <t>PUERTA METALICA 1.50x2,20</t>
  </si>
  <si>
    <t>PUERTA METALICA 0.80x2,00</t>
  </si>
  <si>
    <t>VENTANA METALICA 1.95x1.60</t>
  </si>
  <si>
    <t>VENTANA METALICA 3.10x1.60</t>
  </si>
  <si>
    <t>VENTANA METALICA 4.00x1.00</t>
  </si>
  <si>
    <t>VENTANA METALICA 2.00x1.00</t>
  </si>
  <si>
    <t>VENTANA METALICA 2.50x1.60</t>
  </si>
  <si>
    <t>VENTANA METALICA 4.00x0.50</t>
  </si>
  <si>
    <t>DIVISIONES PARA BAÑOS EN ACERO</t>
  </si>
  <si>
    <t>TRITURADO DE 2"</t>
  </si>
  <si>
    <t>VALVULA DE CORTE 1/2"</t>
  </si>
  <si>
    <t>VALVULA DE CORTE 3/4"</t>
  </si>
  <si>
    <t>CODO 4" 90° SANITARIO</t>
  </si>
  <si>
    <t>CODO 4" 45° SANITARIO</t>
  </si>
  <si>
    <t>CODO 2" 45° SANITARIO</t>
  </si>
  <si>
    <t>CODO REVENTILADO 4" A 2" SANITARIO</t>
  </si>
  <si>
    <t>YEE 2" SANITARIO</t>
  </si>
  <si>
    <t>YEE 4" SANITARIO</t>
  </si>
  <si>
    <t>YEE 4" A 2" SANITARIO</t>
  </si>
  <si>
    <t>YEE DOBLE 2" SANITARIO</t>
  </si>
  <si>
    <t>YEE DOBLE 4" A 2" SANITARIO</t>
  </si>
  <si>
    <t>UNIDAD DE MEDIDA 3F 4H 220/127 60HZ INCLUYE GABINETE DE MEDIDA Y PERCHA</t>
  </si>
  <si>
    <t>PISO CERAMICO BLANCO</t>
  </si>
  <si>
    <t>LADRILLO VITRIFICADO</t>
  </si>
  <si>
    <t>YESO</t>
  </si>
  <si>
    <t>lT</t>
  </si>
  <si>
    <t>PINTURA VINILICA</t>
  </si>
  <si>
    <t>PARED CERAMICA BLANCA</t>
  </si>
  <si>
    <t>LAMINA METALICA MICROPERFORADA</t>
  </si>
  <si>
    <t>ING. EDGAR VILLEGAS PALLARES</t>
  </si>
  <si>
    <t>MP 54202136467 NTS</t>
  </si>
  <si>
    <t>Transporte de elementos metalicos</t>
  </si>
  <si>
    <t>C3000</t>
  </si>
  <si>
    <t>MORTERO 1:3</t>
  </si>
  <si>
    <t>M 1:3</t>
  </si>
  <si>
    <t>CONCRETO DE 3.000 PSI</t>
  </si>
  <si>
    <t>UND/km</t>
  </si>
  <si>
    <t>FORMALETA ZAPATAS</t>
  </si>
  <si>
    <t>VALVULA DE CORTE 1"</t>
  </si>
  <si>
    <t>TANQUE DE 2000 LITROS</t>
  </si>
  <si>
    <t>C4000</t>
  </si>
  <si>
    <t>CONCRETO DE 4.000 PSI</t>
  </si>
  <si>
    <t>TALADRO INDUSTRIAL</t>
  </si>
  <si>
    <t>ESQUIPO DE PRUEBA DE PRESION</t>
  </si>
  <si>
    <t>M2</t>
  </si>
  <si>
    <t>CAMIONETA</t>
  </si>
  <si>
    <t>GL</t>
  </si>
  <si>
    <t>VOLQUETA 5M3</t>
  </si>
  <si>
    <t>TUBERIA PVC 4" RDE 21 - PRESION</t>
  </si>
  <si>
    <t>Transporte de elementos PTAP</t>
  </si>
  <si>
    <t>Transporte de insumos PTAP</t>
  </si>
  <si>
    <t>Global</t>
  </si>
  <si>
    <t>Transporte electricos</t>
  </si>
  <si>
    <t>Km</t>
  </si>
  <si>
    <t>Ingeniero</t>
  </si>
  <si>
    <t>EQUIPO DE PERFORACION HORIZONTAL</t>
  </si>
  <si>
    <t>SISEMA DE MOTOBOMBA CON ELECTRICIDAD DE LUZ SOLAR</t>
  </si>
  <si>
    <t>CAMIÓN CON GRUA 5T</t>
  </si>
  <si>
    <t>MADERA PARA ENTIBADO</t>
  </si>
  <si>
    <t>MARZO DE 2025</t>
  </si>
  <si>
    <t>ADMINISTRACION, IMPREVISTOS Y UTILIDAD (A.I.U.)</t>
  </si>
  <si>
    <t>OBJETO:</t>
  </si>
  <si>
    <t>DISCRIMINACION ADMINISTRACION</t>
  </si>
  <si>
    <t>VALOR DE LA ADMINISTRACION</t>
  </si>
  <si>
    <t>VALOR DE IMPREVISTOS</t>
  </si>
  <si>
    <t>VALOR DE UTILIDADES</t>
  </si>
  <si>
    <t>PPTO INTERVENTORIA</t>
  </si>
  <si>
    <t>COSTO TOTAL DEL PROYECTO</t>
  </si>
  <si>
    <t>ANALISIS DE GASTOS DE ADMINISTRACION</t>
  </si>
  <si>
    <t>A</t>
  </si>
  <si>
    <t>EJECUCION FISICA DEL CONTRATO</t>
  </si>
  <si>
    <t>ADMINISTRACIÓN</t>
  </si>
  <si>
    <t>GASTOS PERSONAL DE OBRA</t>
  </si>
  <si>
    <t>Residente de Obra (Ingeniero Civil o de Vías)</t>
  </si>
  <si>
    <t>Auxiliar de Ingeniero civil</t>
  </si>
  <si>
    <t>Gastos Administrativos</t>
  </si>
  <si>
    <t>Alquiler de oficina</t>
  </si>
  <si>
    <t>Papeleria, mensajeria, fotocopias, cd, etc)</t>
  </si>
  <si>
    <t>Edicion de Informes (mensuales y final, incluye ploteo de planchas o planos original en papel de seguridad y una copia en papel bond y archivos magneticos) conclusiones y recomendaciones.</t>
  </si>
  <si>
    <t>Servicio electrico para equipos de oficina</t>
  </si>
  <si>
    <t>Servicio de agua para personal de oficina</t>
  </si>
  <si>
    <t>Servicio de de internet y comunicación de oficina</t>
  </si>
  <si>
    <t xml:space="preserve">Ensayos de laboratorio RESISTENCIA DEL CONCRETO, 3 muestras (7, 14 y 28 dias) por cada elemento en concreto </t>
  </si>
  <si>
    <t>Ensayo de campo, DENSIDADES EN SITIU</t>
  </si>
  <si>
    <t>Gastos de campamento</t>
  </si>
  <si>
    <t>Campamento y almacen para materiales (cemento)</t>
  </si>
  <si>
    <t>alquiler Baño portatil no incluye transporte</t>
  </si>
  <si>
    <t>Muebles (mesa y silla)</t>
  </si>
  <si>
    <t>Papso</t>
  </si>
  <si>
    <t>B</t>
  </si>
  <si>
    <t>GASTOS DE LEGALIZACION</t>
  </si>
  <si>
    <t>Estampilla Contribucion obra publica</t>
  </si>
  <si>
    <t>Estampilla pro universidad</t>
  </si>
  <si>
    <t>C</t>
  </si>
  <si>
    <t>POLIZAS</t>
  </si>
  <si>
    <t>TOTAL ADMINISTRACION</t>
  </si>
  <si>
    <t>Ingeniero de apoyo(Especialista hidraulico)</t>
  </si>
  <si>
    <t>Salario 2025</t>
  </si>
  <si>
    <t>Aux. Transp. 2025</t>
  </si>
  <si>
    <t>meses</t>
  </si>
  <si>
    <t>APROBÓ:</t>
  </si>
  <si>
    <t>DISTANCIA - TRITURADORA</t>
  </si>
  <si>
    <t>c3000</t>
  </si>
  <si>
    <t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t>
  </si>
  <si>
    <t>ARAUCA, ARAUCA</t>
  </si>
  <si>
    <t xml:space="preserve">VALVULA DESAIREADORA </t>
  </si>
  <si>
    <t>SIFÓN PVC SANITARIO 2" (INCLUYE REJILLA)</t>
  </si>
  <si>
    <t>TEE SANITARIA PVC 2"</t>
  </si>
  <si>
    <t>TUBERIA PVC SANITARIO 2"</t>
  </si>
  <si>
    <t xml:space="preserve">TUBERIA PVC SANITARIO 3" </t>
  </si>
  <si>
    <t xml:space="preserve">TUBERIA PVC SANITARIO 4" </t>
  </si>
  <si>
    <t>CODO 3" 45° SANITARIO</t>
  </si>
  <si>
    <t>CODO 2" 90° SANITARIO</t>
  </si>
  <si>
    <t>TRAGANTE DE CUPULA 4"</t>
  </si>
  <si>
    <t>TAPÓN PRUEBAS PVC SANITARIO 4"</t>
  </si>
  <si>
    <t>TAPÓN PRUEBAS PVC SANITARIO 2"</t>
  </si>
  <si>
    <t>TUBERIA PERFORADA 3"</t>
  </si>
  <si>
    <t>PUNTILLA 1"</t>
  </si>
  <si>
    <t>BOMBA SUMERGIBLE 7.5 HP</t>
  </si>
  <si>
    <t>BOMBA SUMERGIBLE 2 HP</t>
  </si>
  <si>
    <t>VALVULA DE CORTE 4"</t>
  </si>
  <si>
    <t>TANQUE DE 1000 LITROS</t>
  </si>
  <si>
    <t>VALVULA DE CORTE 1 1/4"</t>
  </si>
  <si>
    <t>ACCESORIOS PVC 2" - U.M.</t>
  </si>
  <si>
    <t>ACCESORIOS PVC 2 1/2" - U.M.</t>
  </si>
  <si>
    <t>ACCESORIOS PVC 3" - U.M.</t>
  </si>
  <si>
    <t>ACCESORIOS PVC 4" - U.M.</t>
  </si>
  <si>
    <t>ACCESORIOS PVC 6" - U.M.</t>
  </si>
  <si>
    <t>ACCESORIOS PVC 8" - U.M.</t>
  </si>
  <si>
    <t xml:space="preserve">ACCESORIOS POLIETILENO 1/2"PARA ACOMETIDAD </t>
  </si>
  <si>
    <t xml:space="preserve">ACCESORIOS POLIETILENO 3/4"PARA ACOMETIDAD </t>
  </si>
  <si>
    <t>ACCESORIOS PVC 1-1/2" - SANITARIO</t>
  </si>
  <si>
    <t>ACCESORIOS PVC 2" - SANITARIO</t>
  </si>
  <si>
    <t>ACCESORIOS PVC 3" - SANITARIO</t>
  </si>
  <si>
    <t>ACCESORIOS PVC 4" - SANITARIO</t>
  </si>
  <si>
    <t>ACCESORIOS PVC 6" - SANITARIO</t>
  </si>
  <si>
    <t>DUCHA</t>
  </si>
  <si>
    <t xml:space="preserve">CINTA TEFLON </t>
  </si>
  <si>
    <t>YEE DOBLE 4" SANITARIO</t>
  </si>
  <si>
    <t xml:space="preserve">TUBERIA PVC SANITARIO 2 1/2" </t>
  </si>
  <si>
    <t xml:space="preserve">TUBERIA PVC SANITARIO 6" </t>
  </si>
  <si>
    <t xml:space="preserve">TUBERIA PVC SANITARIO 10" </t>
  </si>
  <si>
    <t>BUJE SANITARIO SOLDADO PVC</t>
  </si>
  <si>
    <t>CODO 3" 90° SANITARIO</t>
  </si>
  <si>
    <t>YEE 4" A 3" SANITARIO</t>
  </si>
  <si>
    <t>YEE 3" SANITARIO</t>
  </si>
  <si>
    <t>TEE SANITARIA PVC 3"</t>
  </si>
  <si>
    <t>CONEXIONES ALCANTARILLADO 110mm (4")</t>
  </si>
  <si>
    <t>CONEXIONES ALCANTARILLADO 160mm (6")</t>
  </si>
  <si>
    <t>SIFÓN PVC SANITARIO 3" (INCLUYE REJILLA)</t>
  </si>
  <si>
    <t>Collar de Derivación 3" x 1/2"</t>
  </si>
  <si>
    <t>Registro de Incorporacion</t>
  </si>
  <si>
    <t xml:space="preserve">Adaptador Macho PF+UAD </t>
  </si>
  <si>
    <t>Tuberia PF+UAD 1/2"</t>
  </si>
  <si>
    <t>caja en polipropileno de alto impacto</t>
  </si>
  <si>
    <t>micromedidor con acoples de 1/2"</t>
  </si>
  <si>
    <t>registro de corte 1/2"</t>
  </si>
  <si>
    <t>TUBERIA PEAD 2" RDE 21 - PRESION</t>
  </si>
  <si>
    <t>TUBERIA PEAD 4" RDE 21 - PRESION</t>
  </si>
  <si>
    <t>TUBERIA ALCANTARRILLADO 110 mm (4")</t>
  </si>
  <si>
    <t>TUBERIA ALCANTARRILLADO 160 mm (6")</t>
  </si>
  <si>
    <t>TUBERIA ALCANTARRILLADO 200 mm (8")</t>
  </si>
  <si>
    <t>TUBERIA ALCANTARRLLADO 250 mm (10")</t>
  </si>
  <si>
    <t>TUBERIA ALCANTARILLADO 315 mm (12")</t>
  </si>
  <si>
    <t>TUBERIA ALCANTARILLADO 355 mm (14")</t>
  </si>
  <si>
    <t>TUBERIA ALCANTARILLADO 400 mm (16")</t>
  </si>
  <si>
    <t>TUBERIA ALCANTARILLADO 450 mm (18")</t>
  </si>
  <si>
    <t>TUBERIA ALCANTARILLADO 500 mm (20")</t>
  </si>
  <si>
    <t>TUBERIA ALCANTARILLADO (24")</t>
  </si>
  <si>
    <t>TUBERIA ALCANTARILLADO (27")</t>
  </si>
  <si>
    <t>TUBERIA ALCANTARILLADO (30")</t>
  </si>
  <si>
    <t>TUBERIA ALCANTARILLADO (33")</t>
  </si>
  <si>
    <t>TUBERIA ALCANTARILLADO (36")</t>
  </si>
  <si>
    <t>TUBERIA ALCANTARILLADO (39")</t>
  </si>
  <si>
    <t>TUBERIA ALCANTARILLADO (42")</t>
  </si>
  <si>
    <t>TUBERIA CPVC 1/2" 125 PSI - PRESION</t>
  </si>
  <si>
    <t>TUBERIA CPVC 3/4" 125 PSI - PRESION</t>
  </si>
  <si>
    <t>TUBERIA CPVC 1" 125 PSI - PRESION</t>
  </si>
  <si>
    <t>TUBERIA CPVC 1 1/4" 125 PSI - PRESION</t>
  </si>
  <si>
    <t>TUBERIA CPVC 1 1/2" 125 PSI - PRESION</t>
  </si>
  <si>
    <t>TUBERIA CPVC 2" 125 PSI - PRESION</t>
  </si>
  <si>
    <t>MANGUERA POLIETILENO PARA ACOMETIDA 1/2"</t>
  </si>
  <si>
    <t>MANGUERA POLIETILENO PARA ACOMETIDA 3/4"</t>
  </si>
  <si>
    <t>CUPULA TRAGANTE C 5X4</t>
  </si>
  <si>
    <t>ABRAZADERAS PARA TUBERIA 1-1/2" A 4"</t>
  </si>
  <si>
    <t>ABRAZADERAS PARA TUBERIA 6" A 10"</t>
  </si>
  <si>
    <t>LUBRICANTE PVC 500 gr</t>
  </si>
  <si>
    <t>LIMPIADOR PVC 760 - 1/4 GL</t>
  </si>
  <si>
    <t>SOLDADURA PVC - 1/4 GL</t>
  </si>
  <si>
    <t>TUBERIA PVC VENTILACION 1-1/2"</t>
  </si>
  <si>
    <t>TUBERIA PVC VENTILACION 2"</t>
  </si>
  <si>
    <t>TUBERIA PVC VENTILACION 3"</t>
  </si>
  <si>
    <t>TUBERIA PVC 4"</t>
  </si>
  <si>
    <t>TUBERIA PVC SANITARIA 1-1/2"</t>
  </si>
  <si>
    <t>TUBERIA PVC SANITARIA 2"</t>
  </si>
  <si>
    <t>TUBERIA PVC SANITARIA 3"</t>
  </si>
  <si>
    <t>TUBERIA PVC SANITARIA 4"</t>
  </si>
  <si>
    <t>TUBERIA PVC SANITARIA 6"</t>
  </si>
  <si>
    <t>TUBERIA PVC SANITARIA 8"</t>
  </si>
  <si>
    <t>TUBERIA PVC SANITARIA 10"</t>
  </si>
  <si>
    <t>LAVAPLATOS EN ALUMINIO</t>
  </si>
  <si>
    <t>INODORO CERAMICO</t>
  </si>
  <si>
    <t>ORINAL CERAMICO</t>
  </si>
  <si>
    <t>LAVAMANOS CERAMICO</t>
  </si>
  <si>
    <t>INODORO CON FLUXOMETRO</t>
  </si>
  <si>
    <t>INODORO DOBLE BOTON DISCAPACITADOS</t>
  </si>
  <si>
    <t>EXTINTOR TIPO A (INCLUYE SOPORTE Y SEÑALIZACION)</t>
  </si>
  <si>
    <t>PUERTA ABATIBLE CAL 18 1.00MX2.10M</t>
  </si>
  <si>
    <t>PUERTA ABATIBLE CAL 18 0.90MX2.10M</t>
  </si>
  <si>
    <t>PUERTA ABATIBLE CAL 18 0.80MX2.10M</t>
  </si>
  <si>
    <t>PUERTA ABATIBLE CAL 18 0.40MX2.10M</t>
  </si>
  <si>
    <t>PUERTA ABATIBLE CAL 18 1.50MX2.10M ABRAS 0.75M</t>
  </si>
  <si>
    <t>PUERTA ABATIBLE CAL 18 1.50MX2.10M ABRAS 1.00M Y 0.50M</t>
  </si>
  <si>
    <t>PUERTA ABATIBLE CAL 18 1.80MX2.10M 2 ABRAS 0.90M</t>
  </si>
  <si>
    <t>CORTINA METALICA</t>
  </si>
  <si>
    <t>LOCALIZACIÓN Y REPLANTEO</t>
  </si>
  <si>
    <t>ESTACIÓN DE TOPOGRAFÍA</t>
  </si>
  <si>
    <t>DURMIENTE ORDINARIO</t>
  </si>
  <si>
    <t>PUNTILLA CON CABEZA 2"</t>
  </si>
  <si>
    <t>Lb</t>
  </si>
  <si>
    <t>HILO ROJO</t>
  </si>
  <si>
    <t>ESTACA DE MADERA</t>
  </si>
  <si>
    <t>MOJÓN EN CONCRETO</t>
  </si>
  <si>
    <t>TUBO PVC-P 1/2" RDE 9</t>
  </si>
  <si>
    <t>TUBO PVC-P 3/4" RDE 11</t>
  </si>
  <si>
    <t>TUBO PVC-P 1" RDE 13.5</t>
  </si>
  <si>
    <t>TUBO PVC-P 1 1/4" RDE 21</t>
  </si>
  <si>
    <t>TUBO PVC-P 1 1/2" RDE 21</t>
  </si>
  <si>
    <t>TUBO PVC-P 2" RDE 21</t>
  </si>
  <si>
    <t>TUBO PVC-P 2 1/2" RDE 21</t>
  </si>
  <si>
    <t>TUBO PVC-P 3" RDE 21</t>
  </si>
  <si>
    <t>MEDIDOR DE AGUA 2"</t>
  </si>
  <si>
    <t>TEE 90 PVC-P 1/2"</t>
  </si>
  <si>
    <t>TAPÓN SOLDADO PVC-P 1/2"</t>
  </si>
  <si>
    <t>TAPÓN ROSCAR PVC-P 1/2"</t>
  </si>
  <si>
    <t>ADAPTADOR MACHO PVC-P 1/2"</t>
  </si>
  <si>
    <t>SOLDADURA PVC LIQUIDA 1/4"</t>
  </si>
  <si>
    <t>LIMPIADOR PVC 1/4</t>
  </si>
  <si>
    <t>CODO 90 PVC-P 1/2"</t>
  </si>
  <si>
    <t>CODO 90 PVC-P 3/4"</t>
  </si>
  <si>
    <t>CODO 90 PVC-P 1"</t>
  </si>
  <si>
    <t>CODO 90 PVC-P 1 1/4"</t>
  </si>
  <si>
    <t>CODO 90 PVC-P 1 1/2"</t>
  </si>
  <si>
    <t>CODO 90 PVC-P 2"</t>
  </si>
  <si>
    <t>CODO 90 PVC-P 2 1/2"</t>
  </si>
  <si>
    <t>CODO 90 PVC-P 3"</t>
  </si>
  <si>
    <t>TEE PVC-P 1/2"</t>
  </si>
  <si>
    <t>TEE PVC-P 3/4"</t>
  </si>
  <si>
    <t>TEE PVC-P 1"</t>
  </si>
  <si>
    <t>TEE PVC-P 1 1/4"</t>
  </si>
  <si>
    <t>TEE PVC-P 1 1/2"</t>
  </si>
  <si>
    <t>TEE PVC-P 2"</t>
  </si>
  <si>
    <t>TEE PVC-P 2 1/2"</t>
  </si>
  <si>
    <t>TEE PVC-P 3"</t>
  </si>
  <si>
    <t>BUJES SOLDADO 3 X 2"</t>
  </si>
  <si>
    <t>BUJES SOLDADO 2 X 1 1/2"</t>
  </si>
  <si>
    <t>BUJES SOLDADO 1 1/2" X 1/2"</t>
  </si>
  <si>
    <t>BUJES SOLDADO 1 1/2" X 1"</t>
  </si>
  <si>
    <t>BUJES SOLDADO 1" X 3/4"</t>
  </si>
  <si>
    <t>BUJES SOLDADO 1" X 1/2"</t>
  </si>
  <si>
    <t>BUJES SOLDADO 3/4" X 1/2"</t>
  </si>
  <si>
    <t>VALVULA DE CORTE 1 1/2"</t>
  </si>
  <si>
    <t>ABRAZADERA DE USO PESADO</t>
  </si>
  <si>
    <t>SOPORTE UNIVERSAL</t>
  </si>
  <si>
    <t>BOMBA AUTOCEBANTE CON MOTOR ELECTRICO 6HP</t>
  </si>
  <si>
    <t>TANQUES HIDROACUMULADORES VERTICALES HI-PRESS 300 L</t>
  </si>
  <si>
    <t>TANQUES HIDROACUMULADORES VERTICALES HI-PRESS 400 L</t>
  </si>
  <si>
    <t>TUBERIA CPVC BLUE BRUTE C900 Ø4"</t>
  </si>
  <si>
    <t>TUBERIA CPVC BLUE BRUTE C900 Ø6"</t>
  </si>
  <si>
    <t>CODO RANURADO Ø1 1/2"</t>
  </si>
  <si>
    <t>CODO RANURADO Ø1 1/4"</t>
  </si>
  <si>
    <t>CODO RANURADO Ø1"</t>
  </si>
  <si>
    <t>TEE RANURADO Ø1 1/4"</t>
  </si>
  <si>
    <t>TEE RANURADO Ø1"</t>
  </si>
  <si>
    <t>LLAVE DE JARDIN</t>
  </si>
  <si>
    <t>collares de derivación tornillo metalico de ∅ 4" x 2"</t>
  </si>
  <si>
    <t>aspersores retractiles tipo Pop up</t>
  </si>
  <si>
    <t>TEE 4"</t>
  </si>
  <si>
    <t xml:space="preserve">TEE REDUCIDA 6"x3" EXTREMOS BRIDADOS </t>
  </si>
  <si>
    <t>HIDRANTE PARA TUBERIA DE 3"</t>
  </si>
  <si>
    <t>MACROMEDIDOR 2" EXTREMOS BRIDADOS</t>
  </si>
  <si>
    <t>REDUCCION RANURADA Ø2" A Ø1 1/4"</t>
  </si>
  <si>
    <t>REDUCCION RANURADA Ø2" A Ø1"</t>
  </si>
  <si>
    <t>REDUCCION RANURADA Ø1 1/2" A Ø1 1/4"</t>
  </si>
  <si>
    <t>REDUCCION RANURADA Ø1 1/2" A Ø1"</t>
  </si>
  <si>
    <t>REDUCCION RANURADA Ø1 1/4" A Ø1"</t>
  </si>
  <si>
    <t>VALVULA DE CORTE Ø4"</t>
  </si>
  <si>
    <t>SPRINKERS TIPO PENDENT 1/2" K=5.6 CON ESCUDO Y ACCESORIOS</t>
  </si>
  <si>
    <t>SIAMESA CUERPO EN HIERRO DE 4" x 2 1/2" x 2 1/2" SELLO EN BROCE</t>
  </si>
  <si>
    <t>ESTACION DE CONTROL</t>
  </si>
  <si>
    <t>SELLANTE ANAERÓBICO FUERZA ALTA</t>
  </si>
  <si>
    <t>gr</t>
  </si>
  <si>
    <t>NIPLE EN BRONCE CON TUERCA GIRATORIA DE 2 1/2" ACABADO BRILLANTE</t>
  </si>
  <si>
    <t>TAPA MACHO EN BRONCE DE 2 1/2" ACABADO BRILLANTE</t>
  </si>
  <si>
    <t>PLACA EN BRONCE DE INYECCIÓN COLUMNA ACABADO BRILLANTE</t>
  </si>
  <si>
    <t>VALVULA EXPULSADORA DE AIRE Ø1 1/2"</t>
  </si>
  <si>
    <t>UNION RIGIDA RANURADA 2 1/2" UL/FM IMP</t>
  </si>
  <si>
    <t>UNION RIGIDA RANURADA 1" UL/FM IMP</t>
  </si>
  <si>
    <t>MANGUERA1 1⁄2´ X 30 MTS</t>
  </si>
  <si>
    <t>CAJA PARA GABINETE</t>
  </si>
  <si>
    <t>BOQUILLA 1 1/2"</t>
  </si>
  <si>
    <t>VÁLVULA ANGULAR 1 1⁄2" C</t>
  </si>
  <si>
    <t>TUBERIA ACERO AL CARBON SCH40 ROJA RANURADA Ø1 1/2"</t>
  </si>
  <si>
    <t>TUBERIA ACERO AL CARBON SCH40 ROJA RANURADA Ø1 1/4"</t>
  </si>
  <si>
    <t>TUBERIA ACERO AL CARBON SCH40 ROJA RANURADA Ø1"</t>
  </si>
  <si>
    <t>VALVULA CHECK 2_1/2"</t>
  </si>
  <si>
    <r>
      <t xml:space="preserve">VRP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3/4"</t>
    </r>
  </si>
  <si>
    <r>
      <t xml:space="preserve">VRP </t>
    </r>
    <r>
      <rPr>
        <sz val="10"/>
        <color theme="1"/>
        <rFont val="Calibri"/>
        <family val="2"/>
      </rPr>
      <t>Ø1_1/4</t>
    </r>
    <r>
      <rPr>
        <sz val="10"/>
        <color theme="1"/>
        <rFont val="Consolas"/>
        <family val="3"/>
      </rPr>
      <t>"</t>
    </r>
  </si>
  <si>
    <r>
      <t xml:space="preserve">VRP </t>
    </r>
    <r>
      <rPr>
        <sz val="10"/>
        <color theme="1"/>
        <rFont val="Calibri"/>
        <family val="2"/>
      </rPr>
      <t>Ø1_1/2</t>
    </r>
    <r>
      <rPr>
        <sz val="10"/>
        <color theme="1"/>
        <rFont val="Consolas"/>
        <family val="3"/>
      </rPr>
      <t>"</t>
    </r>
  </si>
  <si>
    <t>SIKA ANCHORFIX-4</t>
  </si>
  <si>
    <r>
      <t xml:space="preserve">CHAZO MULTIPROPOSITO </t>
    </r>
    <r>
      <rPr>
        <sz val="10"/>
        <color theme="1"/>
        <rFont val="Calibri"/>
        <family val="2"/>
      </rPr>
      <t>Ø3/8"</t>
    </r>
  </si>
  <si>
    <t>cm3</t>
  </si>
  <si>
    <r>
      <t xml:space="preserve">PERNO HEXAGONAL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3/8"</t>
    </r>
  </si>
  <si>
    <t>PLETINA 1"X1/8"</t>
  </si>
  <si>
    <t>BUJES SOLDADO 2_1/2" X 2"</t>
  </si>
  <si>
    <t>BUJES SOLDADO 2_1/2" X 1_1/2"</t>
  </si>
  <si>
    <t>BUJES SOLDADO 1 1/2" X 1 1/4"</t>
  </si>
  <si>
    <t>BUJES SOLDADO 1 1/2" X 3/4"</t>
  </si>
  <si>
    <t>BUJES SOLDADO 1 1/4" X 1"</t>
  </si>
  <si>
    <t>BUJES SOLDADO 1 1/4" X 1/2"</t>
  </si>
  <si>
    <t xml:space="preserve">BOMBA DE ALTA PRESIÓN CON MOTOR ELÉCTRICO 7,5 HP </t>
  </si>
  <si>
    <t>ADAPTADOR MACHO PARA ACOPLE LISO ROSCADO HD</t>
  </si>
  <si>
    <t>UNION BRIDA POR ACOPLE UNIVERSAL 2"</t>
  </si>
  <si>
    <t>UNION BRIDA POR ACOPLE UNIVERSAL 3"</t>
  </si>
  <si>
    <t>CODO 90 EXTREMOS BRIDADOS 3"</t>
  </si>
  <si>
    <t>NIPLE PASAMURO EXTREMO LISO L=0,15m HD 3"</t>
  </si>
  <si>
    <t>VALVULA DE PIE DE COLADERA BR 3"</t>
  </si>
  <si>
    <t>VÁLVULA DE RETENCIÓN ESTREMO BRIDA HD 3"</t>
  </si>
  <si>
    <t>TEE 3" HD EXTREMO BRIDADOS</t>
  </si>
  <si>
    <t>TUBERIA C-PVC BLAZEMASTER 3"</t>
  </si>
  <si>
    <t>TUBERIA C-PVC BLAZEMASTER 1"</t>
  </si>
  <si>
    <t>TUBERIA ACERO AL CARBON SCH10 ROJA RANURADA Ø3"</t>
  </si>
  <si>
    <t>CODO CPVC Ø3"</t>
  </si>
  <si>
    <t>TEE CPVC Ø3"</t>
  </si>
  <si>
    <t>REDUCCION CPVC Ø3" A Ø1"</t>
  </si>
  <si>
    <t>CODO CPVC Ø1"</t>
  </si>
  <si>
    <t>TEE CPVC Ø1"</t>
  </si>
  <si>
    <t>CODO RANURADO Ø3"</t>
  </si>
  <si>
    <t>TEE RANURADO Ø3"</t>
  </si>
  <si>
    <t>REDUCCION RANURADA Ø3" A Ø1"</t>
  </si>
  <si>
    <t>Kit de transición de acero a C-PVC</t>
  </si>
  <si>
    <t>EXTINTOR TIPO C (INCLUYE SOPORTE Y SEÑALIZACION)</t>
  </si>
  <si>
    <t>SISTEMA DE BOMBA 20 HP (Bomba, Motor, Tablero de control, Accesorios estándar)</t>
  </si>
  <si>
    <t>SISTEMA DE BOMBA 2 HP (Bomba- Motor importados,Tablero de control- 230 Vol. Importado)</t>
  </si>
  <si>
    <t>REDUCCION 4" a 2" EXTREMOS BRIDADOS</t>
  </si>
  <si>
    <t>VALVULA DE PIE DE COLADERA BR 4"</t>
  </si>
  <si>
    <t>UNION BRIDA POR ACOPLE UNIVERSAL 4"</t>
  </si>
  <si>
    <t>CODO 90 EXTREMOS BRIDADOS 4"</t>
  </si>
  <si>
    <t>FLUXOMETRO</t>
  </si>
  <si>
    <t xml:space="preserve">BOMBA SUMERGIBLE 3HP </t>
  </si>
  <si>
    <t>CODO 6" 90° SANITARIO</t>
  </si>
  <si>
    <t>VALVULA DE ALIVIO Y ANTICIPADORA DE GOLPE DE ARIETE 4"</t>
  </si>
  <si>
    <t>CABEZAL DE PRUEBA Ø4"XØ3"XØ3" MAS VALVULAS</t>
  </si>
  <si>
    <t>HIDROACUMULADOR HI PRESS 750 LT</t>
  </si>
  <si>
    <t>YEE 6" A 4"</t>
  </si>
  <si>
    <t>m 1:3</t>
  </si>
  <si>
    <t xml:space="preserve">BOMBA SUMERGIBLE 7,5HP </t>
  </si>
  <si>
    <t>UNION 6" BRIDA x UNIVERSAL</t>
  </si>
  <si>
    <t>CODO 90 EXTREMOS BRIDADOS 6"</t>
  </si>
  <si>
    <t>TEE EXTREMOS BRIDADOS 6"</t>
  </si>
  <si>
    <t>VÁLVULA DE RETENCIÓN ESTREMO BRIDA HD 6"</t>
  </si>
  <si>
    <t>REDUCCION 6" a 4" EXTREMOS BRIDADOS</t>
  </si>
  <si>
    <t>c4000</t>
  </si>
  <si>
    <t>RETE FTE CONTRATO DE OBRA</t>
  </si>
  <si>
    <t>RETE ICA</t>
  </si>
  <si>
    <t>RETE IVA</t>
  </si>
  <si>
    <t>IVA UTILIDAD</t>
  </si>
  <si>
    <t xml:space="preserve">TUBO GALVANIZADO SCH 40 3/4 </t>
  </si>
  <si>
    <t>BUJE ROSCADO 1" A 3/4"</t>
  </si>
  <si>
    <t>BUJE ROSCADO 3/4" A 1/2"</t>
  </si>
  <si>
    <t>Soporte Pera 1" Cert UL/FM IMP</t>
  </si>
  <si>
    <r>
      <t xml:space="preserve">Varilla roscada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3/8" con recubrimiento anticorrosivo</t>
    </r>
  </si>
  <si>
    <t>Soporte universal figura 980</t>
  </si>
  <si>
    <t>Soporte universal figura 4L</t>
  </si>
  <si>
    <t>transporte materiales en general</t>
  </si>
  <si>
    <t>ACCESORIOS PARA CUBIERTA AUTOPORTANTE</t>
  </si>
  <si>
    <t>REDUCCION RANURADA Ø3" A Ø1 1/2"</t>
  </si>
  <si>
    <t>Grouting</t>
  </si>
  <si>
    <t>KG</t>
  </si>
  <si>
    <t>FLETE DESPERDICIOS</t>
  </si>
  <si>
    <t>GLB</t>
  </si>
  <si>
    <t>TUBERIA PERFORADA 4"</t>
  </si>
  <si>
    <t>TUBERIA PERFORADA 6"</t>
  </si>
  <si>
    <t>Geodren Planar</t>
  </si>
  <si>
    <t>Silla Yee reducida 6" a 4"</t>
  </si>
  <si>
    <t>Silla Yee 4"</t>
  </si>
  <si>
    <t>Angulo 6"x6"x1/8"</t>
  </si>
  <si>
    <t>Pletina de acero 2"x1/8"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</si>
</sst>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_-;_-@_-"/>
    <numFmt numFmtId="166" formatCode="_-* #,##0.00_-;\-* #,##0.00_-;_-* &quot;-&quot;_-;_-@_-"/>
    <numFmt numFmtId="167" formatCode="0.0"/>
    <numFmt numFmtId="168" formatCode="0.0%"/>
    <numFmt numFmtId="169" formatCode="_ * #,##0_ ;_ * \-#,##0_ ;_ * &quot;-&quot;_ ;_ @_ 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(* #,##0.00_);_(* \(#,##0.00\);_(* &quot;-&quot;??_);_(@_)"/>
    <numFmt numFmtId="173" formatCode="_-* #,##0.00\ _€_-;\-* #,##0.00\ _€_-;_-* &quot;-&quot;??\ _€_-;_-@_-"/>
    <numFmt numFmtId="174" formatCode="_-&quot;$&quot;* #,##0.0000000_-;\-&quot;$&quot;* #,##0.0000000_-;_-&quot;$&quot;* &quot;-&quot;_-;_-@_-"/>
    <numFmt numFmtId="175" formatCode="[$$-240A]\ #,##0.00"/>
    <numFmt numFmtId="176" formatCode="dd/mm/yyyy;@"/>
    <numFmt numFmtId="177" formatCode="0.000"/>
    <numFmt numFmtId="178" formatCode="_ * #,##0_ ;_ * \-#,##0_ ;_ * &quot;-&quot;??_ ;_ @_ "/>
    <numFmt numFmtId="179" formatCode="_-[$$-240A]* #,##0.00_-;\-[$$-240A]* #,##0.00_-;_-[$$-240A]* &quot;-&quot;??_-;_-@_-"/>
    <numFmt numFmtId="180" formatCode="0.000%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nsolas"/>
      <family val="3"/>
    </font>
    <font>
      <b/>
      <i/>
      <sz val="10"/>
      <name val="Consolas"/>
      <family val="3"/>
    </font>
    <font>
      <sz val="10"/>
      <name val="Consolas"/>
      <family val="3"/>
    </font>
    <font>
      <b/>
      <sz val="11"/>
      <color rgb="FF000000"/>
      <name val="Consolas"/>
      <family val="3"/>
    </font>
    <font>
      <b/>
      <sz val="18"/>
      <name val="Consolas"/>
      <family val="3"/>
    </font>
    <font>
      <b/>
      <sz val="11"/>
      <color theme="1"/>
      <name val="Consolas"/>
      <family val="3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Consolas"/>
      <family val="3"/>
    </font>
    <font>
      <i/>
      <sz val="10"/>
      <name val="Consolas"/>
      <family val="3"/>
    </font>
    <font>
      <u/>
      <sz val="11"/>
      <color theme="10"/>
      <name val="Calibri"/>
      <family val="2"/>
      <scheme val="minor"/>
    </font>
    <font>
      <b/>
      <u/>
      <sz val="11"/>
      <name val="Consolas"/>
      <family val="3"/>
    </font>
    <font>
      <sz val="11"/>
      <color rgb="FF000000"/>
      <name val="Consolas"/>
      <family val="3"/>
    </font>
    <font>
      <sz val="11"/>
      <name val="Consolas"/>
      <family val="3"/>
    </font>
    <font>
      <sz val="11"/>
      <color theme="0"/>
      <name val="Consolas"/>
      <family val="3"/>
    </font>
    <font>
      <b/>
      <sz val="11"/>
      <name val="Consolas"/>
      <family val="3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4"/>
      <name val="Consolas"/>
      <family val="3"/>
    </font>
    <font>
      <b/>
      <sz val="16"/>
      <name val="Consolas"/>
      <family val="3"/>
    </font>
    <font>
      <b/>
      <sz val="10"/>
      <name val="Consolas"/>
      <family val="3"/>
    </font>
    <font>
      <b/>
      <sz val="10"/>
      <color rgb="FF000000"/>
      <name val="Consolas"/>
      <family val="3"/>
    </font>
    <font>
      <b/>
      <i/>
      <sz val="10"/>
      <color rgb="FF000000"/>
      <name val="Consolas"/>
      <family val="3"/>
    </font>
    <font>
      <sz val="10"/>
      <color rgb="FF000000"/>
      <name val="Consolas"/>
      <family val="3"/>
    </font>
    <font>
      <b/>
      <i/>
      <sz val="10"/>
      <color theme="1"/>
      <name val="Consolas"/>
      <family val="3"/>
    </font>
    <font>
      <b/>
      <i/>
      <sz val="11"/>
      <name val="Consolas"/>
      <family val="3"/>
    </font>
    <font>
      <i/>
      <sz val="11"/>
      <name val="Consolas"/>
      <family val="3"/>
    </font>
    <font>
      <b/>
      <i/>
      <sz val="12"/>
      <name val="Consolas"/>
      <family val="3"/>
    </font>
    <font>
      <i/>
      <sz val="12"/>
      <name val="Consolas"/>
      <family val="3"/>
    </font>
    <font>
      <sz val="10"/>
      <color theme="1"/>
      <name val="Consolas"/>
      <family val="3"/>
    </font>
    <font>
      <b/>
      <i/>
      <sz val="11"/>
      <color theme="1"/>
      <name val="Consolas"/>
      <family val="3"/>
    </font>
    <font>
      <i/>
      <sz val="11"/>
      <color theme="1"/>
      <name val="Consolas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92CDD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172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792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left" vertical="center" wrapText="1"/>
    </xf>
    <xf numFmtId="1" fontId="14" fillId="0" borderId="0" xfId="0" applyNumberFormat="1" applyFont="1" applyAlignment="1">
      <alignment horizontal="center" vertical="center" wrapText="1"/>
    </xf>
    <xf numFmtId="166" fontId="14" fillId="0" borderId="0" xfId="1" applyNumberFormat="1" applyFont="1" applyFill="1" applyBorder="1" applyAlignment="1">
      <alignment horizontal="left" vertical="center" wrapText="1"/>
    </xf>
    <xf numFmtId="165" fontId="14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4" fillId="0" borderId="0" xfId="2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 shrinkToFit="1"/>
    </xf>
    <xf numFmtId="165" fontId="17" fillId="0" borderId="0" xfId="2" applyNumberFormat="1" applyFont="1" applyFill="1" applyBorder="1" applyAlignment="1">
      <alignment horizontal="center" vertical="center" wrapText="1"/>
    </xf>
    <xf numFmtId="165" fontId="5" fillId="0" borderId="0" xfId="2" applyNumberFormat="1" applyFont="1" applyFill="1" applyBorder="1" applyAlignment="1">
      <alignment horizontal="center" vertical="center" wrapText="1" shrinkToFit="1"/>
    </xf>
    <xf numFmtId="0" fontId="15" fillId="0" borderId="0" xfId="0" applyFont="1" applyAlignment="1">
      <alignment horizontal="center" vertical="center" wrapText="1"/>
    </xf>
    <xf numFmtId="166" fontId="14" fillId="0" borderId="0" xfId="1" applyNumberFormat="1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right" vertical="center" wrapText="1" shrinkToFit="1"/>
    </xf>
    <xf numFmtId="9" fontId="14" fillId="0" borderId="0" xfId="0" applyNumberFormat="1" applyFont="1" applyAlignment="1">
      <alignment horizontal="center" vertical="center" wrapText="1" shrinkToFit="1"/>
    </xf>
    <xf numFmtId="1" fontId="1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165" fontId="5" fillId="0" borderId="0" xfId="2" applyNumberFormat="1" applyFont="1" applyFill="1" applyBorder="1" applyAlignment="1">
      <alignment horizontal="right" vertical="center" wrapText="1" shrinkToFit="1"/>
    </xf>
    <xf numFmtId="44" fontId="5" fillId="0" borderId="0" xfId="0" applyNumberFormat="1" applyFont="1" applyAlignment="1">
      <alignment horizontal="left" vertical="center" wrapText="1"/>
    </xf>
    <xf numFmtId="42" fontId="17" fillId="0" borderId="0" xfId="2" applyFont="1" applyFill="1" applyBorder="1" applyAlignment="1">
      <alignment horizontal="center" vertical="center" wrapText="1"/>
    </xf>
    <xf numFmtId="42" fontId="14" fillId="0" borderId="0" xfId="2" applyFont="1" applyFill="1" applyBorder="1" applyAlignment="1">
      <alignment horizontal="left" vertical="center" wrapText="1"/>
    </xf>
    <xf numFmtId="42" fontId="14" fillId="0" borderId="0" xfId="0" applyNumberFormat="1" applyFont="1" applyAlignment="1">
      <alignment horizontal="center" vertical="center" wrapText="1"/>
    </xf>
    <xf numFmtId="14" fontId="5" fillId="0" borderId="21" xfId="2" applyNumberFormat="1" applyFont="1" applyFill="1" applyBorder="1" applyAlignment="1">
      <alignment horizontal="center" vertical="center" wrapText="1" shrinkToFit="1"/>
    </xf>
    <xf numFmtId="173" fontId="14" fillId="0" borderId="0" xfId="0" applyNumberFormat="1" applyFont="1" applyAlignment="1">
      <alignment horizontal="left" vertical="center" wrapText="1"/>
    </xf>
    <xf numFmtId="174" fontId="14" fillId="0" borderId="0" xfId="2" applyNumberFormat="1" applyFont="1" applyFill="1" applyBorder="1" applyAlignment="1">
      <alignment horizontal="left" vertical="center" wrapText="1"/>
    </xf>
    <xf numFmtId="2" fontId="14" fillId="0" borderId="0" xfId="0" applyNumberFormat="1" applyFont="1" applyAlignment="1">
      <alignment horizontal="center" vertical="center" wrapText="1" shrinkToFit="1"/>
    </xf>
    <xf numFmtId="1" fontId="14" fillId="0" borderId="0" xfId="0" applyNumberFormat="1" applyFont="1" applyAlignment="1">
      <alignment horizontal="center" vertical="center" wrapText="1" shrinkToFit="1"/>
    </xf>
    <xf numFmtId="42" fontId="5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1" fontId="13" fillId="2" borderId="5" xfId="11" applyNumberFormat="1" applyFont="1" applyFill="1" applyBorder="1" applyAlignment="1">
      <alignment horizontal="center" vertical="center" wrapText="1" shrinkToFit="1"/>
    </xf>
    <xf numFmtId="167" fontId="14" fillId="0" borderId="5" xfId="0" applyNumberFormat="1" applyFont="1" applyBorder="1" applyAlignment="1">
      <alignment horizontal="center" vertical="center" wrapText="1" shrinkToFit="1"/>
    </xf>
    <xf numFmtId="165" fontId="5" fillId="3" borderId="6" xfId="2" applyNumberFormat="1" applyFont="1" applyFill="1" applyBorder="1" applyAlignment="1">
      <alignment horizontal="right" vertical="center" wrapText="1" shrinkToFit="1"/>
    </xf>
    <xf numFmtId="165" fontId="14" fillId="0" borderId="6" xfId="2" applyNumberFormat="1" applyFont="1" applyFill="1" applyBorder="1" applyAlignment="1">
      <alignment horizontal="right" vertical="center" wrapText="1" shrinkToFit="1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5" fontId="5" fillId="3" borderId="0" xfId="2" applyNumberFormat="1" applyFont="1" applyFill="1" applyBorder="1" applyAlignment="1">
      <alignment horizontal="right" vertical="center" wrapText="1" shrinkToFit="1"/>
    </xf>
    <xf numFmtId="0" fontId="17" fillId="0" borderId="0" xfId="0" applyFont="1" applyAlignment="1">
      <alignment horizontal="center" vertical="center"/>
    </xf>
    <xf numFmtId="168" fontId="14" fillId="0" borderId="0" xfId="0" applyNumberFormat="1" applyFont="1" applyAlignment="1">
      <alignment horizontal="center" vertical="center" wrapText="1" shrinkToFit="1"/>
    </xf>
    <xf numFmtId="173" fontId="2" fillId="0" borderId="0" xfId="0" applyNumberFormat="1" applyFont="1" applyAlignment="1">
      <alignment vertical="center"/>
    </xf>
    <xf numFmtId="42" fontId="2" fillId="0" borderId="0" xfId="2" applyFont="1" applyBorder="1" applyAlignment="1">
      <alignment vertical="center"/>
    </xf>
    <xf numFmtId="0" fontId="4" fillId="0" borderId="0" xfId="5" applyFont="1" applyAlignment="1">
      <alignment vertical="center"/>
    </xf>
    <xf numFmtId="0" fontId="11" fillId="0" borderId="0" xfId="5" applyFont="1"/>
    <xf numFmtId="0" fontId="5" fillId="0" borderId="5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165" fontId="17" fillId="0" borderId="4" xfId="2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75" fontId="15" fillId="0" borderId="7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1" fontId="17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5" fillId="4" borderId="0" xfId="2" applyNumberFormat="1" applyFont="1" applyFill="1" applyBorder="1" applyAlignment="1">
      <alignment horizontal="right" vertical="center" wrapText="1" shrinkToFi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42" fontId="23" fillId="0" borderId="0" xfId="0" applyNumberFormat="1" applyFont="1" applyAlignment="1">
      <alignment horizontal="center" vertical="center" wrapText="1"/>
    </xf>
    <xf numFmtId="0" fontId="23" fillId="8" borderId="44" xfId="0" applyFont="1" applyFill="1" applyBorder="1" applyAlignment="1">
      <alignment horizontal="center" vertical="center" wrapText="1"/>
    </xf>
    <xf numFmtId="0" fontId="23" fillId="8" borderId="45" xfId="0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26" fillId="0" borderId="7" xfId="0" applyNumberFormat="1" applyFont="1" applyBorder="1" applyAlignment="1">
      <alignment horizontal="center" vertical="center" wrapText="1" shrinkToFit="1"/>
    </xf>
    <xf numFmtId="2" fontId="4" fillId="0" borderId="7" xfId="0" applyNumberFormat="1" applyFont="1" applyBorder="1" applyAlignment="1">
      <alignment horizontal="center" vertical="center" wrapText="1"/>
    </xf>
    <xf numFmtId="167" fontId="26" fillId="0" borderId="7" xfId="0" applyNumberFormat="1" applyFont="1" applyBorder="1" applyAlignment="1">
      <alignment horizontal="center" vertical="center" wrapText="1" shrinkToFit="1"/>
    </xf>
    <xf numFmtId="42" fontId="26" fillId="0" borderId="6" xfId="2" applyFont="1" applyFill="1" applyBorder="1" applyAlignment="1">
      <alignment horizontal="right" vertical="center" wrapText="1" shrinkToFit="1"/>
    </xf>
    <xf numFmtId="0" fontId="14" fillId="0" borderId="0" xfId="0" applyFont="1" applyAlignment="1">
      <alignment vertical="center" wrapText="1"/>
    </xf>
    <xf numFmtId="0" fontId="32" fillId="0" borderId="0" xfId="0" applyFont="1" applyAlignment="1">
      <alignment wrapText="1"/>
    </xf>
    <xf numFmtId="0" fontId="26" fillId="0" borderId="5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42" fontId="26" fillId="0" borderId="5" xfId="2" applyFont="1" applyFill="1" applyBorder="1" applyAlignment="1">
      <alignment horizontal="left" vertical="center" wrapText="1"/>
    </xf>
    <xf numFmtId="44" fontId="26" fillId="0" borderId="6" xfId="0" applyNumberFormat="1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3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9" fontId="26" fillId="0" borderId="7" xfId="27" applyFont="1" applyFill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165" fontId="26" fillId="0" borderId="6" xfId="2" applyNumberFormat="1" applyFont="1" applyFill="1" applyBorder="1" applyAlignment="1">
      <alignment horizontal="center" vertical="center" wrapText="1"/>
    </xf>
    <xf numFmtId="1" fontId="26" fillId="0" borderId="5" xfId="0" applyNumberFormat="1" applyFont="1" applyBorder="1" applyAlignment="1">
      <alignment horizontal="center" vertical="center" wrapText="1" shrinkToFit="1"/>
    </xf>
    <xf numFmtId="0" fontId="7" fillId="0" borderId="0" xfId="0" applyFont="1"/>
    <xf numFmtId="2" fontId="24" fillId="0" borderId="3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167" fontId="26" fillId="0" borderId="5" xfId="0" applyNumberFormat="1" applyFont="1" applyBorder="1" applyAlignment="1">
      <alignment horizontal="center" vertical="center" wrapText="1" shrinkToFit="1"/>
    </xf>
    <xf numFmtId="2" fontId="26" fillId="0" borderId="7" xfId="0" applyNumberFormat="1" applyFont="1" applyBorder="1" applyAlignment="1">
      <alignment horizontal="center" vertical="center" wrapText="1"/>
    </xf>
    <xf numFmtId="42" fontId="26" fillId="0" borderId="6" xfId="0" applyNumberFormat="1" applyFont="1" applyBorder="1" applyAlignment="1">
      <alignment horizontal="center" vertical="center" wrapText="1"/>
    </xf>
    <xf numFmtId="42" fontId="26" fillId="0" borderId="36" xfId="2" applyFont="1" applyFill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/>
    </xf>
    <xf numFmtId="42" fontId="26" fillId="0" borderId="6" xfId="0" applyNumberFormat="1" applyFont="1" applyBorder="1" applyAlignment="1">
      <alignment horizontal="right" vertical="center" wrapText="1"/>
    </xf>
    <xf numFmtId="165" fontId="26" fillId="0" borderId="7" xfId="2" applyNumberFormat="1" applyFont="1" applyFill="1" applyBorder="1" applyAlignment="1">
      <alignment horizontal="center" vertical="center" wrapText="1" shrinkToFit="1"/>
    </xf>
    <xf numFmtId="42" fontId="26" fillId="0" borderId="6" xfId="0" applyNumberFormat="1" applyFont="1" applyBorder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42" fontId="26" fillId="0" borderId="25" xfId="0" applyNumberFormat="1" applyFont="1" applyBorder="1" applyAlignment="1">
      <alignment horizontal="center" vertical="center" wrapText="1"/>
    </xf>
    <xf numFmtId="2" fontId="24" fillId="0" borderId="7" xfId="0" applyNumberFormat="1" applyFont="1" applyBorder="1" applyAlignment="1">
      <alignment horizontal="center" vertical="center" wrapText="1"/>
    </xf>
    <xf numFmtId="167" fontId="23" fillId="0" borderId="5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center" vertical="center" wrapText="1"/>
    </xf>
    <xf numFmtId="42" fontId="26" fillId="0" borderId="5" xfId="0" applyNumberFormat="1" applyFont="1" applyBorder="1" applyAlignment="1">
      <alignment horizontal="right" vertical="center" wrapText="1"/>
    </xf>
    <xf numFmtId="0" fontId="0" fillId="0" borderId="5" xfId="0" applyBorder="1"/>
    <xf numFmtId="42" fontId="26" fillId="0" borderId="21" xfId="0" applyNumberFormat="1" applyFont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0" fillId="0" borderId="25" xfId="0" applyBorder="1"/>
    <xf numFmtId="0" fontId="0" fillId="0" borderId="13" xfId="0" applyBorder="1"/>
    <xf numFmtId="165" fontId="26" fillId="0" borderId="7" xfId="2" applyNumberFormat="1" applyFont="1" applyFill="1" applyBorder="1" applyAlignment="1">
      <alignment horizontal="center" wrapText="1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2" fontId="2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32" fillId="0" borderId="52" xfId="0" applyFont="1" applyBorder="1" applyAlignment="1" applyProtection="1">
      <alignment horizontal="center"/>
      <protection locked="0"/>
    </xf>
    <xf numFmtId="0" fontId="4" fillId="0" borderId="54" xfId="0" applyFont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42" fontId="2" fillId="0" borderId="15" xfId="2" applyFont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 wrapText="1"/>
    </xf>
    <xf numFmtId="42" fontId="2" fillId="0" borderId="21" xfId="2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10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7" fillId="8" borderId="8" xfId="0" applyFont="1" applyFill="1" applyBorder="1" applyAlignment="1">
      <alignment horizontal="right" wrapText="1"/>
    </xf>
    <xf numFmtId="10" fontId="7" fillId="8" borderId="21" xfId="0" applyNumberFormat="1" applyFont="1" applyFill="1" applyBorder="1"/>
    <xf numFmtId="42" fontId="2" fillId="0" borderId="0" xfId="0" applyNumberFormat="1" applyFont="1"/>
    <xf numFmtId="0" fontId="7" fillId="0" borderId="60" xfId="0" applyFont="1" applyBorder="1" applyAlignment="1">
      <alignment horizontal="center" vertical="center"/>
    </xf>
    <xf numFmtId="2" fontId="2" fillId="0" borderId="60" xfId="0" applyNumberFormat="1" applyFont="1" applyBorder="1" applyAlignment="1">
      <alignment horizontal="center" vertical="center"/>
    </xf>
    <xf numFmtId="42" fontId="7" fillId="0" borderId="60" xfId="2" applyFont="1" applyBorder="1" applyAlignment="1">
      <alignment vertical="center"/>
    </xf>
    <xf numFmtId="42" fontId="2" fillId="0" borderId="60" xfId="2" applyFont="1" applyBorder="1"/>
    <xf numFmtId="42" fontId="2" fillId="0" borderId="60" xfId="2" applyFont="1" applyBorder="1" applyAlignment="1">
      <alignment horizontal="right" vertical="center"/>
    </xf>
    <xf numFmtId="42" fontId="2" fillId="0" borderId="60" xfId="2" applyFont="1" applyBorder="1" applyAlignment="1">
      <alignment horizontal="center" vertical="center"/>
    </xf>
    <xf numFmtId="42" fontId="2" fillId="0" borderId="60" xfId="2" applyFont="1" applyBorder="1" applyAlignment="1">
      <alignment vertical="center"/>
    </xf>
    <xf numFmtId="0" fontId="2" fillId="0" borderId="60" xfId="0" applyFont="1" applyBorder="1" applyAlignment="1">
      <alignment horizontal="center" vertical="center"/>
    </xf>
    <xf numFmtId="42" fontId="2" fillId="0" borderId="60" xfId="2" applyFont="1" applyBorder="1" applyAlignment="1">
      <alignment horizontal="center"/>
    </xf>
    <xf numFmtId="9" fontId="2" fillId="0" borderId="60" xfId="0" applyNumberFormat="1" applyFont="1" applyBorder="1" applyAlignment="1">
      <alignment horizontal="center" vertical="center"/>
    </xf>
    <xf numFmtId="2" fontId="7" fillId="0" borderId="60" xfId="0" applyNumberFormat="1" applyFont="1" applyBorder="1" applyAlignment="1">
      <alignment horizontal="center" vertical="center"/>
    </xf>
    <xf numFmtId="178" fontId="23" fillId="14" borderId="61" xfId="26" applyNumberFormat="1" applyFont="1" applyFill="1" applyBorder="1" applyAlignment="1">
      <alignment horizontal="center" vertical="center" wrapText="1"/>
    </xf>
    <xf numFmtId="178" fontId="23" fillId="14" borderId="62" xfId="26" applyNumberFormat="1" applyFont="1" applyFill="1" applyBorder="1" applyAlignment="1">
      <alignment horizontal="center" vertical="center" wrapText="1"/>
    </xf>
    <xf numFmtId="178" fontId="23" fillId="14" borderId="62" xfId="26" applyNumberFormat="1" applyFont="1" applyFill="1" applyBorder="1" applyAlignment="1">
      <alignment horizontal="center" vertical="center"/>
    </xf>
    <xf numFmtId="178" fontId="23" fillId="14" borderId="63" xfId="26" applyNumberFormat="1" applyFont="1" applyFill="1" applyBorder="1" applyAlignment="1">
      <alignment horizontal="center" vertical="center" wrapText="1"/>
    </xf>
    <xf numFmtId="0" fontId="7" fillId="0" borderId="64" xfId="0" applyFont="1" applyBorder="1" applyAlignment="1">
      <alignment vertical="center" wrapText="1"/>
    </xf>
    <xf numFmtId="42" fontId="7" fillId="0" borderId="65" xfId="2" applyFont="1" applyBorder="1" applyAlignment="1">
      <alignment vertical="center"/>
    </xf>
    <xf numFmtId="0" fontId="2" fillId="0" borderId="64" xfId="0" applyFont="1" applyBorder="1" applyAlignment="1">
      <alignment horizontal="center" wrapText="1"/>
    </xf>
    <xf numFmtId="42" fontId="2" fillId="0" borderId="65" xfId="2" applyFont="1" applyBorder="1" applyAlignment="1">
      <alignment vertical="center"/>
    </xf>
    <xf numFmtId="0" fontId="15" fillId="0" borderId="64" xfId="0" applyFont="1" applyBorder="1" applyAlignment="1">
      <alignment horizontal="center" wrapText="1"/>
    </xf>
    <xf numFmtId="0" fontId="17" fillId="0" borderId="64" xfId="0" applyFont="1" applyBorder="1" applyAlignment="1">
      <alignment vertical="center" wrapText="1"/>
    </xf>
    <xf numFmtId="0" fontId="2" fillId="0" borderId="64" xfId="0" applyFont="1" applyBorder="1" applyAlignment="1">
      <alignment vertical="center" wrapText="1"/>
    </xf>
    <xf numFmtId="10" fontId="10" fillId="15" borderId="7" xfId="0" applyNumberFormat="1" applyFont="1" applyFill="1" applyBorder="1" applyAlignment="1">
      <alignment horizontal="center" vertical="center"/>
    </xf>
    <xf numFmtId="42" fontId="2" fillId="0" borderId="7" xfId="2" applyFont="1" applyBorder="1" applyAlignment="1">
      <alignment vertical="center"/>
    </xf>
    <xf numFmtId="42" fontId="2" fillId="0" borderId="7" xfId="0" applyNumberFormat="1" applyFont="1" applyBorder="1" applyAlignment="1">
      <alignment vertical="center"/>
    </xf>
    <xf numFmtId="42" fontId="2" fillId="0" borderId="0" xfId="0" applyNumberFormat="1" applyFont="1" applyAlignment="1">
      <alignment horizontal="center"/>
    </xf>
    <xf numFmtId="0" fontId="28" fillId="0" borderId="0" xfId="0" applyFont="1" applyProtection="1">
      <protection locked="0"/>
    </xf>
    <xf numFmtId="42" fontId="2" fillId="0" borderId="0" xfId="2" applyFont="1" applyAlignment="1">
      <alignment horizontal="center"/>
    </xf>
    <xf numFmtId="0" fontId="10" fillId="15" borderId="7" xfId="0" applyFont="1" applyFill="1" applyBorder="1" applyAlignment="1">
      <alignment horizontal="center" vertical="center"/>
    </xf>
    <xf numFmtId="178" fontId="23" fillId="15" borderId="7" xfId="26" applyNumberFormat="1" applyFont="1" applyFill="1" applyBorder="1" applyAlignment="1">
      <alignment horizontal="center" vertical="center" wrapText="1"/>
    </xf>
    <xf numFmtId="10" fontId="7" fillId="8" borderId="7" xfId="0" applyNumberFormat="1" applyFont="1" applyFill="1" applyBorder="1" applyAlignment="1">
      <alignment horizontal="center"/>
    </xf>
    <xf numFmtId="42" fontId="32" fillId="0" borderId="8" xfId="0" applyNumberFormat="1" applyFont="1" applyBorder="1"/>
    <xf numFmtId="165" fontId="26" fillId="0" borderId="6" xfId="0" applyNumberFormat="1" applyFont="1" applyBorder="1" applyAlignment="1">
      <alignment horizontal="center" vertical="center" wrapText="1"/>
    </xf>
    <xf numFmtId="42" fontId="26" fillId="0" borderId="0" xfId="2" applyFont="1" applyFill="1" applyBorder="1" applyAlignment="1">
      <alignment horizontal="center" vertical="center" wrapText="1"/>
    </xf>
    <xf numFmtId="2" fontId="26" fillId="0" borderId="0" xfId="0" applyNumberFormat="1" applyFont="1" applyAlignment="1">
      <alignment horizontal="center" vertical="center" wrapText="1"/>
    </xf>
    <xf numFmtId="178" fontId="23" fillId="0" borderId="7" xfId="3" applyNumberFormat="1" applyFont="1" applyFill="1" applyBorder="1" applyAlignment="1">
      <alignment horizontal="center" vertical="center" wrapText="1"/>
    </xf>
    <xf numFmtId="9" fontId="23" fillId="0" borderId="7" xfId="4" applyFont="1" applyFill="1" applyBorder="1" applyAlignment="1">
      <alignment horizontal="center" vertical="center" wrapText="1"/>
    </xf>
    <xf numFmtId="167" fontId="24" fillId="0" borderId="5" xfId="0" applyNumberFormat="1" applyFont="1" applyBorder="1" applyAlignment="1">
      <alignment horizontal="center" vertical="center" wrapText="1"/>
    </xf>
    <xf numFmtId="42" fontId="24" fillId="0" borderId="21" xfId="0" applyNumberFormat="1" applyFont="1" applyBorder="1" applyAlignment="1">
      <alignment horizontal="center" vertical="center" wrapText="1"/>
    </xf>
    <xf numFmtId="167" fontId="23" fillId="0" borderId="2" xfId="0" applyNumberFormat="1" applyFont="1" applyBorder="1" applyAlignment="1">
      <alignment horizontal="center" vertical="center" wrapText="1"/>
    </xf>
    <xf numFmtId="167" fontId="26" fillId="0" borderId="0" xfId="0" applyNumberFormat="1" applyFont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wrapText="1"/>
    </xf>
    <xf numFmtId="42" fontId="26" fillId="0" borderId="7" xfId="2" applyFont="1" applyFill="1" applyBorder="1" applyAlignment="1">
      <alignment vertical="center" wrapText="1" shrinkToFit="1"/>
    </xf>
    <xf numFmtId="0" fontId="14" fillId="0" borderId="0" xfId="0" applyFont="1" applyAlignment="1">
      <alignment horizontal="right" vertical="center" wrapText="1"/>
    </xf>
    <xf numFmtId="1" fontId="14" fillId="0" borderId="0" xfId="0" applyNumberFormat="1" applyFont="1" applyAlignment="1">
      <alignment horizontal="right" vertical="center" wrapText="1"/>
    </xf>
    <xf numFmtId="166" fontId="14" fillId="0" borderId="0" xfId="1" applyNumberFormat="1" applyFont="1" applyFill="1" applyBorder="1" applyAlignment="1">
      <alignment horizontal="right" vertical="center" wrapText="1"/>
    </xf>
    <xf numFmtId="165" fontId="14" fillId="0" borderId="0" xfId="0" applyNumberFormat="1" applyFont="1" applyAlignment="1">
      <alignment horizontal="right" vertical="center" wrapText="1"/>
    </xf>
    <xf numFmtId="165" fontId="14" fillId="0" borderId="0" xfId="2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" fontId="17" fillId="0" borderId="0" xfId="0" applyNumberFormat="1" applyFont="1" applyAlignment="1">
      <alignment horizontal="right" vertical="center" wrapText="1"/>
    </xf>
    <xf numFmtId="175" fontId="14" fillId="0" borderId="0" xfId="0" applyNumberFormat="1" applyFont="1" applyAlignment="1">
      <alignment horizontal="right" vertical="center" wrapText="1"/>
    </xf>
    <xf numFmtId="175" fontId="5" fillId="0" borderId="0" xfId="0" applyNumberFormat="1" applyFont="1" applyAlignment="1">
      <alignment horizontal="right" vertical="center" wrapText="1"/>
    </xf>
    <xf numFmtId="165" fontId="14" fillId="0" borderId="0" xfId="2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75" fontId="15" fillId="0" borderId="0" xfId="0" applyNumberFormat="1" applyFont="1" applyAlignment="1">
      <alignment horizontal="right" vertical="center" wrapText="1"/>
    </xf>
    <xf numFmtId="42" fontId="0" fillId="0" borderId="0" xfId="0" applyNumberFormat="1"/>
    <xf numFmtId="42" fontId="26" fillId="0" borderId="21" xfId="0" applyNumberFormat="1" applyFont="1" applyBorder="1" applyAlignment="1">
      <alignment horizontal="right" vertical="center" wrapText="1"/>
    </xf>
    <xf numFmtId="165" fontId="24" fillId="0" borderId="4" xfId="0" applyNumberFormat="1" applyFont="1" applyBorder="1" applyAlignment="1">
      <alignment horizontal="center" vertical="center" wrapText="1"/>
    </xf>
    <xf numFmtId="165" fontId="24" fillId="0" borderId="21" xfId="0" applyNumberFormat="1" applyFont="1" applyBorder="1" applyAlignment="1">
      <alignment horizontal="center" vertical="center" wrapText="1"/>
    </xf>
    <xf numFmtId="165" fontId="26" fillId="0" borderId="6" xfId="0" applyNumberFormat="1" applyFont="1" applyBorder="1" applyAlignment="1">
      <alignment horizontal="right" vertical="center" wrapText="1"/>
    </xf>
    <xf numFmtId="165" fontId="24" fillId="0" borderId="21" xfId="2" applyNumberFormat="1" applyFont="1" applyFill="1" applyBorder="1" applyAlignment="1">
      <alignment horizontal="center" vertical="center" wrapText="1"/>
    </xf>
    <xf numFmtId="164" fontId="0" fillId="0" borderId="0" xfId="0" applyNumberFormat="1"/>
    <xf numFmtId="165" fontId="24" fillId="0" borderId="0" xfId="0" applyNumberFormat="1" applyFont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65" fontId="17" fillId="0" borderId="21" xfId="2" applyNumberFormat="1" applyFont="1" applyFill="1" applyBorder="1" applyAlignment="1">
      <alignment horizontal="center" vertical="center" wrapText="1"/>
    </xf>
    <xf numFmtId="167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28" fillId="0" borderId="0" xfId="5" applyFont="1"/>
    <xf numFmtId="0" fontId="29" fillId="0" borderId="0" xfId="5" applyFont="1"/>
    <xf numFmtId="165" fontId="5" fillId="3" borderId="37" xfId="2" applyNumberFormat="1" applyFont="1" applyFill="1" applyBorder="1" applyAlignment="1">
      <alignment horizontal="right" vertical="center" wrapText="1" shrinkToFit="1"/>
    </xf>
    <xf numFmtId="0" fontId="15" fillId="0" borderId="7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3" fillId="0" borderId="0" xfId="0" applyFont="1"/>
    <xf numFmtId="0" fontId="34" fillId="0" borderId="0" xfId="0" applyFont="1"/>
    <xf numFmtId="0" fontId="4" fillId="0" borderId="19" xfId="0" applyFont="1" applyBorder="1" applyAlignment="1">
      <alignment horizontal="center" vertical="center" wrapText="1"/>
    </xf>
    <xf numFmtId="165" fontId="0" fillId="0" borderId="0" xfId="0" applyNumberFormat="1"/>
    <xf numFmtId="0" fontId="35" fillId="0" borderId="7" xfId="0" applyFont="1" applyBorder="1" applyAlignment="1">
      <alignment horizontal="center"/>
    </xf>
    <xf numFmtId="2" fontId="14" fillId="0" borderId="5" xfId="0" applyNumberFormat="1" applyFont="1" applyBorder="1" applyAlignment="1">
      <alignment horizontal="center" vertical="center" wrapText="1" shrinkToFit="1"/>
    </xf>
    <xf numFmtId="0" fontId="17" fillId="2" borderId="18" xfId="0" applyFont="1" applyFill="1" applyBorder="1" applyAlignment="1">
      <alignment vertical="center" wrapText="1"/>
    </xf>
    <xf numFmtId="0" fontId="17" fillId="2" borderId="77" xfId="0" applyFont="1" applyFill="1" applyBorder="1" applyAlignment="1">
      <alignment vertical="center" wrapText="1"/>
    </xf>
    <xf numFmtId="165" fontId="17" fillId="2" borderId="16" xfId="0" applyNumberFormat="1" applyFont="1" applyFill="1" applyBorder="1" applyAlignment="1">
      <alignment vertical="center" wrapText="1"/>
    </xf>
    <xf numFmtId="164" fontId="14" fillId="0" borderId="0" xfId="0" applyNumberFormat="1" applyFont="1" applyAlignment="1">
      <alignment horizontal="right" vertical="center" wrapText="1"/>
    </xf>
    <xf numFmtId="165" fontId="17" fillId="2" borderId="0" xfId="0" applyNumberFormat="1" applyFont="1" applyFill="1" applyAlignment="1">
      <alignment vertical="center" wrapText="1"/>
    </xf>
    <xf numFmtId="2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173" fontId="2" fillId="0" borderId="0" xfId="0" applyNumberFormat="1" applyFont="1" applyAlignment="1">
      <alignment horizontal="right" vertical="center"/>
    </xf>
    <xf numFmtId="42" fontId="32" fillId="0" borderId="6" xfId="0" applyNumberFormat="1" applyFont="1" applyBorder="1" applyAlignment="1">
      <alignment horizontal="right" vertical="center" wrapText="1"/>
    </xf>
    <xf numFmtId="165" fontId="5" fillId="3" borderId="51" xfId="2" applyNumberFormat="1" applyFont="1" applyFill="1" applyBorder="1" applyAlignment="1">
      <alignment horizontal="right" vertical="center" wrapText="1" shrinkToFit="1"/>
    </xf>
    <xf numFmtId="165" fontId="5" fillId="4" borderId="51" xfId="2" applyNumberFormat="1" applyFont="1" applyFill="1" applyBorder="1" applyAlignment="1">
      <alignment horizontal="right" vertical="center" wrapText="1" shrinkToFit="1"/>
    </xf>
    <xf numFmtId="167" fontId="26" fillId="0" borderId="22" xfId="0" applyNumberFormat="1" applyFont="1" applyBorder="1" applyAlignment="1">
      <alignment horizontal="center" vertical="center" wrapText="1" shrinkToFit="1"/>
    </xf>
    <xf numFmtId="165" fontId="26" fillId="0" borderId="36" xfId="2" applyNumberFormat="1" applyFont="1" applyFill="1" applyBorder="1" applyAlignment="1">
      <alignment horizontal="center" vertical="center" wrapText="1" shrinkToFit="1"/>
    </xf>
    <xf numFmtId="0" fontId="0" fillId="0" borderId="22" xfId="0" applyBorder="1"/>
    <xf numFmtId="42" fontId="26" fillId="0" borderId="37" xfId="0" applyNumberFormat="1" applyFont="1" applyBorder="1" applyAlignment="1">
      <alignment horizontal="left" vertical="center" wrapText="1"/>
    </xf>
    <xf numFmtId="0" fontId="0" fillId="0" borderId="80" xfId="0" applyBorder="1"/>
    <xf numFmtId="0" fontId="32" fillId="0" borderId="9" xfId="0" applyFont="1" applyBorder="1" applyAlignment="1">
      <alignment horizontal="center" vertical="center" wrapText="1"/>
    </xf>
    <xf numFmtId="165" fontId="10" fillId="0" borderId="7" xfId="2" applyNumberFormat="1" applyFont="1" applyFill="1" applyBorder="1" applyAlignment="1">
      <alignment horizontal="center" vertical="center" wrapText="1"/>
    </xf>
    <xf numFmtId="165" fontId="32" fillId="0" borderId="7" xfId="2" applyNumberFormat="1" applyFont="1" applyFill="1" applyBorder="1" applyAlignment="1">
      <alignment horizontal="left" vertical="center" wrapText="1" shrinkToFit="1"/>
    </xf>
    <xf numFmtId="165" fontId="32" fillId="0" borderId="7" xfId="2" applyNumberFormat="1" applyFont="1" applyFill="1" applyBorder="1" applyAlignment="1">
      <alignment horizontal="right" vertical="center" wrapText="1" shrinkToFit="1"/>
    </xf>
    <xf numFmtId="165" fontId="32" fillId="0" borderId="7" xfId="2" applyNumberFormat="1" applyFont="1" applyFill="1" applyBorder="1" applyAlignment="1">
      <alignment horizontal="right" vertical="center" wrapText="1"/>
    </xf>
    <xf numFmtId="165" fontId="10" fillId="0" borderId="3" xfId="2" applyNumberFormat="1" applyFont="1" applyFill="1" applyBorder="1" applyAlignment="1">
      <alignment horizontal="center" vertical="center" wrapText="1"/>
    </xf>
    <xf numFmtId="165" fontId="32" fillId="0" borderId="0" xfId="2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0" fillId="16" borderId="81" xfId="0" applyFill="1" applyBorder="1"/>
    <xf numFmtId="0" fontId="0" fillId="16" borderId="82" xfId="0" applyFill="1" applyBorder="1"/>
    <xf numFmtId="0" fontId="0" fillId="16" borderId="83" xfId="0" applyFill="1" applyBorder="1"/>
    <xf numFmtId="0" fontId="0" fillId="16" borderId="24" xfId="0" applyFill="1" applyBorder="1"/>
    <xf numFmtId="0" fontId="0" fillId="16" borderId="11" xfId="0" applyFill="1" applyBorder="1"/>
    <xf numFmtId="0" fontId="0" fillId="16" borderId="51" xfId="0" applyFill="1" applyBorder="1"/>
    <xf numFmtId="0" fontId="0" fillId="0" borderId="0" xfId="0" applyAlignment="1">
      <alignment wrapText="1"/>
    </xf>
    <xf numFmtId="165" fontId="5" fillId="17" borderId="53" xfId="2" applyNumberFormat="1" applyFont="1" applyFill="1" applyBorder="1" applyAlignment="1">
      <alignment horizontal="right" vertical="center" wrapText="1" shrinkToFit="1"/>
    </xf>
    <xf numFmtId="0" fontId="17" fillId="17" borderId="56" xfId="0" applyFont="1" applyFill="1" applyBorder="1" applyAlignment="1">
      <alignment horizontal="right" vertical="center" wrapText="1"/>
    </xf>
    <xf numFmtId="0" fontId="17" fillId="17" borderId="0" xfId="0" applyFont="1" applyFill="1" applyAlignment="1">
      <alignment horizontal="right" vertical="center" wrapText="1"/>
    </xf>
    <xf numFmtId="0" fontId="14" fillId="17" borderId="0" xfId="0" applyFont="1" applyFill="1" applyAlignment="1">
      <alignment horizontal="left" vertical="center" wrapText="1"/>
    </xf>
    <xf numFmtId="165" fontId="5" fillId="17" borderId="0" xfId="2" applyNumberFormat="1" applyFont="1" applyFill="1" applyBorder="1" applyAlignment="1">
      <alignment horizontal="right" vertical="center" wrapText="1" shrinkToFit="1"/>
    </xf>
    <xf numFmtId="0" fontId="2" fillId="17" borderId="0" xfId="0" applyFont="1" applyFill="1" applyAlignment="1">
      <alignment vertical="center" wrapText="1"/>
    </xf>
    <xf numFmtId="0" fontId="2" fillId="17" borderId="0" xfId="0" applyFont="1" applyFill="1" applyAlignment="1">
      <alignment vertical="center"/>
    </xf>
    <xf numFmtId="165" fontId="14" fillId="17" borderId="53" xfId="2" applyNumberFormat="1" applyFont="1" applyFill="1" applyBorder="1" applyAlignment="1">
      <alignment horizontal="right" vertical="center" wrapText="1" shrinkToFit="1"/>
    </xf>
    <xf numFmtId="0" fontId="2" fillId="17" borderId="0" xfId="0" applyFont="1" applyFill="1" applyAlignment="1">
      <alignment horizontal="right" vertical="center"/>
    </xf>
    <xf numFmtId="1" fontId="2" fillId="17" borderId="0" xfId="0" applyNumberFormat="1" applyFont="1" applyFill="1" applyAlignment="1">
      <alignment horizontal="right" vertical="center"/>
    </xf>
    <xf numFmtId="0" fontId="14" fillId="17" borderId="0" xfId="0" applyFont="1" applyFill="1" applyAlignment="1">
      <alignment horizontal="right" vertical="center" wrapText="1"/>
    </xf>
    <xf numFmtId="0" fontId="5" fillId="17" borderId="0" xfId="0" applyFont="1" applyFill="1" applyAlignment="1">
      <alignment horizontal="right" vertical="center" wrapText="1"/>
    </xf>
    <xf numFmtId="44" fontId="5" fillId="17" borderId="0" xfId="0" applyNumberFormat="1" applyFont="1" applyFill="1" applyAlignment="1">
      <alignment horizontal="right" vertical="center" wrapText="1"/>
    </xf>
    <xf numFmtId="164" fontId="2" fillId="17" borderId="0" xfId="0" applyNumberFormat="1" applyFont="1" applyFill="1" applyAlignment="1">
      <alignment horizontal="right" vertical="center"/>
    </xf>
    <xf numFmtId="166" fontId="14" fillId="17" borderId="0" xfId="1" applyNumberFormat="1" applyFont="1" applyFill="1" applyBorder="1" applyAlignment="1">
      <alignment horizontal="right" vertical="center" wrapText="1"/>
    </xf>
    <xf numFmtId="165" fontId="14" fillId="17" borderId="0" xfId="2" applyNumberFormat="1" applyFont="1" applyFill="1" applyBorder="1" applyAlignment="1">
      <alignment horizontal="right" vertical="center" wrapText="1"/>
    </xf>
    <xf numFmtId="165" fontId="14" fillId="17" borderId="0" xfId="0" applyNumberFormat="1" applyFont="1" applyFill="1" applyAlignment="1">
      <alignment horizontal="right" vertical="center" wrapText="1"/>
    </xf>
    <xf numFmtId="0" fontId="14" fillId="17" borderId="0" xfId="2" applyNumberFormat="1" applyFont="1" applyFill="1" applyBorder="1" applyAlignment="1">
      <alignment horizontal="center" vertical="center" wrapText="1"/>
    </xf>
    <xf numFmtId="0" fontId="14" fillId="17" borderId="0" xfId="0" applyFont="1" applyFill="1" applyAlignment="1">
      <alignment horizontal="center" vertical="center" wrapText="1"/>
    </xf>
    <xf numFmtId="0" fontId="16" fillId="17" borderId="0" xfId="0" applyFont="1" applyFill="1" applyAlignment="1">
      <alignment horizontal="center" vertical="center" wrapText="1"/>
    </xf>
    <xf numFmtId="0" fontId="5" fillId="17" borderId="30" xfId="0" applyFont="1" applyFill="1" applyBorder="1" applyAlignment="1">
      <alignment vertical="center" wrapText="1"/>
    </xf>
    <xf numFmtId="165" fontId="5" fillId="17" borderId="0" xfId="0" applyNumberFormat="1" applyFont="1" applyFill="1" applyAlignment="1">
      <alignment horizontal="right" vertical="center" wrapText="1" shrinkToFit="1"/>
    </xf>
    <xf numFmtId="165" fontId="17" fillId="17" borderId="0" xfId="2" applyNumberFormat="1" applyFont="1" applyFill="1" applyBorder="1" applyAlignment="1">
      <alignment horizontal="right" vertical="center" wrapText="1"/>
    </xf>
    <xf numFmtId="14" fontId="5" fillId="17" borderId="21" xfId="2" applyNumberFormat="1" applyFont="1" applyFill="1" applyBorder="1" applyAlignment="1">
      <alignment horizontal="center" vertical="center" wrapText="1" shrinkToFit="1"/>
    </xf>
    <xf numFmtId="0" fontId="15" fillId="17" borderId="0" xfId="0" applyFont="1" applyFill="1" applyAlignment="1">
      <alignment horizontal="center" vertical="center" wrapText="1"/>
    </xf>
    <xf numFmtId="0" fontId="17" fillId="17" borderId="0" xfId="0" applyFont="1" applyFill="1" applyAlignment="1">
      <alignment horizontal="center" vertical="center" wrapText="1"/>
    </xf>
    <xf numFmtId="165" fontId="5" fillId="17" borderId="0" xfId="2" applyNumberFormat="1" applyFont="1" applyFill="1" applyBorder="1" applyAlignment="1">
      <alignment horizontal="center" vertical="center" wrapText="1" shrinkToFit="1"/>
    </xf>
    <xf numFmtId="1" fontId="14" fillId="17" borderId="0" xfId="0" applyNumberFormat="1" applyFont="1" applyFill="1" applyAlignment="1">
      <alignment horizontal="right" vertical="center" wrapText="1"/>
    </xf>
    <xf numFmtId="0" fontId="5" fillId="17" borderId="0" xfId="0" applyFont="1" applyFill="1" applyAlignment="1">
      <alignment horizontal="center" vertical="center" wrapText="1"/>
    </xf>
    <xf numFmtId="0" fontId="15" fillId="17" borderId="2" xfId="0" applyFont="1" applyFill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/>
    </xf>
    <xf numFmtId="165" fontId="17" fillId="17" borderId="4" xfId="2" applyNumberFormat="1" applyFont="1" applyFill="1" applyBorder="1" applyAlignment="1">
      <alignment horizontal="center" vertical="center" wrapText="1"/>
    </xf>
    <xf numFmtId="0" fontId="17" fillId="17" borderId="2" xfId="0" applyFont="1" applyFill="1" applyBorder="1" applyAlignment="1">
      <alignment horizontal="center" vertical="center" wrapText="1"/>
    </xf>
    <xf numFmtId="1" fontId="17" fillId="17" borderId="3" xfId="0" applyNumberFormat="1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5" fillId="17" borderId="4" xfId="0" applyFont="1" applyFill="1" applyBorder="1" applyAlignment="1">
      <alignment horizontal="center" vertical="center" wrapText="1"/>
    </xf>
    <xf numFmtId="0" fontId="17" fillId="17" borderId="0" xfId="0" applyFont="1" applyFill="1" applyAlignment="1">
      <alignment horizontal="center" vertical="center"/>
    </xf>
    <xf numFmtId="165" fontId="17" fillId="17" borderId="0" xfId="2" applyNumberFormat="1" applyFont="1" applyFill="1" applyBorder="1" applyAlignment="1">
      <alignment horizontal="center" vertical="center" wrapText="1"/>
    </xf>
    <xf numFmtId="1" fontId="17" fillId="17" borderId="0" xfId="0" applyNumberFormat="1" applyFont="1" applyFill="1" applyAlignment="1">
      <alignment horizontal="right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179" fontId="15" fillId="0" borderId="29" xfId="25" applyNumberFormat="1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10" fontId="15" fillId="0" borderId="15" xfId="0" applyNumberFormat="1" applyFont="1" applyBorder="1" applyAlignment="1">
      <alignment horizontal="center" vertical="center"/>
    </xf>
    <xf numFmtId="179" fontId="15" fillId="0" borderId="53" xfId="25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0" fontId="15" fillId="0" borderId="6" xfId="0" applyNumberFormat="1" applyFont="1" applyBorder="1" applyAlignment="1">
      <alignment horizontal="center" vertical="center"/>
    </xf>
    <xf numFmtId="0" fontId="2" fillId="0" borderId="56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10" fontId="15" fillId="0" borderId="21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7" fillId="9" borderId="14" xfId="0" applyFont="1" applyFill="1" applyBorder="1" applyAlignment="1">
      <alignment horizontal="center" vertical="center"/>
    </xf>
    <xf numFmtId="10" fontId="17" fillId="9" borderId="15" xfId="0" applyNumberFormat="1" applyFont="1" applyFill="1" applyBorder="1" applyAlignment="1">
      <alignment vertical="center"/>
    </xf>
    <xf numFmtId="0" fontId="17" fillId="17" borderId="30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4" fontId="15" fillId="0" borderId="7" xfId="25" applyFont="1" applyBorder="1" applyAlignment="1">
      <alignment horizontal="right" vertical="center" wrapText="1"/>
    </xf>
    <xf numFmtId="1" fontId="15" fillId="0" borderId="7" xfId="0" applyNumberFormat="1" applyFont="1" applyBorder="1" applyAlignment="1">
      <alignment horizontal="center" vertical="center" wrapText="1"/>
    </xf>
    <xf numFmtId="9" fontId="15" fillId="0" borderId="7" xfId="27" applyFont="1" applyBorder="1" applyAlignment="1">
      <alignment horizontal="center" vertical="center" wrapText="1"/>
    </xf>
    <xf numFmtId="44" fontId="15" fillId="0" borderId="7" xfId="25" applyFont="1" applyBorder="1" applyAlignment="1">
      <alignment horizontal="right" vertical="center"/>
    </xf>
    <xf numFmtId="180" fontId="15" fillId="0" borderId="6" xfId="27" applyNumberFormat="1" applyFont="1" applyBorder="1" applyAlignment="1">
      <alignment horizontal="right" vertical="center"/>
    </xf>
    <xf numFmtId="180" fontId="0" fillId="0" borderId="0" xfId="0" applyNumberFormat="1"/>
    <xf numFmtId="0" fontId="17" fillId="0" borderId="7" xfId="0" applyFont="1" applyBorder="1" applyAlignment="1">
      <alignment vertical="center" wrapText="1"/>
    </xf>
    <xf numFmtId="10" fontId="15" fillId="0" borderId="6" xfId="27" applyNumberFormat="1" applyFont="1" applyBorder="1" applyAlignment="1">
      <alignment horizontal="right" vertical="center"/>
    </xf>
    <xf numFmtId="0" fontId="17" fillId="0" borderId="30" xfId="0" applyFont="1" applyBorder="1" applyAlignment="1">
      <alignment horizontal="center" vertical="center"/>
    </xf>
    <xf numFmtId="44" fontId="15" fillId="0" borderId="7" xfId="25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/>
    </xf>
    <xf numFmtId="10" fontId="17" fillId="9" borderId="4" xfId="0" applyNumberFormat="1" applyFont="1" applyFill="1" applyBorder="1" applyAlignment="1">
      <alignment vertical="center" wrapText="1"/>
    </xf>
    <xf numFmtId="42" fontId="26" fillId="0" borderId="30" xfId="0" applyNumberFormat="1" applyFont="1" applyBorder="1" applyAlignment="1">
      <alignment horizontal="right" vertical="center" wrapText="1"/>
    </xf>
    <xf numFmtId="42" fontId="26" fillId="0" borderId="32" xfId="0" applyNumberFormat="1" applyFont="1" applyBorder="1" applyAlignment="1">
      <alignment horizontal="left" vertical="center" wrapText="1"/>
    </xf>
    <xf numFmtId="42" fontId="26" fillId="0" borderId="8" xfId="0" applyNumberFormat="1" applyFont="1" applyBorder="1" applyAlignment="1">
      <alignment horizontal="right" vertical="center" wrapText="1"/>
    </xf>
    <xf numFmtId="42" fontId="26" fillId="0" borderId="86" xfId="0" applyNumberFormat="1" applyFont="1" applyBorder="1" applyAlignment="1">
      <alignment horizontal="center" vertical="center" wrapText="1"/>
    </xf>
    <xf numFmtId="42" fontId="26" fillId="0" borderId="13" xfId="0" applyNumberFormat="1" applyFont="1" applyBorder="1" applyAlignment="1">
      <alignment horizontal="center" vertical="center" wrapText="1"/>
    </xf>
    <xf numFmtId="2" fontId="14" fillId="0" borderId="56" xfId="0" applyNumberFormat="1" applyFont="1" applyBorder="1" applyAlignment="1">
      <alignment horizontal="center" vertical="center" wrapText="1" shrinkToFit="1"/>
    </xf>
    <xf numFmtId="165" fontId="14" fillId="0" borderId="53" xfId="2" applyNumberFormat="1" applyFont="1" applyFill="1" applyBorder="1" applyAlignment="1">
      <alignment horizontal="right" vertical="center" wrapText="1" shrinkToFit="1"/>
    </xf>
    <xf numFmtId="0" fontId="15" fillId="0" borderId="7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175" fontId="15" fillId="0" borderId="18" xfId="0" applyNumberFormat="1" applyFont="1" applyBorder="1" applyAlignment="1">
      <alignment horizontal="right" vertical="center" wrapText="1"/>
    </xf>
    <xf numFmtId="165" fontId="14" fillId="0" borderId="16" xfId="2" applyNumberFormat="1" applyFont="1" applyFill="1" applyBorder="1" applyAlignment="1">
      <alignment horizontal="right" vertical="center" wrapText="1" shrinkToFit="1"/>
    </xf>
    <xf numFmtId="0" fontId="32" fillId="0" borderId="7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42" fontId="32" fillId="0" borderId="36" xfId="2" applyFont="1" applyFill="1" applyBorder="1" applyAlignment="1">
      <alignment horizontal="center" vertical="center" wrapText="1"/>
    </xf>
    <xf numFmtId="0" fontId="32" fillId="0" borderId="7" xfId="28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165" fontId="14" fillId="17" borderId="29" xfId="2" applyNumberFormat="1" applyFont="1" applyFill="1" applyBorder="1" applyAlignment="1">
      <alignment horizontal="right" vertical="center" wrapText="1" shrinkToFit="1"/>
    </xf>
    <xf numFmtId="168" fontId="14" fillId="17" borderId="0" xfId="0" applyNumberFormat="1" applyFont="1" applyFill="1" applyAlignment="1">
      <alignment horizontal="center" vertical="center" wrapText="1" shrinkToFit="1"/>
    </xf>
    <xf numFmtId="168" fontId="14" fillId="17" borderId="1" xfId="0" applyNumberFormat="1" applyFont="1" applyFill="1" applyBorder="1" applyAlignment="1">
      <alignment horizontal="center" vertical="center" wrapText="1" shrinkToFit="1"/>
    </xf>
    <xf numFmtId="165" fontId="14" fillId="17" borderId="39" xfId="2" applyNumberFormat="1" applyFont="1" applyFill="1" applyBorder="1" applyAlignment="1">
      <alignment horizontal="right" vertical="center" wrapText="1" shrinkToFi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 shrinkToFit="1"/>
    </xf>
    <xf numFmtId="42" fontId="26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 wrapText="1"/>
    </xf>
    <xf numFmtId="9" fontId="26" fillId="0" borderId="5" xfId="0" applyNumberFormat="1" applyFont="1" applyBorder="1" applyAlignment="1">
      <alignment horizontal="center" vertical="center" wrapText="1"/>
    </xf>
    <xf numFmtId="176" fontId="24" fillId="0" borderId="0" xfId="0" applyNumberFormat="1" applyFont="1" applyAlignment="1">
      <alignment horizontal="center" vertical="center" wrapText="1" shrinkToFit="1"/>
    </xf>
    <xf numFmtId="167" fontId="26" fillId="0" borderId="5" xfId="0" applyNumberFormat="1" applyFont="1" applyBorder="1" applyAlignment="1">
      <alignment horizontal="center" vertical="center" wrapText="1"/>
    </xf>
    <xf numFmtId="0" fontId="23" fillId="8" borderId="40" xfId="0" applyFont="1" applyFill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wrapText="1"/>
    </xf>
    <xf numFmtId="2" fontId="24" fillId="0" borderId="12" xfId="0" applyNumberFormat="1" applyFont="1" applyBorder="1" applyAlignment="1">
      <alignment horizontal="center" vertical="center" wrapText="1"/>
    </xf>
    <xf numFmtId="167" fontId="26" fillId="0" borderId="8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2" fontId="32" fillId="0" borderId="0" xfId="0" applyNumberFormat="1" applyFont="1" applyAlignment="1">
      <alignment wrapText="1"/>
    </xf>
    <xf numFmtId="0" fontId="32" fillId="0" borderId="24" xfId="0" applyFont="1" applyBorder="1" applyAlignment="1">
      <alignment horizontal="center" vertical="center" wrapText="1"/>
    </xf>
    <xf numFmtId="2" fontId="25" fillId="0" borderId="46" xfId="0" applyNumberFormat="1" applyFont="1" applyBorder="1" applyAlignment="1">
      <alignment horizontal="center" vertical="center" wrapText="1" shrinkToFit="1"/>
    </xf>
    <xf numFmtId="165" fontId="0" fillId="0" borderId="0" xfId="0" applyNumberFormat="1" applyAlignment="1">
      <alignment wrapText="1"/>
    </xf>
    <xf numFmtId="2" fontId="24" fillId="0" borderId="13" xfId="0" applyNumberFormat="1" applyFont="1" applyBorder="1" applyAlignment="1">
      <alignment horizontal="center" vertical="center" wrapText="1"/>
    </xf>
    <xf numFmtId="2" fontId="26" fillId="0" borderId="0" xfId="0" applyNumberFormat="1" applyFont="1" applyAlignment="1">
      <alignment horizontal="left" vertical="center" wrapText="1"/>
    </xf>
    <xf numFmtId="2" fontId="26" fillId="0" borderId="2" xfId="0" applyNumberFormat="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2" fontId="26" fillId="0" borderId="14" xfId="0" applyNumberFormat="1" applyFont="1" applyBorder="1" applyAlignment="1">
      <alignment horizontal="left" vertical="center" wrapText="1"/>
    </xf>
    <xf numFmtId="0" fontId="26" fillId="0" borderId="12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2" fontId="24" fillId="0" borderId="5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 wrapText="1"/>
    </xf>
    <xf numFmtId="9" fontId="26" fillId="0" borderId="7" xfId="27" applyFont="1" applyFill="1" applyBorder="1" applyAlignment="1">
      <alignment horizontal="center" vertical="center" wrapText="1" shrinkToFit="1"/>
    </xf>
    <xf numFmtId="42" fontId="26" fillId="0" borderId="7" xfId="0" applyNumberFormat="1" applyFont="1" applyBorder="1" applyAlignment="1">
      <alignment horizontal="center" vertical="center" wrapText="1" shrinkToFit="1"/>
    </xf>
    <xf numFmtId="165" fontId="26" fillId="0" borderId="6" xfId="2" applyNumberFormat="1" applyFont="1" applyFill="1" applyBorder="1" applyAlignment="1">
      <alignment horizontal="right" vertical="center" wrapText="1" shrinkToFit="1"/>
    </xf>
    <xf numFmtId="2" fontId="26" fillId="0" borderId="5" xfId="0" applyNumberFormat="1" applyFont="1" applyBorder="1" applyAlignment="1">
      <alignment horizontal="left" vertical="center" wrapText="1"/>
    </xf>
    <xf numFmtId="165" fontId="26" fillId="0" borderId="6" xfId="2" applyNumberFormat="1" applyFont="1" applyFill="1" applyBorder="1" applyAlignment="1">
      <alignment horizontal="left" vertical="center" wrapText="1"/>
    </xf>
    <xf numFmtId="177" fontId="26" fillId="0" borderId="7" xfId="27" applyNumberFormat="1" applyFont="1" applyFill="1" applyBorder="1" applyAlignment="1">
      <alignment horizontal="center" vertical="center" wrapText="1" shrinkToFit="1"/>
    </xf>
    <xf numFmtId="2" fontId="26" fillId="0" borderId="5" xfId="0" applyNumberFormat="1" applyFont="1" applyBorder="1" applyAlignment="1">
      <alignment horizontal="center" vertical="center" wrapText="1"/>
    </xf>
    <xf numFmtId="165" fontId="26" fillId="0" borderId="0" xfId="2" applyNumberFormat="1" applyFont="1" applyFill="1" applyBorder="1" applyAlignment="1">
      <alignment horizontal="center" vertical="center" wrapText="1"/>
    </xf>
    <xf numFmtId="165" fontId="26" fillId="0" borderId="5" xfId="2" applyNumberFormat="1" applyFont="1" applyFill="1" applyBorder="1" applyAlignment="1">
      <alignment horizontal="left" vertical="center" wrapText="1"/>
    </xf>
    <xf numFmtId="2" fontId="26" fillId="0" borderId="7" xfId="27" applyNumberFormat="1" applyFont="1" applyFill="1" applyBorder="1" applyAlignment="1">
      <alignment horizontal="center" vertical="center" wrapText="1" shrinkToFit="1"/>
    </xf>
    <xf numFmtId="165" fontId="26" fillId="0" borderId="6" xfId="2" applyNumberFormat="1" applyFont="1" applyFill="1" applyBorder="1" applyAlignment="1">
      <alignment horizontal="center" vertical="center" wrapText="1" shrinkToFit="1"/>
    </xf>
    <xf numFmtId="2" fontId="24" fillId="0" borderId="5" xfId="0" applyNumberFormat="1" applyFont="1" applyBorder="1" applyAlignment="1">
      <alignment horizontal="right" vertical="center" wrapText="1"/>
    </xf>
    <xf numFmtId="165" fontId="24" fillId="0" borderId="25" xfId="2" applyNumberFormat="1" applyFont="1" applyFill="1" applyBorder="1" applyAlignment="1">
      <alignment horizontal="center" vertical="center" wrapText="1"/>
    </xf>
    <xf numFmtId="42" fontId="24" fillId="0" borderId="37" xfId="2" applyFont="1" applyFill="1" applyBorder="1" applyAlignment="1">
      <alignment horizontal="right" vertical="center" wrapText="1" shrinkToFit="1"/>
    </xf>
    <xf numFmtId="2" fontId="24" fillId="0" borderId="8" xfId="0" applyNumberFormat="1" applyFont="1" applyBorder="1" applyAlignment="1">
      <alignment horizontal="right" vertical="center" wrapText="1"/>
    </xf>
    <xf numFmtId="165" fontId="24" fillId="0" borderId="21" xfId="2" applyNumberFormat="1" applyFont="1" applyFill="1" applyBorder="1" applyAlignment="1">
      <alignment horizontal="center" vertical="center" wrapText="1" shrinkToFit="1"/>
    </xf>
    <xf numFmtId="165" fontId="24" fillId="0" borderId="8" xfId="2" applyNumberFormat="1" applyFont="1" applyFill="1" applyBorder="1" applyAlignment="1">
      <alignment horizontal="left" vertical="center" wrapText="1"/>
    </xf>
    <xf numFmtId="44" fontId="26" fillId="0" borderId="21" xfId="0" applyNumberFormat="1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165" fontId="26" fillId="0" borderId="25" xfId="2" applyNumberFormat="1" applyFont="1" applyFill="1" applyBorder="1" applyAlignment="1">
      <alignment horizontal="center" vertical="center" wrapText="1"/>
    </xf>
    <xf numFmtId="2" fontId="26" fillId="0" borderId="3" xfId="0" applyNumberFormat="1" applyFont="1" applyBorder="1" applyAlignment="1">
      <alignment horizontal="center" vertical="center" wrapText="1"/>
    </xf>
    <xf numFmtId="165" fontId="24" fillId="0" borderId="21" xfId="2" applyNumberFormat="1" applyFont="1" applyFill="1" applyBorder="1" applyAlignment="1">
      <alignment horizontal="right" vertical="center" wrapText="1" shrinkToFit="1"/>
    </xf>
    <xf numFmtId="0" fontId="26" fillId="0" borderId="14" xfId="0" applyFont="1" applyBorder="1" applyAlignment="1">
      <alignment horizontal="left" vertical="center" wrapText="1"/>
    </xf>
    <xf numFmtId="42" fontId="26" fillId="0" borderId="25" xfId="2" applyFont="1" applyFill="1" applyBorder="1" applyAlignment="1">
      <alignment horizontal="center" vertical="center" wrapText="1"/>
    </xf>
    <xf numFmtId="42" fontId="4" fillId="0" borderId="6" xfId="2" applyFont="1" applyFill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center" vertical="center" wrapText="1"/>
    </xf>
    <xf numFmtId="42" fontId="24" fillId="0" borderId="21" xfId="2" applyFont="1" applyFill="1" applyBorder="1" applyAlignment="1">
      <alignment horizontal="right" vertical="center" wrapText="1" shrinkToFit="1"/>
    </xf>
    <xf numFmtId="0" fontId="26" fillId="0" borderId="21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42" fontId="24" fillId="0" borderId="7" xfId="0" applyNumberFormat="1" applyFont="1" applyBorder="1" applyAlignment="1">
      <alignment horizontal="center" vertical="center" wrapText="1"/>
    </xf>
    <xf numFmtId="2" fontId="26" fillId="0" borderId="6" xfId="0" applyNumberFormat="1" applyFont="1" applyBorder="1" applyAlignment="1">
      <alignment horizontal="center" vertical="center" wrapText="1"/>
    </xf>
    <xf numFmtId="42" fontId="26" fillId="0" borderId="0" xfId="0" applyNumberFormat="1" applyFont="1" applyAlignment="1">
      <alignment horizontal="left" vertical="center" wrapText="1"/>
    </xf>
    <xf numFmtId="2" fontId="26" fillId="0" borderId="21" xfId="0" applyNumberFormat="1" applyFont="1" applyBorder="1" applyAlignment="1">
      <alignment horizontal="center" vertical="center" wrapText="1"/>
    </xf>
    <xf numFmtId="2" fontId="26" fillId="0" borderId="7" xfId="0" applyNumberFormat="1" applyFont="1" applyBorder="1" applyAlignment="1">
      <alignment horizontal="right" vertical="center" wrapText="1" shrinkToFit="1"/>
    </xf>
    <xf numFmtId="44" fontId="26" fillId="0" borderId="7" xfId="2" applyNumberFormat="1" applyFont="1" applyFill="1" applyBorder="1" applyAlignment="1">
      <alignment horizontal="center" vertical="center" wrapText="1"/>
    </xf>
    <xf numFmtId="44" fontId="26" fillId="0" borderId="7" xfId="2" applyNumberFormat="1" applyFont="1" applyFill="1" applyBorder="1" applyAlignment="1">
      <alignment horizontal="center" vertical="center" wrapText="1" shrinkToFit="1"/>
    </xf>
    <xf numFmtId="42" fontId="26" fillId="0" borderId="6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/>
    </xf>
    <xf numFmtId="44" fontId="26" fillId="0" borderId="12" xfId="0" applyNumberFormat="1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left" vertical="center" wrapText="1"/>
    </xf>
    <xf numFmtId="165" fontId="24" fillId="0" borderId="21" xfId="2" applyNumberFormat="1" applyFont="1" applyFill="1" applyBorder="1" applyAlignment="1">
      <alignment vertical="center" wrapText="1" shrinkToFit="1"/>
    </xf>
    <xf numFmtId="44" fontId="26" fillId="0" borderId="8" xfId="0" applyNumberFormat="1" applyFont="1" applyBorder="1" applyAlignment="1">
      <alignment horizontal="left" vertical="center" wrapText="1"/>
    </xf>
    <xf numFmtId="44" fontId="26" fillId="0" borderId="13" xfId="0" applyNumberFormat="1" applyFont="1" applyBorder="1" applyAlignment="1">
      <alignment horizontal="center" vertical="center" wrapText="1"/>
    </xf>
    <xf numFmtId="167" fontId="26" fillId="0" borderId="22" xfId="0" applyNumberFormat="1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vertical="center" wrapText="1"/>
    </xf>
    <xf numFmtId="10" fontId="26" fillId="0" borderId="7" xfId="0" applyNumberFormat="1" applyFont="1" applyBorder="1" applyAlignment="1">
      <alignment horizontal="center" vertical="center" wrapText="1"/>
    </xf>
    <xf numFmtId="42" fontId="26" fillId="0" borderId="6" xfId="2" applyFont="1" applyFill="1" applyBorder="1" applyAlignment="1">
      <alignment horizontal="left" vertical="center" wrapText="1"/>
    </xf>
    <xf numFmtId="42" fontId="24" fillId="0" borderId="6" xfId="0" applyNumberFormat="1" applyFont="1" applyBorder="1" applyAlignment="1">
      <alignment horizontal="left" vertical="center" wrapText="1"/>
    </xf>
    <xf numFmtId="42" fontId="26" fillId="0" borderId="0" xfId="0" applyNumberFormat="1" applyFont="1" applyAlignment="1">
      <alignment horizontal="center" vertical="center" wrapText="1"/>
    </xf>
    <xf numFmtId="44" fontId="24" fillId="0" borderId="21" xfId="0" applyNumberFormat="1" applyFont="1" applyBorder="1" applyAlignment="1">
      <alignment horizontal="left" vertical="center" wrapText="1"/>
    </xf>
    <xf numFmtId="0" fontId="24" fillId="0" borderId="0" xfId="0" applyFont="1" applyAlignment="1">
      <alignment horizontal="right" vertical="center" wrapText="1"/>
    </xf>
    <xf numFmtId="165" fontId="24" fillId="0" borderId="0" xfId="2" applyNumberFormat="1" applyFont="1" applyFill="1" applyBorder="1" applyAlignment="1">
      <alignment horizontal="center" vertical="center" wrapText="1"/>
    </xf>
    <xf numFmtId="44" fontId="24" fillId="0" borderId="0" xfId="0" applyNumberFormat="1" applyFont="1" applyAlignment="1">
      <alignment horizontal="left" vertical="center" wrapText="1"/>
    </xf>
    <xf numFmtId="44" fontId="2" fillId="17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right"/>
    </xf>
    <xf numFmtId="0" fontId="17" fillId="2" borderId="35" xfId="0" applyFont="1" applyFill="1" applyBorder="1" applyAlignment="1">
      <alignment horizontal="left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7" fillId="2" borderId="16" xfId="0" applyFont="1" applyFill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left" vertical="center" wrapText="1"/>
    </xf>
    <xf numFmtId="0" fontId="17" fillId="6" borderId="17" xfId="0" applyFont="1" applyFill="1" applyBorder="1" applyAlignment="1">
      <alignment horizontal="left" vertical="center" wrapText="1"/>
    </xf>
    <xf numFmtId="0" fontId="17" fillId="6" borderId="74" xfId="0" applyFont="1" applyFill="1" applyBorder="1" applyAlignment="1">
      <alignment horizontal="left" vertical="center" wrapText="1"/>
    </xf>
    <xf numFmtId="0" fontId="17" fillId="6" borderId="15" xfId="0" applyFont="1" applyFill="1" applyBorder="1" applyAlignment="1">
      <alignment horizontal="left" vertical="center" wrapText="1"/>
    </xf>
    <xf numFmtId="0" fontId="6" fillId="0" borderId="72" xfId="0" applyFont="1" applyBorder="1" applyAlignment="1">
      <alignment horizontal="right" vertical="center" wrapText="1"/>
    </xf>
    <xf numFmtId="0" fontId="6" fillId="0" borderId="75" xfId="0" applyFont="1" applyBorder="1" applyAlignment="1">
      <alignment horizontal="right" vertical="center" wrapText="1"/>
    </xf>
    <xf numFmtId="0" fontId="6" fillId="0" borderId="76" xfId="0" applyFont="1" applyBorder="1" applyAlignment="1">
      <alignment horizontal="right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right" vertical="center" wrapText="1"/>
    </xf>
    <xf numFmtId="0" fontId="17" fillId="3" borderId="7" xfId="0" applyFont="1" applyFill="1" applyBorder="1" applyAlignment="1">
      <alignment horizontal="right" vertical="center" wrapText="1"/>
    </xf>
    <xf numFmtId="0" fontId="17" fillId="3" borderId="22" xfId="0" applyFont="1" applyFill="1" applyBorder="1" applyAlignment="1">
      <alignment horizontal="right" vertical="center" wrapText="1"/>
    </xf>
    <xf numFmtId="0" fontId="17" fillId="3" borderId="36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17" fillId="4" borderId="0" xfId="0" applyFont="1" applyFill="1" applyAlignment="1">
      <alignment horizontal="right" vertical="center" wrapText="1"/>
    </xf>
    <xf numFmtId="0" fontId="17" fillId="5" borderId="0" xfId="0" applyFont="1" applyFill="1" applyAlignment="1">
      <alignment horizontal="right" vertical="center"/>
    </xf>
    <xf numFmtId="0" fontId="17" fillId="7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8" fillId="0" borderId="0" xfId="5" applyFont="1" applyAlignment="1">
      <alignment horizontal="left"/>
    </xf>
    <xf numFmtId="0" fontId="29" fillId="0" borderId="0" xfId="5" applyFont="1" applyAlignment="1">
      <alignment horizontal="left"/>
    </xf>
    <xf numFmtId="0" fontId="15" fillId="17" borderId="27" xfId="0" applyFont="1" applyFill="1" applyBorder="1" applyAlignment="1">
      <alignment horizontal="right" vertical="center" wrapText="1"/>
    </xf>
    <xf numFmtId="0" fontId="15" fillId="17" borderId="28" xfId="0" applyFont="1" applyFill="1" applyBorder="1" applyAlignment="1">
      <alignment horizontal="right" vertical="center" wrapText="1"/>
    </xf>
    <xf numFmtId="0" fontId="15" fillId="17" borderId="56" xfId="0" applyFont="1" applyFill="1" applyBorder="1" applyAlignment="1">
      <alignment horizontal="right" vertical="center" wrapText="1"/>
    </xf>
    <xf numFmtId="0" fontId="15" fillId="17" borderId="0" xfId="0" applyFont="1" applyFill="1" applyAlignment="1">
      <alignment horizontal="right" vertical="center" wrapText="1"/>
    </xf>
    <xf numFmtId="0" fontId="17" fillId="4" borderId="11" xfId="0" applyFont="1" applyFill="1" applyBorder="1" applyAlignment="1">
      <alignment horizontal="right" vertical="center" wrapText="1"/>
    </xf>
    <xf numFmtId="0" fontId="17" fillId="4" borderId="10" xfId="0" applyFont="1" applyFill="1" applyBorder="1" applyAlignment="1">
      <alignment horizontal="right" vertical="center" wrapText="1"/>
    </xf>
    <xf numFmtId="0" fontId="15" fillId="17" borderId="38" xfId="0" applyFont="1" applyFill="1" applyBorder="1" applyAlignment="1">
      <alignment horizontal="right" vertical="center" wrapText="1"/>
    </xf>
    <xf numFmtId="0" fontId="15" fillId="17" borderId="1" xfId="0" applyFont="1" applyFill="1" applyBorder="1" applyAlignment="1">
      <alignment horizontal="right" vertical="center" wrapText="1"/>
    </xf>
    <xf numFmtId="0" fontId="5" fillId="17" borderId="8" xfId="0" applyFont="1" applyFill="1" applyBorder="1" applyAlignment="1">
      <alignment horizontal="center" vertical="center" wrapText="1"/>
    </xf>
    <xf numFmtId="0" fontId="5" fillId="17" borderId="9" xfId="0" applyFont="1" applyFill="1" applyBorder="1" applyAlignment="1">
      <alignment horizontal="center" vertical="center" wrapText="1"/>
    </xf>
    <xf numFmtId="0" fontId="21" fillId="6" borderId="72" xfId="0" applyFont="1" applyFill="1" applyBorder="1" applyAlignment="1">
      <alignment horizontal="center" vertical="center" wrapText="1"/>
    </xf>
    <xf numFmtId="0" fontId="21" fillId="6" borderId="75" xfId="0" applyFont="1" applyFill="1" applyBorder="1" applyAlignment="1">
      <alignment horizontal="center" vertical="center" wrapText="1"/>
    </xf>
    <xf numFmtId="0" fontId="21" fillId="6" borderId="73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right" vertical="center" wrapText="1"/>
    </xf>
    <xf numFmtId="0" fontId="17" fillId="3" borderId="10" xfId="0" applyFont="1" applyFill="1" applyBorder="1" applyAlignment="1">
      <alignment horizontal="right" vertical="center" wrapText="1"/>
    </xf>
    <xf numFmtId="0" fontId="6" fillId="17" borderId="57" xfId="0" applyFont="1" applyFill="1" applyBorder="1" applyAlignment="1">
      <alignment horizontal="center" vertical="center" wrapText="1"/>
    </xf>
    <xf numFmtId="0" fontId="6" fillId="17" borderId="32" xfId="0" applyFont="1" applyFill="1" applyBorder="1" applyAlignment="1">
      <alignment horizontal="center" vertical="center" wrapText="1"/>
    </xf>
    <xf numFmtId="0" fontId="5" fillId="17" borderId="77" xfId="0" applyFont="1" applyFill="1" applyBorder="1" applyAlignment="1">
      <alignment horizontal="center" vertical="center" wrapText="1"/>
    </xf>
    <xf numFmtId="0" fontId="5" fillId="17" borderId="26" xfId="0" applyFont="1" applyFill="1" applyBorder="1" applyAlignment="1">
      <alignment horizontal="center" vertical="center" wrapText="1"/>
    </xf>
    <xf numFmtId="0" fontId="6" fillId="17" borderId="72" xfId="0" applyFont="1" applyFill="1" applyBorder="1" applyAlignment="1">
      <alignment horizontal="center" vertical="center" wrapText="1"/>
    </xf>
    <xf numFmtId="0" fontId="6" fillId="17" borderId="75" xfId="0" applyFont="1" applyFill="1" applyBorder="1" applyAlignment="1">
      <alignment horizontal="center" vertical="center" wrapText="1"/>
    </xf>
    <xf numFmtId="0" fontId="6" fillId="17" borderId="76" xfId="0" applyFont="1" applyFill="1" applyBorder="1" applyAlignment="1">
      <alignment horizontal="center" vertical="center" wrapText="1"/>
    </xf>
    <xf numFmtId="0" fontId="23" fillId="10" borderId="14" xfId="0" applyFont="1" applyFill="1" applyBorder="1" applyAlignment="1">
      <alignment horizontal="left" vertical="center" wrapText="1"/>
    </xf>
    <xf numFmtId="0" fontId="23" fillId="10" borderId="17" xfId="0" applyFont="1" applyFill="1" applyBorder="1" applyAlignment="1">
      <alignment horizontal="left" vertical="center" wrapText="1"/>
    </xf>
    <xf numFmtId="0" fontId="23" fillId="10" borderId="15" xfId="0" applyFont="1" applyFill="1" applyBorder="1" applyAlignment="1">
      <alignment horizontal="left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right" vertical="center" wrapText="1"/>
    </xf>
    <xf numFmtId="0" fontId="26" fillId="0" borderId="7" xfId="0" applyFont="1" applyBorder="1" applyAlignment="1">
      <alignment horizontal="right" vertical="center" wrapText="1"/>
    </xf>
    <xf numFmtId="165" fontId="26" fillId="0" borderId="7" xfId="2" applyNumberFormat="1" applyFont="1" applyFill="1" applyBorder="1" applyAlignment="1">
      <alignment horizontal="center" vertical="center" wrapText="1"/>
    </xf>
    <xf numFmtId="165" fontId="26" fillId="0" borderId="6" xfId="2" applyNumberFormat="1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right" vertical="center" wrapText="1"/>
    </xf>
    <xf numFmtId="0" fontId="24" fillId="0" borderId="9" xfId="0" applyFont="1" applyBorder="1" applyAlignment="1">
      <alignment horizontal="right" vertical="center" wrapText="1"/>
    </xf>
    <xf numFmtId="165" fontId="24" fillId="0" borderId="9" xfId="2" applyNumberFormat="1" applyFont="1" applyFill="1" applyBorder="1" applyAlignment="1">
      <alignment horizontal="center" vertical="center" wrapText="1"/>
    </xf>
    <xf numFmtId="165" fontId="24" fillId="0" borderId="21" xfId="2" applyNumberFormat="1" applyFont="1" applyFill="1" applyBorder="1" applyAlignment="1">
      <alignment horizontal="center" vertical="center" wrapText="1"/>
    </xf>
    <xf numFmtId="165" fontId="26" fillId="0" borderId="1" xfId="2" applyNumberFormat="1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right" vertical="center" wrapText="1"/>
    </xf>
    <xf numFmtId="0" fontId="24" fillId="0" borderId="10" xfId="0" applyFont="1" applyBorder="1" applyAlignment="1">
      <alignment horizontal="right" vertical="center" wrapText="1"/>
    </xf>
    <xf numFmtId="0" fontId="24" fillId="0" borderId="69" xfId="0" applyFont="1" applyBorder="1" applyAlignment="1">
      <alignment horizontal="right" vertical="center" wrapText="1"/>
    </xf>
    <xf numFmtId="165" fontId="24" fillId="4" borderId="71" xfId="2" applyNumberFormat="1" applyFont="1" applyFill="1" applyBorder="1" applyAlignment="1">
      <alignment horizontal="center" vertical="center" wrapText="1"/>
    </xf>
    <xf numFmtId="165" fontId="24" fillId="4" borderId="51" xfId="2" applyNumberFormat="1" applyFont="1" applyFill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 shrinkToFit="1"/>
    </xf>
    <xf numFmtId="0" fontId="4" fillId="0" borderId="3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23" fillId="0" borderId="9" xfId="0" applyFont="1" applyBorder="1" applyAlignment="1">
      <alignment horizontal="right" vertical="center" wrapText="1"/>
    </xf>
    <xf numFmtId="0" fontId="23" fillId="12" borderId="14" xfId="0" applyFont="1" applyFill="1" applyBorder="1" applyAlignment="1">
      <alignment horizontal="left" vertical="center" wrapText="1"/>
    </xf>
    <xf numFmtId="0" fontId="23" fillId="12" borderId="17" xfId="0" applyFont="1" applyFill="1" applyBorder="1" applyAlignment="1">
      <alignment horizontal="left" vertical="center" wrapText="1"/>
    </xf>
    <xf numFmtId="0" fontId="23" fillId="12" borderId="15" xfId="0" applyFont="1" applyFill="1" applyBorder="1" applyAlignment="1">
      <alignment horizontal="left" vertical="center" wrapText="1"/>
    </xf>
    <xf numFmtId="0" fontId="26" fillId="0" borderId="30" xfId="0" applyFont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right" vertical="center" wrapText="1"/>
    </xf>
    <xf numFmtId="165" fontId="24" fillId="8" borderId="9" xfId="2" applyNumberFormat="1" applyFont="1" applyFill="1" applyBorder="1" applyAlignment="1">
      <alignment horizontal="right" vertical="center" wrapText="1" shrinkToFit="1"/>
    </xf>
    <xf numFmtId="165" fontId="24" fillId="8" borderId="21" xfId="2" applyNumberFormat="1" applyFont="1" applyFill="1" applyBorder="1" applyAlignment="1">
      <alignment horizontal="right" vertical="center" wrapText="1" shrinkToFit="1"/>
    </xf>
    <xf numFmtId="0" fontId="24" fillId="0" borderId="14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left" vertical="center" wrapText="1"/>
    </xf>
    <xf numFmtId="0" fontId="23" fillId="9" borderId="14" xfId="0" applyFont="1" applyFill="1" applyBorder="1" applyAlignment="1">
      <alignment horizontal="left" vertical="center" wrapText="1"/>
    </xf>
    <xf numFmtId="0" fontId="23" fillId="9" borderId="17" xfId="0" applyFont="1" applyFill="1" applyBorder="1" applyAlignment="1">
      <alignment horizontal="left" vertical="center" wrapText="1"/>
    </xf>
    <xf numFmtId="0" fontId="23" fillId="9" borderId="15" xfId="0" applyFont="1" applyFill="1" applyBorder="1" applyAlignment="1">
      <alignment horizontal="left" vertical="center" wrapText="1"/>
    </xf>
    <xf numFmtId="0" fontId="23" fillId="0" borderId="7" xfId="0" applyFont="1" applyBorder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vertical="center" wrapText="1"/>
    </xf>
    <xf numFmtId="42" fontId="26" fillId="0" borderId="7" xfId="0" applyNumberFormat="1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left" vertical="center" wrapText="1"/>
    </xf>
    <xf numFmtId="42" fontId="26" fillId="0" borderId="7" xfId="0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right" vertical="center" wrapText="1"/>
    </xf>
    <xf numFmtId="0" fontId="23" fillId="11" borderId="14" xfId="0" applyFont="1" applyFill="1" applyBorder="1" applyAlignment="1">
      <alignment horizontal="left" vertical="center" wrapText="1"/>
    </xf>
    <xf numFmtId="0" fontId="23" fillId="11" borderId="17" xfId="0" applyFont="1" applyFill="1" applyBorder="1" applyAlignment="1">
      <alignment horizontal="left" vertical="center" wrapText="1"/>
    </xf>
    <xf numFmtId="0" fontId="23" fillId="11" borderId="15" xfId="0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3" fillId="9" borderId="72" xfId="0" applyFont="1" applyFill="1" applyBorder="1" applyAlignment="1">
      <alignment horizontal="left" vertical="center" wrapText="1"/>
    </xf>
    <xf numFmtId="0" fontId="23" fillId="9" borderId="75" xfId="0" applyFont="1" applyFill="1" applyBorder="1" applyAlignment="1">
      <alignment horizontal="left" vertical="center" wrapText="1"/>
    </xf>
    <xf numFmtId="0" fontId="23" fillId="9" borderId="73" xfId="0" applyFont="1" applyFill="1" applyBorder="1" applyAlignment="1">
      <alignment horizontal="left" vertical="center" wrapText="1"/>
    </xf>
    <xf numFmtId="0" fontId="26" fillId="0" borderId="72" xfId="0" applyFont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59" xfId="0" applyFont="1" applyBorder="1" applyAlignment="1">
      <alignment horizontal="center" vertical="center" wrapText="1"/>
    </xf>
    <xf numFmtId="42" fontId="23" fillId="0" borderId="35" xfId="0" applyNumberFormat="1" applyFont="1" applyBorder="1" applyAlignment="1">
      <alignment horizontal="center" vertical="center" wrapText="1"/>
    </xf>
    <xf numFmtId="42" fontId="23" fillId="0" borderId="59" xfId="0" applyNumberFormat="1" applyFont="1" applyBorder="1" applyAlignment="1">
      <alignment horizontal="center" vertical="center" wrapText="1"/>
    </xf>
    <xf numFmtId="42" fontId="26" fillId="0" borderId="35" xfId="0" applyNumberFormat="1" applyFont="1" applyBorder="1" applyAlignment="1">
      <alignment horizontal="center" vertical="center" wrapText="1" shrinkToFit="1"/>
    </xf>
    <xf numFmtId="42" fontId="26" fillId="0" borderId="59" xfId="0" applyNumberFormat="1" applyFont="1" applyBorder="1" applyAlignment="1">
      <alignment horizontal="center" vertical="center" wrapText="1" shrinkToFit="1"/>
    </xf>
    <xf numFmtId="42" fontId="26" fillId="0" borderId="35" xfId="2" applyFont="1" applyFill="1" applyBorder="1" applyAlignment="1">
      <alignment horizontal="center" vertical="center" wrapText="1" shrinkToFit="1"/>
    </xf>
    <xf numFmtId="42" fontId="26" fillId="0" borderId="59" xfId="2" applyFont="1" applyFill="1" applyBorder="1" applyAlignment="1">
      <alignment horizontal="center" vertical="center" wrapText="1" shrinkToFit="1"/>
    </xf>
    <xf numFmtId="0" fontId="23" fillId="10" borderId="72" xfId="0" applyFont="1" applyFill="1" applyBorder="1" applyAlignment="1">
      <alignment horizontal="left" vertical="center" wrapText="1"/>
    </xf>
    <xf numFmtId="0" fontId="23" fillId="10" borderId="75" xfId="0" applyFont="1" applyFill="1" applyBorder="1" applyAlignment="1">
      <alignment horizontal="left" vertical="center" wrapText="1"/>
    </xf>
    <xf numFmtId="0" fontId="23" fillId="10" borderId="73" xfId="0" applyFont="1" applyFill="1" applyBorder="1" applyAlignment="1">
      <alignment horizontal="left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3" fillId="0" borderId="7" xfId="5" applyFont="1" applyBorder="1" applyAlignment="1">
      <alignment wrapText="1"/>
    </xf>
    <xf numFmtId="0" fontId="27" fillId="0" borderId="7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3" fillId="0" borderId="6" xfId="5" applyFont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11" fillId="0" borderId="7" xfId="5" applyFont="1" applyBorder="1" applyAlignment="1">
      <alignment wrapText="1"/>
    </xf>
    <xf numFmtId="0" fontId="11" fillId="0" borderId="6" xfId="5" applyFont="1" applyBorder="1" applyAlignment="1">
      <alignment wrapText="1"/>
    </xf>
    <xf numFmtId="0" fontId="11" fillId="0" borderId="9" xfId="5" applyFont="1" applyBorder="1" applyAlignment="1">
      <alignment wrapText="1"/>
    </xf>
    <xf numFmtId="0" fontId="11" fillId="0" borderId="21" xfId="5" applyFont="1" applyBorder="1" applyAlignment="1">
      <alignment wrapText="1"/>
    </xf>
    <xf numFmtId="0" fontId="22" fillId="0" borderId="29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2" fillId="0" borderId="72" xfId="0" applyFont="1" applyBorder="1" applyAlignment="1">
      <alignment horizontal="center" vertical="center" wrapText="1"/>
    </xf>
    <xf numFmtId="0" fontId="22" fillId="0" borderId="75" xfId="0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0" fontId="26" fillId="0" borderId="74" xfId="0" applyFont="1" applyBorder="1" applyAlignment="1">
      <alignment horizontal="center" vertical="center" wrapText="1"/>
    </xf>
    <xf numFmtId="0" fontId="26" fillId="0" borderId="75" xfId="0" applyFont="1" applyBorder="1" applyAlignment="1">
      <alignment horizontal="center" vertical="center" wrapText="1"/>
    </xf>
    <xf numFmtId="42" fontId="23" fillId="0" borderId="6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59" xfId="0" applyFont="1" applyBorder="1" applyAlignment="1">
      <alignment horizontal="left" vertical="center" wrapText="1"/>
    </xf>
    <xf numFmtId="0" fontId="26" fillId="0" borderId="8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0" borderId="59" xfId="0" applyFont="1" applyBorder="1" applyAlignment="1">
      <alignment horizontal="right" vertical="center" wrapText="1"/>
    </xf>
    <xf numFmtId="0" fontId="23" fillId="0" borderId="54" xfId="0" applyFont="1" applyBorder="1" applyAlignment="1">
      <alignment horizontal="right" vertical="center" wrapText="1"/>
    </xf>
    <xf numFmtId="0" fontId="23" fillId="0" borderId="20" xfId="0" applyFont="1" applyBorder="1" applyAlignment="1">
      <alignment horizontal="right" vertical="center" wrapText="1"/>
    </xf>
    <xf numFmtId="0" fontId="23" fillId="0" borderId="23" xfId="0" applyFont="1" applyBorder="1" applyAlignment="1">
      <alignment horizontal="right" vertical="center" wrapText="1"/>
    </xf>
    <xf numFmtId="42" fontId="26" fillId="0" borderId="35" xfId="0" applyNumberFormat="1" applyFont="1" applyBorder="1" applyAlignment="1">
      <alignment horizontal="center" vertical="center" wrapText="1"/>
    </xf>
    <xf numFmtId="42" fontId="26" fillId="0" borderId="59" xfId="0" applyNumberFormat="1" applyFont="1" applyBorder="1" applyAlignment="1">
      <alignment horizontal="center" vertical="center" wrapText="1"/>
    </xf>
    <xf numFmtId="0" fontId="23" fillId="12" borderId="72" xfId="0" applyFont="1" applyFill="1" applyBorder="1" applyAlignment="1">
      <alignment horizontal="left" vertical="center" wrapText="1"/>
    </xf>
    <xf numFmtId="0" fontId="23" fillId="12" borderId="75" xfId="0" applyFont="1" applyFill="1" applyBorder="1" applyAlignment="1">
      <alignment horizontal="left" vertical="center" wrapText="1"/>
    </xf>
    <xf numFmtId="0" fontId="23" fillId="12" borderId="73" xfId="0" applyFont="1" applyFill="1" applyBorder="1" applyAlignment="1">
      <alignment horizontal="left" vertical="center" wrapText="1"/>
    </xf>
    <xf numFmtId="0" fontId="23" fillId="11" borderId="72" xfId="0" applyFont="1" applyFill="1" applyBorder="1" applyAlignment="1">
      <alignment horizontal="left" vertical="center" wrapText="1"/>
    </xf>
    <xf numFmtId="0" fontId="23" fillId="11" borderId="75" xfId="0" applyFont="1" applyFill="1" applyBorder="1" applyAlignment="1">
      <alignment horizontal="left" vertical="center" wrapText="1"/>
    </xf>
    <xf numFmtId="0" fontId="23" fillId="11" borderId="73" xfId="0" applyFont="1" applyFill="1" applyBorder="1" applyAlignment="1">
      <alignment horizontal="left" vertical="center" wrapText="1"/>
    </xf>
    <xf numFmtId="0" fontId="26" fillId="0" borderId="58" xfId="0" applyFont="1" applyBorder="1" applyAlignment="1">
      <alignment horizontal="right" vertical="center" wrapText="1"/>
    </xf>
    <xf numFmtId="0" fontId="26" fillId="0" borderId="18" xfId="0" applyFont="1" applyBorder="1" applyAlignment="1">
      <alignment horizontal="right" vertical="center" wrapText="1"/>
    </xf>
    <xf numFmtId="0" fontId="26" fillId="0" borderId="59" xfId="0" applyFont="1" applyBorder="1" applyAlignment="1">
      <alignment horizontal="right" vertical="center" wrapText="1"/>
    </xf>
    <xf numFmtId="165" fontId="26" fillId="0" borderId="35" xfId="2" applyNumberFormat="1" applyFont="1" applyFill="1" applyBorder="1" applyAlignment="1">
      <alignment horizontal="center" vertical="center" wrapText="1"/>
    </xf>
    <xf numFmtId="165" fontId="26" fillId="0" borderId="16" xfId="2" applyNumberFormat="1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right" vertical="center" wrapText="1"/>
    </xf>
    <xf numFmtId="0" fontId="24" fillId="0" borderId="20" xfId="0" applyFont="1" applyBorder="1" applyAlignment="1">
      <alignment horizontal="right" vertical="center" wrapText="1"/>
    </xf>
    <xf numFmtId="0" fontId="24" fillId="0" borderId="23" xfId="0" applyFont="1" applyBorder="1" applyAlignment="1">
      <alignment horizontal="right" vertical="center" wrapText="1"/>
    </xf>
    <xf numFmtId="165" fontId="24" fillId="0" borderId="54" xfId="2" applyNumberFormat="1" applyFont="1" applyFill="1" applyBorder="1" applyAlignment="1">
      <alignment horizontal="center" vertical="center" wrapText="1"/>
    </xf>
    <xf numFmtId="165" fontId="24" fillId="0" borderId="55" xfId="2" applyNumberFormat="1" applyFont="1" applyFill="1" applyBorder="1" applyAlignment="1">
      <alignment horizontal="center" vertical="center" wrapText="1"/>
    </xf>
    <xf numFmtId="165" fontId="26" fillId="0" borderId="10" xfId="2" applyNumberFormat="1" applyFont="1" applyFill="1" applyBorder="1" applyAlignment="1">
      <alignment horizontal="center" vertical="center" wrapText="1"/>
    </xf>
    <xf numFmtId="0" fontId="26" fillId="0" borderId="72" xfId="0" applyFont="1" applyBorder="1" applyAlignment="1">
      <alignment horizontal="left" vertical="center" wrapText="1"/>
    </xf>
    <xf numFmtId="0" fontId="26" fillId="0" borderId="75" xfId="0" applyFont="1" applyBorder="1" applyAlignment="1">
      <alignment horizontal="left" vertical="center" wrapText="1"/>
    </xf>
    <xf numFmtId="0" fontId="26" fillId="0" borderId="73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right" vertical="center" wrapText="1"/>
    </xf>
    <xf numFmtId="165" fontId="24" fillId="8" borderId="54" xfId="2" applyNumberFormat="1" applyFont="1" applyFill="1" applyBorder="1" applyAlignment="1">
      <alignment horizontal="right" vertical="center" wrapText="1" shrinkToFit="1"/>
    </xf>
    <xf numFmtId="165" fontId="24" fillId="8" borderId="55" xfId="2" applyNumberFormat="1" applyFont="1" applyFill="1" applyBorder="1" applyAlignment="1">
      <alignment horizontal="right" vertical="center" wrapText="1" shrinkToFit="1"/>
    </xf>
    <xf numFmtId="0" fontId="24" fillId="0" borderId="72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4" fillId="0" borderId="73" xfId="0" applyFont="1" applyBorder="1" applyAlignment="1">
      <alignment horizontal="left" vertical="center" wrapText="1"/>
    </xf>
    <xf numFmtId="0" fontId="23" fillId="10" borderId="11" xfId="0" applyFont="1" applyFill="1" applyBorder="1" applyAlignment="1">
      <alignment horizontal="left" vertical="center" wrapText="1"/>
    </xf>
    <xf numFmtId="0" fontId="23" fillId="10" borderId="10" xfId="0" applyFont="1" applyFill="1" applyBorder="1" applyAlignment="1">
      <alignment horizontal="left" vertical="center" wrapText="1"/>
    </xf>
    <xf numFmtId="0" fontId="23" fillId="10" borderId="51" xfId="0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32" fillId="0" borderId="35" xfId="0" applyFont="1" applyBorder="1" applyAlignment="1">
      <alignment vertical="center" wrapText="1"/>
    </xf>
    <xf numFmtId="0" fontId="32" fillId="0" borderId="18" xfId="0" applyFont="1" applyBorder="1" applyAlignment="1">
      <alignment vertical="center" wrapText="1"/>
    </xf>
    <xf numFmtId="0" fontId="32" fillId="0" borderId="59" xfId="0" applyFont="1" applyBorder="1" applyAlignment="1">
      <alignment vertical="center" wrapText="1"/>
    </xf>
    <xf numFmtId="0" fontId="32" fillId="0" borderId="35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left" vertical="center" wrapText="1"/>
    </xf>
    <xf numFmtId="0" fontId="32" fillId="0" borderId="54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32" fillId="0" borderId="35" xfId="28" applyFont="1" applyBorder="1" applyAlignment="1">
      <alignment horizontal="left" vertical="center" wrapText="1"/>
    </xf>
    <xf numFmtId="0" fontId="32" fillId="0" borderId="18" xfId="28" applyFont="1" applyBorder="1" applyAlignment="1">
      <alignment horizontal="left" vertical="center" wrapText="1"/>
    </xf>
    <xf numFmtId="0" fontId="32" fillId="0" borderId="59" xfId="28" applyFont="1" applyBorder="1" applyAlignment="1">
      <alignment horizontal="left" vertical="center" wrapText="1"/>
    </xf>
    <xf numFmtId="14" fontId="23" fillId="0" borderId="54" xfId="0" applyNumberFormat="1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17" fillId="0" borderId="72" xfId="0" applyFont="1" applyBorder="1" applyAlignment="1" applyProtection="1">
      <alignment horizontal="center" vertical="center" wrapText="1"/>
      <protection locked="0"/>
    </xf>
    <xf numFmtId="0" fontId="17" fillId="0" borderId="28" xfId="0" applyFont="1" applyBorder="1" applyAlignment="1" applyProtection="1">
      <alignment horizontal="center" vertical="center" wrapText="1"/>
      <protection locked="0"/>
    </xf>
    <xf numFmtId="0" fontId="17" fillId="0" borderId="78" xfId="0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23" fillId="0" borderId="59" xfId="0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14" fontId="23" fillId="0" borderId="20" xfId="0" applyNumberFormat="1" applyFont="1" applyBorder="1" applyAlignment="1">
      <alignment horizontal="center" vertical="center" wrapText="1"/>
    </xf>
    <xf numFmtId="0" fontId="22" fillId="8" borderId="11" xfId="5" applyFont="1" applyFill="1" applyBorder="1" applyAlignment="1">
      <alignment horizontal="center" vertical="center" wrapText="1"/>
    </xf>
    <xf numFmtId="0" fontId="22" fillId="8" borderId="10" xfId="5" applyFont="1" applyFill="1" applyBorder="1" applyAlignment="1">
      <alignment horizontal="center" vertical="center" wrapText="1"/>
    </xf>
    <xf numFmtId="0" fontId="22" fillId="8" borderId="51" xfId="5" applyFont="1" applyFill="1" applyBorder="1" applyAlignment="1">
      <alignment horizontal="center" vertical="center" wrapText="1"/>
    </xf>
    <xf numFmtId="0" fontId="17" fillId="0" borderId="29" xfId="0" applyFont="1" applyBorder="1" applyAlignment="1" applyProtection="1">
      <alignment horizontal="center" vertical="center" wrapText="1"/>
      <protection locked="0"/>
    </xf>
    <xf numFmtId="0" fontId="17" fillId="0" borderId="34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>
      <alignment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178" fontId="23" fillId="15" borderId="7" xfId="26" applyNumberFormat="1" applyFont="1" applyFill="1" applyBorder="1" applyAlignment="1">
      <alignment vertical="center" wrapText="1"/>
    </xf>
    <xf numFmtId="0" fontId="7" fillId="0" borderId="66" xfId="0" applyFont="1" applyBorder="1" applyAlignment="1">
      <alignment horizontal="right" vertical="center" wrapText="1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31" fillId="0" borderId="0" xfId="5" applyFont="1"/>
    <xf numFmtId="0" fontId="7" fillId="8" borderId="8" xfId="0" applyFont="1" applyFill="1" applyBorder="1" applyAlignment="1">
      <alignment horizontal="right" wrapText="1"/>
    </xf>
    <xf numFmtId="0" fontId="7" fillId="8" borderId="9" xfId="0" applyFont="1" applyFill="1" applyBorder="1" applyAlignment="1">
      <alignment horizontal="right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30" fillId="0" borderId="0" xfId="5" applyFont="1"/>
    <xf numFmtId="0" fontId="15" fillId="0" borderId="7" xfId="15" applyFont="1" applyBorder="1" applyAlignment="1">
      <alignment vertical="center" wrapText="1"/>
    </xf>
    <xf numFmtId="0" fontId="17" fillId="9" borderId="11" xfId="0" applyFont="1" applyFill="1" applyBorder="1" applyAlignment="1">
      <alignment horizontal="right" vertical="center"/>
    </xf>
    <xf numFmtId="0" fontId="17" fillId="9" borderId="10" xfId="0" applyFont="1" applyFill="1" applyBorder="1" applyAlignment="1">
      <alignment horizontal="right" vertical="center"/>
    </xf>
    <xf numFmtId="0" fontId="17" fillId="9" borderId="69" xfId="0" applyFont="1" applyFill="1" applyBorder="1" applyAlignment="1">
      <alignment horizontal="right" vertical="center"/>
    </xf>
    <xf numFmtId="0" fontId="2" fillId="0" borderId="3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10" fontId="15" fillId="0" borderId="7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7" fillId="9" borderId="17" xfId="0" applyFont="1" applyFill="1" applyBorder="1" applyAlignment="1">
      <alignment horizontal="left" vertical="center"/>
    </xf>
    <xf numFmtId="0" fontId="15" fillId="0" borderId="54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10" fontId="15" fillId="0" borderId="18" xfId="0" applyNumberFormat="1" applyFont="1" applyBorder="1" applyAlignment="1">
      <alignment horizontal="center" vertical="center"/>
    </xf>
    <xf numFmtId="10" fontId="15" fillId="0" borderId="59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35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2" fillId="0" borderId="35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5" fillId="0" borderId="35" xfId="0" applyFont="1" applyBorder="1" applyAlignment="1">
      <alignment vertical="center" wrapText="1"/>
    </xf>
    <xf numFmtId="0" fontId="15" fillId="0" borderId="59" xfId="0" applyFont="1" applyBorder="1" applyAlignment="1">
      <alignment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18" borderId="27" xfId="0" applyFont="1" applyFill="1" applyBorder="1" applyAlignment="1">
      <alignment horizontal="center" vertical="center" wrapText="1"/>
    </xf>
    <xf numFmtId="0" fontId="17" fillId="18" borderId="28" xfId="0" applyFont="1" applyFill="1" applyBorder="1" applyAlignment="1">
      <alignment horizontal="center" vertical="center" wrapText="1"/>
    </xf>
    <xf numFmtId="0" fontId="17" fillId="18" borderId="29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 wrapText="1"/>
    </xf>
    <xf numFmtId="0" fontId="17" fillId="18" borderId="1" xfId="0" applyFont="1" applyFill="1" applyBorder="1" applyAlignment="1">
      <alignment horizontal="center" vertical="center" wrapText="1"/>
    </xf>
    <xf numFmtId="0" fontId="17" fillId="18" borderId="39" xfId="0" applyFont="1" applyFill="1" applyBorder="1" applyAlignment="1">
      <alignment horizontal="center" vertical="center" wrapText="1"/>
    </xf>
    <xf numFmtId="0" fontId="17" fillId="17" borderId="35" xfId="0" applyFont="1" applyFill="1" applyBorder="1" applyAlignment="1">
      <alignment horizontal="left" vertical="center" wrapText="1"/>
    </xf>
    <xf numFmtId="0" fontId="17" fillId="17" borderId="18" xfId="0" applyFont="1" applyFill="1" applyBorder="1" applyAlignment="1">
      <alignment horizontal="left" vertical="center" wrapText="1"/>
    </xf>
    <xf numFmtId="0" fontId="17" fillId="17" borderId="16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74" xfId="0" applyFont="1" applyBorder="1" applyAlignment="1">
      <alignment horizontal="center" vertical="center" wrapText="1"/>
    </xf>
    <xf numFmtId="0" fontId="17" fillId="0" borderId="8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85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77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14" fontId="17" fillId="0" borderId="35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right" vertical="center"/>
    </xf>
    <xf numFmtId="10" fontId="14" fillId="17" borderId="28" xfId="0" applyNumberFormat="1" applyFont="1" applyFill="1" applyBorder="1" applyAlignment="1">
      <alignment horizontal="center" vertical="center" wrapText="1" shrinkToFit="1"/>
    </xf>
  </cellXfs>
  <cellStyles count="29">
    <cellStyle name="Hipervínculo" xfId="11" builtinId="8"/>
    <cellStyle name="Hipervínculo 2" xfId="12" xr:uid="{00000000-0005-0000-0000-000001000000}"/>
    <cellStyle name="Millares" xfId="26" builtinId="3"/>
    <cellStyle name="Millares [0]" xfId="1" builtinId="6"/>
    <cellStyle name="Millares [0] 2" xfId="7" xr:uid="{00000000-0005-0000-0000-000004000000}"/>
    <cellStyle name="Millares [0] 3" xfId="18" xr:uid="{00000000-0005-0000-0000-000005000000}"/>
    <cellStyle name="Millares [0] 4" xfId="22" xr:uid="{00000000-0005-0000-0000-000006000000}"/>
    <cellStyle name="Millares 14" xfId="3" xr:uid="{00000000-0005-0000-0000-000007000000}"/>
    <cellStyle name="Millares 14 2" xfId="21" xr:uid="{00000000-0005-0000-0000-000008000000}"/>
    <cellStyle name="Millares 14 3" xfId="23" xr:uid="{00000000-0005-0000-0000-000009000000}"/>
    <cellStyle name="Millares 15" xfId="17" xr:uid="{00000000-0005-0000-0000-00000A000000}"/>
    <cellStyle name="Millares 15 2" xfId="24" xr:uid="{00000000-0005-0000-0000-00000B000000}"/>
    <cellStyle name="Moneda [0]" xfId="2" builtinId="7"/>
    <cellStyle name="Moneda [0] 2" xfId="19" xr:uid="{00000000-0005-0000-0000-00000D000000}"/>
    <cellStyle name="Moneda [0] 3" xfId="20" xr:uid="{00000000-0005-0000-0000-00000E000000}"/>
    <cellStyle name="Moneda [0] 3 2" xfId="8" xr:uid="{00000000-0005-0000-0000-00000F000000}"/>
    <cellStyle name="Moneda 2" xfId="25" xr:uid="{00000000-0005-0000-0000-000010000000}"/>
    <cellStyle name="Moneda 2 2" xfId="9" xr:uid="{00000000-0005-0000-0000-000011000000}"/>
    <cellStyle name="Normal" xfId="0" builtinId="0"/>
    <cellStyle name="Normal 10" xfId="5" xr:uid="{00000000-0005-0000-0000-000013000000}"/>
    <cellStyle name="Normal 12" xfId="13" xr:uid="{00000000-0005-0000-0000-000014000000}"/>
    <cellStyle name="Normal 16" xfId="14" xr:uid="{00000000-0005-0000-0000-000015000000}"/>
    <cellStyle name="Normal 2" xfId="15" xr:uid="{00000000-0005-0000-0000-000016000000}"/>
    <cellStyle name="Normal 2 2 2" xfId="28" xr:uid="{8D692926-B374-43F8-9ACB-85E6FFE0D108}"/>
    <cellStyle name="Normal 3" xfId="6" xr:uid="{00000000-0005-0000-0000-000017000000}"/>
    <cellStyle name="Porcentaje" xfId="27" builtinId="5"/>
    <cellStyle name="Porcentaje 2" xfId="16" xr:uid="{00000000-0005-0000-0000-000019000000}"/>
    <cellStyle name="Porcentaje 3" xfId="4" xr:uid="{00000000-0005-0000-0000-00001A000000}"/>
    <cellStyle name="Porcentaje 4" xfId="10" xr:uid="{00000000-0005-0000-0000-00001B000000}"/>
  </cellStyles>
  <dxfs count="13">
    <dxf>
      <font>
        <condense val="0"/>
        <extend val="0"/>
        <color indexed="12"/>
      </font>
      <fill>
        <patternFill patternType="none"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4B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66675</xdr:rowOff>
        </xdr:from>
        <xdr:to>
          <xdr:col>3</xdr:col>
          <xdr:colOff>1504950</xdr:colOff>
          <xdr:row>2</xdr:row>
          <xdr:rowOff>752475</xdr:rowOff>
        </xdr:to>
        <xdr:sp macro="" textlink="">
          <xdr:nvSpPr>
            <xdr:cNvPr id="22529" name="Object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2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222252</xdr:colOff>
      <xdr:row>2</xdr:row>
      <xdr:rowOff>31750</xdr:rowOff>
    </xdr:from>
    <xdr:to>
      <xdr:col>7</xdr:col>
      <xdr:colOff>1377158</xdr:colOff>
      <xdr:row>3</xdr:row>
      <xdr:rowOff>433785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9335" y="423333"/>
          <a:ext cx="1154906" cy="11957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/C/Users/OSCARRODRIGUEZ/Desktop/ESTACION%20SUR%20FOTOS/Hoja%20de%20c&#225;lculo%20en%20presentacion_consolidada_19_1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Copia%20Memoria%2002.10.17/MUNICIPIO%20LA%20AGUADA/Centro%20de%20convenciones%20la%20Aguada%202019/4_Presupuesto/ENTREGABLE%20LA%20AGUADA%2003.10.18/Ppto%20Centro%20de%20Convenciones%20LA%20AGUADA_03.10.18_Entregab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RIO\Acued%20y%20Alcant\Presup%20Colector%20Au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Copia%20Memoria%2002.10.17/MUNICIPIO%20DE%20CALIFORNIA/ESPACIO%20PUBLICO%202020/PPTO%20MOBILIARIO%20URBANO%202020%20V-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ubia%20prada\Downloads\PRESUPUESTOS%2017%20-%2010%20-%202013\21-PRESUPUESTO%20EL%20CARMEN%20-%20YARIMA\Gepa\PRECIOS%20INVIAS\apus%20febrero%20de%202012%20-%20GRUPO%20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pus%20febrero%202012%20BOYACA%20(1)\apus%20febrero%20de%202012%20-%20GRUPO%20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y\Dany%202025\14%20Presupuesto%20Arauca\PRESUPUESTO%20ARAUCA\CANTID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A.P.U."/>
      <sheetName val="INSUMOS"/>
      <sheetName val="M.C."/>
      <sheetName val="INTERVENTORIA"/>
      <sheetName val="AIU"/>
      <sheetName val="F.M 2,4"/>
      <sheetName val="F.M 1,5"/>
      <sheetName val="#frentes_de_obra"/>
    </sheetNames>
    <sheetDataSet>
      <sheetData sheetId="0"/>
      <sheetData sheetId="1">
        <row r="237">
          <cell r="F237">
            <v>0.28999999999999998</v>
          </cell>
        </row>
        <row r="238">
          <cell r="F238">
            <v>0.01</v>
          </cell>
        </row>
        <row r="239">
          <cell r="F239">
            <v>0.05</v>
          </cell>
        </row>
      </sheetData>
      <sheetData sheetId="2"/>
      <sheetData sheetId="3"/>
      <sheetData sheetId="4"/>
      <sheetData sheetId="5">
        <row r="4">
          <cell r="G4" t="str">
            <v>FECHA: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PRESENTACION"/>
      <sheetName val="PPTO"/>
      <sheetName val="APUS"/>
      <sheetName val="INSUMOS"/>
      <sheetName val="AIU"/>
      <sheetName val="INTERVENTORIA"/>
      <sheetName val="F.M. 2.20"/>
      <sheetName val="PPTO PMA"/>
      <sheetName val="PPTO PMT"/>
      <sheetName val="Hoja4"/>
      <sheetName val="DESGLOCE PERSONAL"/>
      <sheetName val="FM"/>
    </sheetNames>
    <sheetDataSet>
      <sheetData sheetId="0" refreshError="1"/>
      <sheetData sheetId="1" refreshError="1"/>
      <sheetData sheetId="2" refreshError="1">
        <row r="25">
          <cell r="C25" t="str">
            <v>CAP.2</v>
          </cell>
        </row>
        <row r="37">
          <cell r="C37" t="str">
            <v>CAP.4</v>
          </cell>
        </row>
        <row r="44">
          <cell r="C44" t="str">
            <v>CAP.5</v>
          </cell>
        </row>
        <row r="50">
          <cell r="C50" t="str">
            <v>CAP.6</v>
          </cell>
        </row>
        <row r="60">
          <cell r="C60" t="str">
            <v>CAP.7</v>
          </cell>
        </row>
        <row r="73">
          <cell r="C73" t="str">
            <v>CAP.8</v>
          </cell>
        </row>
        <row r="79">
          <cell r="C79" t="str">
            <v>CAP.9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DE OBRA"/>
      <sheetName val="CAP 1"/>
      <sheetName val="CAP 2"/>
      <sheetName val="CAP 3"/>
      <sheetName val="CAP 4"/>
      <sheetName val="CAP 5"/>
      <sheetName val="CAP 6"/>
    </sheetNames>
    <sheetDataSet>
      <sheetData sheetId="0">
        <row r="1">
          <cell r="B1" t="str">
            <v>MEMORIA DE CANTIDADES DE OBRA</v>
          </cell>
          <cell r="C1"/>
          <cell r="D1"/>
          <cell r="E1"/>
        </row>
        <row r="2">
          <cell r="B2" t="str">
    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    </cell>
          <cell r="C2"/>
          <cell r="D2"/>
          <cell r="E2"/>
        </row>
        <row r="3">
          <cell r="B3"/>
          <cell r="C3"/>
          <cell r="D3"/>
          <cell r="E3"/>
        </row>
        <row r="4">
          <cell r="B4" t="str">
            <v>ÍTEM</v>
          </cell>
          <cell r="C4" t="str">
            <v>DESCRIPCIÓN</v>
          </cell>
          <cell r="D4" t="str">
            <v>UNID</v>
          </cell>
          <cell r="E4" t="str">
            <v>CANT</v>
          </cell>
        </row>
        <row r="5">
          <cell r="B5">
            <v>1</v>
          </cell>
          <cell r="C5" t="str">
            <v>PRELIMINARES Y REPARACIONES</v>
          </cell>
          <cell r="D5"/>
          <cell r="E5"/>
        </row>
        <row r="6">
          <cell r="B6">
            <v>1.01</v>
          </cell>
          <cell r="C6" t="str">
            <v>Desmonte de redes hidraulicas existentes (incluye manipulacion de cielo raso)</v>
          </cell>
          <cell r="D6" t="str">
            <v>ML</v>
          </cell>
          <cell r="E6">
            <v>303.93</v>
          </cell>
        </row>
        <row r="7">
          <cell r="B7">
            <v>1.02</v>
          </cell>
          <cell r="C7" t="str">
            <v>Desmonte de redes sanitarias existentes (incluye manipulacion de cielo raso)</v>
          </cell>
          <cell r="D7" t="str">
            <v>ML</v>
          </cell>
          <cell r="E7">
            <v>212.3</v>
          </cell>
        </row>
        <row r="8">
          <cell r="B8">
            <v>1.03</v>
          </cell>
          <cell r="C8" t="str">
            <v>Demolicion de piso para instalacion de redes sanitarias y drenaje</v>
          </cell>
          <cell r="D8" t="str">
            <v>M2</v>
          </cell>
          <cell r="E8">
            <v>108.36</v>
          </cell>
        </row>
        <row r="9">
          <cell r="B9">
            <v>1.04</v>
          </cell>
          <cell r="C9" t="str">
            <v>Reparacion de piso para instalacion de redes sanitarias y drenaje</v>
          </cell>
          <cell r="D9" t="str">
            <v>M2</v>
          </cell>
          <cell r="E9">
            <v>88.98</v>
          </cell>
        </row>
        <row r="10">
          <cell r="B10">
            <v>1.05</v>
          </cell>
          <cell r="C10" t="str">
            <v>Reparacion de regatas existentes</v>
          </cell>
          <cell r="D10" t="str">
            <v>ML</v>
          </cell>
          <cell r="E10">
            <v>177.3</v>
          </cell>
        </row>
        <row r="11">
          <cell r="B11">
            <v>1.06</v>
          </cell>
          <cell r="C11" t="str">
            <v>regatas para nuevas redes hidraulicas</v>
          </cell>
          <cell r="D11" t="str">
            <v>ML</v>
          </cell>
          <cell r="E11">
            <v>67.7</v>
          </cell>
        </row>
        <row r="12">
          <cell r="B12">
            <v>1.07</v>
          </cell>
          <cell r="C12" t="str">
            <v>Retiro de tuberias y materiales de desperdicio</v>
          </cell>
          <cell r="D12" t="str">
            <v>GLB</v>
          </cell>
          <cell r="E12">
            <v>2</v>
          </cell>
        </row>
        <row r="13">
          <cell r="B13">
            <v>2</v>
          </cell>
          <cell r="C13" t="str">
            <v>RED HIDRAULICA</v>
          </cell>
          <cell r="D13"/>
          <cell r="E13"/>
        </row>
        <row r="14">
          <cell r="B14">
            <v>2.0099999999999998</v>
          </cell>
          <cell r="C14" t="str">
            <v>Tuberia PVC Ø1/2"</v>
          </cell>
          <cell r="D14" t="str">
            <v>ML</v>
          </cell>
          <cell r="E14">
            <v>49.03</v>
          </cell>
        </row>
        <row r="15">
          <cell r="B15">
            <v>2.02</v>
          </cell>
          <cell r="C15" t="str">
            <v>Tuberia PVC Ø3/4"</v>
          </cell>
          <cell r="D15" t="str">
            <v>ML</v>
          </cell>
          <cell r="E15">
            <v>92.9</v>
          </cell>
        </row>
        <row r="16">
          <cell r="B16">
            <v>2.0299999999999998</v>
          </cell>
          <cell r="C16" t="str">
            <v>Tuberia PVC Ø1"</v>
          </cell>
          <cell r="D16" t="str">
            <v>ML</v>
          </cell>
          <cell r="E16">
            <v>28.6</v>
          </cell>
        </row>
        <row r="17">
          <cell r="B17">
            <v>2.04</v>
          </cell>
          <cell r="C17" t="str">
            <v>Tuberia PVC Ø1_1/4"</v>
          </cell>
          <cell r="D17" t="str">
            <v>ML</v>
          </cell>
          <cell r="E17">
            <v>58.65</v>
          </cell>
        </row>
        <row r="18">
          <cell r="B18">
            <v>2.0499999999999998</v>
          </cell>
          <cell r="C18" t="str">
            <v>Tuberia PVC Ø1_1/2"</v>
          </cell>
          <cell r="D18" t="str">
            <v>ML</v>
          </cell>
          <cell r="E18">
            <v>52</v>
          </cell>
        </row>
        <row r="19">
          <cell r="B19">
            <v>2.06</v>
          </cell>
          <cell r="C19" t="str">
            <v>Tuberia PVC Ø2"</v>
          </cell>
          <cell r="D19" t="str">
            <v>ML</v>
          </cell>
          <cell r="E19">
            <v>10.5</v>
          </cell>
        </row>
        <row r="20">
          <cell r="B20">
            <v>2.0699999999999998</v>
          </cell>
          <cell r="C20" t="str">
            <v>Tuberia PVC Ø2_1/2"</v>
          </cell>
          <cell r="D20" t="str">
            <v>ML</v>
          </cell>
          <cell r="E20">
            <v>7</v>
          </cell>
        </row>
        <row r="21">
          <cell r="B21">
            <v>2.08</v>
          </cell>
          <cell r="C21" t="str">
            <v>Tuberia PVC Ø3"</v>
          </cell>
          <cell r="D21" t="str">
            <v>ML</v>
          </cell>
          <cell r="E21">
            <v>5.25</v>
          </cell>
        </row>
        <row r="22">
          <cell r="B22">
            <v>2.09</v>
          </cell>
          <cell r="C22" t="str">
            <v>Codo 90° PVC Ø1/2"</v>
          </cell>
          <cell r="D22" t="str">
            <v>UND</v>
          </cell>
          <cell r="E22">
            <v>50</v>
          </cell>
        </row>
        <row r="23">
          <cell r="B23">
            <v>2.1</v>
          </cell>
          <cell r="C23" t="str">
            <v>Codo 90° PVC Ø3/4"</v>
          </cell>
          <cell r="D23" t="str">
            <v>UND</v>
          </cell>
          <cell r="E23">
            <v>29</v>
          </cell>
        </row>
        <row r="24">
          <cell r="B24">
            <v>2.11</v>
          </cell>
          <cell r="C24" t="str">
            <v>Tee PVC Ø3/4"</v>
          </cell>
          <cell r="D24" t="str">
            <v>UND</v>
          </cell>
          <cell r="E24">
            <v>24</v>
          </cell>
        </row>
        <row r="25">
          <cell r="B25">
            <v>2.12</v>
          </cell>
          <cell r="C25" t="str">
            <v>Codo 90° PVC Ø1"</v>
          </cell>
          <cell r="D25" t="str">
            <v>UND</v>
          </cell>
          <cell r="E25">
            <v>27</v>
          </cell>
        </row>
        <row r="26">
          <cell r="B26">
            <v>2.13</v>
          </cell>
          <cell r="C26" t="str">
            <v>Codo 90° PVC Ø1_1/4"</v>
          </cell>
          <cell r="D26" t="str">
            <v>UND</v>
          </cell>
          <cell r="E26">
            <v>28</v>
          </cell>
        </row>
        <row r="27">
          <cell r="B27">
            <v>2.14</v>
          </cell>
          <cell r="C27" t="str">
            <v>Tee PVC Ø1_1/4"</v>
          </cell>
          <cell r="D27" t="str">
            <v>UND</v>
          </cell>
          <cell r="E27">
            <v>7</v>
          </cell>
        </row>
        <row r="28">
          <cell r="B28">
            <v>2.15</v>
          </cell>
          <cell r="C28" t="str">
            <v>Codo 90° PVC Ø1_1/2"</v>
          </cell>
          <cell r="D28" t="str">
            <v>UND</v>
          </cell>
          <cell r="E28">
            <v>36</v>
          </cell>
        </row>
        <row r="29">
          <cell r="B29">
            <v>2.16</v>
          </cell>
          <cell r="C29" t="str">
            <v>Tee PVC Ø1_1/2"</v>
          </cell>
          <cell r="D29" t="str">
            <v>UND</v>
          </cell>
          <cell r="E29">
            <v>32</v>
          </cell>
        </row>
        <row r="30">
          <cell r="B30">
            <v>2.17</v>
          </cell>
          <cell r="C30" t="str">
            <v>Tee PVC Ø2"</v>
          </cell>
          <cell r="D30" t="str">
            <v>UND</v>
          </cell>
          <cell r="E30">
            <v>3</v>
          </cell>
        </row>
        <row r="31">
          <cell r="B31">
            <v>2.1800000000000002</v>
          </cell>
          <cell r="C31" t="str">
            <v>Codo 90° PVC Ø2_1/2"</v>
          </cell>
          <cell r="D31" t="str">
            <v>UND</v>
          </cell>
          <cell r="E31">
            <v>2</v>
          </cell>
        </row>
        <row r="32">
          <cell r="B32">
            <v>2.19</v>
          </cell>
          <cell r="C32" t="str">
            <v>Tee PVC Ø2_1/2"</v>
          </cell>
          <cell r="D32" t="str">
            <v>UND</v>
          </cell>
          <cell r="E32">
            <v>10</v>
          </cell>
        </row>
        <row r="33">
          <cell r="B33">
            <v>2.2000000000000002</v>
          </cell>
          <cell r="C33" t="str">
            <v>Valvula de corte Ø1/2"</v>
          </cell>
          <cell r="D33" t="str">
            <v>UND</v>
          </cell>
          <cell r="E33">
            <v>3</v>
          </cell>
        </row>
        <row r="34">
          <cell r="B34">
            <v>2.21</v>
          </cell>
          <cell r="C34" t="str">
            <v>Valvula de corte Ø3/4"</v>
          </cell>
          <cell r="D34" t="str">
            <v>UND</v>
          </cell>
          <cell r="E34">
            <v>4</v>
          </cell>
        </row>
        <row r="35">
          <cell r="B35">
            <v>2.2200000000000002</v>
          </cell>
          <cell r="C35" t="str">
            <v>Valvula de corte Ø1_1/4"</v>
          </cell>
          <cell r="D35" t="str">
            <v>UND</v>
          </cell>
          <cell r="E35">
            <v>7</v>
          </cell>
        </row>
        <row r="36">
          <cell r="B36">
            <v>2.23</v>
          </cell>
          <cell r="C36" t="str">
            <v>Valvula de corte Ø1_1/2"</v>
          </cell>
          <cell r="D36" t="str">
            <v>UND</v>
          </cell>
          <cell r="E36">
            <v>8</v>
          </cell>
        </row>
        <row r="37">
          <cell r="B37">
            <v>2.2400000000000002</v>
          </cell>
          <cell r="C37" t="str">
            <v>Valvula antirretorno Ø2"</v>
          </cell>
          <cell r="D37" t="str">
            <v>UND</v>
          </cell>
          <cell r="E37">
            <v>3</v>
          </cell>
        </row>
        <row r="38">
          <cell r="B38">
            <v>2.25</v>
          </cell>
          <cell r="C38" t="str">
            <v>Valvula antirretorno Ø2_1/2"</v>
          </cell>
          <cell r="D38" t="str">
            <v>UND</v>
          </cell>
          <cell r="E38">
            <v>2</v>
          </cell>
        </row>
        <row r="39">
          <cell r="B39">
            <v>2.2599999999999998</v>
          </cell>
          <cell r="C39" t="str">
            <v>VRP Ø3/4"</v>
          </cell>
          <cell r="D39" t="str">
            <v>UND</v>
          </cell>
          <cell r="E39">
            <v>12</v>
          </cell>
        </row>
        <row r="40">
          <cell r="B40">
            <v>2.27</v>
          </cell>
          <cell r="C40" t="str">
            <v>VRP Ø1_1/4"</v>
          </cell>
          <cell r="D40" t="str">
            <v>UND</v>
          </cell>
          <cell r="E40">
            <v>7</v>
          </cell>
        </row>
        <row r="41">
          <cell r="B41">
            <v>2.2799999999999998</v>
          </cell>
          <cell r="C41" t="str">
            <v>VRP Ø1_1/2"</v>
          </cell>
          <cell r="D41" t="str">
            <v>UND</v>
          </cell>
          <cell r="E41">
            <v>8</v>
          </cell>
        </row>
        <row r="42">
          <cell r="B42">
            <v>2.29</v>
          </cell>
          <cell r="C42" t="str">
            <v>Fijacion tuberia descolgada</v>
          </cell>
          <cell r="D42" t="str">
            <v>UND</v>
          </cell>
          <cell r="E42">
            <v>163</v>
          </cell>
        </row>
        <row r="43">
          <cell r="B43">
            <v>2.2999999999999998</v>
          </cell>
          <cell r="C43" t="str">
            <v>Reduccion PVC Ø2_1/2" A Ø2"</v>
          </cell>
          <cell r="D43" t="str">
            <v>UND</v>
          </cell>
          <cell r="E43">
            <v>1</v>
          </cell>
        </row>
        <row r="44">
          <cell r="B44">
            <v>2.31</v>
          </cell>
          <cell r="C44" t="str">
            <v>Reduccion PVC Ø2_1/2" A Ø1_1/2"</v>
          </cell>
          <cell r="D44" t="str">
            <v>UND</v>
          </cell>
          <cell r="E44">
            <v>10</v>
          </cell>
        </row>
        <row r="45">
          <cell r="B45">
            <v>2.3199999999999998</v>
          </cell>
          <cell r="C45" t="str">
            <v>Reduccion PVC Ø2" A Ø1_1/2"</v>
          </cell>
          <cell r="D45" t="str">
            <v>UND</v>
          </cell>
          <cell r="E45">
            <v>3</v>
          </cell>
        </row>
        <row r="46">
          <cell r="B46">
            <v>2.33</v>
          </cell>
          <cell r="C46" t="str">
            <v>Reduccion PVC Ø1_1/2" A Ø1_1/4"</v>
          </cell>
          <cell r="D46" t="str">
            <v>UND</v>
          </cell>
          <cell r="E46">
            <v>7</v>
          </cell>
        </row>
        <row r="47">
          <cell r="B47">
            <v>2.34</v>
          </cell>
          <cell r="C47" t="str">
            <v>Reduccion PVC Ø1_1/2" A Ø1"</v>
          </cell>
          <cell r="D47" t="str">
            <v>UND</v>
          </cell>
          <cell r="E47">
            <v>24</v>
          </cell>
        </row>
        <row r="48">
          <cell r="B48">
            <v>2.35</v>
          </cell>
          <cell r="C48" t="str">
            <v>Reduccion PVC Ø1_1/2" A Ø3/4"</v>
          </cell>
          <cell r="D48" t="str">
            <v>UND</v>
          </cell>
          <cell r="E48">
            <v>12</v>
          </cell>
        </row>
        <row r="49">
          <cell r="B49">
            <v>2.36</v>
          </cell>
          <cell r="C49" t="str">
            <v>Reduccion PVC Ø1_1/4" A Ø1"</v>
          </cell>
          <cell r="D49" t="str">
            <v>UND</v>
          </cell>
          <cell r="E49">
            <v>7</v>
          </cell>
        </row>
        <row r="50">
          <cell r="B50">
            <v>2.37</v>
          </cell>
          <cell r="C50" t="str">
            <v>Reduccion PVC Ø1_1/4" A Ø1/2"</v>
          </cell>
          <cell r="D50" t="str">
            <v>UND</v>
          </cell>
          <cell r="E50">
            <v>7</v>
          </cell>
        </row>
        <row r="51">
          <cell r="B51">
            <v>2.38</v>
          </cell>
          <cell r="C51" t="str">
            <v>Reduccion PVC Ø3/4" A Ø1/2"</v>
          </cell>
          <cell r="D51" t="str">
            <v>UND</v>
          </cell>
          <cell r="E51">
            <v>35</v>
          </cell>
        </row>
        <row r="52">
          <cell r="B52">
            <v>2.39</v>
          </cell>
          <cell r="C52" t="str">
            <v>Suministro e instalacion de equipo de bombeo (bombas de alta presión con motor eléctrico 7,5 HP y hidroacumulador HI PRESS 750 Litros)</v>
          </cell>
          <cell r="D52" t="str">
            <v>UND</v>
          </cell>
          <cell r="E52">
            <v>1</v>
          </cell>
        </row>
        <row r="53">
          <cell r="B53">
            <v>3</v>
          </cell>
          <cell r="C53" t="str">
            <v>RED CONTRAINCENDIOS</v>
          </cell>
          <cell r="D53"/>
          <cell r="E53"/>
        </row>
        <row r="54">
          <cell r="B54">
            <v>3.01</v>
          </cell>
          <cell r="C54" t="str">
            <v>Tuberia C-PVC BLAZEMASTER Ø3"</v>
          </cell>
          <cell r="D54" t="str">
            <v>ML</v>
          </cell>
          <cell r="E54">
            <v>105.5</v>
          </cell>
        </row>
        <row r="55">
          <cell r="B55">
            <v>3.02</v>
          </cell>
          <cell r="C55" t="str">
            <v>Tuberia C-PVC BLAZEMASTER Ø1"</v>
          </cell>
          <cell r="D55" t="str">
            <v>ML</v>
          </cell>
          <cell r="E55">
            <v>75.040000000000006</v>
          </cell>
        </row>
        <row r="56">
          <cell r="B56">
            <v>3.03</v>
          </cell>
          <cell r="C56" t="str">
            <v>Tuberia Acero Galvanizado Ø3"</v>
          </cell>
          <cell r="D56" t="str">
            <v>ML</v>
          </cell>
          <cell r="E56">
            <v>411.42</v>
          </cell>
        </row>
        <row r="57">
          <cell r="B57">
            <v>3.04</v>
          </cell>
          <cell r="C57" t="str">
            <v>Tuberia Acero Galvanizado Ø1"</v>
          </cell>
          <cell r="D57" t="str">
            <v>ML</v>
          </cell>
          <cell r="E57">
            <v>344.82</v>
          </cell>
        </row>
        <row r="58">
          <cell r="B58">
            <v>3.05</v>
          </cell>
          <cell r="C58" t="str">
            <v>Codo 90° C-PVC Ø3"</v>
          </cell>
          <cell r="D58" t="str">
            <v>UND</v>
          </cell>
          <cell r="E58">
            <v>12</v>
          </cell>
        </row>
        <row r="59">
          <cell r="B59">
            <v>3.06</v>
          </cell>
          <cell r="C59" t="str">
            <v>Tee C-PVC Ø3"</v>
          </cell>
          <cell r="D59" t="str">
            <v>UND</v>
          </cell>
          <cell r="E59">
            <v>37</v>
          </cell>
        </row>
        <row r="60">
          <cell r="B60">
            <v>3.07</v>
          </cell>
          <cell r="C60" t="str">
            <v>Reduccion C-PVC Ø3" a Ø1"</v>
          </cell>
          <cell r="D60" t="str">
            <v>UND</v>
          </cell>
          <cell r="E60">
            <v>24</v>
          </cell>
        </row>
        <row r="61">
          <cell r="B61">
            <v>3.08</v>
          </cell>
          <cell r="C61" t="str">
            <v>Codo 90° C-PVC Ø1"</v>
          </cell>
          <cell r="D61" t="str">
            <v>UND</v>
          </cell>
          <cell r="E61">
            <v>24</v>
          </cell>
        </row>
        <row r="62">
          <cell r="B62">
            <v>3.09</v>
          </cell>
          <cell r="C62" t="str">
            <v>Tee C-PVC Ø1"</v>
          </cell>
          <cell r="D62" t="str">
            <v>UND</v>
          </cell>
          <cell r="E62">
            <v>14</v>
          </cell>
        </row>
        <row r="63">
          <cell r="B63">
            <v>3.1</v>
          </cell>
          <cell r="C63" t="str">
            <v>Codo 90° ranurado AG Ø3"</v>
          </cell>
          <cell r="D63" t="str">
            <v>UND</v>
          </cell>
          <cell r="E63">
            <v>28</v>
          </cell>
        </row>
        <row r="64">
          <cell r="B64">
            <v>3.11</v>
          </cell>
          <cell r="C64" t="str">
            <v>Tee ranurada AG Ø3"</v>
          </cell>
          <cell r="D64" t="str">
            <v>UND</v>
          </cell>
          <cell r="E64">
            <v>186</v>
          </cell>
        </row>
        <row r="65">
          <cell r="B65">
            <v>3.12</v>
          </cell>
          <cell r="C65" t="str">
            <v>Reduccion concéntrica ranurada Ø3" a Ø1"</v>
          </cell>
          <cell r="D65" t="str">
            <v>UND</v>
          </cell>
          <cell r="E65">
            <v>120</v>
          </cell>
        </row>
        <row r="66">
          <cell r="B66">
            <v>3.13</v>
          </cell>
          <cell r="C66" t="str">
            <v>Codo 90° ranurado AG Ø1"</v>
          </cell>
          <cell r="D66" t="str">
            <v>UND</v>
          </cell>
          <cell r="E66">
            <v>126</v>
          </cell>
        </row>
        <row r="67">
          <cell r="B67">
            <v>3.14</v>
          </cell>
          <cell r="C67" t="str">
            <v>Tee ranurada AG Ø1"</v>
          </cell>
          <cell r="D67" t="str">
            <v>UND</v>
          </cell>
          <cell r="E67">
            <v>40</v>
          </cell>
        </row>
        <row r="68">
          <cell r="B68">
            <v>3.15</v>
          </cell>
          <cell r="C68" t="str">
            <v>Kit de transición de Acero a C-PVC</v>
          </cell>
          <cell r="D68" t="str">
            <v>UND</v>
          </cell>
          <cell r="E68">
            <v>1</v>
          </cell>
        </row>
        <row r="69">
          <cell r="B69">
            <v>3.16</v>
          </cell>
          <cell r="C69" t="str">
            <v>Rociadores sprinkers tipo pendent 1/2" k=5.6 con escudo y accesorios</v>
          </cell>
          <cell r="D69" t="str">
            <v>UND</v>
          </cell>
          <cell r="E69">
            <v>272</v>
          </cell>
        </row>
        <row r="70">
          <cell r="B70">
            <v>3.17</v>
          </cell>
          <cell r="C70" t="str">
            <v>Cabezal de prueba Ø4"xØ3"xØ3"</v>
          </cell>
          <cell r="D70" t="str">
            <v>UND</v>
          </cell>
          <cell r="E70">
            <v>1</v>
          </cell>
        </row>
        <row r="71">
          <cell r="B71">
            <v>3.18</v>
          </cell>
          <cell r="C71" t="str">
            <v>Extintor manual clase A</v>
          </cell>
          <cell r="D71" t="str">
            <v>UND</v>
          </cell>
          <cell r="E71">
            <v>37</v>
          </cell>
        </row>
        <row r="72">
          <cell r="B72">
            <v>3.19</v>
          </cell>
          <cell r="C72" t="str">
            <v>Extintor manual clase C</v>
          </cell>
          <cell r="D72" t="str">
            <v>UND</v>
          </cell>
          <cell r="E72">
            <v>5</v>
          </cell>
        </row>
        <row r="73">
          <cell r="B73">
            <v>3.2</v>
          </cell>
          <cell r="C73" t="str">
            <v>Estacion de control (incluye accesorios)</v>
          </cell>
          <cell r="D73" t="str">
            <v>UND</v>
          </cell>
          <cell r="E73">
            <v>5</v>
          </cell>
        </row>
        <row r="74">
          <cell r="B74">
            <v>3.21</v>
          </cell>
          <cell r="C74" t="str">
            <v>Suministro e instalacion de equipo de bombeo (bomba Centrifuga uso general "EUROLINEA" Eje libre 20.00 HP y bomba auxilia jockey 2.0 HP)</v>
          </cell>
          <cell r="D74" t="str">
            <v>UND</v>
          </cell>
          <cell r="E74">
            <v>1</v>
          </cell>
        </row>
        <row r="75">
          <cell r="B75">
            <v>3.22</v>
          </cell>
          <cell r="C75" t="str">
            <v>Tuberia Acero Galvanizado Ø1 1/2"</v>
          </cell>
          <cell r="D75" t="str">
            <v>ML</v>
          </cell>
          <cell r="E75">
            <v>30.8</v>
          </cell>
        </row>
        <row r="76">
          <cell r="B76">
            <v>3.23</v>
          </cell>
          <cell r="C76" t="str">
            <v>Tuberia Acero Galvanizado Ø1 1/4"</v>
          </cell>
          <cell r="D76" t="str">
            <v>ML</v>
          </cell>
          <cell r="E76">
            <v>0.5</v>
          </cell>
        </row>
        <row r="77">
          <cell r="B77">
            <v>3.24</v>
          </cell>
          <cell r="C77" t="str">
            <v>Soporte antisismico</v>
          </cell>
          <cell r="D77" t="str">
            <v>UND</v>
          </cell>
          <cell r="E77">
            <v>1615</v>
          </cell>
        </row>
        <row r="78">
          <cell r="B78">
            <v>3.25</v>
          </cell>
          <cell r="C78" t="str">
            <v>Reduccion concéntrica ranurada Ø3" a Ø1 1/2"</v>
          </cell>
          <cell r="D78" t="str">
            <v>UND</v>
          </cell>
          <cell r="E78">
            <v>6</v>
          </cell>
        </row>
        <row r="79">
          <cell r="B79">
            <v>3.26</v>
          </cell>
          <cell r="C79" t="str">
            <v>Reduccion concéntrica ranurada Ø1 1/2" a Ø1 1/4"</v>
          </cell>
          <cell r="D79" t="str">
            <v>UND</v>
          </cell>
          <cell r="E79">
            <v>1</v>
          </cell>
        </row>
        <row r="80">
          <cell r="B80">
            <v>3.27</v>
          </cell>
          <cell r="C80" t="str">
            <v>Reduccion concéntrica ranurada Ø1 1/4" a Ø1"</v>
          </cell>
          <cell r="D80" t="str">
            <v>UND</v>
          </cell>
          <cell r="E80">
            <v>1</v>
          </cell>
        </row>
        <row r="81">
          <cell r="B81">
            <v>3.28</v>
          </cell>
          <cell r="C81" t="str">
            <v>Codo 90° ranurado AG Ø1 1/2"</v>
          </cell>
          <cell r="D81" t="str">
            <v>UND</v>
          </cell>
          <cell r="E81">
            <v>10</v>
          </cell>
        </row>
        <row r="82">
          <cell r="B82">
            <v>4</v>
          </cell>
          <cell r="C82" t="str">
            <v>RED SANITARIA</v>
          </cell>
          <cell r="D82"/>
          <cell r="E82"/>
        </row>
        <row r="83">
          <cell r="B83">
            <v>4.01</v>
          </cell>
          <cell r="C83" t="str">
            <v>Tubería Sanitaria PVC Ø4"</v>
          </cell>
          <cell r="D83" t="str">
            <v>ML</v>
          </cell>
          <cell r="E83">
            <v>144.43</v>
          </cell>
        </row>
        <row r="84">
          <cell r="B84">
            <v>4.0199999999999996</v>
          </cell>
          <cell r="C84" t="str">
            <v>Tubería Sanitaria PVC Ø2"</v>
          </cell>
          <cell r="D84" t="str">
            <v>ML</v>
          </cell>
          <cell r="E84">
            <v>64.27</v>
          </cell>
        </row>
        <row r="85">
          <cell r="B85">
            <v>4.03</v>
          </cell>
          <cell r="C85" t="str">
            <v>Tubería Sanitaria HD Ø3"</v>
          </cell>
          <cell r="D85" t="str">
            <v>ML</v>
          </cell>
          <cell r="E85">
            <v>3.6</v>
          </cell>
        </row>
        <row r="86">
          <cell r="B86">
            <v>4.04</v>
          </cell>
          <cell r="C86" t="str">
            <v>Tubería ventilacion PVC Ø2"</v>
          </cell>
          <cell r="D86" t="str">
            <v>ML</v>
          </cell>
          <cell r="E86">
            <v>86.08</v>
          </cell>
        </row>
        <row r="87">
          <cell r="B87">
            <v>4.05</v>
          </cell>
          <cell r="C87" t="str">
            <v>Codo 45° Sanitario PVC Ø4"</v>
          </cell>
          <cell r="D87" t="str">
            <v>UND</v>
          </cell>
          <cell r="E87">
            <v>9</v>
          </cell>
        </row>
        <row r="88">
          <cell r="B88">
            <v>4.0599999999999996</v>
          </cell>
          <cell r="C88" t="str">
            <v>Codo 90° Sanitario PVC Ø4"</v>
          </cell>
          <cell r="D88" t="str">
            <v>UND</v>
          </cell>
          <cell r="E88">
            <v>31</v>
          </cell>
        </row>
        <row r="89">
          <cell r="B89">
            <v>4.07</v>
          </cell>
          <cell r="C89" t="str">
            <v>Codo 90° Sanitario PVC Ø2"</v>
          </cell>
          <cell r="D89" t="str">
            <v>UND</v>
          </cell>
          <cell r="E89">
            <v>113</v>
          </cell>
        </row>
        <row r="90">
          <cell r="B90">
            <v>4.08</v>
          </cell>
          <cell r="C90" t="str">
            <v>Codo 45° Sanitario PVC Ø2"</v>
          </cell>
          <cell r="D90" t="str">
            <v>UND</v>
          </cell>
          <cell r="E90">
            <v>30</v>
          </cell>
        </row>
        <row r="91">
          <cell r="B91">
            <v>4.09</v>
          </cell>
          <cell r="C91" t="str">
            <v>Yee Sanitaria PVC Ø4"</v>
          </cell>
          <cell r="D91" t="str">
            <v>UND</v>
          </cell>
          <cell r="E91">
            <v>15</v>
          </cell>
        </row>
        <row r="92">
          <cell r="B92">
            <v>4.0999999999999996</v>
          </cell>
          <cell r="C92" t="str">
            <v>Yee Sanitaria PVC Ø2"</v>
          </cell>
          <cell r="D92" t="str">
            <v>UND</v>
          </cell>
          <cell r="E92">
            <v>24</v>
          </cell>
        </row>
        <row r="93">
          <cell r="B93">
            <v>4.1100000000000003</v>
          </cell>
          <cell r="C93" t="str">
            <v>Yee Sanitaria reducida PVC Ø4" a Ø2"</v>
          </cell>
          <cell r="D93" t="str">
            <v>UND</v>
          </cell>
          <cell r="E93">
            <v>38</v>
          </cell>
        </row>
        <row r="94">
          <cell r="B94">
            <v>4.12</v>
          </cell>
          <cell r="C94" t="str">
            <v>Sifon Sanitario Ø2"</v>
          </cell>
          <cell r="D94" t="str">
            <v>UND</v>
          </cell>
          <cell r="E94">
            <v>19</v>
          </cell>
        </row>
        <row r="95">
          <cell r="B95">
            <v>4.13</v>
          </cell>
          <cell r="C95" t="str">
            <v>Tapón PVC Ø4"</v>
          </cell>
          <cell r="D95" t="str">
            <v>UND</v>
          </cell>
          <cell r="E95">
            <v>9</v>
          </cell>
        </row>
        <row r="96">
          <cell r="B96">
            <v>4.1399999999999997</v>
          </cell>
          <cell r="C96" t="str">
            <v>Tapón PVC Ø2"</v>
          </cell>
          <cell r="D96" t="str">
            <v>UND</v>
          </cell>
          <cell r="E96">
            <v>2</v>
          </cell>
        </row>
        <row r="97">
          <cell r="B97">
            <v>4.1500000000000004</v>
          </cell>
          <cell r="C97" t="str">
            <v>Yee Ventilacion PVC Ø2"</v>
          </cell>
          <cell r="D97" t="str">
            <v>UND</v>
          </cell>
          <cell r="E97">
            <v>12</v>
          </cell>
        </row>
        <row r="98">
          <cell r="B98">
            <v>4.16</v>
          </cell>
          <cell r="C98" t="str">
            <v>Tee Ventilacion PVC Ø2"</v>
          </cell>
          <cell r="D98" t="str">
            <v>UND</v>
          </cell>
          <cell r="E98">
            <v>11</v>
          </cell>
        </row>
        <row r="99">
          <cell r="B99">
            <v>4.17</v>
          </cell>
          <cell r="C99" t="str">
            <v>Codo 90° Ventilacion PVC Ø2"</v>
          </cell>
          <cell r="D99" t="str">
            <v>UND</v>
          </cell>
          <cell r="E99">
            <v>13</v>
          </cell>
        </row>
        <row r="100">
          <cell r="B100">
            <v>4.18</v>
          </cell>
          <cell r="C100" t="str">
            <v>Codo 45° Ventilacion PVC Ø2"</v>
          </cell>
          <cell r="D100" t="str">
            <v>UND</v>
          </cell>
          <cell r="E100">
            <v>13</v>
          </cell>
        </row>
        <row r="101">
          <cell r="B101">
            <v>4.1900000000000004</v>
          </cell>
          <cell r="C101" t="str">
            <v>Fluxometros para aparatos sanitarios</v>
          </cell>
          <cell r="D101" t="str">
            <v>UND</v>
          </cell>
          <cell r="E101">
            <v>31</v>
          </cell>
        </row>
        <row r="102">
          <cell r="B102">
            <v>4.2</v>
          </cell>
          <cell r="C102" t="str">
            <v>suministro e instalacion de equipos de bombeo para agua residual 3HP (incluye accesorios)</v>
          </cell>
          <cell r="D102" t="str">
            <v>UND</v>
          </cell>
          <cell r="E102">
            <v>1</v>
          </cell>
        </row>
        <row r="103">
          <cell r="B103">
            <v>4.21</v>
          </cell>
          <cell r="C103" t="str">
            <v>Fijacion de tuberias horizontales</v>
          </cell>
          <cell r="D103" t="str">
            <v>UND</v>
          </cell>
          <cell r="E103">
            <v>130</v>
          </cell>
        </row>
        <row r="104">
          <cell r="B104">
            <v>4.22</v>
          </cell>
          <cell r="C104" t="str">
            <v>Fijacion de tuberias verticales</v>
          </cell>
          <cell r="D104" t="str">
            <v>UND</v>
          </cell>
          <cell r="E104">
            <v>18</v>
          </cell>
        </row>
        <row r="105">
          <cell r="B105">
            <v>4.2300000000000004</v>
          </cell>
          <cell r="C105" t="str">
            <v>Cajas de inspeccion de aguas residuales</v>
          </cell>
          <cell r="D105" t="str">
            <v>UND</v>
          </cell>
          <cell r="E105">
            <v>2</v>
          </cell>
        </row>
        <row r="106">
          <cell r="B106">
            <v>5</v>
          </cell>
          <cell r="C106" t="str">
            <v>RED PLUVIAL</v>
          </cell>
          <cell r="D106"/>
          <cell r="E106"/>
        </row>
        <row r="107">
          <cell r="B107">
            <v>5.01</v>
          </cell>
          <cell r="C107" t="str">
            <v>Tubería PVC Ø4"</v>
          </cell>
          <cell r="D107" t="str">
            <v>ML</v>
          </cell>
          <cell r="E107">
            <v>83.36</v>
          </cell>
        </row>
        <row r="108">
          <cell r="B108">
            <v>5.0199999999999996</v>
          </cell>
          <cell r="C108" t="str">
            <v>Tubería PVC Ø6"</v>
          </cell>
          <cell r="D108" t="str">
            <v>ML</v>
          </cell>
          <cell r="E108">
            <v>112.26</v>
          </cell>
        </row>
        <row r="109">
          <cell r="B109">
            <v>5.03</v>
          </cell>
          <cell r="C109" t="str">
            <v>Tragantes de aguas lluvias</v>
          </cell>
          <cell r="D109" t="str">
            <v>UND</v>
          </cell>
          <cell r="E109">
            <v>24</v>
          </cell>
        </row>
        <row r="110">
          <cell r="B110">
            <v>5.04</v>
          </cell>
          <cell r="C110" t="str">
            <v>Codo 45° PVC Ø4"</v>
          </cell>
          <cell r="D110" t="str">
            <v>UND</v>
          </cell>
          <cell r="E110">
            <v>18</v>
          </cell>
        </row>
        <row r="111">
          <cell r="B111">
            <v>5.05</v>
          </cell>
          <cell r="C111" t="str">
            <v>Codo 90° PVC Ø4"</v>
          </cell>
          <cell r="D111" t="str">
            <v>UND</v>
          </cell>
          <cell r="E111">
            <v>4</v>
          </cell>
        </row>
        <row r="112">
          <cell r="B112">
            <v>5.0599999999999996</v>
          </cell>
          <cell r="C112" t="str">
            <v>Yee PVC Ø4"</v>
          </cell>
          <cell r="D112" t="str">
            <v>UND</v>
          </cell>
          <cell r="E112">
            <v>12</v>
          </cell>
        </row>
        <row r="113">
          <cell r="B113">
            <v>5.07</v>
          </cell>
          <cell r="C113" t="str">
            <v>Yee reducida PVC Ø4" a Ø3"</v>
          </cell>
          <cell r="D113" t="str">
            <v>UND</v>
          </cell>
          <cell r="E113">
            <v>3</v>
          </cell>
        </row>
        <row r="114">
          <cell r="B114">
            <v>5.08</v>
          </cell>
          <cell r="C114" t="str">
            <v>Codo 90° PVC Ø6"</v>
          </cell>
          <cell r="D114" t="str">
            <v>UND</v>
          </cell>
          <cell r="E114">
            <v>6</v>
          </cell>
        </row>
        <row r="115">
          <cell r="B115">
            <v>5.09</v>
          </cell>
          <cell r="C115" t="str">
            <v>Fijacion de tuberias horizontales</v>
          </cell>
          <cell r="D115" t="str">
            <v>UND</v>
          </cell>
          <cell r="E115">
            <v>89</v>
          </cell>
        </row>
        <row r="116">
          <cell r="B116">
            <v>5.0999999999999996</v>
          </cell>
          <cell r="C116" t="str">
            <v>Fijacion de tuberias verticales</v>
          </cell>
          <cell r="D116" t="str">
            <v>UND</v>
          </cell>
          <cell r="E116">
            <v>9</v>
          </cell>
        </row>
        <row r="117">
          <cell r="B117">
            <v>6</v>
          </cell>
          <cell r="C117" t="str">
            <v>RED DE DRENAJE</v>
          </cell>
          <cell r="D117"/>
          <cell r="E117"/>
        </row>
        <row r="118">
          <cell r="B118">
            <v>6.01</v>
          </cell>
          <cell r="C118" t="str">
            <v>Cajas de inspeccion</v>
          </cell>
          <cell r="D118" t="str">
            <v>UND</v>
          </cell>
          <cell r="E118">
            <v>6</v>
          </cell>
        </row>
        <row r="119">
          <cell r="B119">
            <v>6.02</v>
          </cell>
          <cell r="C119" t="str">
            <v>Estacion de bombeo (incluye accesorios)</v>
          </cell>
          <cell r="D119" t="str">
            <v>UND</v>
          </cell>
          <cell r="E119">
            <v>1</v>
          </cell>
        </row>
        <row r="120">
          <cell r="B120">
            <v>6.03</v>
          </cell>
          <cell r="C120" t="str">
            <v>Excavacion en material comun</v>
          </cell>
          <cell r="D120" t="str">
            <v>M3</v>
          </cell>
          <cell r="E120">
            <v>127.35</v>
          </cell>
        </row>
        <row r="121">
          <cell r="B121">
            <v>6.04</v>
          </cell>
          <cell r="C121" t="str">
            <v>Retiro de material sobrante</v>
          </cell>
          <cell r="D121" t="str">
            <v>M3</v>
          </cell>
          <cell r="E121">
            <v>52.28</v>
          </cell>
        </row>
        <row r="122">
          <cell r="B122">
            <v>6.05</v>
          </cell>
          <cell r="C122" t="str">
            <v>Concreto fc 28 Mpa</v>
          </cell>
          <cell r="D122" t="str">
            <v>M3</v>
          </cell>
          <cell r="E122">
            <v>20.88</v>
          </cell>
        </row>
        <row r="123">
          <cell r="B123">
            <v>6.06</v>
          </cell>
          <cell r="C123" t="str">
            <v>Acero de refuerzo fy 420 Mpa</v>
          </cell>
          <cell r="D123" t="str">
            <v>Kg</v>
          </cell>
          <cell r="E123">
            <v>2181.4</v>
          </cell>
        </row>
        <row r="124">
          <cell r="B124">
            <v>6.07</v>
          </cell>
          <cell r="C124" t="str">
            <v>Tubería PVC Ø4" perforada para red de drenaje</v>
          </cell>
          <cell r="D124" t="str">
            <v>ML</v>
          </cell>
          <cell r="E124">
            <v>145</v>
          </cell>
        </row>
        <row r="125">
          <cell r="B125">
            <v>6.08</v>
          </cell>
          <cell r="C125" t="str">
            <v>Tubería PVC Ø6" perforada para red de drenaje</v>
          </cell>
          <cell r="D125" t="str">
            <v>ML</v>
          </cell>
          <cell r="E125">
            <v>46.94</v>
          </cell>
        </row>
        <row r="126">
          <cell r="B126">
            <v>6.09</v>
          </cell>
          <cell r="C126" t="str">
            <v>Codo 45° PVC Ø4"</v>
          </cell>
          <cell r="D126" t="str">
            <v>UND</v>
          </cell>
          <cell r="E126">
            <v>32</v>
          </cell>
        </row>
        <row r="127">
          <cell r="B127">
            <v>6.1</v>
          </cell>
          <cell r="C127" t="str">
            <v>Silla Yee reducida de Ø6" a Ø4"</v>
          </cell>
          <cell r="D127" t="str">
            <v>UND</v>
          </cell>
          <cell r="E127">
            <v>13</v>
          </cell>
        </row>
        <row r="128">
          <cell r="B128">
            <v>6.11</v>
          </cell>
          <cell r="C128" t="str">
            <v>Silla Yee Ø4"</v>
          </cell>
          <cell r="D128" t="str">
            <v>UND</v>
          </cell>
          <cell r="E128">
            <v>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A41A-4963-4CC6-9947-BBFBC1C4C508}">
  <dimension ref="A2:I26"/>
  <sheetViews>
    <sheetView zoomScale="85" zoomScaleNormal="85" workbookViewId="0">
      <selection activeCell="E27" sqref="E27"/>
    </sheetView>
  </sheetViews>
  <sheetFormatPr baseColWidth="10" defaultColWidth="11.42578125" defaultRowHeight="15" x14ac:dyDescent="0.25"/>
  <cols>
    <col min="1" max="1" width="14" style="1" bestFit="1" customWidth="1"/>
    <col min="2" max="2" width="11.42578125" style="1"/>
    <col min="3" max="5" width="17.28515625" style="1" customWidth="1"/>
    <col min="6" max="7" width="11.42578125" style="1"/>
    <col min="8" max="8" width="75.28515625" style="1" customWidth="1"/>
    <col min="9" max="16384" width="11.42578125" style="1"/>
  </cols>
  <sheetData>
    <row r="2" spans="1:9" x14ac:dyDescent="0.25">
      <c r="A2" s="103" t="s">
        <v>25</v>
      </c>
    </row>
    <row r="3" spans="1:9" ht="56.25" customHeight="1" x14ac:dyDescent="0.25">
      <c r="A3" s="446" t="s">
        <v>634</v>
      </c>
      <c r="B3" s="446"/>
      <c r="C3" s="446"/>
      <c r="D3" s="446"/>
      <c r="E3" s="446"/>
      <c r="H3" s="37"/>
    </row>
    <row r="5" spans="1:9" x14ac:dyDescent="0.25">
      <c r="A5" s="103" t="s">
        <v>376</v>
      </c>
    </row>
    <row r="6" spans="1:9" ht="16.5" customHeight="1" x14ac:dyDescent="0.25">
      <c r="A6" s="447" t="s">
        <v>635</v>
      </c>
      <c r="B6" s="447"/>
      <c r="C6" s="447"/>
      <c r="D6" s="447"/>
      <c r="E6" s="447"/>
      <c r="H6" s="132"/>
    </row>
    <row r="8" spans="1:9" x14ac:dyDescent="0.25">
      <c r="A8" s="103" t="s">
        <v>31</v>
      </c>
      <c r="H8" s="132"/>
    </row>
    <row r="9" spans="1:9" x14ac:dyDescent="0.25">
      <c r="A9" s="448" t="s">
        <v>590</v>
      </c>
      <c r="B9" s="447"/>
      <c r="C9" s="447"/>
      <c r="D9" s="447"/>
      <c r="E9" s="447"/>
    </row>
    <row r="10" spans="1:9" x14ac:dyDescent="0.25">
      <c r="H10" s="132"/>
    </row>
    <row r="11" spans="1:9" x14ac:dyDescent="0.25">
      <c r="A11" s="103" t="s">
        <v>39</v>
      </c>
    </row>
    <row r="12" spans="1:9" ht="17.25" customHeight="1" x14ac:dyDescent="0.25">
      <c r="A12" s="447"/>
      <c r="B12" s="447"/>
      <c r="C12" s="447"/>
      <c r="D12" s="447"/>
      <c r="E12" s="447"/>
    </row>
    <row r="13" spans="1:9" x14ac:dyDescent="0.25">
      <c r="H13" s="132"/>
    </row>
    <row r="14" spans="1:9" x14ac:dyDescent="0.25">
      <c r="C14" s="224"/>
    </row>
    <row r="15" spans="1:9" x14ac:dyDescent="0.25">
      <c r="C15" s="225"/>
      <c r="G15" s="132"/>
      <c r="H15" s="132"/>
      <c r="I15" s="132"/>
    </row>
    <row r="16" spans="1:9" x14ac:dyDescent="0.25">
      <c r="C16" s="225" t="str">
        <f>+A6</f>
        <v>ARAUCA, ARAUCA</v>
      </c>
      <c r="G16" s="132"/>
      <c r="H16" s="132"/>
      <c r="I16" s="132"/>
    </row>
    <row r="17" spans="1:9" x14ac:dyDescent="0.25">
      <c r="G17"/>
      <c r="H17" s="132"/>
      <c r="I17" s="132"/>
    </row>
    <row r="21" spans="1:9" x14ac:dyDescent="0.25">
      <c r="A21" s="103" t="s">
        <v>419</v>
      </c>
    </row>
    <row r="22" spans="1:9" x14ac:dyDescent="0.25">
      <c r="A22" s="450">
        <v>3</v>
      </c>
      <c r="B22" s="450"/>
      <c r="C22" s="449" t="s">
        <v>630</v>
      </c>
      <c r="D22" s="449"/>
      <c r="E22" s="449"/>
    </row>
    <row r="25" spans="1:9" x14ac:dyDescent="0.25">
      <c r="A25" s="19" t="s">
        <v>127</v>
      </c>
      <c r="C25" s="219" t="s">
        <v>560</v>
      </c>
      <c r="D25" s="219"/>
    </row>
    <row r="26" spans="1:9" x14ac:dyDescent="0.25">
      <c r="C26" s="220" t="s">
        <v>561</v>
      </c>
      <c r="D26" s="220"/>
    </row>
  </sheetData>
  <mergeCells count="6">
    <mergeCell ref="A3:E3"/>
    <mergeCell ref="A6:E6"/>
    <mergeCell ref="A9:E9"/>
    <mergeCell ref="A12:E12"/>
    <mergeCell ref="C22:E22"/>
    <mergeCell ref="A22:B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671B-88F3-4B10-909A-AE3D8F22B815}">
  <dimension ref="B2:L76"/>
  <sheetViews>
    <sheetView workbookViewId="0">
      <selection activeCell="F62" sqref="F62"/>
    </sheetView>
  </sheetViews>
  <sheetFormatPr baseColWidth="10" defaultColWidth="11.42578125" defaultRowHeight="15" x14ac:dyDescent="0.25"/>
  <cols>
    <col min="1" max="1" width="1.5703125" style="1" customWidth="1"/>
    <col min="2" max="2" width="6.7109375" style="1" customWidth="1"/>
    <col min="3" max="3" width="76.42578125" style="1" customWidth="1"/>
    <col min="4" max="4" width="6.7109375" style="1" customWidth="1"/>
    <col min="5" max="5" width="10.140625" style="1" customWidth="1"/>
    <col min="6" max="7" width="13.5703125" style="47" customWidth="1"/>
    <col min="8" max="9" width="10.140625" style="47" bestFit="1" customWidth="1"/>
    <col min="10" max="10" width="2.140625" style="1" customWidth="1"/>
    <col min="11" max="11" width="13.5703125" style="1" bestFit="1" customWidth="1"/>
    <col min="12" max="12" width="62.5703125" style="35" customWidth="1"/>
    <col min="13" max="16384" width="11.42578125" style="1"/>
  </cols>
  <sheetData>
    <row r="2" spans="2:12" ht="15.75" thickBot="1" x14ac:dyDescent="0.3"/>
    <row r="3" spans="2:12" ht="18.75" customHeight="1" x14ac:dyDescent="0.25">
      <c r="B3" s="454" t="s">
        <v>5</v>
      </c>
      <c r="C3" s="456" t="s">
        <v>26</v>
      </c>
      <c r="D3" s="456" t="s">
        <v>6</v>
      </c>
      <c r="E3" s="458" t="s">
        <v>7</v>
      </c>
      <c r="F3" s="456" t="s">
        <v>420</v>
      </c>
      <c r="G3" s="456"/>
      <c r="H3" s="456" t="s">
        <v>16</v>
      </c>
      <c r="I3" s="460"/>
      <c r="K3" s="14"/>
      <c r="L3" s="12"/>
    </row>
    <row r="4" spans="2:12" ht="18.75" customHeight="1" thickBot="1" x14ac:dyDescent="0.3">
      <c r="B4" s="455"/>
      <c r="C4" s="457"/>
      <c r="D4" s="457"/>
      <c r="E4" s="459"/>
      <c r="F4" s="215" t="s">
        <v>423</v>
      </c>
      <c r="G4" s="215" t="s">
        <v>422</v>
      </c>
      <c r="H4" s="215" t="s">
        <v>421</v>
      </c>
      <c r="I4" s="216" t="s">
        <v>375</v>
      </c>
      <c r="K4" s="14"/>
      <c r="L4" s="12"/>
    </row>
    <row r="5" spans="2:12" ht="15.75" thickBot="1" x14ac:dyDescent="0.3"/>
    <row r="6" spans="2:12" ht="18.75" customHeight="1" x14ac:dyDescent="0.25">
      <c r="B6" s="461" t="str">
        <f>PPTO!C8</f>
        <v>ARAUCA, ARAUCA</v>
      </c>
      <c r="C6" s="462"/>
      <c r="D6" s="462"/>
      <c r="E6" s="462"/>
      <c r="F6" s="462"/>
      <c r="G6" s="463"/>
      <c r="H6" s="463"/>
      <c r="I6" s="464"/>
      <c r="L6" s="217"/>
    </row>
    <row r="7" spans="2:12" x14ac:dyDescent="0.25">
      <c r="B7" s="40" t="s">
        <v>28</v>
      </c>
      <c r="C7" s="451" t="str">
        <f>VLOOKUP(B7,PPTO!$C$6:$H$60,2,0)</f>
        <v>PRELIMINARES Y REPARACIONES</v>
      </c>
      <c r="D7" s="452"/>
      <c r="E7" s="452"/>
      <c r="F7" s="452"/>
      <c r="G7" s="452"/>
      <c r="H7" s="452"/>
      <c r="I7" s="453"/>
      <c r="L7" s="217" t="str">
        <f>CONCATENATE(B7," ","-"," ",C7)</f>
        <v>CAP.1 - PRELIMINARES Y REPARACIONES</v>
      </c>
    </row>
    <row r="8" spans="2:12" x14ac:dyDescent="0.25">
      <c r="B8" s="41" t="s">
        <v>50</v>
      </c>
      <c r="C8" s="38" t="e">
        <f>VLOOKUP(B8,PPTO!$C$6:$H$60,2,0)</f>
        <v>#N/A</v>
      </c>
      <c r="D8" s="39" t="e">
        <f>VLOOKUP(B8,PPTO!$C$6:$H$60,3,0)</f>
        <v>#N/A</v>
      </c>
      <c r="E8" s="64" t="e">
        <f>VLOOKUP(B8,PPTO!$C$6:$H$60,4,0)</f>
        <v>#N/A</v>
      </c>
      <c r="F8" s="64" t="e">
        <f>ROUND(VLOOKUP(B8,APUS!$J$140:$Z$231,8,0),2)</f>
        <v>#N/A</v>
      </c>
      <c r="G8" s="214">
        <v>2</v>
      </c>
      <c r="H8" s="214" t="e">
        <f>ROUNDUP(E8/(F8*G8),0)</f>
        <v>#N/A</v>
      </c>
      <c r="I8" s="213" t="e">
        <f>ROUND(H8/30,2)</f>
        <v>#N/A</v>
      </c>
      <c r="L8" s="217" t="e">
        <f>CONCATENATE(B8," ","-"," ",C8)</f>
        <v>#N/A</v>
      </c>
    </row>
    <row r="9" spans="2:12" x14ac:dyDescent="0.25">
      <c r="B9" s="41" t="s">
        <v>45</v>
      </c>
      <c r="C9" s="38" t="e">
        <f>VLOOKUP(B9,PPTO!$C$6:$H$60,2,0)</f>
        <v>#N/A</v>
      </c>
      <c r="D9" s="39" t="e">
        <f>VLOOKUP(B9,PPTO!$C$6:$H$60,3,0)</f>
        <v>#N/A</v>
      </c>
      <c r="E9" s="64" t="e">
        <f>VLOOKUP(B9,PPTO!$C$6:$H$60,4,0)</f>
        <v>#N/A</v>
      </c>
      <c r="F9" s="64" t="e">
        <f>ROUND(VLOOKUP(B9,APUS!$J$140:$Z$231,8,0),2)</f>
        <v>#N/A</v>
      </c>
      <c r="G9" s="214">
        <v>4</v>
      </c>
      <c r="H9" s="214" t="e">
        <f>ROUNDUP(E9/(F9*G9),0)</f>
        <v>#N/A</v>
      </c>
      <c r="I9" s="213" t="e">
        <f>ROUND(H9/30,2)</f>
        <v>#N/A</v>
      </c>
      <c r="L9" s="217" t="e">
        <f>CONCATENATE(B9," ","-"," ",C9)</f>
        <v>#N/A</v>
      </c>
    </row>
    <row r="10" spans="2:12" x14ac:dyDescent="0.25">
      <c r="B10" s="41" t="s">
        <v>51</v>
      </c>
      <c r="C10" s="38" t="e">
        <f>VLOOKUP(B10,PPTO!$C$6:$H$60,2,0)</f>
        <v>#N/A</v>
      </c>
      <c r="D10" s="39" t="e">
        <f>VLOOKUP(B10,PPTO!$C$6:$H$60,3,0)</f>
        <v>#N/A</v>
      </c>
      <c r="E10" s="64" t="e">
        <f>VLOOKUP(B10,PPTO!$C$6:$H$60,4,0)</f>
        <v>#N/A</v>
      </c>
      <c r="F10" s="64" t="e">
        <f>ROUND(VLOOKUP(B10,APUS!$J$140:$Z$231,8,0),2)</f>
        <v>#N/A</v>
      </c>
      <c r="G10" s="214">
        <v>2</v>
      </c>
      <c r="H10" s="214" t="e">
        <f t="shared" ref="H10:H15" si="0">ROUNDUP(E10/(F10*G10),0)</f>
        <v>#N/A</v>
      </c>
      <c r="I10" s="213" t="e">
        <f t="shared" ref="I10:I15" si="1">ROUND(H10/30,2)</f>
        <v>#N/A</v>
      </c>
      <c r="L10" s="217" t="e">
        <f t="shared" ref="L10:L45" si="2">CONCATENATE(B10," ","-"," ",C10)</f>
        <v>#N/A</v>
      </c>
    </row>
    <row r="11" spans="2:12" x14ac:dyDescent="0.25">
      <c r="B11" s="41" t="s">
        <v>52</v>
      </c>
      <c r="C11" s="38" t="e">
        <f>VLOOKUP(B11,PPTO!$C$6:$H$60,2,0)</f>
        <v>#N/A</v>
      </c>
      <c r="D11" s="39" t="e">
        <f>VLOOKUP(B11,PPTO!$C$6:$H$60,3,0)</f>
        <v>#N/A</v>
      </c>
      <c r="E11" s="64" t="e">
        <f>VLOOKUP(B11,PPTO!$C$6:$H$60,4,0)</f>
        <v>#N/A</v>
      </c>
      <c r="F11" s="64" t="e">
        <f>ROUND(VLOOKUP(B11,APUS!$J$140:$Z$231,8,0),2)</f>
        <v>#N/A</v>
      </c>
      <c r="G11" s="214">
        <v>1</v>
      </c>
      <c r="H11" s="214" t="e">
        <f t="shared" si="0"/>
        <v>#N/A</v>
      </c>
      <c r="I11" s="213" t="e">
        <f t="shared" si="1"/>
        <v>#N/A</v>
      </c>
      <c r="L11" s="217" t="e">
        <f t="shared" si="2"/>
        <v>#N/A</v>
      </c>
    </row>
    <row r="12" spans="2:12" x14ac:dyDescent="0.25">
      <c r="B12" s="41" t="s">
        <v>53</v>
      </c>
      <c r="C12" s="38" t="e">
        <f>VLOOKUP(B12,PPTO!$C$6:$H$60,2,0)</f>
        <v>#N/A</v>
      </c>
      <c r="D12" s="39" t="e">
        <f>VLOOKUP(B12,PPTO!$C$6:$H$60,3,0)</f>
        <v>#N/A</v>
      </c>
      <c r="E12" s="64" t="e">
        <f>VLOOKUP(B12,PPTO!$C$6:$H$60,4,0)</f>
        <v>#N/A</v>
      </c>
      <c r="F12" s="64" t="e">
        <f>ROUND(VLOOKUP(B12,APUS!$J$140:$Z$231,8,0),2)</f>
        <v>#N/A</v>
      </c>
      <c r="G12" s="214">
        <v>1</v>
      </c>
      <c r="H12" s="214" t="e">
        <f t="shared" si="0"/>
        <v>#N/A</v>
      </c>
      <c r="I12" s="213" t="e">
        <f t="shared" si="1"/>
        <v>#N/A</v>
      </c>
      <c r="L12" s="217" t="e">
        <f t="shared" si="2"/>
        <v>#N/A</v>
      </c>
    </row>
    <row r="13" spans="2:12" x14ac:dyDescent="0.25">
      <c r="B13" s="41" t="s">
        <v>55</v>
      </c>
      <c r="C13" s="38" t="e">
        <f>VLOOKUP(B13,PPTO!$C$6:$H$60,2,0)</f>
        <v>#N/A</v>
      </c>
      <c r="D13" s="39" t="e">
        <f>VLOOKUP(B13,PPTO!$C$6:$H$60,3,0)</f>
        <v>#N/A</v>
      </c>
      <c r="E13" s="64" t="e">
        <f>VLOOKUP(B13,PPTO!$C$6:$H$60,4,0)</f>
        <v>#N/A</v>
      </c>
      <c r="F13" s="64" t="e">
        <f>ROUND(VLOOKUP(B13,APUS!$J$140:$Z$231,8,0),2)</f>
        <v>#N/A</v>
      </c>
      <c r="G13" s="214">
        <v>4</v>
      </c>
      <c r="H13" s="214" t="e">
        <f t="shared" si="0"/>
        <v>#N/A</v>
      </c>
      <c r="I13" s="213" t="e">
        <f t="shared" si="1"/>
        <v>#N/A</v>
      </c>
      <c r="L13" s="217" t="e">
        <f t="shared" si="2"/>
        <v>#N/A</v>
      </c>
    </row>
    <row r="14" spans="2:12" x14ac:dyDescent="0.25">
      <c r="B14" s="41" t="s">
        <v>56</v>
      </c>
      <c r="C14" s="38" t="e">
        <f>VLOOKUP(B14,PPTO!$C$6:$H$60,2,0)</f>
        <v>#N/A</v>
      </c>
      <c r="D14" s="39" t="e">
        <f>VLOOKUP(B14,PPTO!$C$6:$H$60,3,0)</f>
        <v>#N/A</v>
      </c>
      <c r="E14" s="64" t="e">
        <f>VLOOKUP(B14,PPTO!$C$6:$H$60,4,0)</f>
        <v>#N/A</v>
      </c>
      <c r="F14" s="64" t="e">
        <f>ROUND(VLOOKUP(B14,APUS!$J$140:$Z$231,8,0),2)</f>
        <v>#N/A</v>
      </c>
      <c r="G14" s="214">
        <v>1</v>
      </c>
      <c r="H14" s="214" t="e">
        <f t="shared" si="0"/>
        <v>#N/A</v>
      </c>
      <c r="I14" s="213" t="e">
        <f t="shared" si="1"/>
        <v>#N/A</v>
      </c>
      <c r="L14" s="217" t="e">
        <f t="shared" si="2"/>
        <v>#N/A</v>
      </c>
    </row>
    <row r="15" spans="2:12" x14ac:dyDescent="0.25">
      <c r="B15" s="41" t="s">
        <v>57</v>
      </c>
      <c r="C15" s="38" t="e">
        <f>VLOOKUP(B15,PPTO!$C$6:$H$60,2,0)</f>
        <v>#N/A</v>
      </c>
      <c r="D15" s="39" t="e">
        <f>VLOOKUP(B15,PPTO!$C$6:$H$60,3,0)</f>
        <v>#N/A</v>
      </c>
      <c r="E15" s="64" t="e">
        <f>VLOOKUP(B15,PPTO!$C$6:$H$60,4,0)</f>
        <v>#N/A</v>
      </c>
      <c r="F15" s="64" t="e">
        <f>ROUND(VLOOKUP(B15,APUS!$J$140:$Z$231,8,0),2)</f>
        <v>#N/A</v>
      </c>
      <c r="G15" s="214">
        <v>1</v>
      </c>
      <c r="H15" s="214" t="e">
        <f t="shared" si="0"/>
        <v>#N/A</v>
      </c>
      <c r="I15" s="213" t="e">
        <f t="shared" si="1"/>
        <v>#N/A</v>
      </c>
      <c r="L15" s="217" t="e">
        <f>CONCATENATE(B15," ","-"," ",C15)</f>
        <v>#N/A</v>
      </c>
    </row>
    <row r="16" spans="2:12" x14ac:dyDescent="0.25">
      <c r="B16" s="41" t="s">
        <v>58</v>
      </c>
      <c r="C16" s="38" t="e">
        <f>VLOOKUP(B16,PPTO!$C$6:$H$60,2,0)</f>
        <v>#N/A</v>
      </c>
      <c r="D16" s="39" t="e">
        <f>VLOOKUP(B16,PPTO!$C$6:$H$60,3,0)</f>
        <v>#N/A</v>
      </c>
      <c r="E16" s="64" t="e">
        <f>VLOOKUP(B16,PPTO!$C$6:$H$60,4,0)</f>
        <v>#N/A</v>
      </c>
      <c r="F16" s="64" t="e">
        <f>ROUND(VLOOKUP(B16,APUS!$J$140:$Z$231,8,0),2)</f>
        <v>#N/A</v>
      </c>
      <c r="G16" s="214">
        <v>2</v>
      </c>
      <c r="H16" s="214" t="e">
        <f>ROUNDUP(E16/(F16*G16),0)</f>
        <v>#N/A</v>
      </c>
      <c r="I16" s="213" t="e">
        <f>ROUND(H16/30,2)</f>
        <v>#N/A</v>
      </c>
      <c r="L16" s="217" t="e">
        <f>CONCATENATE(B16," ","-"," ",C16)</f>
        <v>#N/A</v>
      </c>
    </row>
    <row r="17" spans="2:12" x14ac:dyDescent="0.25">
      <c r="B17" s="40" t="s">
        <v>29</v>
      </c>
      <c r="C17" s="451" t="str">
        <f>VLOOKUP(B17,PPTO!$C$6:$H$60,2,0)</f>
        <v>RED HIDRAULICA</v>
      </c>
      <c r="D17" s="452"/>
      <c r="E17" s="452"/>
      <c r="F17" s="452"/>
      <c r="G17" s="452"/>
      <c r="H17" s="452"/>
      <c r="I17" s="453"/>
      <c r="L17" s="217" t="str">
        <f t="shared" si="2"/>
        <v>CAP.2 - RED HIDRAULICA</v>
      </c>
    </row>
    <row r="18" spans="2:12" x14ac:dyDescent="0.25">
      <c r="B18" s="41" t="s">
        <v>46</v>
      </c>
      <c r="C18" s="38" t="e">
        <f>VLOOKUP(B18,PPTO!$C$6:$H$60,2,0)</f>
        <v>#N/A</v>
      </c>
      <c r="D18" s="39" t="e">
        <f>VLOOKUP(B18,PPTO!$C$6:$H$60,3,0)</f>
        <v>#N/A</v>
      </c>
      <c r="E18" s="64" t="e">
        <f>VLOOKUP(B18,PPTO!$C$6:$H$60,4,0)</f>
        <v>#N/A</v>
      </c>
      <c r="F18" s="64" t="e">
        <f>ROUND(VLOOKUP(B18,APUS!$J$140:$Z$231,8,0),2)</f>
        <v>#N/A</v>
      </c>
      <c r="G18" s="214">
        <v>8</v>
      </c>
      <c r="H18" s="214" t="e">
        <f t="shared" ref="H18:H23" si="3">ROUNDUP(E18/(F18*G18),0)</f>
        <v>#N/A</v>
      </c>
      <c r="I18" s="213" t="e">
        <f t="shared" ref="I18:I23" si="4">ROUND(H18/30,2)</f>
        <v>#N/A</v>
      </c>
      <c r="L18" s="217" t="e">
        <f t="shared" si="2"/>
        <v>#N/A</v>
      </c>
    </row>
    <row r="19" spans="2:12" x14ac:dyDescent="0.25">
      <c r="B19" s="41" t="s">
        <v>48</v>
      </c>
      <c r="C19" s="38" t="e">
        <f>VLOOKUP(B19,PPTO!$C$6:$H$60,2,0)</f>
        <v>#N/A</v>
      </c>
      <c r="D19" s="39" t="e">
        <f>VLOOKUP(B19,PPTO!$C$6:$H$60,3,0)</f>
        <v>#N/A</v>
      </c>
      <c r="E19" s="64" t="e">
        <f>VLOOKUP(B19,PPTO!$C$6:$H$60,4,0)</f>
        <v>#N/A</v>
      </c>
      <c r="F19" s="64" t="e">
        <f>ROUND(VLOOKUP(B19,APUS!$J$140:$Z$231,8,0),2)</f>
        <v>#N/A</v>
      </c>
      <c r="G19" s="214">
        <v>2</v>
      </c>
      <c r="H19" s="214" t="e">
        <f t="shared" si="3"/>
        <v>#N/A</v>
      </c>
      <c r="I19" s="213" t="e">
        <f t="shared" si="4"/>
        <v>#N/A</v>
      </c>
      <c r="L19" s="217" t="e">
        <f t="shared" si="2"/>
        <v>#N/A</v>
      </c>
    </row>
    <row r="20" spans="2:12" x14ac:dyDescent="0.25">
      <c r="B20" s="41" t="s">
        <v>47</v>
      </c>
      <c r="C20" s="38" t="e">
        <f>VLOOKUP(B20,PPTO!$C$6:$H$60,2,0)</f>
        <v>#N/A</v>
      </c>
      <c r="D20" s="39" t="e">
        <f>VLOOKUP(B20,PPTO!$C$6:$H$60,3,0)</f>
        <v>#N/A</v>
      </c>
      <c r="E20" s="64" t="e">
        <f>VLOOKUP(B20,PPTO!$C$6:$H$60,4,0)</f>
        <v>#N/A</v>
      </c>
      <c r="F20" s="64" t="e">
        <f>ROUND(VLOOKUP(B20,APUS!$J$140:$Z$231,8,0),2)</f>
        <v>#N/A</v>
      </c>
      <c r="G20" s="214">
        <v>8</v>
      </c>
      <c r="H20" s="214" t="e">
        <f t="shared" si="3"/>
        <v>#N/A</v>
      </c>
      <c r="I20" s="213" t="e">
        <f t="shared" si="4"/>
        <v>#N/A</v>
      </c>
      <c r="L20" s="217" t="e">
        <f t="shared" si="2"/>
        <v>#N/A</v>
      </c>
    </row>
    <row r="21" spans="2:12" x14ac:dyDescent="0.25">
      <c r="B21" s="41" t="s">
        <v>49</v>
      </c>
      <c r="C21" s="38" t="e">
        <f>VLOOKUP(B21,PPTO!$C$6:$H$60,2,0)</f>
        <v>#N/A</v>
      </c>
      <c r="D21" s="39" t="e">
        <f>VLOOKUP(B21,PPTO!$C$6:$H$60,3,0)</f>
        <v>#N/A</v>
      </c>
      <c r="E21" s="64" t="e">
        <f>VLOOKUP(B21,PPTO!$C$6:$H$60,4,0)</f>
        <v>#N/A</v>
      </c>
      <c r="F21" s="64" t="e">
        <f>ROUND(VLOOKUP(B21,APUS!$J$140:$Z$231,8,0),2)</f>
        <v>#N/A</v>
      </c>
      <c r="G21" s="214">
        <v>10</v>
      </c>
      <c r="H21" s="214" t="e">
        <f t="shared" si="3"/>
        <v>#N/A</v>
      </c>
      <c r="I21" s="213" t="e">
        <f t="shared" si="4"/>
        <v>#N/A</v>
      </c>
      <c r="L21" s="217" t="e">
        <f t="shared" si="2"/>
        <v>#N/A</v>
      </c>
    </row>
    <row r="22" spans="2:12" x14ac:dyDescent="0.25">
      <c r="B22" s="41" t="s">
        <v>54</v>
      </c>
      <c r="C22" s="38" t="e">
        <f>VLOOKUP(B22,PPTO!$C$6:$H$60,2,0)</f>
        <v>#N/A</v>
      </c>
      <c r="D22" s="39" t="e">
        <f>VLOOKUP(B22,PPTO!$C$6:$H$60,3,0)</f>
        <v>#N/A</v>
      </c>
      <c r="E22" s="64" t="e">
        <f>VLOOKUP(B22,PPTO!$C$6:$H$60,4,0)</f>
        <v>#N/A</v>
      </c>
      <c r="F22" s="64" t="e">
        <f>ROUND(VLOOKUP(B22,APUS!$J$140:$Z$231,8,0),2)</f>
        <v>#N/A</v>
      </c>
      <c r="G22" s="214">
        <v>15</v>
      </c>
      <c r="H22" s="214" t="e">
        <f t="shared" si="3"/>
        <v>#N/A</v>
      </c>
      <c r="I22" s="213" t="e">
        <f t="shared" si="4"/>
        <v>#N/A</v>
      </c>
      <c r="L22" s="217" t="e">
        <f t="shared" si="2"/>
        <v>#N/A</v>
      </c>
    </row>
    <row r="23" spans="2:12" x14ac:dyDescent="0.25">
      <c r="B23" s="41" t="s">
        <v>425</v>
      </c>
      <c r="C23" s="38" t="e">
        <f>VLOOKUP(B23,PPTO!$C$6:$H$60,2,0)</f>
        <v>#N/A</v>
      </c>
      <c r="D23" s="39" t="e">
        <f>VLOOKUP(B23,PPTO!$C$6:$H$60,3,0)</f>
        <v>#N/A</v>
      </c>
      <c r="E23" s="64" t="e">
        <f>VLOOKUP(B23,PPTO!$C$6:$H$60,4,0)</f>
        <v>#N/A</v>
      </c>
      <c r="F23" s="64" t="e">
        <f>ROUND(VLOOKUP(B23,APUS!$J$140:$Z$231,8,0),2)</f>
        <v>#N/A</v>
      </c>
      <c r="G23" s="214">
        <v>2</v>
      </c>
      <c r="H23" s="214" t="e">
        <f t="shared" si="3"/>
        <v>#N/A</v>
      </c>
      <c r="I23" s="213" t="e">
        <f t="shared" si="4"/>
        <v>#N/A</v>
      </c>
      <c r="L23" s="217" t="e">
        <f t="shared" si="2"/>
        <v>#N/A</v>
      </c>
    </row>
    <row r="24" spans="2:12" x14ac:dyDescent="0.25">
      <c r="B24" s="40" t="s">
        <v>30</v>
      </c>
      <c r="C24" s="451" t="str">
        <f>VLOOKUP(B24,PPTO!$C$6:$H$60,2,0)</f>
        <v>RED CONTRAINCENDIOS</v>
      </c>
      <c r="D24" s="452"/>
      <c r="E24" s="452"/>
      <c r="F24" s="452"/>
      <c r="G24" s="452"/>
      <c r="H24" s="452"/>
      <c r="I24" s="453"/>
      <c r="L24" s="217" t="str">
        <f t="shared" si="2"/>
        <v>CAP.3 - RED CONTRAINCENDIOS</v>
      </c>
    </row>
    <row r="25" spans="2:12" x14ac:dyDescent="0.25">
      <c r="B25" s="41" t="s">
        <v>59</v>
      </c>
      <c r="C25" s="38" t="e">
        <f>VLOOKUP(B25,PPTO!$C$6:$H$60,2,0)</f>
        <v>#N/A</v>
      </c>
      <c r="D25" s="39" t="e">
        <f>VLOOKUP(B25,PPTO!$C$6:$H$60,3,0)</f>
        <v>#N/A</v>
      </c>
      <c r="E25" s="64" t="e">
        <f>VLOOKUP(B25,PPTO!$C$6:$H$60,4,0)</f>
        <v>#N/A</v>
      </c>
      <c r="F25" s="64" t="e">
        <f>ROUND(VLOOKUP(B25,APUS!$J$140:$Z$231,8,0),2)</f>
        <v>#N/A</v>
      </c>
      <c r="G25" s="214">
        <v>3</v>
      </c>
      <c r="H25" s="214" t="e">
        <f t="shared" ref="H25:H38" si="5">ROUNDUP(E25/(F25*G25),0)</f>
        <v>#N/A</v>
      </c>
      <c r="I25" s="213" t="e">
        <f t="shared" ref="I25:I38" si="6">ROUND(H25/30,2)</f>
        <v>#N/A</v>
      </c>
      <c r="L25" s="217" t="e">
        <f t="shared" si="2"/>
        <v>#N/A</v>
      </c>
    </row>
    <row r="26" spans="2:12" x14ac:dyDescent="0.25">
      <c r="B26" s="41" t="s">
        <v>60</v>
      </c>
      <c r="C26" s="38" t="e">
        <f>VLOOKUP(B26,PPTO!$C$6:$H$60,2,0)</f>
        <v>#N/A</v>
      </c>
      <c r="D26" s="39" t="e">
        <f>VLOOKUP(B26,PPTO!$C$6:$H$60,3,0)</f>
        <v>#N/A</v>
      </c>
      <c r="E26" s="64" t="e">
        <f>VLOOKUP(B26,PPTO!$C$6:$H$60,4,0)</f>
        <v>#N/A</v>
      </c>
      <c r="F26" s="64" t="e">
        <f>ROUND(VLOOKUP(B26,APUS!$J$140:$Z$231,8,0),2)</f>
        <v>#N/A</v>
      </c>
      <c r="G26" s="214">
        <v>3</v>
      </c>
      <c r="H26" s="214" t="e">
        <f t="shared" si="5"/>
        <v>#N/A</v>
      </c>
      <c r="I26" s="213" t="e">
        <f t="shared" si="6"/>
        <v>#N/A</v>
      </c>
      <c r="L26" s="217" t="e">
        <f t="shared" si="2"/>
        <v>#N/A</v>
      </c>
    </row>
    <row r="27" spans="2:12" x14ac:dyDescent="0.25">
      <c r="B27" s="41" t="s">
        <v>61</v>
      </c>
      <c r="C27" s="38" t="e">
        <f>VLOOKUP(B27,PPTO!$C$6:$H$60,2,0)</f>
        <v>#N/A</v>
      </c>
      <c r="D27" s="39" t="e">
        <f>VLOOKUP(B27,PPTO!$C$6:$H$60,3,0)</f>
        <v>#N/A</v>
      </c>
      <c r="E27" s="64" t="e">
        <f>VLOOKUP(B27,PPTO!$C$6:$H$60,4,0)</f>
        <v>#N/A</v>
      </c>
      <c r="F27" s="64" t="e">
        <f>ROUND(VLOOKUP(B27,APUS!$J$140:$Z$231,8,0),2)</f>
        <v>#N/A</v>
      </c>
      <c r="G27" s="214">
        <v>2</v>
      </c>
      <c r="H27" s="214" t="e">
        <f t="shared" si="5"/>
        <v>#N/A</v>
      </c>
      <c r="I27" s="213" t="e">
        <f t="shared" si="6"/>
        <v>#N/A</v>
      </c>
      <c r="L27" s="217" t="e">
        <f t="shared" si="2"/>
        <v>#N/A</v>
      </c>
    </row>
    <row r="28" spans="2:12" x14ac:dyDescent="0.25">
      <c r="B28" s="41" t="s">
        <v>62</v>
      </c>
      <c r="C28" s="38" t="e">
        <f>VLOOKUP(B28,PPTO!$C$6:$H$60,2,0)</f>
        <v>#N/A</v>
      </c>
      <c r="D28" s="39" t="e">
        <f>VLOOKUP(B28,PPTO!$C$6:$H$60,3,0)</f>
        <v>#N/A</v>
      </c>
      <c r="E28" s="64" t="e">
        <f>VLOOKUP(B28,PPTO!$C$6:$H$60,4,0)</f>
        <v>#N/A</v>
      </c>
      <c r="F28" s="64" t="e">
        <f>ROUND(VLOOKUP(B28,APUS!$J$140:$Z$231,8,0),2)</f>
        <v>#N/A</v>
      </c>
      <c r="G28" s="214">
        <v>8</v>
      </c>
      <c r="H28" s="214" t="e">
        <f t="shared" si="5"/>
        <v>#N/A</v>
      </c>
      <c r="I28" s="213" t="e">
        <f t="shared" si="6"/>
        <v>#N/A</v>
      </c>
      <c r="L28" s="217" t="e">
        <f t="shared" si="2"/>
        <v>#N/A</v>
      </c>
    </row>
    <row r="29" spans="2:12" x14ac:dyDescent="0.25">
      <c r="B29" s="41" t="s">
        <v>63</v>
      </c>
      <c r="C29" s="38" t="e">
        <f>VLOOKUP(B29,PPTO!$C$6:$H$60,2,0)</f>
        <v>#N/A</v>
      </c>
      <c r="D29" s="39" t="e">
        <f>VLOOKUP(B29,PPTO!$C$6:$H$60,3,0)</f>
        <v>#N/A</v>
      </c>
      <c r="E29" s="64" t="e">
        <f>VLOOKUP(B29,PPTO!$C$6:$H$60,4,0)</f>
        <v>#N/A</v>
      </c>
      <c r="F29" s="64" t="e">
        <f>ROUND(VLOOKUP(B29,APUS!$J$140:$Z$231,8,0),2)</f>
        <v>#N/A</v>
      </c>
      <c r="G29" s="214">
        <v>2</v>
      </c>
      <c r="H29" s="214" t="e">
        <f t="shared" si="5"/>
        <v>#N/A</v>
      </c>
      <c r="I29" s="213" t="e">
        <f t="shared" si="6"/>
        <v>#N/A</v>
      </c>
      <c r="L29" s="217" t="e">
        <f t="shared" si="2"/>
        <v>#N/A</v>
      </c>
    </row>
    <row r="30" spans="2:12" x14ac:dyDescent="0.25">
      <c r="B30" s="41" t="s">
        <v>64</v>
      </c>
      <c r="C30" s="38" t="e">
        <f>VLOOKUP(B30,PPTO!$C$6:$H$60,2,0)</f>
        <v>#N/A</v>
      </c>
      <c r="D30" s="39" t="e">
        <f>VLOOKUP(B30,PPTO!$C$6:$H$60,3,0)</f>
        <v>#N/A</v>
      </c>
      <c r="E30" s="64" t="e">
        <f>VLOOKUP(B30,PPTO!$C$6:$H$60,4,0)</f>
        <v>#N/A</v>
      </c>
      <c r="F30" s="64" t="e">
        <f>ROUND(VLOOKUP(B30,APUS!$J$140:$Z$231,8,0),2)</f>
        <v>#N/A</v>
      </c>
      <c r="G30" s="214">
        <v>2</v>
      </c>
      <c r="H30" s="214" t="e">
        <f t="shared" si="5"/>
        <v>#N/A</v>
      </c>
      <c r="I30" s="213" t="e">
        <f t="shared" si="6"/>
        <v>#N/A</v>
      </c>
      <c r="L30" s="217" t="e">
        <f t="shared" si="2"/>
        <v>#N/A</v>
      </c>
    </row>
    <row r="31" spans="2:12" x14ac:dyDescent="0.25">
      <c r="B31" s="41" t="s">
        <v>65</v>
      </c>
      <c r="C31" s="38" t="e">
        <f>VLOOKUP(B31,PPTO!$C$6:$H$60,2,0)</f>
        <v>#N/A</v>
      </c>
      <c r="D31" s="39" t="e">
        <f>VLOOKUP(B31,PPTO!$C$6:$H$60,3,0)</f>
        <v>#N/A</v>
      </c>
      <c r="E31" s="64" t="e">
        <f>VLOOKUP(B31,PPTO!$C$6:$H$60,4,0)</f>
        <v>#N/A</v>
      </c>
      <c r="F31" s="64" t="e">
        <f>ROUND(VLOOKUP(B31,APUS!$J$140:$Z$231,8,0),2)</f>
        <v>#N/A</v>
      </c>
      <c r="G31" s="214">
        <v>3</v>
      </c>
      <c r="H31" s="214" t="e">
        <f t="shared" si="5"/>
        <v>#N/A</v>
      </c>
      <c r="I31" s="213" t="e">
        <f t="shared" si="6"/>
        <v>#N/A</v>
      </c>
      <c r="L31" s="217" t="e">
        <f t="shared" si="2"/>
        <v>#N/A</v>
      </c>
    </row>
    <row r="32" spans="2:12" x14ac:dyDescent="0.25">
      <c r="B32" s="41" t="s">
        <v>66</v>
      </c>
      <c r="C32" s="38" t="e">
        <f>VLOOKUP(B32,PPTO!$C$6:$H$60,2,0)</f>
        <v>#N/A</v>
      </c>
      <c r="D32" s="39" t="e">
        <f>VLOOKUP(B32,PPTO!$C$6:$H$60,3,0)</f>
        <v>#N/A</v>
      </c>
      <c r="E32" s="64" t="e">
        <f>VLOOKUP(B32,PPTO!$C$6:$H$60,4,0)</f>
        <v>#N/A</v>
      </c>
      <c r="F32" s="64" t="e">
        <f>ROUND(VLOOKUP(B32,APUS!$J$140:$Z$231,8,0),2)</f>
        <v>#N/A</v>
      </c>
      <c r="G32" s="214">
        <v>2</v>
      </c>
      <c r="H32" s="214" t="e">
        <f t="shared" si="5"/>
        <v>#N/A</v>
      </c>
      <c r="I32" s="213" t="e">
        <f t="shared" si="6"/>
        <v>#N/A</v>
      </c>
      <c r="L32" s="217" t="e">
        <f t="shared" si="2"/>
        <v>#N/A</v>
      </c>
    </row>
    <row r="33" spans="2:12" x14ac:dyDescent="0.25">
      <c r="B33" s="41" t="s">
        <v>67</v>
      </c>
      <c r="C33" s="38" t="e">
        <f>VLOOKUP(B33,PPTO!$C$6:$H$60,2,0)</f>
        <v>#N/A</v>
      </c>
      <c r="D33" s="39" t="e">
        <f>VLOOKUP(B33,PPTO!$C$6:$H$60,3,0)</f>
        <v>#N/A</v>
      </c>
      <c r="E33" s="64" t="e">
        <f>VLOOKUP(B33,PPTO!$C$6:$H$60,4,0)</f>
        <v>#N/A</v>
      </c>
      <c r="F33" s="64" t="e">
        <f>ROUND(VLOOKUP(B33,APUS!$J$140:$Z$231,8,0),2)</f>
        <v>#N/A</v>
      </c>
      <c r="G33" s="214">
        <v>2</v>
      </c>
      <c r="H33" s="214" t="e">
        <f t="shared" si="5"/>
        <v>#N/A</v>
      </c>
      <c r="I33" s="213" t="e">
        <f t="shared" si="6"/>
        <v>#N/A</v>
      </c>
      <c r="L33" s="217" t="e">
        <f t="shared" si="2"/>
        <v>#N/A</v>
      </c>
    </row>
    <row r="34" spans="2:12" x14ac:dyDescent="0.25">
      <c r="B34" s="41" t="s">
        <v>68</v>
      </c>
      <c r="C34" s="38" t="e">
        <f>VLOOKUP(B34,PPTO!$C$6:$H$60,2,0)</f>
        <v>#N/A</v>
      </c>
      <c r="D34" s="39" t="e">
        <f>VLOOKUP(B34,PPTO!$C$6:$H$60,3,0)</f>
        <v>#N/A</v>
      </c>
      <c r="E34" s="64" t="e">
        <f>VLOOKUP(B34,PPTO!$C$6:$H$60,4,0)</f>
        <v>#N/A</v>
      </c>
      <c r="F34" s="64" t="e">
        <f>ROUND(VLOOKUP(B34,APUS!$J$140:$Z$231,8,0),2)</f>
        <v>#N/A</v>
      </c>
      <c r="G34" s="214">
        <v>2</v>
      </c>
      <c r="H34" s="214" t="e">
        <f t="shared" si="5"/>
        <v>#N/A</v>
      </c>
      <c r="I34" s="213" t="e">
        <f t="shared" si="6"/>
        <v>#N/A</v>
      </c>
      <c r="L34" s="217" t="e">
        <f t="shared" si="2"/>
        <v>#N/A</v>
      </c>
    </row>
    <row r="35" spans="2:12" x14ac:dyDescent="0.25">
      <c r="B35" s="41" t="s">
        <v>69</v>
      </c>
      <c r="C35" s="38" t="e">
        <f>VLOOKUP(B35,PPTO!$C$6:$H$60,2,0)</f>
        <v>#N/A</v>
      </c>
      <c r="D35" s="39" t="e">
        <f>VLOOKUP(B35,PPTO!$C$6:$H$60,3,0)</f>
        <v>#N/A</v>
      </c>
      <c r="E35" s="64" t="e">
        <f>VLOOKUP(B35,PPTO!$C$6:$H$60,4,0)</f>
        <v>#N/A</v>
      </c>
      <c r="F35" s="64" t="e">
        <f>ROUND(VLOOKUP(B35,APUS!$J$140:$Z$231,8,0),2)</f>
        <v>#N/A</v>
      </c>
      <c r="G35" s="214">
        <v>2</v>
      </c>
      <c r="H35" s="214" t="e">
        <f t="shared" si="5"/>
        <v>#N/A</v>
      </c>
      <c r="I35" s="213" t="e">
        <f t="shared" si="6"/>
        <v>#N/A</v>
      </c>
      <c r="L35" s="217" t="e">
        <f t="shared" si="2"/>
        <v>#N/A</v>
      </c>
    </row>
    <row r="36" spans="2:12" x14ac:dyDescent="0.25">
      <c r="B36" s="41" t="s">
        <v>70</v>
      </c>
      <c r="C36" s="38" t="e">
        <f>VLOOKUP(B36,PPTO!$C$6:$H$60,2,0)</f>
        <v>#N/A</v>
      </c>
      <c r="D36" s="39" t="e">
        <f>VLOOKUP(B36,PPTO!$C$6:$H$60,3,0)</f>
        <v>#N/A</v>
      </c>
      <c r="E36" s="64" t="e">
        <f>VLOOKUP(B36,PPTO!$C$6:$H$60,4,0)</f>
        <v>#N/A</v>
      </c>
      <c r="F36" s="64" t="e">
        <f>ROUND(VLOOKUP(B36,APUS!$J$140:$Z$231,8,0),2)</f>
        <v>#N/A</v>
      </c>
      <c r="G36" s="214">
        <v>2</v>
      </c>
      <c r="H36" s="214" t="e">
        <f t="shared" si="5"/>
        <v>#N/A</v>
      </c>
      <c r="I36" s="213" t="e">
        <f t="shared" si="6"/>
        <v>#N/A</v>
      </c>
      <c r="L36" s="217" t="e">
        <f t="shared" si="2"/>
        <v>#N/A</v>
      </c>
    </row>
    <row r="37" spans="2:12" x14ac:dyDescent="0.25">
      <c r="B37" s="41" t="s">
        <v>71</v>
      </c>
      <c r="C37" s="38" t="e">
        <f>VLOOKUP(B37,PPTO!$C$6:$H$60,2,0)</f>
        <v>#N/A</v>
      </c>
      <c r="D37" s="39" t="e">
        <f>VLOOKUP(B37,PPTO!$C$6:$H$60,3,0)</f>
        <v>#N/A</v>
      </c>
      <c r="E37" s="64" t="e">
        <f>VLOOKUP(B37,PPTO!$C$6:$H$60,4,0)</f>
        <v>#N/A</v>
      </c>
      <c r="F37" s="64" t="e">
        <f>ROUND(VLOOKUP(B37,APUS!$J$140:$Z$231,8,0),2)</f>
        <v>#N/A</v>
      </c>
      <c r="G37" s="214">
        <v>2</v>
      </c>
      <c r="H37" s="214" t="e">
        <f t="shared" si="5"/>
        <v>#N/A</v>
      </c>
      <c r="I37" s="213" t="e">
        <f t="shared" si="6"/>
        <v>#N/A</v>
      </c>
      <c r="L37" s="217" t="e">
        <f t="shared" si="2"/>
        <v>#N/A</v>
      </c>
    </row>
    <row r="38" spans="2:12" x14ac:dyDescent="0.25">
      <c r="B38" s="41" t="s">
        <v>72</v>
      </c>
      <c r="C38" s="38" t="e">
        <f>VLOOKUP(B38,PPTO!$C$6:$H$60,2,0)</f>
        <v>#N/A</v>
      </c>
      <c r="D38" s="39" t="e">
        <f>VLOOKUP(B38,PPTO!$C$6:$H$60,3,0)</f>
        <v>#N/A</v>
      </c>
      <c r="E38" s="64" t="e">
        <f>VLOOKUP(B38,PPTO!$C$6:$H$60,4,0)</f>
        <v>#N/A</v>
      </c>
      <c r="F38" s="64" t="e">
        <f>ROUND(VLOOKUP(B38,APUS!$J$140:$Z$231,8,0),2)</f>
        <v>#N/A</v>
      </c>
      <c r="G38" s="214">
        <v>2</v>
      </c>
      <c r="H38" s="214" t="e">
        <f t="shared" si="5"/>
        <v>#N/A</v>
      </c>
      <c r="I38" s="213" t="e">
        <f t="shared" si="6"/>
        <v>#N/A</v>
      </c>
      <c r="L38" s="217" t="e">
        <f t="shared" si="2"/>
        <v>#N/A</v>
      </c>
    </row>
    <row r="39" spans="2:12" x14ac:dyDescent="0.25">
      <c r="B39" s="40" t="s">
        <v>37</v>
      </c>
      <c r="C39" s="451" t="e">
        <f>VLOOKUP(B39,PPTO!$C$6:$H$60,2,0)</f>
        <v>#N/A</v>
      </c>
      <c r="D39" s="452"/>
      <c r="E39" s="452"/>
      <c r="F39" s="452"/>
      <c r="G39" s="452"/>
      <c r="H39" s="452"/>
      <c r="I39" s="453"/>
      <c r="L39" s="217" t="e">
        <f t="shared" si="2"/>
        <v>#N/A</v>
      </c>
    </row>
    <row r="40" spans="2:12" x14ac:dyDescent="0.25">
      <c r="B40" s="41" t="s">
        <v>73</v>
      </c>
      <c r="C40" s="38" t="e">
        <f>VLOOKUP(B40,PPTO!$C$6:$H$60,2,0)</f>
        <v>#N/A</v>
      </c>
      <c r="D40" s="39" t="e">
        <f>VLOOKUP(B40,PPTO!$C$6:$H$60,3,0)</f>
        <v>#N/A</v>
      </c>
      <c r="E40" s="64" t="e">
        <f>VLOOKUP(B40,PPTO!$C$6:$H$60,4,0)</f>
        <v>#N/A</v>
      </c>
      <c r="F40" s="64" t="e">
        <f>ROUND(VLOOKUP(B40,APUS!$J$140:$Z$231,8,0),2)</f>
        <v>#N/A</v>
      </c>
      <c r="G40" s="214">
        <v>2</v>
      </c>
      <c r="H40" s="214" t="e">
        <f t="shared" ref="H40:H45" si="7">ROUNDUP(E40/(F40*G40),0)</f>
        <v>#N/A</v>
      </c>
      <c r="I40" s="213" t="e">
        <f t="shared" ref="I40:I45" si="8">ROUND(H40/30,2)</f>
        <v>#N/A</v>
      </c>
      <c r="L40" s="217" t="e">
        <f t="shared" si="2"/>
        <v>#N/A</v>
      </c>
    </row>
    <row r="41" spans="2:12" x14ac:dyDescent="0.25">
      <c r="B41" s="41" t="s">
        <v>74</v>
      </c>
      <c r="C41" s="38" t="e">
        <f>VLOOKUP(B41,PPTO!$C$6:$H$60,2,0)</f>
        <v>#N/A</v>
      </c>
      <c r="D41" s="39" t="e">
        <f>VLOOKUP(B41,PPTO!$C$6:$H$60,3,0)</f>
        <v>#N/A</v>
      </c>
      <c r="E41" s="64" t="e">
        <f>VLOOKUP(B41,PPTO!$C$6:$H$60,4,0)</f>
        <v>#N/A</v>
      </c>
      <c r="F41" s="64" t="e">
        <f>ROUND(VLOOKUP(B41,APUS!$J$140:$Z$231,8,0),2)</f>
        <v>#N/A</v>
      </c>
      <c r="G41" s="214">
        <v>2</v>
      </c>
      <c r="H41" s="214" t="e">
        <f t="shared" si="7"/>
        <v>#N/A</v>
      </c>
      <c r="I41" s="213" t="e">
        <f t="shared" si="8"/>
        <v>#N/A</v>
      </c>
      <c r="L41" s="217" t="e">
        <f t="shared" si="2"/>
        <v>#N/A</v>
      </c>
    </row>
    <row r="42" spans="2:12" x14ac:dyDescent="0.25">
      <c r="B42" s="41" t="s">
        <v>75</v>
      </c>
      <c r="C42" s="38" t="e">
        <f>VLOOKUP(B42,PPTO!$C$6:$H$60,2,0)</f>
        <v>#N/A</v>
      </c>
      <c r="D42" s="39" t="e">
        <f>VLOOKUP(B42,PPTO!$C$6:$H$60,3,0)</f>
        <v>#N/A</v>
      </c>
      <c r="E42" s="64" t="e">
        <f>VLOOKUP(B42,PPTO!$C$6:$H$60,4,0)</f>
        <v>#N/A</v>
      </c>
      <c r="F42" s="64" t="e">
        <f>ROUND(VLOOKUP(B42,APUS!$J$140:$Z$231,8,0),2)</f>
        <v>#N/A</v>
      </c>
      <c r="G42" s="214">
        <v>2</v>
      </c>
      <c r="H42" s="214" t="e">
        <f t="shared" si="7"/>
        <v>#N/A</v>
      </c>
      <c r="I42" s="213" t="e">
        <f t="shared" si="8"/>
        <v>#N/A</v>
      </c>
      <c r="L42" s="217" t="e">
        <f t="shared" si="2"/>
        <v>#N/A</v>
      </c>
    </row>
    <row r="43" spans="2:12" x14ac:dyDescent="0.25">
      <c r="B43" s="41" t="s">
        <v>76</v>
      </c>
      <c r="C43" s="38" t="e">
        <f>VLOOKUP(B43,PPTO!$C$6:$H$60,2,0)</f>
        <v>#N/A</v>
      </c>
      <c r="D43" s="39" t="e">
        <f>VLOOKUP(B43,PPTO!$C$6:$H$60,3,0)</f>
        <v>#N/A</v>
      </c>
      <c r="E43" s="64" t="e">
        <f>VLOOKUP(B43,PPTO!$C$6:$H$60,4,0)</f>
        <v>#N/A</v>
      </c>
      <c r="F43" s="64" t="e">
        <f>ROUND(VLOOKUP(B43,APUS!$J$140:$Z$231,8,0),2)</f>
        <v>#N/A</v>
      </c>
      <c r="G43" s="214">
        <v>2</v>
      </c>
      <c r="H43" s="214" t="e">
        <f t="shared" si="7"/>
        <v>#N/A</v>
      </c>
      <c r="I43" s="213" t="e">
        <f t="shared" si="8"/>
        <v>#N/A</v>
      </c>
      <c r="L43" s="217" t="e">
        <f t="shared" si="2"/>
        <v>#N/A</v>
      </c>
    </row>
    <row r="44" spans="2:12" x14ac:dyDescent="0.25">
      <c r="B44" s="41" t="s">
        <v>77</v>
      </c>
      <c r="C44" s="38" t="e">
        <f>VLOOKUP(B44,PPTO!$C$6:$H$60,2,0)</f>
        <v>#N/A</v>
      </c>
      <c r="D44" s="39" t="e">
        <f>VLOOKUP(B44,PPTO!$C$6:$H$60,3,0)</f>
        <v>#N/A</v>
      </c>
      <c r="E44" s="64" t="e">
        <f>VLOOKUP(B44,PPTO!$C$6:$H$60,4,0)</f>
        <v>#N/A</v>
      </c>
      <c r="F44" s="64" t="e">
        <f>ROUND(VLOOKUP(B44,APUS!$J$140:$Z$231,8,0),2)</f>
        <v>#N/A</v>
      </c>
      <c r="G44" s="214">
        <v>2</v>
      </c>
      <c r="H44" s="214" t="e">
        <f t="shared" si="7"/>
        <v>#N/A</v>
      </c>
      <c r="I44" s="213" t="e">
        <f t="shared" si="8"/>
        <v>#N/A</v>
      </c>
      <c r="L44" s="217" t="e">
        <f t="shared" si="2"/>
        <v>#N/A</v>
      </c>
    </row>
    <row r="45" spans="2:12" x14ac:dyDescent="0.25">
      <c r="B45" s="41" t="s">
        <v>78</v>
      </c>
      <c r="C45" s="38" t="e">
        <f>VLOOKUP(B45,PPTO!$C$6:$H$60,2,0)</f>
        <v>#N/A</v>
      </c>
      <c r="D45" s="39" t="e">
        <f>VLOOKUP(B45,PPTO!$C$6:$H$60,3,0)</f>
        <v>#N/A</v>
      </c>
      <c r="E45" s="64" t="e">
        <f>VLOOKUP(B45,PPTO!$C$6:$H$60,4,0)</f>
        <v>#N/A</v>
      </c>
      <c r="F45" s="64" t="e">
        <f>ROUND(VLOOKUP(B45,APUS!$J$140:$Z$231,8,0),2)</f>
        <v>#N/A</v>
      </c>
      <c r="G45" s="214">
        <v>2</v>
      </c>
      <c r="H45" s="214" t="e">
        <f t="shared" si="7"/>
        <v>#N/A</v>
      </c>
      <c r="I45" s="213" t="e">
        <f t="shared" si="8"/>
        <v>#N/A</v>
      </c>
      <c r="L45" s="217" t="e">
        <f t="shared" si="2"/>
        <v>#N/A</v>
      </c>
    </row>
    <row r="46" spans="2:12" x14ac:dyDescent="0.25">
      <c r="B46" s="40" t="s">
        <v>41</v>
      </c>
      <c r="C46" s="451" t="e">
        <f>VLOOKUP(B46,PPTO!$C$6:$H$60,2,0)</f>
        <v>#N/A</v>
      </c>
      <c r="D46" s="452"/>
      <c r="E46" s="452"/>
      <c r="F46" s="452"/>
      <c r="G46" s="452"/>
      <c r="H46" s="452"/>
      <c r="I46" s="453"/>
      <c r="L46" s="217" t="e">
        <f t="shared" ref="L46:L76" si="9">CONCATENATE(B46," ","-"," ",C46)</f>
        <v>#N/A</v>
      </c>
    </row>
    <row r="47" spans="2:12" x14ac:dyDescent="0.25">
      <c r="B47" s="63" t="s">
        <v>79</v>
      </c>
      <c r="C47" s="38" t="e">
        <f>VLOOKUP(B47,PPTO!$C$6:$H$60,2,0)</f>
        <v>#N/A</v>
      </c>
      <c r="D47" s="39" t="e">
        <f>VLOOKUP(B47,PPTO!$C$6:$H$60,3,0)</f>
        <v>#N/A</v>
      </c>
      <c r="E47" s="64" t="e">
        <f>VLOOKUP(B47,PPTO!$C$6:$H$60,4,0)</f>
        <v>#N/A</v>
      </c>
      <c r="F47" s="64" t="e">
        <f>ROUND(VLOOKUP(B47,APUS!$J$140:$Z$231,8,0),2)</f>
        <v>#N/A</v>
      </c>
      <c r="G47" s="214">
        <v>4</v>
      </c>
      <c r="H47" s="214" t="e">
        <f t="shared" ref="H47:H54" si="10">ROUNDUP(E47/(F47*G47),0)</f>
        <v>#N/A</v>
      </c>
      <c r="I47" s="213" t="e">
        <f t="shared" ref="I47:I54" si="11">ROUND(H47/30,2)</f>
        <v>#N/A</v>
      </c>
      <c r="L47" s="217" t="e">
        <f t="shared" si="9"/>
        <v>#N/A</v>
      </c>
    </row>
    <row r="48" spans="2:12" x14ac:dyDescent="0.25">
      <c r="B48" s="63" t="s">
        <v>80</v>
      </c>
      <c r="C48" s="38" t="e">
        <f>VLOOKUP(B48,PPTO!$C$6:$H$60,2,0)</f>
        <v>#N/A</v>
      </c>
      <c r="D48" s="39" t="e">
        <f>VLOOKUP(B48,PPTO!$C$6:$H$60,3,0)</f>
        <v>#N/A</v>
      </c>
      <c r="E48" s="64" t="e">
        <f>VLOOKUP(B48,PPTO!$C$6:$H$60,4,0)</f>
        <v>#N/A</v>
      </c>
      <c r="F48" s="64" t="e">
        <f>ROUND(VLOOKUP(B48,APUS!$J$140:$Z$231,8,0),2)</f>
        <v>#N/A</v>
      </c>
      <c r="G48" s="214">
        <v>2</v>
      </c>
      <c r="H48" s="214" t="e">
        <f t="shared" si="10"/>
        <v>#N/A</v>
      </c>
      <c r="I48" s="213" t="e">
        <f t="shared" si="11"/>
        <v>#N/A</v>
      </c>
      <c r="L48" s="217" t="e">
        <f t="shared" si="9"/>
        <v>#N/A</v>
      </c>
    </row>
    <row r="49" spans="2:12" x14ac:dyDescent="0.25">
      <c r="B49" s="63" t="s">
        <v>81</v>
      </c>
      <c r="C49" s="38" t="e">
        <f>VLOOKUP(B49,PPTO!$C$6:$H$60,2,0)</f>
        <v>#N/A</v>
      </c>
      <c r="D49" s="39" t="e">
        <f>VLOOKUP(B49,PPTO!$C$6:$H$60,3,0)</f>
        <v>#N/A</v>
      </c>
      <c r="E49" s="64" t="e">
        <f>VLOOKUP(B49,PPTO!$C$6:$H$60,4,0)</f>
        <v>#N/A</v>
      </c>
      <c r="F49" s="64" t="e">
        <f>ROUND(VLOOKUP(B49,APUS!$J$140:$Z$231,8,0),2)</f>
        <v>#N/A</v>
      </c>
      <c r="G49" s="214">
        <v>2</v>
      </c>
      <c r="H49" s="214" t="e">
        <f t="shared" si="10"/>
        <v>#N/A</v>
      </c>
      <c r="I49" s="213" t="e">
        <f t="shared" si="11"/>
        <v>#N/A</v>
      </c>
      <c r="L49" s="217" t="e">
        <f t="shared" si="9"/>
        <v>#N/A</v>
      </c>
    </row>
    <row r="50" spans="2:12" x14ac:dyDescent="0.25">
      <c r="B50" s="63" t="s">
        <v>426</v>
      </c>
      <c r="C50" s="38" t="e">
        <f>VLOOKUP(B50,PPTO!$C$6:$H$60,2,0)</f>
        <v>#N/A</v>
      </c>
      <c r="D50" s="39" t="e">
        <f>VLOOKUP(B50,PPTO!$C$6:$H$60,3,0)</f>
        <v>#N/A</v>
      </c>
      <c r="E50" s="64" t="e">
        <f>VLOOKUP(B50,PPTO!$C$6:$H$60,4,0)</f>
        <v>#N/A</v>
      </c>
      <c r="F50" s="64" t="e">
        <f>ROUND(VLOOKUP(B50,APUS!$J$140:$Z$231,8,0),2)</f>
        <v>#N/A</v>
      </c>
      <c r="G50" s="214">
        <v>15</v>
      </c>
      <c r="H50" s="214" t="e">
        <f t="shared" si="10"/>
        <v>#N/A</v>
      </c>
      <c r="I50" s="213" t="e">
        <f t="shared" si="11"/>
        <v>#N/A</v>
      </c>
      <c r="L50" s="217" t="e">
        <f t="shared" si="9"/>
        <v>#N/A</v>
      </c>
    </row>
    <row r="51" spans="2:12" x14ac:dyDescent="0.25">
      <c r="B51" s="63" t="s">
        <v>427</v>
      </c>
      <c r="C51" s="38" t="e">
        <f>VLOOKUP(B51,PPTO!$C$6:$H$60,2,0)</f>
        <v>#N/A</v>
      </c>
      <c r="D51" s="39" t="e">
        <f>VLOOKUP(B51,PPTO!$C$6:$H$60,3,0)</f>
        <v>#N/A</v>
      </c>
      <c r="E51" s="64" t="e">
        <f>VLOOKUP(B51,PPTO!$C$6:$H$60,4,0)</f>
        <v>#N/A</v>
      </c>
      <c r="F51" s="64" t="e">
        <f>ROUND(VLOOKUP(B51,APUS!$J$140:$Z$231,8,0),2)</f>
        <v>#N/A</v>
      </c>
      <c r="G51" s="214">
        <v>2</v>
      </c>
      <c r="H51" s="214" t="e">
        <f t="shared" si="10"/>
        <v>#N/A</v>
      </c>
      <c r="I51" s="213" t="e">
        <f t="shared" si="11"/>
        <v>#N/A</v>
      </c>
      <c r="L51" s="217" t="e">
        <f t="shared" si="9"/>
        <v>#N/A</v>
      </c>
    </row>
    <row r="52" spans="2:12" x14ac:dyDescent="0.25">
      <c r="B52" s="63" t="s">
        <v>428</v>
      </c>
      <c r="C52" s="38" t="e">
        <f>VLOOKUP(B52,PPTO!$C$6:$H$60,2,0)</f>
        <v>#N/A</v>
      </c>
      <c r="D52" s="39" t="e">
        <f>VLOOKUP(B52,PPTO!$C$6:$H$60,3,0)</f>
        <v>#N/A</v>
      </c>
      <c r="E52" s="64" t="e">
        <f>VLOOKUP(B52,PPTO!$C$6:$H$60,4,0)</f>
        <v>#N/A</v>
      </c>
      <c r="F52" s="64" t="e">
        <f>ROUND(VLOOKUP(B52,APUS!$J$140:$Z$231,8,0),2)</f>
        <v>#N/A</v>
      </c>
      <c r="G52" s="214">
        <v>1</v>
      </c>
      <c r="H52" s="214" t="e">
        <f t="shared" si="10"/>
        <v>#N/A</v>
      </c>
      <c r="I52" s="213" t="e">
        <f t="shared" si="11"/>
        <v>#N/A</v>
      </c>
      <c r="L52" s="217" t="e">
        <f t="shared" si="9"/>
        <v>#N/A</v>
      </c>
    </row>
    <row r="53" spans="2:12" x14ac:dyDescent="0.25">
      <c r="B53" s="63" t="s">
        <v>429</v>
      </c>
      <c r="C53" s="38" t="e">
        <f>VLOOKUP(B53,PPTO!$C$6:$H$60,2,0)</f>
        <v>#N/A</v>
      </c>
      <c r="D53" s="39" t="e">
        <f>VLOOKUP(B53,PPTO!$C$6:$H$60,3,0)</f>
        <v>#N/A</v>
      </c>
      <c r="E53" s="64" t="e">
        <f>VLOOKUP(B53,PPTO!$C$6:$H$60,4,0)</f>
        <v>#N/A</v>
      </c>
      <c r="F53" s="64" t="e">
        <f>ROUND(VLOOKUP(B53,APUS!$J$140:$Z$231,8,0),2)</f>
        <v>#N/A</v>
      </c>
      <c r="G53" s="214">
        <v>2</v>
      </c>
      <c r="H53" s="214" t="e">
        <f t="shared" si="10"/>
        <v>#N/A</v>
      </c>
      <c r="I53" s="213" t="e">
        <f t="shared" si="11"/>
        <v>#N/A</v>
      </c>
      <c r="L53" s="217" t="e">
        <f t="shared" si="9"/>
        <v>#N/A</v>
      </c>
    </row>
    <row r="54" spans="2:12" x14ac:dyDescent="0.25">
      <c r="B54" s="63" t="s">
        <v>430</v>
      </c>
      <c r="C54" s="38" t="e">
        <f>VLOOKUP(B54,PPTO!$C$6:$H$60,2,0)</f>
        <v>#N/A</v>
      </c>
      <c r="D54" s="39" t="e">
        <f>VLOOKUP(B54,PPTO!$C$6:$H$60,3,0)</f>
        <v>#N/A</v>
      </c>
      <c r="E54" s="64" t="e">
        <f>VLOOKUP(B54,PPTO!$C$6:$H$60,4,0)</f>
        <v>#N/A</v>
      </c>
      <c r="F54" s="64" t="e">
        <f>ROUND(VLOOKUP(B54,APUS!$J$140:$Z$231,8,0),2)</f>
        <v>#N/A</v>
      </c>
      <c r="G54" s="214">
        <v>2</v>
      </c>
      <c r="H54" s="214" t="e">
        <f t="shared" si="10"/>
        <v>#N/A</v>
      </c>
      <c r="I54" s="213" t="e">
        <f t="shared" si="11"/>
        <v>#N/A</v>
      </c>
      <c r="L54" s="217" t="e">
        <f t="shared" si="9"/>
        <v>#N/A</v>
      </c>
    </row>
    <row r="55" spans="2:12" x14ac:dyDescent="0.25">
      <c r="B55" s="40" t="s">
        <v>42</v>
      </c>
      <c r="C55" s="451" t="e">
        <f>VLOOKUP(B55,PPTO!$C$6:$H$60,2,0)</f>
        <v>#N/A</v>
      </c>
      <c r="D55" s="452"/>
      <c r="E55" s="452"/>
      <c r="F55" s="452"/>
      <c r="G55" s="452"/>
      <c r="H55" s="452"/>
      <c r="I55" s="453"/>
      <c r="L55" s="217" t="e">
        <f t="shared" si="9"/>
        <v>#N/A</v>
      </c>
    </row>
    <row r="56" spans="2:12" x14ac:dyDescent="0.25">
      <c r="B56" s="63" t="s">
        <v>82</v>
      </c>
      <c r="C56" s="38" t="e">
        <f>VLOOKUP(B56,PPTO!$C$6:$H$60,2,0)</f>
        <v>#N/A</v>
      </c>
      <c r="D56" s="39" t="e">
        <f>VLOOKUP(B56,PPTO!$C$6:$H$60,3,0)</f>
        <v>#N/A</v>
      </c>
      <c r="E56" s="64" t="e">
        <f>VLOOKUP(B56,PPTO!$C$6:$H$60,4,0)</f>
        <v>#N/A</v>
      </c>
      <c r="F56" s="64" t="e">
        <f>ROUND(VLOOKUP(B56,APUS!$J$140:$Z$231,8,0),2)</f>
        <v>#N/A</v>
      </c>
      <c r="G56" s="214">
        <v>2</v>
      </c>
      <c r="H56" s="214" t="e">
        <f t="shared" ref="H56:H75" si="12">ROUNDUP(E56/(F56*G56),0)</f>
        <v>#N/A</v>
      </c>
      <c r="I56" s="213" t="e">
        <f t="shared" ref="I56:I75" si="13">ROUND(H56/30,2)</f>
        <v>#N/A</v>
      </c>
      <c r="L56" s="217" t="e">
        <f t="shared" si="9"/>
        <v>#N/A</v>
      </c>
    </row>
    <row r="57" spans="2:12" x14ac:dyDescent="0.25">
      <c r="B57" s="63" t="s">
        <v>83</v>
      </c>
      <c r="C57" s="38" t="e">
        <f>VLOOKUP(B57,PPTO!$C$6:$H$60,2,0)</f>
        <v>#N/A</v>
      </c>
      <c r="D57" s="39" t="e">
        <f>VLOOKUP(B57,PPTO!$C$6:$H$60,3,0)</f>
        <v>#N/A</v>
      </c>
      <c r="E57" s="64" t="e">
        <f>VLOOKUP(B57,PPTO!$C$6:$H$60,4,0)</f>
        <v>#N/A</v>
      </c>
      <c r="F57" s="64" t="e">
        <f>ROUND(VLOOKUP(B57,APUS!$J$140:$Z$231,8,0),2)</f>
        <v>#N/A</v>
      </c>
      <c r="G57" s="214">
        <v>2</v>
      </c>
      <c r="H57" s="214" t="e">
        <f t="shared" si="12"/>
        <v>#N/A</v>
      </c>
      <c r="I57" s="213" t="e">
        <f t="shared" si="13"/>
        <v>#N/A</v>
      </c>
      <c r="L57" s="217" t="e">
        <f t="shared" si="9"/>
        <v>#N/A</v>
      </c>
    </row>
    <row r="58" spans="2:12" x14ac:dyDescent="0.25">
      <c r="B58" s="63" t="s">
        <v>84</v>
      </c>
      <c r="C58" s="38" t="e">
        <f>VLOOKUP(B58,PPTO!$C$6:$H$60,2,0)</f>
        <v>#N/A</v>
      </c>
      <c r="D58" s="39" t="e">
        <f>VLOOKUP(B58,PPTO!$C$6:$H$60,3,0)</f>
        <v>#N/A</v>
      </c>
      <c r="E58" s="64" t="e">
        <f>VLOOKUP(B58,PPTO!$C$6:$H$60,4,0)</f>
        <v>#N/A</v>
      </c>
      <c r="F58" s="64" t="e">
        <f>ROUND(VLOOKUP(B58,APUS!$J$140:$Z$231,8,0),2)</f>
        <v>#N/A</v>
      </c>
      <c r="G58" s="214">
        <v>2</v>
      </c>
      <c r="H58" s="214" t="e">
        <f t="shared" si="12"/>
        <v>#N/A</v>
      </c>
      <c r="I58" s="213" t="e">
        <f t="shared" si="13"/>
        <v>#N/A</v>
      </c>
      <c r="L58" s="217" t="e">
        <f t="shared" si="9"/>
        <v>#N/A</v>
      </c>
    </row>
    <row r="59" spans="2:12" x14ac:dyDescent="0.25">
      <c r="B59" s="63" t="s">
        <v>378</v>
      </c>
      <c r="C59" s="38" t="e">
        <f>VLOOKUP(B59,PPTO!$C$6:$H$60,2,0)</f>
        <v>#N/A</v>
      </c>
      <c r="D59" s="39" t="e">
        <f>VLOOKUP(B59,PPTO!$C$6:$H$60,3,0)</f>
        <v>#N/A</v>
      </c>
      <c r="E59" s="64" t="e">
        <f>VLOOKUP(B59,PPTO!$C$6:$H$60,4,0)</f>
        <v>#N/A</v>
      </c>
      <c r="F59" s="64" t="e">
        <f>ROUND(VLOOKUP(B59,APUS!$J$140:$Z$231,8,0),2)</f>
        <v>#N/A</v>
      </c>
      <c r="G59" s="214">
        <v>2</v>
      </c>
      <c r="H59" s="214" t="e">
        <f t="shared" si="12"/>
        <v>#N/A</v>
      </c>
      <c r="I59" s="213" t="e">
        <f t="shared" si="13"/>
        <v>#N/A</v>
      </c>
      <c r="L59" s="217" t="e">
        <f t="shared" si="9"/>
        <v>#N/A</v>
      </c>
    </row>
    <row r="60" spans="2:12" x14ac:dyDescent="0.25">
      <c r="B60" s="63" t="s">
        <v>379</v>
      </c>
      <c r="C60" s="38" t="e">
        <f>VLOOKUP(B60,PPTO!$C$6:$H$60,2,0)</f>
        <v>#N/A</v>
      </c>
      <c r="D60" s="39" t="e">
        <f>VLOOKUP(B60,PPTO!$C$6:$H$60,3,0)</f>
        <v>#N/A</v>
      </c>
      <c r="E60" s="64" t="e">
        <f>VLOOKUP(B60,PPTO!$C$6:$H$60,4,0)</f>
        <v>#N/A</v>
      </c>
      <c r="F60" s="64" t="e">
        <f>ROUND(VLOOKUP(B60,APUS!$J$140:$Z$231,8,0),2)</f>
        <v>#N/A</v>
      </c>
      <c r="G60" s="214">
        <v>2</v>
      </c>
      <c r="H60" s="214" t="e">
        <f t="shared" si="12"/>
        <v>#N/A</v>
      </c>
      <c r="I60" s="213" t="e">
        <f t="shared" si="13"/>
        <v>#N/A</v>
      </c>
      <c r="L60" s="217" t="e">
        <f t="shared" si="9"/>
        <v>#N/A</v>
      </c>
    </row>
    <row r="61" spans="2:12" x14ac:dyDescent="0.25">
      <c r="B61" s="63" t="s">
        <v>380</v>
      </c>
      <c r="C61" s="38" t="e">
        <f>VLOOKUP(B61,PPTO!$C$6:$H$60,2,0)</f>
        <v>#N/A</v>
      </c>
      <c r="D61" s="39" t="e">
        <f>VLOOKUP(B61,PPTO!$C$6:$H$60,3,0)</f>
        <v>#N/A</v>
      </c>
      <c r="E61" s="64" t="e">
        <f>VLOOKUP(B61,PPTO!$C$6:$H$60,4,0)</f>
        <v>#N/A</v>
      </c>
      <c r="F61" s="64" t="e">
        <f>ROUND(VLOOKUP(B61,APUS!$J$140:$Z$231,8,0),2)</f>
        <v>#N/A</v>
      </c>
      <c r="G61" s="214">
        <v>2</v>
      </c>
      <c r="H61" s="214" t="e">
        <f t="shared" si="12"/>
        <v>#N/A</v>
      </c>
      <c r="I61" s="213" t="e">
        <f t="shared" si="13"/>
        <v>#N/A</v>
      </c>
      <c r="L61" s="217" t="e">
        <f t="shared" si="9"/>
        <v>#N/A</v>
      </c>
    </row>
    <row r="62" spans="2:12" x14ac:dyDescent="0.25">
      <c r="B62" s="63" t="s">
        <v>381</v>
      </c>
      <c r="C62" s="38" t="e">
        <f>VLOOKUP(B62,PPTO!$C$6:$H$60,2,0)</f>
        <v>#N/A</v>
      </c>
      <c r="D62" s="39" t="e">
        <f>VLOOKUP(B62,PPTO!$C$6:$H$60,3,0)</f>
        <v>#N/A</v>
      </c>
      <c r="E62" s="64" t="e">
        <f>VLOOKUP(B62,PPTO!$C$6:$H$60,4,0)</f>
        <v>#N/A</v>
      </c>
      <c r="F62" s="64" t="e">
        <f>ROUND(VLOOKUP(B62,APUS!$J$140:$Z$231,8,0),2)</f>
        <v>#N/A</v>
      </c>
      <c r="G62" s="214">
        <v>2</v>
      </c>
      <c r="H62" s="214" t="e">
        <f t="shared" si="12"/>
        <v>#N/A</v>
      </c>
      <c r="I62" s="213" t="e">
        <f t="shared" si="13"/>
        <v>#N/A</v>
      </c>
      <c r="L62" s="217" t="e">
        <f t="shared" si="9"/>
        <v>#N/A</v>
      </c>
    </row>
    <row r="63" spans="2:12" x14ac:dyDescent="0.25">
      <c r="B63" s="63" t="s">
        <v>382</v>
      </c>
      <c r="C63" s="38" t="e">
        <f>VLOOKUP(B63,PPTO!$C$6:$H$60,2,0)</f>
        <v>#N/A</v>
      </c>
      <c r="D63" s="39" t="e">
        <f>VLOOKUP(B63,PPTO!$C$6:$H$60,3,0)</f>
        <v>#N/A</v>
      </c>
      <c r="E63" s="64" t="e">
        <f>VLOOKUP(B63,PPTO!$C$6:$H$60,4,0)</f>
        <v>#N/A</v>
      </c>
      <c r="F63" s="64" t="e">
        <f>ROUND(VLOOKUP(B63,APUS!$J$140:$Z$231,8,0),2)</f>
        <v>#N/A</v>
      </c>
      <c r="G63" s="214">
        <v>2</v>
      </c>
      <c r="H63" s="214" t="e">
        <f t="shared" si="12"/>
        <v>#N/A</v>
      </c>
      <c r="I63" s="213" t="e">
        <f t="shared" si="13"/>
        <v>#N/A</v>
      </c>
      <c r="L63" s="217" t="e">
        <f t="shared" si="9"/>
        <v>#N/A</v>
      </c>
    </row>
    <row r="64" spans="2:12" x14ac:dyDescent="0.25">
      <c r="B64" s="63" t="s">
        <v>383</v>
      </c>
      <c r="C64" s="38" t="e">
        <f>VLOOKUP(B64,PPTO!$C$6:$H$60,2,0)</f>
        <v>#N/A</v>
      </c>
      <c r="D64" s="39" t="e">
        <f>VLOOKUP(B64,PPTO!$C$6:$H$60,3,0)</f>
        <v>#N/A</v>
      </c>
      <c r="E64" s="64" t="e">
        <f>VLOOKUP(B64,PPTO!$C$6:$H$60,4,0)</f>
        <v>#N/A</v>
      </c>
      <c r="F64" s="64" t="e">
        <f>ROUND(VLOOKUP(B64,APUS!$J$140:$Z$231,8,0),2)</f>
        <v>#N/A</v>
      </c>
      <c r="G64" s="214">
        <v>2</v>
      </c>
      <c r="H64" s="214" t="e">
        <f t="shared" si="12"/>
        <v>#N/A</v>
      </c>
      <c r="I64" s="213" t="e">
        <f t="shared" si="13"/>
        <v>#N/A</v>
      </c>
      <c r="L64" s="217" t="e">
        <f t="shared" si="9"/>
        <v>#N/A</v>
      </c>
    </row>
    <row r="65" spans="2:12" x14ac:dyDescent="0.25">
      <c r="B65" s="63" t="s">
        <v>384</v>
      </c>
      <c r="C65" s="38" t="e">
        <f>VLOOKUP(B65,PPTO!$C$6:$H$60,2,0)</f>
        <v>#N/A</v>
      </c>
      <c r="D65" s="39" t="e">
        <f>VLOOKUP(B65,PPTO!$C$6:$H$60,3,0)</f>
        <v>#N/A</v>
      </c>
      <c r="E65" s="64" t="e">
        <f>VLOOKUP(B65,PPTO!$C$6:$H$60,4,0)</f>
        <v>#N/A</v>
      </c>
      <c r="F65" s="64" t="e">
        <f>ROUND(VLOOKUP(B65,APUS!$J$140:$Z$231,8,0),2)</f>
        <v>#N/A</v>
      </c>
      <c r="G65" s="214">
        <v>2</v>
      </c>
      <c r="H65" s="214" t="e">
        <f t="shared" si="12"/>
        <v>#N/A</v>
      </c>
      <c r="I65" s="213" t="e">
        <f t="shared" si="13"/>
        <v>#N/A</v>
      </c>
      <c r="L65" s="217" t="e">
        <f t="shared" si="9"/>
        <v>#N/A</v>
      </c>
    </row>
    <row r="66" spans="2:12" x14ac:dyDescent="0.25">
      <c r="B66" s="63" t="s">
        <v>385</v>
      </c>
      <c r="C66" s="38" t="e">
        <f>VLOOKUP(B66,PPTO!$C$6:$H$60,2,0)</f>
        <v>#N/A</v>
      </c>
      <c r="D66" s="39" t="e">
        <f>VLOOKUP(B66,PPTO!$C$6:$H$60,3,0)</f>
        <v>#N/A</v>
      </c>
      <c r="E66" s="64" t="e">
        <f>VLOOKUP(B66,PPTO!$C$6:$H$60,4,0)</f>
        <v>#N/A</v>
      </c>
      <c r="F66" s="64" t="e">
        <f>ROUND(VLOOKUP(B66,APUS!$J$140:$Z$231,8,0),2)</f>
        <v>#N/A</v>
      </c>
      <c r="G66" s="214">
        <v>2</v>
      </c>
      <c r="H66" s="214" t="e">
        <f t="shared" si="12"/>
        <v>#N/A</v>
      </c>
      <c r="I66" s="213" t="e">
        <f t="shared" si="13"/>
        <v>#N/A</v>
      </c>
      <c r="L66" s="217" t="e">
        <f t="shared" si="9"/>
        <v>#N/A</v>
      </c>
    </row>
    <row r="67" spans="2:12" x14ac:dyDescent="0.25">
      <c r="B67" s="63" t="s">
        <v>386</v>
      </c>
      <c r="C67" s="38" t="e">
        <f>VLOOKUP(B67,PPTO!$C$6:$H$60,2,0)</f>
        <v>#N/A</v>
      </c>
      <c r="D67" s="39" t="e">
        <f>VLOOKUP(B67,PPTO!$C$6:$H$60,3,0)</f>
        <v>#N/A</v>
      </c>
      <c r="E67" s="64" t="e">
        <f>VLOOKUP(B67,PPTO!$C$6:$H$60,4,0)</f>
        <v>#N/A</v>
      </c>
      <c r="F67" s="64" t="e">
        <f>ROUND(VLOOKUP(B67,APUS!$J$140:$Z$231,8,0),2)</f>
        <v>#N/A</v>
      </c>
      <c r="G67" s="214">
        <v>2</v>
      </c>
      <c r="H67" s="214" t="e">
        <f t="shared" si="12"/>
        <v>#N/A</v>
      </c>
      <c r="I67" s="213" t="e">
        <f t="shared" si="13"/>
        <v>#N/A</v>
      </c>
      <c r="L67" s="217" t="e">
        <f t="shared" si="9"/>
        <v>#N/A</v>
      </c>
    </row>
    <row r="68" spans="2:12" x14ac:dyDescent="0.25">
      <c r="B68" s="63" t="s">
        <v>387</v>
      </c>
      <c r="C68" s="38" t="e">
        <f>VLOOKUP(B68,PPTO!$C$6:$H$60,2,0)</f>
        <v>#N/A</v>
      </c>
      <c r="D68" s="39" t="e">
        <f>VLOOKUP(B68,PPTO!$C$6:$H$60,3,0)</f>
        <v>#N/A</v>
      </c>
      <c r="E68" s="64" t="e">
        <f>VLOOKUP(B68,PPTO!$C$6:$H$60,4,0)</f>
        <v>#N/A</v>
      </c>
      <c r="F68" s="64" t="e">
        <f>ROUND(VLOOKUP(B68,APUS!$J$140:$Z$231,8,0),2)</f>
        <v>#N/A</v>
      </c>
      <c r="G68" s="214">
        <v>2</v>
      </c>
      <c r="H68" s="214" t="e">
        <f t="shared" si="12"/>
        <v>#N/A</v>
      </c>
      <c r="I68" s="213" t="e">
        <f t="shared" si="13"/>
        <v>#N/A</v>
      </c>
      <c r="L68" s="217" t="e">
        <f t="shared" si="9"/>
        <v>#N/A</v>
      </c>
    </row>
    <row r="69" spans="2:12" x14ac:dyDescent="0.25">
      <c r="B69" s="63" t="s">
        <v>389</v>
      </c>
      <c r="C69" s="38" t="e">
        <f>VLOOKUP(B69,PPTO!$C$6:$H$60,2,0)</f>
        <v>#N/A</v>
      </c>
      <c r="D69" s="39" t="e">
        <f>VLOOKUP(B69,PPTO!$C$6:$H$60,3,0)</f>
        <v>#N/A</v>
      </c>
      <c r="E69" s="64" t="e">
        <f>VLOOKUP(B69,PPTO!$C$6:$H$60,4,0)</f>
        <v>#N/A</v>
      </c>
      <c r="F69" s="64" t="e">
        <f>ROUND(VLOOKUP(B69,APUS!$J$140:$Z$231,8,0),2)</f>
        <v>#N/A</v>
      </c>
      <c r="G69" s="214">
        <v>2</v>
      </c>
      <c r="H69" s="214" t="e">
        <f t="shared" si="12"/>
        <v>#N/A</v>
      </c>
      <c r="I69" s="213" t="e">
        <f t="shared" si="13"/>
        <v>#N/A</v>
      </c>
      <c r="L69" s="217" t="e">
        <f t="shared" si="9"/>
        <v>#N/A</v>
      </c>
    </row>
    <row r="70" spans="2:12" x14ac:dyDescent="0.25">
      <c r="B70" s="63" t="s">
        <v>390</v>
      </c>
      <c r="C70" s="38" t="e">
        <f>VLOOKUP(B70,PPTO!$C$6:$H$60,2,0)</f>
        <v>#N/A</v>
      </c>
      <c r="D70" s="39" t="e">
        <f>VLOOKUP(B70,PPTO!$C$6:$H$60,3,0)</f>
        <v>#N/A</v>
      </c>
      <c r="E70" s="64" t="e">
        <f>VLOOKUP(B70,PPTO!$C$6:$H$60,4,0)</f>
        <v>#N/A</v>
      </c>
      <c r="F70" s="64" t="e">
        <f>ROUND(VLOOKUP(B70,APUS!$J$140:$Z$231,8,0),2)</f>
        <v>#N/A</v>
      </c>
      <c r="G70" s="214">
        <v>2</v>
      </c>
      <c r="H70" s="214" t="e">
        <f t="shared" si="12"/>
        <v>#N/A</v>
      </c>
      <c r="I70" s="213" t="e">
        <f t="shared" si="13"/>
        <v>#N/A</v>
      </c>
      <c r="L70" s="217" t="e">
        <f t="shared" si="9"/>
        <v>#N/A</v>
      </c>
    </row>
    <row r="71" spans="2:12" x14ac:dyDescent="0.25">
      <c r="B71" s="63" t="s">
        <v>391</v>
      </c>
      <c r="C71" s="38" t="e">
        <f>VLOOKUP(B71,PPTO!$C$6:$H$60,2,0)</f>
        <v>#N/A</v>
      </c>
      <c r="D71" s="39" t="e">
        <f>VLOOKUP(B71,PPTO!$C$6:$H$60,3,0)</f>
        <v>#N/A</v>
      </c>
      <c r="E71" s="64" t="e">
        <f>VLOOKUP(B71,PPTO!$C$6:$H$60,4,0)</f>
        <v>#N/A</v>
      </c>
      <c r="F71" s="64" t="e">
        <f>ROUND(VLOOKUP(B71,APUS!$J$140:$Z$231,8,0),2)</f>
        <v>#N/A</v>
      </c>
      <c r="G71" s="214">
        <v>2</v>
      </c>
      <c r="H71" s="214" t="e">
        <f t="shared" si="12"/>
        <v>#N/A</v>
      </c>
      <c r="I71" s="213" t="e">
        <f t="shared" si="13"/>
        <v>#N/A</v>
      </c>
      <c r="L71" s="217" t="e">
        <f t="shared" si="9"/>
        <v>#N/A</v>
      </c>
    </row>
    <row r="72" spans="2:12" x14ac:dyDescent="0.25">
      <c r="B72" s="63" t="s">
        <v>392</v>
      </c>
      <c r="C72" s="38" t="e">
        <f>VLOOKUP(B72,PPTO!$C$6:$H$60,2,0)</f>
        <v>#N/A</v>
      </c>
      <c r="D72" s="39" t="e">
        <f>VLOOKUP(B72,PPTO!$C$6:$H$60,3,0)</f>
        <v>#N/A</v>
      </c>
      <c r="E72" s="64" t="e">
        <f>VLOOKUP(B72,PPTO!$C$6:$H$60,4,0)</f>
        <v>#N/A</v>
      </c>
      <c r="F72" s="64" t="e">
        <f>ROUND(VLOOKUP(B72,APUS!$J$140:$Z$231,8,0),2)</f>
        <v>#N/A</v>
      </c>
      <c r="G72" s="214">
        <v>2</v>
      </c>
      <c r="H72" s="214" t="e">
        <f t="shared" si="12"/>
        <v>#N/A</v>
      </c>
      <c r="I72" s="213" t="e">
        <f t="shared" si="13"/>
        <v>#N/A</v>
      </c>
      <c r="L72" s="217" t="e">
        <f t="shared" si="9"/>
        <v>#N/A</v>
      </c>
    </row>
    <row r="73" spans="2:12" x14ac:dyDescent="0.25">
      <c r="B73" s="63" t="s">
        <v>445</v>
      </c>
      <c r="C73" s="38" t="e">
        <f>VLOOKUP(B73,PPTO!$C$6:$H$60,2,0)</f>
        <v>#N/A</v>
      </c>
      <c r="D73" s="39" t="e">
        <f>VLOOKUP(B73,PPTO!$C$6:$H$60,3,0)</f>
        <v>#N/A</v>
      </c>
      <c r="E73" s="64" t="e">
        <f>VLOOKUP(B73,PPTO!$C$6:$H$60,4,0)</f>
        <v>#N/A</v>
      </c>
      <c r="F73" s="64" t="e">
        <f>ROUND(VLOOKUP(B73,APUS!$J$140:$Z$231,8,0),2)</f>
        <v>#N/A</v>
      </c>
      <c r="G73" s="214">
        <v>2</v>
      </c>
      <c r="H73" s="214" t="e">
        <f t="shared" si="12"/>
        <v>#N/A</v>
      </c>
      <c r="I73" s="213" t="e">
        <f t="shared" si="13"/>
        <v>#N/A</v>
      </c>
      <c r="L73" s="217" t="e">
        <f t="shared" si="9"/>
        <v>#N/A</v>
      </c>
    </row>
    <row r="74" spans="2:12" x14ac:dyDescent="0.25">
      <c r="B74" s="63" t="s">
        <v>446</v>
      </c>
      <c r="C74" s="38" t="e">
        <f>VLOOKUP(B74,PPTO!$C$6:$H$60,2,0)</f>
        <v>#N/A</v>
      </c>
      <c r="D74" s="39" t="e">
        <f>VLOOKUP(B74,PPTO!$C$6:$H$60,3,0)</f>
        <v>#N/A</v>
      </c>
      <c r="E74" s="64" t="e">
        <f>VLOOKUP(B74,PPTO!$C$6:$H$60,4,0)</f>
        <v>#N/A</v>
      </c>
      <c r="F74" s="64" t="e">
        <f>ROUND(VLOOKUP(B74,APUS!$J$140:$Z$231,8,0),2)</f>
        <v>#N/A</v>
      </c>
      <c r="G74" s="214">
        <v>2</v>
      </c>
      <c r="H74" s="214" t="e">
        <f t="shared" si="12"/>
        <v>#N/A</v>
      </c>
      <c r="I74" s="213" t="e">
        <f t="shared" si="13"/>
        <v>#N/A</v>
      </c>
      <c r="L74" s="217" t="e">
        <f t="shared" si="9"/>
        <v>#N/A</v>
      </c>
    </row>
    <row r="75" spans="2:12" x14ac:dyDescent="0.25">
      <c r="B75" s="63" t="s">
        <v>447</v>
      </c>
      <c r="C75" s="38" t="e">
        <f>VLOOKUP(B75,PPTO!$C$6:$H$60,2,0)</f>
        <v>#N/A</v>
      </c>
      <c r="D75" s="39" t="e">
        <f>VLOOKUP(B75,PPTO!$C$6:$H$60,3,0)</f>
        <v>#N/A</v>
      </c>
      <c r="E75" s="64" t="e">
        <f>VLOOKUP(B75,PPTO!$C$6:$H$60,4,0)</f>
        <v>#N/A</v>
      </c>
      <c r="F75" s="64" t="e">
        <f>ROUND(VLOOKUP(B75,APUS!$J$140:$Z$231,8,0),2)</f>
        <v>#N/A</v>
      </c>
      <c r="G75" s="214">
        <v>2</v>
      </c>
      <c r="H75" s="214" t="e">
        <f t="shared" si="12"/>
        <v>#N/A</v>
      </c>
      <c r="I75" s="213" t="e">
        <f t="shared" si="13"/>
        <v>#N/A</v>
      </c>
      <c r="L75" s="217" t="e">
        <f t="shared" si="9"/>
        <v>#N/A</v>
      </c>
    </row>
    <row r="76" spans="2:12" x14ac:dyDescent="0.25">
      <c r="B76" s="63" t="s">
        <v>448</v>
      </c>
      <c r="C76" s="222" t="e">
        <f>VLOOKUP(B76,PPTO!$C$6:$H$60,2,0)</f>
        <v>#N/A</v>
      </c>
      <c r="D76" s="39" t="e">
        <f>VLOOKUP(B76,PPTO!$C$6:$H$60,3,0)</f>
        <v>#N/A</v>
      </c>
      <c r="E76" s="64" t="e">
        <f>VLOOKUP(B76,PPTO!$C$6:$H$60,4,0)</f>
        <v>#N/A</v>
      </c>
      <c r="F76" s="64" t="e">
        <f>ROUND(VLOOKUP(B76,APUS!$J$140:$Z$231,8,0),2)</f>
        <v>#N/A</v>
      </c>
      <c r="G76" s="214">
        <v>3</v>
      </c>
      <c r="H76" s="214">
        <v>15</v>
      </c>
      <c r="I76" s="213"/>
      <c r="L76" s="217" t="e">
        <f t="shared" si="9"/>
        <v>#N/A</v>
      </c>
    </row>
  </sheetData>
  <mergeCells count="13">
    <mergeCell ref="C46:I46"/>
    <mergeCell ref="C55:I55"/>
    <mergeCell ref="C39:I39"/>
    <mergeCell ref="B3:B4"/>
    <mergeCell ref="C3:C4"/>
    <mergeCell ref="D3:D4"/>
    <mergeCell ref="E3:E4"/>
    <mergeCell ref="H3:I3"/>
    <mergeCell ref="C7:I7"/>
    <mergeCell ref="F3:G3"/>
    <mergeCell ref="B6:I6"/>
    <mergeCell ref="C17:I17"/>
    <mergeCell ref="C24:I24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1472-E836-4081-9DD1-516CE5C7147B}">
  <sheetPr>
    <pageSetUpPr fitToPage="1"/>
  </sheetPr>
  <dimension ref="C2:V114"/>
  <sheetViews>
    <sheetView view="pageBreakPreview" zoomScale="90" zoomScaleNormal="85" zoomScaleSheetLayoutView="90" workbookViewId="0">
      <selection activeCell="K103" sqref="K103"/>
    </sheetView>
  </sheetViews>
  <sheetFormatPr baseColWidth="10" defaultColWidth="11.42578125" defaultRowHeight="15" x14ac:dyDescent="0.25"/>
  <cols>
    <col min="1" max="1" width="1.7109375" style="35" customWidth="1"/>
    <col min="2" max="2" width="3.140625" style="35" customWidth="1"/>
    <col min="3" max="3" width="10" style="35" bestFit="1" customWidth="1"/>
    <col min="4" max="4" width="64.28515625" style="35" customWidth="1"/>
    <col min="5" max="5" width="5.5703125" style="35" bestFit="1" customWidth="1"/>
    <col min="6" max="6" width="10.140625" style="35" bestFit="1" customWidth="1"/>
    <col min="7" max="7" width="18.5703125" style="35" customWidth="1"/>
    <col min="8" max="8" width="23" style="35" bestFit="1" customWidth="1"/>
    <col min="9" max="9" width="2.85546875" style="35" customWidth="1"/>
    <col min="10" max="10" width="4.5703125" style="35" customWidth="1"/>
    <col min="11" max="11" width="26.5703125" style="35" bestFit="1" customWidth="1"/>
    <col min="12" max="12" width="23" style="36" bestFit="1" customWidth="1"/>
    <col min="13" max="13" width="20.5703125" style="35" bestFit="1" customWidth="1"/>
    <col min="14" max="15" width="19.42578125" style="35" customWidth="1"/>
    <col min="16" max="16" width="25.85546875" style="35" customWidth="1"/>
    <col min="17" max="17" width="19.140625" style="35" customWidth="1"/>
    <col min="18" max="18" width="19.5703125" style="35" customWidth="1"/>
    <col min="19" max="19" width="21.7109375" style="35" customWidth="1"/>
    <col min="20" max="20" width="3.28515625" style="35" customWidth="1"/>
    <col min="21" max="21" width="12.28515625" style="37" customWidth="1"/>
    <col min="22" max="22" width="15.28515625" style="35" customWidth="1"/>
    <col min="23" max="16384" width="11.42578125" style="35"/>
  </cols>
  <sheetData>
    <row r="2" spans="3:21" ht="15.75" thickBot="1" x14ac:dyDescent="0.3">
      <c r="C2" s="3"/>
      <c r="D2" s="4"/>
      <c r="E2" s="3"/>
      <c r="F2" s="5"/>
      <c r="G2" s="5"/>
      <c r="H2" s="6"/>
      <c r="I2" s="5"/>
      <c r="J2" s="5"/>
      <c r="K2" s="3"/>
      <c r="L2" s="7"/>
      <c r="M2" s="8"/>
      <c r="N2" s="5"/>
      <c r="O2" s="9"/>
      <c r="P2" s="6" t="s">
        <v>0</v>
      </c>
      <c r="Q2" s="6" t="s">
        <v>1</v>
      </c>
      <c r="R2" s="5"/>
      <c r="S2" s="10" t="s">
        <v>1</v>
      </c>
      <c r="T2" s="5"/>
    </row>
    <row r="3" spans="3:21" ht="62.25" customHeight="1" x14ac:dyDescent="0.25">
      <c r="C3" s="465" t="s">
        <v>2</v>
      </c>
      <c r="D3" s="466"/>
      <c r="E3" s="466"/>
      <c r="F3" s="466"/>
      <c r="G3" s="467"/>
      <c r="H3" s="471"/>
      <c r="I3" s="5"/>
      <c r="J3" s="5"/>
      <c r="M3" s="8"/>
      <c r="N3" s="6"/>
      <c r="O3" s="9"/>
      <c r="P3" s="6" t="s">
        <v>3</v>
      </c>
      <c r="Q3" s="11">
        <v>0</v>
      </c>
      <c r="R3" s="5"/>
      <c r="S3" s="10" t="s">
        <v>4</v>
      </c>
      <c r="T3" s="5"/>
    </row>
    <row r="4" spans="3:21" ht="35.25" customHeight="1" x14ac:dyDescent="0.25">
      <c r="C4" s="55" t="s">
        <v>27</v>
      </c>
      <c r="D4" s="468" t="e">
        <f>#REF!</f>
        <v>#REF!</v>
      </c>
      <c r="E4" s="469"/>
      <c r="F4" s="469"/>
      <c r="G4" s="470"/>
      <c r="H4" s="472"/>
      <c r="I4" s="5"/>
      <c r="J4" s="5"/>
      <c r="M4" s="8"/>
      <c r="N4" s="12"/>
      <c r="O4" s="13"/>
      <c r="P4" s="14"/>
      <c r="Q4" s="15"/>
      <c r="R4" s="5"/>
      <c r="S4" s="5"/>
      <c r="T4" s="5"/>
    </row>
    <row r="5" spans="3:21" ht="15.75" customHeight="1" thickBot="1" x14ac:dyDescent="0.3">
      <c r="C5" s="475" t="str">
        <f>CONCATENATE(INFORMACION!A5,INFORMACION!A6)</f>
        <v>LOCALIZACIÓN:ARAUCA, ARAUCA</v>
      </c>
      <c r="D5" s="476"/>
      <c r="E5" s="476"/>
      <c r="F5" s="476" t="s">
        <v>31</v>
      </c>
      <c r="G5" s="476"/>
      <c r="H5" s="29" t="e">
        <f>#REF!</f>
        <v>#REF!</v>
      </c>
      <c r="I5" s="5"/>
      <c r="J5" s="5"/>
      <c r="M5" s="8"/>
      <c r="N5" s="12"/>
      <c r="O5" s="13"/>
      <c r="P5" s="14"/>
      <c r="Q5" s="15"/>
      <c r="R5" s="5"/>
      <c r="S5" s="5"/>
      <c r="T5" s="5"/>
    </row>
    <row r="6" spans="3:21" ht="10.5" customHeight="1" thickBot="1" x14ac:dyDescent="0.3">
      <c r="C6" s="3"/>
      <c r="D6" s="16"/>
      <c r="E6" s="3"/>
      <c r="F6" s="3"/>
      <c r="G6" s="12"/>
      <c r="H6" s="15"/>
      <c r="I6" s="5"/>
      <c r="J6" s="5"/>
      <c r="K6" s="3"/>
      <c r="L6" s="7"/>
      <c r="M6" s="17"/>
      <c r="N6" s="12"/>
      <c r="O6" s="13"/>
      <c r="P6" s="14"/>
      <c r="Q6" s="15"/>
      <c r="R6" s="5"/>
      <c r="S6" s="2"/>
      <c r="T6" s="2"/>
    </row>
    <row r="7" spans="3:21" ht="18.75" customHeight="1" thickBot="1" x14ac:dyDescent="0.3">
      <c r="C7" s="56" t="s">
        <v>5</v>
      </c>
      <c r="D7" s="57" t="s">
        <v>26</v>
      </c>
      <c r="E7" s="57" t="s">
        <v>6</v>
      </c>
      <c r="F7" s="58" t="s">
        <v>7</v>
      </c>
      <c r="G7" s="57" t="s">
        <v>8</v>
      </c>
      <c r="H7" s="59" t="s">
        <v>9</v>
      </c>
      <c r="I7" s="5"/>
      <c r="J7" s="5"/>
      <c r="K7" s="66" t="s">
        <v>85</v>
      </c>
      <c r="L7" s="67" t="s">
        <v>86</v>
      </c>
      <c r="M7" s="68" t="s">
        <v>10</v>
      </c>
      <c r="N7" s="68" t="s">
        <v>11</v>
      </c>
      <c r="O7" s="68" t="s">
        <v>12</v>
      </c>
      <c r="P7" s="68" t="s">
        <v>13</v>
      </c>
      <c r="Q7" s="68" t="s">
        <v>14</v>
      </c>
      <c r="R7" s="68" t="s">
        <v>15</v>
      </c>
      <c r="S7" s="69" t="s">
        <v>16</v>
      </c>
      <c r="T7" s="5"/>
      <c r="U7" s="12"/>
    </row>
    <row r="8" spans="3:21" ht="15" customHeight="1" x14ac:dyDescent="0.25">
      <c r="C8" s="16"/>
      <c r="D8" s="12"/>
      <c r="E8" s="12"/>
      <c r="F8" s="49"/>
      <c r="G8" s="12"/>
      <c r="H8" s="14"/>
      <c r="I8" s="5"/>
      <c r="J8" s="5"/>
      <c r="K8" s="12"/>
      <c r="L8" s="18"/>
      <c r="M8" s="5"/>
      <c r="N8" s="5"/>
      <c r="O8" s="5"/>
      <c r="P8" s="5"/>
      <c r="Q8" s="5"/>
      <c r="R8" s="5"/>
      <c r="S8" s="19"/>
      <c r="T8" s="5"/>
      <c r="U8" s="12"/>
    </row>
    <row r="9" spans="3:21" x14ac:dyDescent="0.25">
      <c r="C9" s="40" t="s">
        <v>28</v>
      </c>
      <c r="D9" s="451" t="str">
        <f>VLOOKUP(C9,PPTO!$C$6:$H$60,2,0)</f>
        <v>PRELIMINARES Y REPARACIONES</v>
      </c>
      <c r="E9" s="452"/>
      <c r="F9" s="452"/>
      <c r="G9" s="452"/>
      <c r="H9" s="453"/>
      <c r="I9" s="5"/>
      <c r="J9" s="5"/>
      <c r="K9" s="12"/>
      <c r="L9" s="18"/>
      <c r="M9" s="5"/>
      <c r="N9" s="5"/>
      <c r="O9" s="5"/>
      <c r="P9" s="5"/>
      <c r="Q9" s="5"/>
      <c r="R9" s="5"/>
      <c r="S9" s="19"/>
      <c r="T9" s="5"/>
      <c r="U9" s="12"/>
    </row>
    <row r="10" spans="3:21" ht="15" customHeight="1" x14ac:dyDescent="0.25">
      <c r="C10" s="41" t="s">
        <v>50</v>
      </c>
      <c r="D10" s="38" t="e">
        <f>VLOOKUP(C10,PPTO!$C$6:$H$60,2,0)</f>
        <v>#N/A</v>
      </c>
      <c r="E10" s="39" t="e">
        <f>VLOOKUP(C10,PPTO!$C$6:$H$60,3,0)</f>
        <v>#N/A</v>
      </c>
      <c r="F10" s="64">
        <f>IFERROR(SUMIFS(PPTO!$F$6:$F$60,PPTO!$C$6:$C$60,ITEMS!C10),0)</f>
        <v>0</v>
      </c>
      <c r="G10" s="65" t="e">
        <f>VLOOKUP(C10,PPTO!$C$6:$H$60,5,0)</f>
        <v>#N/A</v>
      </c>
      <c r="H10" s="43" t="e">
        <f t="shared" ref="H10:H18" si="0">+ROUND(F10*G10,$Q$3)</f>
        <v>#N/A</v>
      </c>
      <c r="I10" s="5"/>
      <c r="J10" s="5"/>
      <c r="K10" s="204" t="e">
        <f>ROUND(F10*M10,$Q$3)</f>
        <v>#N/A</v>
      </c>
      <c r="L10" s="204" t="e">
        <f>ROUND(F10*N10,$Q$3)</f>
        <v>#N/A</v>
      </c>
      <c r="M10" s="200" t="e">
        <f>ROUND(VLOOKUP(C10,APUS!$H$140:$V$231,14,0),2)</f>
        <v>#N/A</v>
      </c>
      <c r="N10" s="200" t="e">
        <f>ROUND(VLOOKUP(C10,APUS!$I$140:$V$231,13,0),2)</f>
        <v>#N/A</v>
      </c>
      <c r="O10" s="200" t="e">
        <f>ROUND(VLOOKUP(C10,APUS!$D$140:$Z$231,23,0),2)</f>
        <v>#N/A</v>
      </c>
      <c r="P10" s="200" t="e">
        <f>ROUND(VLOOKUP(C10,APUS!$E$140:$Z$231,22,0),2)</f>
        <v>#N/A</v>
      </c>
      <c r="Q10" s="200" t="e">
        <f>ROUND(VLOOKUP(C10,APUS!$F$140:$Z$231,21,0),2)</f>
        <v>#N/A</v>
      </c>
      <c r="R10" s="200" t="e">
        <f>ROUND(VLOOKUP(C10,APUS!$G$140:$Z$231,20,0),2)</f>
        <v>#N/A</v>
      </c>
      <c r="S10" s="201" t="e">
        <f>ROUND(SUM(O10:R10),$Q$3)</f>
        <v>#N/A</v>
      </c>
      <c r="T10" s="5"/>
      <c r="U10" s="12"/>
    </row>
    <row r="11" spans="3:21" ht="15" customHeight="1" x14ac:dyDescent="0.25">
      <c r="C11" s="41" t="s">
        <v>45</v>
      </c>
      <c r="D11" s="38" t="e">
        <f>VLOOKUP(C11,PPTO!$C$6:$H$60,2,0)</f>
        <v>#N/A</v>
      </c>
      <c r="E11" s="39" t="e">
        <f>VLOOKUP(C11,PPTO!$C$6:$H$60,3,0)</f>
        <v>#N/A</v>
      </c>
      <c r="F11" s="64">
        <f>IFERROR(SUMIFS(PPTO!$F$6:$F$60,PPTO!$C$6:$C$60,ITEMS!C11),0)</f>
        <v>0</v>
      </c>
      <c r="G11" s="65" t="e">
        <f>VLOOKUP(C11,PPTO!$C$6:$H$60,5,0)</f>
        <v>#N/A</v>
      </c>
      <c r="H11" s="43" t="e">
        <f t="shared" si="0"/>
        <v>#N/A</v>
      </c>
      <c r="I11" s="5"/>
      <c r="J11" s="5"/>
      <c r="K11" s="204" t="e">
        <f t="shared" ref="K11:K16" si="1">ROUND(F11*M11,$Q$3)</f>
        <v>#N/A</v>
      </c>
      <c r="L11" s="204" t="e">
        <f t="shared" ref="L11:L16" si="2">ROUND(F11*N11,$Q$3)</f>
        <v>#N/A</v>
      </c>
      <c r="M11" s="200" t="e">
        <f>ROUND(VLOOKUP(C11,APUS!$H$140:$V$231,14,0),2)</f>
        <v>#N/A</v>
      </c>
      <c r="N11" s="200" t="e">
        <f>ROUND(VLOOKUP(C11,APUS!$I$140:$V$231,13,0),2)</f>
        <v>#N/A</v>
      </c>
      <c r="O11" s="200" t="e">
        <f>ROUND(VLOOKUP(C11,APUS!$D$140:$Z$231,23,0),2)</f>
        <v>#N/A</v>
      </c>
      <c r="P11" s="200" t="e">
        <f>ROUND(VLOOKUP(C11,APUS!$E$140:$Z$231,22,0),2)</f>
        <v>#N/A</v>
      </c>
      <c r="Q11" s="200" t="e">
        <f>ROUND(VLOOKUP(C11,APUS!$F$140:$Z$231,21,0),2)</f>
        <v>#N/A</v>
      </c>
      <c r="R11" s="200" t="e">
        <f>ROUND(VLOOKUP(C11,APUS!$G$140:$Z$231,20,0),2)</f>
        <v>#N/A</v>
      </c>
      <c r="S11" s="201" t="e">
        <f t="shared" ref="S11:S16" si="3">ROUND(SUM(O11:R11),$Q$3)</f>
        <v>#N/A</v>
      </c>
      <c r="T11" s="5"/>
      <c r="U11" s="12"/>
    </row>
    <row r="12" spans="3:21" ht="15" customHeight="1" x14ac:dyDescent="0.25">
      <c r="C12" s="41" t="s">
        <v>51</v>
      </c>
      <c r="D12" s="38" t="e">
        <f>VLOOKUP(C12,PPTO!$C$6:$H$60,2,0)</f>
        <v>#N/A</v>
      </c>
      <c r="E12" s="39" t="e">
        <f>VLOOKUP(C12,PPTO!$C$6:$H$60,3,0)</f>
        <v>#N/A</v>
      </c>
      <c r="F12" s="64">
        <f>IFERROR(SUMIFS(PPTO!$F$6:$F$60,PPTO!$C$6:$C$60,ITEMS!C12),0)</f>
        <v>0</v>
      </c>
      <c r="G12" s="65" t="e">
        <f>VLOOKUP(C12,PPTO!$C$6:$H$60,5,0)</f>
        <v>#N/A</v>
      </c>
      <c r="H12" s="43" t="e">
        <f t="shared" si="0"/>
        <v>#N/A</v>
      </c>
      <c r="I12" s="5"/>
      <c r="J12" s="5"/>
      <c r="K12" s="204" t="e">
        <f t="shared" si="1"/>
        <v>#N/A</v>
      </c>
      <c r="L12" s="204" t="e">
        <f t="shared" si="2"/>
        <v>#N/A</v>
      </c>
      <c r="M12" s="200" t="e">
        <f>ROUND(VLOOKUP(C12,APUS!$H$140:$V$231,14,0),2)</f>
        <v>#N/A</v>
      </c>
      <c r="N12" s="200" t="e">
        <f>ROUND(VLOOKUP(C12,APUS!$I$140:$V$231,13,0),2)</f>
        <v>#N/A</v>
      </c>
      <c r="O12" s="200" t="e">
        <f>ROUND(VLOOKUP(C12,APUS!$D$140:$Z$231,23,0),2)</f>
        <v>#N/A</v>
      </c>
      <c r="P12" s="200" t="e">
        <f>ROUND(VLOOKUP(C12,APUS!$E$140:$Z$231,22,0),2)</f>
        <v>#N/A</v>
      </c>
      <c r="Q12" s="200" t="e">
        <f>ROUND(VLOOKUP(C12,APUS!$F$140:$Z$231,21,0),2)</f>
        <v>#N/A</v>
      </c>
      <c r="R12" s="200" t="e">
        <f>ROUND(VLOOKUP(C12,APUS!$G$140:$Z$231,20,0),2)</f>
        <v>#N/A</v>
      </c>
      <c r="S12" s="201" t="e">
        <f t="shared" si="3"/>
        <v>#N/A</v>
      </c>
      <c r="T12" s="5"/>
      <c r="U12" s="12"/>
    </row>
    <row r="13" spans="3:21" ht="15" customHeight="1" x14ac:dyDescent="0.25">
      <c r="C13" s="41" t="s">
        <v>52</v>
      </c>
      <c r="D13" s="38" t="e">
        <f>VLOOKUP(C13,PPTO!$C$6:$H$60,2,0)</f>
        <v>#N/A</v>
      </c>
      <c r="E13" s="39" t="e">
        <f>VLOOKUP(C13,PPTO!$C$6:$H$60,3,0)</f>
        <v>#N/A</v>
      </c>
      <c r="F13" s="64">
        <f>IFERROR(SUMIFS(PPTO!$F$6:$F$60,PPTO!$C$6:$C$60,ITEMS!C13),0)</f>
        <v>0</v>
      </c>
      <c r="G13" s="65" t="e">
        <f>VLOOKUP(C13,PPTO!$C$6:$H$60,5,0)</f>
        <v>#N/A</v>
      </c>
      <c r="H13" s="43" t="e">
        <f t="shared" si="0"/>
        <v>#N/A</v>
      </c>
      <c r="I13" s="5"/>
      <c r="J13" s="5"/>
      <c r="K13" s="204" t="e">
        <f t="shared" si="1"/>
        <v>#N/A</v>
      </c>
      <c r="L13" s="204" t="e">
        <f t="shared" si="2"/>
        <v>#N/A</v>
      </c>
      <c r="M13" s="200" t="e">
        <f>ROUND(VLOOKUP(C13,APUS!$H$140:$V$231,14,0),2)</f>
        <v>#N/A</v>
      </c>
      <c r="N13" s="200" t="e">
        <f>ROUND(VLOOKUP(C13,APUS!$I$140:$V$231,13,0),2)</f>
        <v>#N/A</v>
      </c>
      <c r="O13" s="200" t="e">
        <f>ROUND(VLOOKUP(C13,APUS!$D$140:$Z$231,23,0),2)</f>
        <v>#N/A</v>
      </c>
      <c r="P13" s="200" t="e">
        <f>ROUND(VLOOKUP(C13,APUS!$E$140:$Z$231,22,0),2)</f>
        <v>#N/A</v>
      </c>
      <c r="Q13" s="200" t="e">
        <f>ROUND(VLOOKUP(C13,APUS!$F$140:$Z$231,21,0),2)</f>
        <v>#N/A</v>
      </c>
      <c r="R13" s="200" t="e">
        <f>ROUND(VLOOKUP(C13,APUS!$G$140:$Z$231,20,0),2)</f>
        <v>#N/A</v>
      </c>
      <c r="S13" s="201" t="e">
        <f t="shared" si="3"/>
        <v>#N/A</v>
      </c>
      <c r="T13" s="5"/>
      <c r="U13" s="12"/>
    </row>
    <row r="14" spans="3:21" ht="15" customHeight="1" x14ac:dyDescent="0.25">
      <c r="C14" s="41" t="s">
        <v>53</v>
      </c>
      <c r="D14" s="38" t="e">
        <f>VLOOKUP(C14,PPTO!$C$6:$H$60,2,0)</f>
        <v>#N/A</v>
      </c>
      <c r="E14" s="39" t="e">
        <f>VLOOKUP(C14,PPTO!$C$6:$H$60,3,0)</f>
        <v>#N/A</v>
      </c>
      <c r="F14" s="64">
        <f>IFERROR(SUMIFS(PPTO!$F$6:$F$60,PPTO!$C$6:$C$60,ITEMS!C14),0)</f>
        <v>0</v>
      </c>
      <c r="G14" s="65" t="e">
        <f>VLOOKUP(C14,PPTO!$C$6:$H$60,5,0)</f>
        <v>#N/A</v>
      </c>
      <c r="H14" s="43" t="e">
        <f t="shared" si="0"/>
        <v>#N/A</v>
      </c>
      <c r="I14" s="5"/>
      <c r="J14" s="5"/>
      <c r="K14" s="204" t="e">
        <f t="shared" si="1"/>
        <v>#N/A</v>
      </c>
      <c r="L14" s="204" t="e">
        <f t="shared" si="2"/>
        <v>#N/A</v>
      </c>
      <c r="M14" s="200" t="e">
        <f>ROUND(VLOOKUP(C14,APUS!$H$140:$V$231,14,0),2)</f>
        <v>#N/A</v>
      </c>
      <c r="N14" s="200" t="e">
        <f>ROUND(VLOOKUP(C14,APUS!$I$140:$V$231,13,0),2)</f>
        <v>#N/A</v>
      </c>
      <c r="O14" s="200" t="e">
        <f>ROUND(VLOOKUP(C14,APUS!$D$140:$Z$231,23,0),2)</f>
        <v>#N/A</v>
      </c>
      <c r="P14" s="200" t="e">
        <f>ROUND(VLOOKUP(C14,APUS!$E$140:$Z$231,22,0),2)</f>
        <v>#N/A</v>
      </c>
      <c r="Q14" s="200" t="e">
        <f>ROUND(VLOOKUP(C14,APUS!$F$140:$Z$231,21,0),2)</f>
        <v>#N/A</v>
      </c>
      <c r="R14" s="200" t="e">
        <f>ROUND(VLOOKUP(C14,APUS!$G$140:$Z$231,20,0),2)</f>
        <v>#N/A</v>
      </c>
      <c r="S14" s="201" t="e">
        <f t="shared" si="3"/>
        <v>#N/A</v>
      </c>
      <c r="T14" s="5"/>
      <c r="U14" s="12"/>
    </row>
    <row r="15" spans="3:21" ht="15" customHeight="1" x14ac:dyDescent="0.25">
      <c r="C15" s="41" t="s">
        <v>55</v>
      </c>
      <c r="D15" s="38" t="e">
        <f>VLOOKUP(C15,PPTO!$C$6:$H$60,2,0)</f>
        <v>#N/A</v>
      </c>
      <c r="E15" s="39" t="e">
        <f>VLOOKUP(C15,PPTO!$C$6:$H$60,3,0)</f>
        <v>#N/A</v>
      </c>
      <c r="F15" s="64">
        <f>IFERROR(SUMIFS(PPTO!$F$6:$F$60,PPTO!$C$6:$C$60,ITEMS!C15),0)</f>
        <v>0</v>
      </c>
      <c r="G15" s="65" t="e">
        <f>VLOOKUP(C15,PPTO!$C$6:$H$60,5,0)</f>
        <v>#N/A</v>
      </c>
      <c r="H15" s="43" t="e">
        <f t="shared" si="0"/>
        <v>#N/A</v>
      </c>
      <c r="I15" s="5"/>
      <c r="J15" s="5"/>
      <c r="K15" s="204" t="e">
        <f t="shared" si="1"/>
        <v>#N/A</v>
      </c>
      <c r="L15" s="204" t="e">
        <f t="shared" si="2"/>
        <v>#N/A</v>
      </c>
      <c r="M15" s="200" t="e">
        <f>ROUND(VLOOKUP(C15,APUS!$H$140:$V$231,14,0),2)</f>
        <v>#N/A</v>
      </c>
      <c r="N15" s="200" t="e">
        <f>ROUND(VLOOKUP(C15,APUS!$I$140:$V$231,13,0),2)</f>
        <v>#N/A</v>
      </c>
      <c r="O15" s="200" t="e">
        <f>ROUND(VLOOKUP(C15,APUS!$D$140:$Z$231,23,0),2)</f>
        <v>#N/A</v>
      </c>
      <c r="P15" s="200" t="e">
        <f>ROUND(VLOOKUP(C15,APUS!$E$140:$Z$231,22,0),2)</f>
        <v>#N/A</v>
      </c>
      <c r="Q15" s="200" t="e">
        <f>ROUND(VLOOKUP(C15,APUS!$F$140:$Z$231,21,0),2)</f>
        <v>#N/A</v>
      </c>
      <c r="R15" s="200" t="e">
        <f>ROUND(VLOOKUP(C15,APUS!$G$140:$Z$231,20,0),2)</f>
        <v>#N/A</v>
      </c>
      <c r="S15" s="201" t="e">
        <f t="shared" si="3"/>
        <v>#N/A</v>
      </c>
      <c r="T15" s="5"/>
      <c r="U15" s="12"/>
    </row>
    <row r="16" spans="3:21" ht="15" customHeight="1" x14ac:dyDescent="0.25">
      <c r="C16" s="41" t="s">
        <v>56</v>
      </c>
      <c r="D16" s="38" t="e">
        <f>VLOOKUP(C16,PPTO!$C$6:$H$60,2,0)</f>
        <v>#N/A</v>
      </c>
      <c r="E16" s="39" t="e">
        <f>VLOOKUP(C16,PPTO!$C$6:$H$60,3,0)</f>
        <v>#N/A</v>
      </c>
      <c r="F16" s="64">
        <f>IFERROR(SUMIFS(PPTO!$F$6:$F$60,PPTO!$C$6:$C$60,ITEMS!C16),0)</f>
        <v>0</v>
      </c>
      <c r="G16" s="65" t="e">
        <f>VLOOKUP(C16,PPTO!$C$6:$H$60,5,0)</f>
        <v>#N/A</v>
      </c>
      <c r="H16" s="43" t="e">
        <f t="shared" si="0"/>
        <v>#N/A</v>
      </c>
      <c r="I16" s="5"/>
      <c r="J16" s="5"/>
      <c r="K16" s="204" t="e">
        <f t="shared" si="1"/>
        <v>#N/A</v>
      </c>
      <c r="L16" s="204" t="e">
        <f t="shared" si="2"/>
        <v>#N/A</v>
      </c>
      <c r="M16" s="200" t="e">
        <f>ROUND(VLOOKUP(C16,APUS!$H$140:$V$231,14,0),2)</f>
        <v>#N/A</v>
      </c>
      <c r="N16" s="200" t="e">
        <f>ROUND(VLOOKUP(C16,APUS!$I$140:$V$231,13,0),2)</f>
        <v>#N/A</v>
      </c>
      <c r="O16" s="200" t="e">
        <f>ROUND(VLOOKUP(C16,APUS!$D$140:$Z$231,23,0),2)</f>
        <v>#N/A</v>
      </c>
      <c r="P16" s="200" t="e">
        <f>ROUND(VLOOKUP(C16,APUS!$E$140:$Z$231,22,0),2)</f>
        <v>#N/A</v>
      </c>
      <c r="Q16" s="200" t="e">
        <f>ROUND(VLOOKUP(C16,APUS!$F$140:$Z$231,21,0),2)</f>
        <v>#N/A</v>
      </c>
      <c r="R16" s="200" t="e">
        <f>ROUND(VLOOKUP(C16,APUS!$G$140:$Z$231,20,0),2)</f>
        <v>#N/A</v>
      </c>
      <c r="S16" s="201" t="e">
        <f t="shared" si="3"/>
        <v>#N/A</v>
      </c>
      <c r="T16" s="5"/>
      <c r="U16" s="12"/>
    </row>
    <row r="17" spans="3:21" ht="15" customHeight="1" x14ac:dyDescent="0.25">
      <c r="C17" s="41" t="s">
        <v>57</v>
      </c>
      <c r="D17" s="38" t="e">
        <f>VLOOKUP(C17,PPTO!$C$6:$H$60,2,0)</f>
        <v>#N/A</v>
      </c>
      <c r="E17" s="39" t="e">
        <f>VLOOKUP(C17,PPTO!$C$6:$H$60,3,0)</f>
        <v>#N/A</v>
      </c>
      <c r="F17" s="64">
        <f>IFERROR(SUMIFS(PPTO!$F$6:$F$60,PPTO!$C$6:$C$60,ITEMS!C17),0)</f>
        <v>0</v>
      </c>
      <c r="G17" s="65" t="e">
        <f>VLOOKUP(C17,PPTO!$C$6:$H$60,5,0)</f>
        <v>#N/A</v>
      </c>
      <c r="H17" s="43" t="e">
        <f t="shared" si="0"/>
        <v>#N/A</v>
      </c>
      <c r="I17" s="5"/>
      <c r="J17" s="5"/>
      <c r="K17" s="204" t="e">
        <f>ROUND(F17*M17,$Q$3)</f>
        <v>#N/A</v>
      </c>
      <c r="L17" s="204" t="e">
        <f>ROUND(F17*N17,$Q$3)</f>
        <v>#N/A</v>
      </c>
      <c r="M17" s="200" t="e">
        <f>ROUND(VLOOKUP(C17,APUS!$H$140:$V$231,14,0),2)</f>
        <v>#N/A</v>
      </c>
      <c r="N17" s="200" t="e">
        <f>ROUND(VLOOKUP(C17,APUS!$I$140:$V$231,13,0),2)</f>
        <v>#N/A</v>
      </c>
      <c r="O17" s="200" t="e">
        <f>ROUND(VLOOKUP(C17,APUS!$D$140:$Z$231,23,0),2)</f>
        <v>#N/A</v>
      </c>
      <c r="P17" s="200" t="e">
        <f>ROUND(VLOOKUP(C17,APUS!$E$140:$Z$231,22,0),2)</f>
        <v>#N/A</v>
      </c>
      <c r="Q17" s="200" t="e">
        <f>ROUND(VLOOKUP(C17,APUS!$F$140:$Z$231,21,0),2)</f>
        <v>#N/A</v>
      </c>
      <c r="R17" s="200" t="e">
        <f>ROUND(VLOOKUP(C17,APUS!$G$140:$Z$231,20,0),2)</f>
        <v>#N/A</v>
      </c>
      <c r="S17" s="201" t="e">
        <f>ROUND(SUM(O17:R17),$Q$3)</f>
        <v>#N/A</v>
      </c>
      <c r="T17" s="5"/>
      <c r="U17" s="12"/>
    </row>
    <row r="18" spans="3:21" ht="15" customHeight="1" x14ac:dyDescent="0.25">
      <c r="C18" s="41" t="s">
        <v>58</v>
      </c>
      <c r="D18" s="38" t="e">
        <f>VLOOKUP(C18,PPTO!$C$6:$H$60,2,0)</f>
        <v>#N/A</v>
      </c>
      <c r="E18" s="39" t="e">
        <f>VLOOKUP(C18,PPTO!$C$6:$H$60,3,0)</f>
        <v>#N/A</v>
      </c>
      <c r="F18" s="64">
        <f>IFERROR(SUMIFS(PPTO!$F$6:$F$60,PPTO!$C$6:$C$60,ITEMS!C18),0)</f>
        <v>0</v>
      </c>
      <c r="G18" s="65" t="e">
        <f>VLOOKUP(C18,PPTO!$C$6:$H$60,5,0)</f>
        <v>#N/A</v>
      </c>
      <c r="H18" s="43" t="e">
        <f t="shared" si="0"/>
        <v>#N/A</v>
      </c>
      <c r="I18" s="5"/>
      <c r="J18" s="5"/>
      <c r="K18" s="204" t="e">
        <f>ROUND(F18*M18,$Q$3)</f>
        <v>#N/A</v>
      </c>
      <c r="L18" s="204" t="e">
        <f>ROUND(F18*N18,$Q$3)</f>
        <v>#N/A</v>
      </c>
      <c r="M18" s="200" t="e">
        <f>ROUND(VLOOKUP(C18,APUS!$H$140:$V$231,14,0),2)</f>
        <v>#N/A</v>
      </c>
      <c r="N18" s="200" t="e">
        <f>ROUND(VLOOKUP(C18,APUS!$I$140:$V$231,13,0),2)</f>
        <v>#N/A</v>
      </c>
      <c r="O18" s="200" t="e">
        <f>ROUND(VLOOKUP(C18,APUS!$D$140:$Z$231,23,0),2)</f>
        <v>#N/A</v>
      </c>
      <c r="P18" s="200" t="e">
        <f>ROUND(VLOOKUP(C18,APUS!$E$140:$Z$231,22,0),2)</f>
        <v>#N/A</v>
      </c>
      <c r="Q18" s="200" t="e">
        <f>ROUND(VLOOKUP(C18,APUS!$F$140:$Z$231,21,0),2)</f>
        <v>#N/A</v>
      </c>
      <c r="R18" s="200" t="e">
        <f>ROUND(VLOOKUP(C18,APUS!$G$140:$Z$231,20,0),2)</f>
        <v>#N/A</v>
      </c>
      <c r="S18" s="201" t="e">
        <f>ROUND(SUM(O18:R18),$Q$3)</f>
        <v>#N/A</v>
      </c>
      <c r="T18" s="5"/>
      <c r="U18" s="12"/>
    </row>
    <row r="19" spans="3:21" ht="15" customHeight="1" x14ac:dyDescent="0.25">
      <c r="C19" s="41"/>
      <c r="D19" s="38"/>
      <c r="E19" s="39"/>
      <c r="F19" s="60"/>
      <c r="G19" s="60"/>
      <c r="H19" s="61"/>
      <c r="I19" s="5"/>
      <c r="J19" s="5"/>
      <c r="K19" s="12"/>
      <c r="L19" s="18"/>
      <c r="M19" s="5"/>
      <c r="N19" s="5"/>
      <c r="O19" s="5"/>
      <c r="P19" s="5"/>
      <c r="Q19" s="5"/>
      <c r="R19" s="5"/>
      <c r="S19" s="19"/>
      <c r="T19" s="5"/>
      <c r="U19" s="12"/>
    </row>
    <row r="20" spans="3:21" ht="15" customHeight="1" x14ac:dyDescent="0.25">
      <c r="C20" s="477" t="str">
        <f>+CONCATENATE("Subtotal ",D9)</f>
        <v>Subtotal PRELIMINARES Y REPARACIONES</v>
      </c>
      <c r="D20" s="478"/>
      <c r="E20" s="478"/>
      <c r="F20" s="478"/>
      <c r="G20" s="478"/>
      <c r="H20" s="42" t="e">
        <f>+SUM(H9:H19)</f>
        <v>#N/A</v>
      </c>
      <c r="I20" s="5"/>
      <c r="J20" s="5"/>
      <c r="K20" s="48" t="e">
        <f t="shared" ref="K20:S20" si="4">+SUM(K9:K19)</f>
        <v>#N/A</v>
      </c>
      <c r="L20" s="48" t="e">
        <f t="shared" si="4"/>
        <v>#N/A</v>
      </c>
      <c r="M20" s="48" t="e">
        <f t="shared" si="4"/>
        <v>#N/A</v>
      </c>
      <c r="N20" s="48" t="e">
        <f t="shared" si="4"/>
        <v>#N/A</v>
      </c>
      <c r="O20" s="48" t="e">
        <f t="shared" si="4"/>
        <v>#N/A</v>
      </c>
      <c r="P20" s="48" t="e">
        <f t="shared" si="4"/>
        <v>#N/A</v>
      </c>
      <c r="Q20" s="48" t="e">
        <f t="shared" si="4"/>
        <v>#N/A</v>
      </c>
      <c r="R20" s="48" t="e">
        <f t="shared" si="4"/>
        <v>#N/A</v>
      </c>
      <c r="S20" s="48" t="e">
        <f t="shared" si="4"/>
        <v>#N/A</v>
      </c>
      <c r="T20" s="5"/>
      <c r="U20" s="12"/>
    </row>
    <row r="21" spans="3:21" x14ac:dyDescent="0.25">
      <c r="C21" s="40" t="s">
        <v>29</v>
      </c>
      <c r="D21" s="451" t="str">
        <f>VLOOKUP(C21,PPTO!$C$6:$H$60,2,0)</f>
        <v>RED HIDRAULICA</v>
      </c>
      <c r="E21" s="452"/>
      <c r="F21" s="452"/>
      <c r="G21" s="452"/>
      <c r="H21" s="453"/>
      <c r="I21" s="5"/>
      <c r="J21" s="5"/>
      <c r="K21" s="12"/>
      <c r="L21" s="18"/>
      <c r="M21" s="5"/>
      <c r="N21" s="5"/>
      <c r="O21" s="5"/>
      <c r="P21" s="5"/>
      <c r="Q21" s="5"/>
      <c r="R21" s="5"/>
      <c r="S21" s="19"/>
      <c r="T21" s="5"/>
      <c r="U21" s="12"/>
    </row>
    <row r="22" spans="3:21" ht="15" customHeight="1" x14ac:dyDescent="0.25">
      <c r="C22" s="41" t="s">
        <v>46</v>
      </c>
      <c r="D22" s="38" t="e">
        <f>VLOOKUP(C22,PPTO!$C$6:$H$60,2,0)</f>
        <v>#N/A</v>
      </c>
      <c r="E22" s="39" t="e">
        <f>VLOOKUP(C22,PPTO!$C$6:$H$60,3,0)</f>
        <v>#N/A</v>
      </c>
      <c r="F22" s="64">
        <f>IFERROR(SUMIFS(PPTO!$F$6:$F$60,PPTO!$C$6:$C$60,ITEMS!C22),0)</f>
        <v>29</v>
      </c>
      <c r="G22" s="65" t="e">
        <f>VLOOKUP(C22,PPTO!$C$6:$H$60,5,0)</f>
        <v>#N/A</v>
      </c>
      <c r="H22" s="43" t="e">
        <f t="shared" ref="H22:H27" si="5">+ROUND(F22*G22,$Q$3)</f>
        <v>#N/A</v>
      </c>
      <c r="I22" s="5"/>
      <c r="J22" s="5"/>
      <c r="K22" s="204" t="e">
        <f t="shared" ref="K22:K27" si="6">ROUND(F22*M22,$Q$3)</f>
        <v>#N/A</v>
      </c>
      <c r="L22" s="204" t="e">
        <f t="shared" ref="L22:L27" si="7">ROUND(F22*N22,$Q$3)</f>
        <v>#N/A</v>
      </c>
      <c r="M22" s="200" t="e">
        <f>ROUND(VLOOKUP(C22,APUS!$H$140:$V$231,14,0),2)</f>
        <v>#N/A</v>
      </c>
      <c r="N22" s="200" t="e">
        <f>ROUND(VLOOKUP(C22,APUS!$I$140:$V$231,13,0),2)</f>
        <v>#N/A</v>
      </c>
      <c r="O22" s="200" t="e">
        <f>ROUND(VLOOKUP(C22,APUS!$D$140:$Z$231,23,0),2)</f>
        <v>#N/A</v>
      </c>
      <c r="P22" s="200" t="e">
        <f>ROUND(VLOOKUP(C22,APUS!$E$140:$Z$231,22,0),2)</f>
        <v>#N/A</v>
      </c>
      <c r="Q22" s="200" t="e">
        <f>ROUND(VLOOKUP(C22,APUS!$F$140:$Z$231,21,0),2)</f>
        <v>#N/A</v>
      </c>
      <c r="R22" s="200" t="e">
        <f>ROUND(VLOOKUP(C22,APUS!$G$140:$Z$231,20,0),2)</f>
        <v>#N/A</v>
      </c>
      <c r="S22" s="201" t="e">
        <f t="shared" ref="S22:S27" si="8">ROUND(SUM(O22:R22),$Q$3)</f>
        <v>#N/A</v>
      </c>
      <c r="T22" s="5"/>
      <c r="U22" s="12"/>
    </row>
    <row r="23" spans="3:21" ht="15" customHeight="1" x14ac:dyDescent="0.25">
      <c r="C23" s="41" t="s">
        <v>48</v>
      </c>
      <c r="D23" s="38" t="e">
        <f>VLOOKUP(C23,PPTO!$C$6:$H$60,2,0)</f>
        <v>#N/A</v>
      </c>
      <c r="E23" s="39" t="e">
        <f>VLOOKUP(C23,PPTO!$C$6:$H$60,3,0)</f>
        <v>#N/A</v>
      </c>
      <c r="F23" s="64">
        <f>IFERROR(SUMIFS(PPTO!$F$6:$F$60,PPTO!$C$6:$C$60,ITEMS!C23),0)</f>
        <v>3</v>
      </c>
      <c r="G23" s="65" t="e">
        <f>VLOOKUP(C23,PPTO!$C$6:$H$60,5,0)</f>
        <v>#N/A</v>
      </c>
      <c r="H23" s="43" t="e">
        <f t="shared" si="5"/>
        <v>#N/A</v>
      </c>
      <c r="I23" s="5"/>
      <c r="J23" s="5"/>
      <c r="K23" s="204" t="e">
        <f t="shared" si="6"/>
        <v>#N/A</v>
      </c>
      <c r="L23" s="204" t="e">
        <f t="shared" si="7"/>
        <v>#N/A</v>
      </c>
      <c r="M23" s="200" t="e">
        <f>ROUND(VLOOKUP(C23,APUS!$H$140:$V$231,14,0),2)</f>
        <v>#N/A</v>
      </c>
      <c r="N23" s="200" t="e">
        <f>ROUND(VLOOKUP(C23,APUS!$I$140:$V$231,13,0),2)</f>
        <v>#N/A</v>
      </c>
      <c r="O23" s="200" t="e">
        <f>ROUND(VLOOKUP(C23,APUS!$D$140:$Z$231,23,0),2)</f>
        <v>#N/A</v>
      </c>
      <c r="P23" s="200" t="e">
        <f>ROUND(VLOOKUP(C23,APUS!$E$140:$Z$231,22,0),2)</f>
        <v>#N/A</v>
      </c>
      <c r="Q23" s="200" t="e">
        <f>ROUND(VLOOKUP(C23,APUS!$F$140:$Z$231,21,0),2)</f>
        <v>#N/A</v>
      </c>
      <c r="R23" s="200" t="e">
        <f>ROUND(VLOOKUP(C23,APUS!$G$140:$Z$231,20,0),2)</f>
        <v>#N/A</v>
      </c>
      <c r="S23" s="201" t="e">
        <f t="shared" si="8"/>
        <v>#N/A</v>
      </c>
      <c r="T23" s="5"/>
      <c r="U23" s="12"/>
    </row>
    <row r="24" spans="3:21" x14ac:dyDescent="0.25">
      <c r="C24" s="41" t="s">
        <v>47</v>
      </c>
      <c r="D24" s="38" t="e">
        <f>VLOOKUP(C24,PPTO!$C$6:$H$60,2,0)</f>
        <v>#N/A</v>
      </c>
      <c r="E24" s="39" t="e">
        <f>VLOOKUP(C24,PPTO!$C$6:$H$60,3,0)</f>
        <v>#N/A</v>
      </c>
      <c r="F24" s="64">
        <f>IFERROR(SUMIFS(PPTO!$F$6:$F$60,PPTO!$C$6:$C$60,ITEMS!C24),0)</f>
        <v>1</v>
      </c>
      <c r="G24" s="65" t="e">
        <f>VLOOKUP(C24,PPTO!$C$6:$H$60,5,0)</f>
        <v>#N/A</v>
      </c>
      <c r="H24" s="43" t="e">
        <f t="shared" si="5"/>
        <v>#N/A</v>
      </c>
      <c r="I24" s="5"/>
      <c r="J24" s="5"/>
      <c r="K24" s="204" t="e">
        <f t="shared" si="6"/>
        <v>#N/A</v>
      </c>
      <c r="L24" s="204" t="e">
        <f t="shared" si="7"/>
        <v>#N/A</v>
      </c>
      <c r="M24" s="200" t="e">
        <f>ROUND(VLOOKUP(C24,APUS!$H$140:$V$231,14,0),2)</f>
        <v>#N/A</v>
      </c>
      <c r="N24" s="200" t="e">
        <f>ROUND(VLOOKUP(C24,APUS!$I$140:$V$231,13,0),2)</f>
        <v>#N/A</v>
      </c>
      <c r="O24" s="200" t="e">
        <f>ROUND(VLOOKUP(C24,APUS!$D$140:$Z$231,23,0),2)</f>
        <v>#N/A</v>
      </c>
      <c r="P24" s="200" t="e">
        <f>ROUND(VLOOKUP(C24,APUS!$E$140:$Z$231,22,0),2)</f>
        <v>#N/A</v>
      </c>
      <c r="Q24" s="200" t="e">
        <f>ROUND(VLOOKUP(C24,APUS!$F$140:$Z$231,21,0),2)</f>
        <v>#N/A</v>
      </c>
      <c r="R24" s="200" t="e">
        <f>ROUND(VLOOKUP(C24,APUS!$G$140:$Z$231,20,0),2)</f>
        <v>#N/A</v>
      </c>
      <c r="S24" s="201" t="e">
        <f t="shared" si="8"/>
        <v>#N/A</v>
      </c>
      <c r="T24" s="5"/>
      <c r="U24" s="12"/>
    </row>
    <row r="25" spans="3:21" ht="15" customHeight="1" x14ac:dyDescent="0.25">
      <c r="C25" s="41" t="s">
        <v>49</v>
      </c>
      <c r="D25" s="38" t="e">
        <f>VLOOKUP(C25,PPTO!$C$6:$H$60,2,0)</f>
        <v>#N/A</v>
      </c>
      <c r="E25" s="39" t="e">
        <f>VLOOKUP(C25,PPTO!$C$6:$H$60,3,0)</f>
        <v>#N/A</v>
      </c>
      <c r="F25" s="64">
        <f>IFERROR(SUMIFS(PPTO!$F$6:$F$60,PPTO!$C$6:$C$60,ITEMS!C25),0)</f>
        <v>0</v>
      </c>
      <c r="G25" s="65" t="e">
        <f>VLOOKUP(C25,PPTO!$C$6:$H$60,5,0)</f>
        <v>#N/A</v>
      </c>
      <c r="H25" s="43" t="e">
        <f t="shared" si="5"/>
        <v>#N/A</v>
      </c>
      <c r="I25" s="5"/>
      <c r="J25" s="5"/>
      <c r="K25" s="204" t="e">
        <f t="shared" si="6"/>
        <v>#N/A</v>
      </c>
      <c r="L25" s="204" t="e">
        <f t="shared" si="7"/>
        <v>#N/A</v>
      </c>
      <c r="M25" s="200" t="e">
        <f>ROUND(VLOOKUP(C25,APUS!$H$140:$V$231,14,0),2)</f>
        <v>#N/A</v>
      </c>
      <c r="N25" s="200" t="e">
        <f>ROUND(VLOOKUP(C25,APUS!$I$140:$V$231,13,0),2)</f>
        <v>#N/A</v>
      </c>
      <c r="O25" s="200" t="e">
        <f>ROUND(VLOOKUP(C25,APUS!$D$140:$Z$231,23,0),2)</f>
        <v>#N/A</v>
      </c>
      <c r="P25" s="200" t="e">
        <f>ROUND(VLOOKUP(C25,APUS!$E$140:$Z$231,22,0),2)</f>
        <v>#N/A</v>
      </c>
      <c r="Q25" s="200" t="e">
        <f>ROUND(VLOOKUP(C25,APUS!$F$140:$Z$231,21,0),2)</f>
        <v>#N/A</v>
      </c>
      <c r="R25" s="200" t="e">
        <f>ROUND(VLOOKUP(C25,APUS!$G$140:$Z$231,20,0),2)</f>
        <v>#N/A</v>
      </c>
      <c r="S25" s="201" t="e">
        <f t="shared" si="8"/>
        <v>#N/A</v>
      </c>
      <c r="T25" s="5"/>
      <c r="U25" s="12"/>
    </row>
    <row r="26" spans="3:21" ht="15" customHeight="1" x14ac:dyDescent="0.25">
      <c r="C26" s="41" t="s">
        <v>54</v>
      </c>
      <c r="D26" s="38" t="e">
        <f>VLOOKUP(C26,PPTO!$C$6:$H$60,2,0)</f>
        <v>#N/A</v>
      </c>
      <c r="E26" s="39" t="e">
        <f>VLOOKUP(C26,PPTO!$C$6:$H$60,3,0)</f>
        <v>#N/A</v>
      </c>
      <c r="F26" s="64">
        <f>IFERROR(SUMIFS(PPTO!$F$6:$F$60,PPTO!$C$6:$C$60,ITEMS!C26),0)</f>
        <v>0</v>
      </c>
      <c r="G26" s="65" t="e">
        <f>VLOOKUP(C26,PPTO!$C$6:$H$60,5,0)</f>
        <v>#N/A</v>
      </c>
      <c r="H26" s="43" t="e">
        <f t="shared" si="5"/>
        <v>#N/A</v>
      </c>
      <c r="I26" s="5"/>
      <c r="J26" s="5"/>
      <c r="K26" s="204" t="e">
        <f t="shared" si="6"/>
        <v>#N/A</v>
      </c>
      <c r="L26" s="204" t="e">
        <f t="shared" si="7"/>
        <v>#N/A</v>
      </c>
      <c r="M26" s="200" t="e">
        <f>ROUND(VLOOKUP(C26,APUS!$H$140:$V$231,14,0),2)</f>
        <v>#N/A</v>
      </c>
      <c r="N26" s="200" t="e">
        <f>ROUND(VLOOKUP(C26,APUS!$I$140:$V$231,13,0),2)</f>
        <v>#N/A</v>
      </c>
      <c r="O26" s="200" t="e">
        <f>ROUND(VLOOKUP(C26,APUS!$D$140:$Z$231,23,0),2)</f>
        <v>#N/A</v>
      </c>
      <c r="P26" s="200" t="e">
        <f>ROUND(VLOOKUP(C26,APUS!$E$140:$Z$231,22,0),2)</f>
        <v>#N/A</v>
      </c>
      <c r="Q26" s="200" t="e">
        <f>ROUND(VLOOKUP(C26,APUS!$F$140:$Z$231,21,0),2)</f>
        <v>#N/A</v>
      </c>
      <c r="R26" s="200" t="e">
        <f>ROUND(VLOOKUP(C26,APUS!$G$140:$Z$231,20,0),2)</f>
        <v>#N/A</v>
      </c>
      <c r="S26" s="201" t="e">
        <f t="shared" si="8"/>
        <v>#N/A</v>
      </c>
      <c r="T26" s="5"/>
      <c r="U26" s="12"/>
    </row>
    <row r="27" spans="3:21" ht="15" customHeight="1" x14ac:dyDescent="0.25">
      <c r="C27" s="41" t="s">
        <v>425</v>
      </c>
      <c r="D27" s="38" t="e">
        <f>VLOOKUP(C27,PPTO!$C$6:$H$60,2,0)</f>
        <v>#N/A</v>
      </c>
      <c r="E27" s="39" t="e">
        <f>VLOOKUP(C27,PPTO!$C$6:$H$60,3,0)</f>
        <v>#N/A</v>
      </c>
      <c r="F27" s="64">
        <f>IFERROR(SUMIFS(PPTO!$F$6:$F$60,PPTO!$C$6:$C$60,ITEMS!C27),0)</f>
        <v>0</v>
      </c>
      <c r="G27" s="65" t="e">
        <f>VLOOKUP(C27,PPTO!$C$6:$H$60,5,0)</f>
        <v>#N/A</v>
      </c>
      <c r="H27" s="43" t="e">
        <f t="shared" si="5"/>
        <v>#N/A</v>
      </c>
      <c r="I27" s="5"/>
      <c r="J27" s="5"/>
      <c r="K27" s="204" t="e">
        <f t="shared" si="6"/>
        <v>#N/A</v>
      </c>
      <c r="L27" s="204" t="e">
        <f t="shared" si="7"/>
        <v>#N/A</v>
      </c>
      <c r="M27" s="200" t="e">
        <f>ROUND(VLOOKUP(C27,APUS!$H$140:$V$231,14,0),2)</f>
        <v>#N/A</v>
      </c>
      <c r="N27" s="200" t="e">
        <f>ROUND(VLOOKUP(C27,APUS!$I$140:$V$231,13,0),2)</f>
        <v>#N/A</v>
      </c>
      <c r="O27" s="200" t="e">
        <f>ROUND(VLOOKUP(C27,APUS!$D$140:$Z$231,23,0),2)</f>
        <v>#N/A</v>
      </c>
      <c r="P27" s="200" t="e">
        <f>ROUND(VLOOKUP(C27,APUS!$E$140:$Z$231,22,0),2)</f>
        <v>#N/A</v>
      </c>
      <c r="Q27" s="200" t="e">
        <f>ROUND(VLOOKUP(C27,APUS!$F$140:$Z$231,21,0),2)</f>
        <v>#N/A</v>
      </c>
      <c r="R27" s="200" t="e">
        <f>ROUND(VLOOKUP(C27,APUS!$G$140:$Z$231,20,0),2)</f>
        <v>#N/A</v>
      </c>
      <c r="S27" s="201" t="e">
        <f t="shared" si="8"/>
        <v>#N/A</v>
      </c>
      <c r="T27" s="5"/>
      <c r="U27" s="12"/>
    </row>
    <row r="28" spans="3:21" ht="15" customHeight="1" x14ac:dyDescent="0.25">
      <c r="C28" s="62"/>
      <c r="D28" s="60"/>
      <c r="E28" s="60"/>
      <c r="F28" s="60"/>
      <c r="G28" s="60"/>
      <c r="H28" s="61"/>
      <c r="I28" s="5"/>
      <c r="J28" s="5"/>
      <c r="K28" s="12"/>
      <c r="L28" s="18"/>
      <c r="M28" s="5"/>
      <c r="N28" s="5"/>
      <c r="O28" s="5"/>
      <c r="P28" s="5"/>
      <c r="Q28" s="5"/>
      <c r="R28" s="5"/>
      <c r="S28" s="19"/>
      <c r="T28" s="5"/>
      <c r="U28" s="12"/>
    </row>
    <row r="29" spans="3:21" x14ac:dyDescent="0.25">
      <c r="C29" s="477" t="str">
        <f>+CONCATENATE("Subtotal ",D21)</f>
        <v>Subtotal RED HIDRAULICA</v>
      </c>
      <c r="D29" s="478"/>
      <c r="E29" s="478"/>
      <c r="F29" s="478"/>
      <c r="G29" s="478"/>
      <c r="H29" s="42" t="e">
        <f>+SUM(H21:H28)</f>
        <v>#N/A</v>
      </c>
      <c r="I29" s="5"/>
      <c r="J29" s="5"/>
      <c r="K29" s="48" t="e">
        <f t="shared" ref="K29:S29" si="9">+SUM(K21:K28)</f>
        <v>#N/A</v>
      </c>
      <c r="L29" s="48" t="e">
        <f t="shared" si="9"/>
        <v>#N/A</v>
      </c>
      <c r="M29" s="48" t="e">
        <f t="shared" si="9"/>
        <v>#N/A</v>
      </c>
      <c r="N29" s="48" t="e">
        <f t="shared" si="9"/>
        <v>#N/A</v>
      </c>
      <c r="O29" s="48" t="e">
        <f t="shared" si="9"/>
        <v>#N/A</v>
      </c>
      <c r="P29" s="48" t="e">
        <f t="shared" si="9"/>
        <v>#N/A</v>
      </c>
      <c r="Q29" s="48" t="e">
        <f t="shared" si="9"/>
        <v>#N/A</v>
      </c>
      <c r="R29" s="48" t="e">
        <f t="shared" si="9"/>
        <v>#N/A</v>
      </c>
      <c r="S29" s="48" t="e">
        <f t="shared" si="9"/>
        <v>#N/A</v>
      </c>
      <c r="T29" s="5"/>
      <c r="U29" s="12"/>
    </row>
    <row r="30" spans="3:21" x14ac:dyDescent="0.25">
      <c r="C30" s="40" t="s">
        <v>30</v>
      </c>
      <c r="D30" s="451" t="str">
        <f>VLOOKUP(C30,PPTO!$C$6:$H$60,2,0)</f>
        <v>RED CONTRAINCENDIOS</v>
      </c>
      <c r="E30" s="452"/>
      <c r="F30" s="452"/>
      <c r="G30" s="452"/>
      <c r="H30" s="453"/>
      <c r="I30" s="5"/>
      <c r="J30" s="5"/>
      <c r="K30" s="12"/>
      <c r="L30" s="18"/>
      <c r="M30" s="5"/>
      <c r="N30" s="5"/>
      <c r="O30" s="5"/>
      <c r="P30" s="5"/>
      <c r="Q30" s="5"/>
      <c r="R30" s="5"/>
      <c r="S30" s="19"/>
      <c r="T30" s="5"/>
      <c r="U30" s="12"/>
    </row>
    <row r="31" spans="3:21" x14ac:dyDescent="0.25">
      <c r="C31" s="41" t="s">
        <v>59</v>
      </c>
      <c r="D31" s="38" t="e">
        <f>VLOOKUP(C31,PPTO!$C$6:$H$60,2,0)</f>
        <v>#N/A</v>
      </c>
      <c r="E31" s="39" t="e">
        <f>VLOOKUP(C31,PPTO!$C$6:$H$60,3,0)</f>
        <v>#N/A</v>
      </c>
      <c r="F31" s="64">
        <f>IFERROR(SUMIFS(PPTO!$F$6:$F$60,PPTO!$C$6:$C$60,ITEMS!C31),0)</f>
        <v>0</v>
      </c>
      <c r="G31" s="65" t="e">
        <f>VLOOKUP(C31,PPTO!$C$6:$H$60,5,0)</f>
        <v>#N/A</v>
      </c>
      <c r="H31" s="43" t="e">
        <f>+ROUND(F31*G31,$Q$3)</f>
        <v>#N/A</v>
      </c>
      <c r="I31" s="5"/>
      <c r="J31" s="5"/>
      <c r="K31" s="204" t="e">
        <f t="shared" ref="K31:K44" si="10">ROUND(F31*M31,$Q$3)</f>
        <v>#N/A</v>
      </c>
      <c r="L31" s="204" t="e">
        <f t="shared" ref="L31:L44" si="11">ROUND(F31*N31,$Q$3)</f>
        <v>#N/A</v>
      </c>
      <c r="M31" s="200" t="e">
        <f>ROUND(VLOOKUP(C31,APUS!$H$140:$V$231,14,0),2)</f>
        <v>#N/A</v>
      </c>
      <c r="N31" s="200" t="e">
        <f>ROUND(VLOOKUP(C31,APUS!$I$140:$V$231,13,0),2)</f>
        <v>#N/A</v>
      </c>
      <c r="O31" s="200" t="e">
        <f>ROUND(VLOOKUP(C31,APUS!$D$140:$Z$231,23,0),2)</f>
        <v>#N/A</v>
      </c>
      <c r="P31" s="200" t="e">
        <f>ROUND(VLOOKUP(C31,APUS!$E$140:$Z$231,22,0),2)</f>
        <v>#N/A</v>
      </c>
      <c r="Q31" s="200" t="e">
        <f>ROUND(VLOOKUP(C31,APUS!$F$140:$Z$231,21,0),2)</f>
        <v>#N/A</v>
      </c>
      <c r="R31" s="200" t="e">
        <f>ROUND(VLOOKUP(C31,APUS!$G$140:$Z$231,20,0),2)</f>
        <v>#N/A</v>
      </c>
      <c r="S31" s="201" t="e">
        <f t="shared" ref="S31:S44" si="12">ROUND(SUM(O31:R31),$Q$3)</f>
        <v>#N/A</v>
      </c>
      <c r="T31" s="5"/>
      <c r="U31" s="12"/>
    </row>
    <row r="32" spans="3:21" ht="15" customHeight="1" x14ac:dyDescent="0.25">
      <c r="C32" s="41" t="s">
        <v>60</v>
      </c>
      <c r="D32" s="38" t="e">
        <f>VLOOKUP(C32,PPTO!$C$6:$H$60,2,0)</f>
        <v>#N/A</v>
      </c>
      <c r="E32" s="39" t="e">
        <f>VLOOKUP(C32,PPTO!$C$6:$H$60,3,0)</f>
        <v>#N/A</v>
      </c>
      <c r="F32" s="64">
        <f>IFERROR(SUMIFS(PPTO!$F$6:$F$60,PPTO!$C$6:$C$60,ITEMS!C32),0)</f>
        <v>0</v>
      </c>
      <c r="G32" s="65" t="e">
        <f>VLOOKUP(C32,PPTO!$C$6:$H$60,5,0)</f>
        <v>#N/A</v>
      </c>
      <c r="H32" s="43" t="e">
        <f>+ROUND(F32*G32,$Q$3)</f>
        <v>#N/A</v>
      </c>
      <c r="I32" s="5"/>
      <c r="J32" s="5"/>
      <c r="K32" s="204" t="e">
        <f t="shared" si="10"/>
        <v>#N/A</v>
      </c>
      <c r="L32" s="204" t="e">
        <f t="shared" si="11"/>
        <v>#N/A</v>
      </c>
      <c r="M32" s="200" t="e">
        <f>ROUND(VLOOKUP(C32,APUS!$H$140:$V$231,14,0),2)</f>
        <v>#N/A</v>
      </c>
      <c r="N32" s="200" t="e">
        <f>ROUND(VLOOKUP(C32,APUS!$I$140:$V$231,13,0),2)</f>
        <v>#N/A</v>
      </c>
      <c r="O32" s="200" t="e">
        <f>ROUND(VLOOKUP(C32,APUS!$D$140:$Z$231,23,0),2)</f>
        <v>#N/A</v>
      </c>
      <c r="P32" s="200" t="e">
        <f>ROUND(VLOOKUP(C32,APUS!$E$140:$Z$231,22,0),2)</f>
        <v>#N/A</v>
      </c>
      <c r="Q32" s="200" t="e">
        <f>ROUND(VLOOKUP(C32,APUS!$F$140:$Z$231,21,0),2)</f>
        <v>#N/A</v>
      </c>
      <c r="R32" s="200" t="e">
        <f>ROUND(VLOOKUP(C32,APUS!$G$140:$Z$231,20,0),2)</f>
        <v>#N/A</v>
      </c>
      <c r="S32" s="201" t="e">
        <f t="shared" si="12"/>
        <v>#N/A</v>
      </c>
      <c r="T32" s="5"/>
      <c r="U32" s="12"/>
    </row>
    <row r="33" spans="3:21" ht="15" customHeight="1" x14ac:dyDescent="0.25">
      <c r="C33" s="41" t="s">
        <v>61</v>
      </c>
      <c r="D33" s="38" t="e">
        <f>VLOOKUP(C33,PPTO!$C$6:$H$60,2,0)</f>
        <v>#N/A</v>
      </c>
      <c r="E33" s="39" t="e">
        <f>VLOOKUP(C33,PPTO!$C$6:$H$60,3,0)</f>
        <v>#N/A</v>
      </c>
      <c r="F33" s="64">
        <f>IFERROR(SUMIFS(PPTO!$F$6:$F$60,PPTO!$C$6:$C$60,ITEMS!C33),0)</f>
        <v>0</v>
      </c>
      <c r="G33" s="65" t="e">
        <f>VLOOKUP(C33,PPTO!$C$6:$H$60,5,0)</f>
        <v>#N/A</v>
      </c>
      <c r="H33" s="43" t="e">
        <f>+ROUND(F33*G33,$Q$3)</f>
        <v>#N/A</v>
      </c>
      <c r="I33" s="5"/>
      <c r="J33" s="5"/>
      <c r="K33" s="204" t="e">
        <f t="shared" si="10"/>
        <v>#N/A</v>
      </c>
      <c r="L33" s="204" t="e">
        <f t="shared" si="11"/>
        <v>#N/A</v>
      </c>
      <c r="M33" s="200" t="e">
        <f>ROUND(VLOOKUP(C33,APUS!$H$140:$V$231,14,0),2)</f>
        <v>#N/A</v>
      </c>
      <c r="N33" s="200" t="e">
        <f>ROUND(VLOOKUP(C33,APUS!$I$140:$V$231,13,0),2)</f>
        <v>#N/A</v>
      </c>
      <c r="O33" s="200" t="e">
        <f>ROUND(VLOOKUP(C33,APUS!$D$140:$Z$231,23,0),2)</f>
        <v>#N/A</v>
      </c>
      <c r="P33" s="200" t="e">
        <f>ROUND(VLOOKUP(C33,APUS!$E$140:$Z$231,22,0),2)</f>
        <v>#N/A</v>
      </c>
      <c r="Q33" s="200" t="e">
        <f>ROUND(VLOOKUP(C33,APUS!$F$140:$Z$231,21,0),2)</f>
        <v>#N/A</v>
      </c>
      <c r="R33" s="200" t="e">
        <f>ROUND(VLOOKUP(C33,APUS!$G$140:$Z$231,20,0),2)</f>
        <v>#N/A</v>
      </c>
      <c r="S33" s="201" t="e">
        <f t="shared" si="12"/>
        <v>#N/A</v>
      </c>
      <c r="T33" s="5"/>
      <c r="U33" s="12"/>
    </row>
    <row r="34" spans="3:21" ht="15" customHeight="1" x14ac:dyDescent="0.25">
      <c r="C34" s="41" t="s">
        <v>62</v>
      </c>
      <c r="D34" s="38" t="e">
        <f>VLOOKUP(C34,PPTO!$C$6:$H$60,2,0)</f>
        <v>#N/A</v>
      </c>
      <c r="E34" s="39" t="e">
        <f>VLOOKUP(C34,PPTO!$C$6:$H$60,3,0)</f>
        <v>#N/A</v>
      </c>
      <c r="F34" s="64">
        <f>IFERROR(SUMIFS(PPTO!$F$6:$F$60,PPTO!$C$6:$C$60,ITEMS!C34),0)</f>
        <v>0</v>
      </c>
      <c r="G34" s="65" t="e">
        <f>VLOOKUP(C34,PPTO!$C$6:$H$60,5,0)</f>
        <v>#N/A</v>
      </c>
      <c r="H34" s="43" t="e">
        <f t="shared" ref="H34:H39" si="13">+ROUND(F34*G34,$Q$3)</f>
        <v>#N/A</v>
      </c>
      <c r="I34" s="5"/>
      <c r="J34" s="5"/>
      <c r="K34" s="204" t="e">
        <f t="shared" si="10"/>
        <v>#N/A</v>
      </c>
      <c r="L34" s="204" t="e">
        <f t="shared" si="11"/>
        <v>#N/A</v>
      </c>
      <c r="M34" s="200" t="e">
        <f>ROUND(VLOOKUP(C34,APUS!$H$140:$V$231,14,0),2)</f>
        <v>#N/A</v>
      </c>
      <c r="N34" s="200" t="e">
        <f>ROUND(VLOOKUP(C34,APUS!$I$140:$V$231,13,0),2)</f>
        <v>#N/A</v>
      </c>
      <c r="O34" s="200" t="e">
        <f>ROUND(VLOOKUP(C34,APUS!$D$140:$Z$231,23,0),2)</f>
        <v>#N/A</v>
      </c>
      <c r="P34" s="200" t="e">
        <f>ROUND(VLOOKUP(C34,APUS!$E$140:$Z$231,22,0),2)</f>
        <v>#N/A</v>
      </c>
      <c r="Q34" s="200" t="e">
        <f>ROUND(VLOOKUP(C34,APUS!$F$140:$Z$231,21,0),2)</f>
        <v>#N/A</v>
      </c>
      <c r="R34" s="200" t="e">
        <f>ROUND(VLOOKUP(C34,APUS!$G$140:$Z$231,20,0),2)</f>
        <v>#N/A</v>
      </c>
      <c r="S34" s="201" t="e">
        <f t="shared" si="12"/>
        <v>#N/A</v>
      </c>
      <c r="T34" s="5"/>
      <c r="U34" s="12"/>
    </row>
    <row r="35" spans="3:21" ht="15" customHeight="1" x14ac:dyDescent="0.25">
      <c r="C35" s="41" t="s">
        <v>63</v>
      </c>
      <c r="D35" s="38" t="e">
        <f>VLOOKUP(C35,PPTO!$C$6:$H$60,2,0)</f>
        <v>#N/A</v>
      </c>
      <c r="E35" s="39" t="e">
        <f>VLOOKUP(C35,PPTO!$C$6:$H$60,3,0)</f>
        <v>#N/A</v>
      </c>
      <c r="F35" s="64">
        <f>IFERROR(SUMIFS(PPTO!$F$6:$F$60,PPTO!$C$6:$C$60,ITEMS!C35),0)</f>
        <v>0</v>
      </c>
      <c r="G35" s="65" t="e">
        <f>VLOOKUP(C35,PPTO!$C$6:$H$60,5,0)</f>
        <v>#N/A</v>
      </c>
      <c r="H35" s="43" t="e">
        <f t="shared" si="13"/>
        <v>#N/A</v>
      </c>
      <c r="I35" s="5"/>
      <c r="J35" s="5"/>
      <c r="K35" s="204" t="e">
        <f t="shared" si="10"/>
        <v>#N/A</v>
      </c>
      <c r="L35" s="204" t="e">
        <f t="shared" si="11"/>
        <v>#N/A</v>
      </c>
      <c r="M35" s="200" t="e">
        <f>ROUND(VLOOKUP(C35,APUS!$H$140:$V$231,14,0),2)</f>
        <v>#N/A</v>
      </c>
      <c r="N35" s="200" t="e">
        <f>ROUND(VLOOKUP(C35,APUS!$I$140:$V$231,13,0),2)</f>
        <v>#N/A</v>
      </c>
      <c r="O35" s="200" t="e">
        <f>ROUND(VLOOKUP(C35,APUS!$D$140:$Z$231,23,0),2)</f>
        <v>#N/A</v>
      </c>
      <c r="P35" s="200" t="e">
        <f>ROUND(VLOOKUP(C35,APUS!$E$140:$Z$231,22,0),2)</f>
        <v>#N/A</v>
      </c>
      <c r="Q35" s="200" t="e">
        <f>ROUND(VLOOKUP(C35,APUS!$F$140:$Z$231,21,0),2)</f>
        <v>#N/A</v>
      </c>
      <c r="R35" s="200" t="e">
        <f>ROUND(VLOOKUP(C35,APUS!$G$140:$Z$231,20,0),2)</f>
        <v>#N/A</v>
      </c>
      <c r="S35" s="201" t="e">
        <f t="shared" si="12"/>
        <v>#N/A</v>
      </c>
      <c r="T35" s="5"/>
      <c r="U35" s="12"/>
    </row>
    <row r="36" spans="3:21" ht="15" customHeight="1" x14ac:dyDescent="0.25">
      <c r="C36" s="41" t="s">
        <v>64</v>
      </c>
      <c r="D36" s="38" t="e">
        <f>VLOOKUP(C36,PPTO!$C$6:$H$60,2,0)</f>
        <v>#N/A</v>
      </c>
      <c r="E36" s="39" t="e">
        <f>VLOOKUP(C36,PPTO!$C$6:$H$60,3,0)</f>
        <v>#N/A</v>
      </c>
      <c r="F36" s="64">
        <f>IFERROR(SUMIFS(PPTO!$F$6:$F$60,PPTO!$C$6:$C$60,ITEMS!C36),0)</f>
        <v>0</v>
      </c>
      <c r="G36" s="65" t="e">
        <f>VLOOKUP(C36,PPTO!$C$6:$H$60,5,0)</f>
        <v>#N/A</v>
      </c>
      <c r="H36" s="43" t="e">
        <f t="shared" si="13"/>
        <v>#N/A</v>
      </c>
      <c r="I36" s="5"/>
      <c r="J36" s="5"/>
      <c r="K36" s="204" t="e">
        <f t="shared" si="10"/>
        <v>#N/A</v>
      </c>
      <c r="L36" s="204" t="e">
        <f t="shared" si="11"/>
        <v>#N/A</v>
      </c>
      <c r="M36" s="200" t="e">
        <f>ROUND(VLOOKUP(C36,APUS!$H$140:$V$231,14,0),2)</f>
        <v>#N/A</v>
      </c>
      <c r="N36" s="200" t="e">
        <f>ROUND(VLOOKUP(C36,APUS!$I$140:$V$231,13,0),2)</f>
        <v>#N/A</v>
      </c>
      <c r="O36" s="200" t="e">
        <f>ROUND(VLOOKUP(C36,APUS!$D$140:$Z$231,23,0),2)</f>
        <v>#N/A</v>
      </c>
      <c r="P36" s="200" t="e">
        <f>ROUND(VLOOKUP(C36,APUS!$E$140:$Z$231,22,0),2)</f>
        <v>#N/A</v>
      </c>
      <c r="Q36" s="200" t="e">
        <f>ROUND(VLOOKUP(C36,APUS!$F$140:$Z$231,21,0),2)</f>
        <v>#N/A</v>
      </c>
      <c r="R36" s="200" t="e">
        <f>ROUND(VLOOKUP(C36,APUS!$G$140:$Z$231,20,0),2)</f>
        <v>#N/A</v>
      </c>
      <c r="S36" s="201" t="e">
        <f t="shared" si="12"/>
        <v>#N/A</v>
      </c>
      <c r="T36" s="5"/>
      <c r="U36" s="12"/>
    </row>
    <row r="37" spans="3:21" ht="15" customHeight="1" x14ac:dyDescent="0.25">
      <c r="C37" s="41" t="s">
        <v>65</v>
      </c>
      <c r="D37" s="38" t="e">
        <f>VLOOKUP(C37,PPTO!$C$6:$H$60,2,0)</f>
        <v>#N/A</v>
      </c>
      <c r="E37" s="39" t="e">
        <f>VLOOKUP(C37,PPTO!$C$6:$H$60,3,0)</f>
        <v>#N/A</v>
      </c>
      <c r="F37" s="64">
        <f>IFERROR(SUMIFS(PPTO!$F$6:$F$60,PPTO!$C$6:$C$60,ITEMS!C37),0)</f>
        <v>0</v>
      </c>
      <c r="G37" s="65" t="e">
        <f>VLOOKUP(C37,PPTO!$C$6:$H$60,5,0)</f>
        <v>#N/A</v>
      </c>
      <c r="H37" s="43" t="e">
        <f t="shared" si="13"/>
        <v>#N/A</v>
      </c>
      <c r="I37" s="5"/>
      <c r="J37" s="5"/>
      <c r="K37" s="204" t="e">
        <f t="shared" si="10"/>
        <v>#N/A</v>
      </c>
      <c r="L37" s="204" t="e">
        <f t="shared" si="11"/>
        <v>#N/A</v>
      </c>
      <c r="M37" s="200" t="e">
        <f>ROUND(VLOOKUP(C37,APUS!$H$140:$V$231,14,0),2)</f>
        <v>#N/A</v>
      </c>
      <c r="N37" s="200" t="e">
        <f>ROUND(VLOOKUP(C37,APUS!$I$140:$V$231,13,0),2)</f>
        <v>#N/A</v>
      </c>
      <c r="O37" s="200" t="e">
        <f>ROUND(VLOOKUP(C37,APUS!$D$140:$Z$231,23,0),2)</f>
        <v>#N/A</v>
      </c>
      <c r="P37" s="200" t="e">
        <f>ROUND(VLOOKUP(C37,APUS!$E$140:$Z$231,22,0),2)</f>
        <v>#N/A</v>
      </c>
      <c r="Q37" s="200" t="e">
        <f>ROUND(VLOOKUP(C37,APUS!$F$140:$Z$231,21,0),2)</f>
        <v>#N/A</v>
      </c>
      <c r="R37" s="200" t="e">
        <f>ROUND(VLOOKUP(C37,APUS!$G$140:$Z$231,20,0),2)</f>
        <v>#N/A</v>
      </c>
      <c r="S37" s="201" t="e">
        <f t="shared" si="12"/>
        <v>#N/A</v>
      </c>
      <c r="T37" s="5"/>
      <c r="U37" s="12"/>
    </row>
    <row r="38" spans="3:21" ht="15" customHeight="1" x14ac:dyDescent="0.25">
      <c r="C38" s="41" t="s">
        <v>66</v>
      </c>
      <c r="D38" s="38" t="e">
        <f>VLOOKUP(C38,PPTO!$C$6:$H$60,2,0)</f>
        <v>#N/A</v>
      </c>
      <c r="E38" s="39" t="e">
        <f>VLOOKUP(C38,PPTO!$C$6:$H$60,3,0)</f>
        <v>#N/A</v>
      </c>
      <c r="F38" s="64">
        <f>IFERROR(SUMIFS(PPTO!$F$6:$F$60,PPTO!$C$6:$C$60,ITEMS!C38),0)</f>
        <v>0</v>
      </c>
      <c r="G38" s="65" t="e">
        <f>VLOOKUP(C38,PPTO!$C$6:$H$60,5,0)</f>
        <v>#N/A</v>
      </c>
      <c r="H38" s="43" t="e">
        <f t="shared" si="13"/>
        <v>#N/A</v>
      </c>
      <c r="I38" s="5"/>
      <c r="J38" s="5"/>
      <c r="K38" s="204" t="e">
        <f t="shared" si="10"/>
        <v>#N/A</v>
      </c>
      <c r="L38" s="204" t="e">
        <f t="shared" si="11"/>
        <v>#N/A</v>
      </c>
      <c r="M38" s="200" t="e">
        <f>ROUND(VLOOKUP(C38,APUS!$H$140:$V$231,14,0),2)</f>
        <v>#N/A</v>
      </c>
      <c r="N38" s="200" t="e">
        <f>ROUND(VLOOKUP(C38,APUS!$I$140:$V$231,13,0),2)</f>
        <v>#N/A</v>
      </c>
      <c r="O38" s="200" t="e">
        <f>ROUND(VLOOKUP(C38,APUS!$D$140:$Z$231,23,0),2)</f>
        <v>#N/A</v>
      </c>
      <c r="P38" s="200" t="e">
        <f>ROUND(VLOOKUP(C38,APUS!$E$140:$Z$231,22,0),2)</f>
        <v>#N/A</v>
      </c>
      <c r="Q38" s="200" t="e">
        <f>ROUND(VLOOKUP(C38,APUS!$F$140:$Z$231,21,0),2)</f>
        <v>#N/A</v>
      </c>
      <c r="R38" s="200" t="e">
        <f>ROUND(VLOOKUP(C38,APUS!$G$140:$Z$231,20,0),2)</f>
        <v>#N/A</v>
      </c>
      <c r="S38" s="201" t="e">
        <f t="shared" si="12"/>
        <v>#N/A</v>
      </c>
      <c r="T38" s="5"/>
      <c r="U38" s="12"/>
    </row>
    <row r="39" spans="3:21" ht="15" customHeight="1" x14ac:dyDescent="0.25">
      <c r="C39" s="41" t="s">
        <v>67</v>
      </c>
      <c r="D39" s="38" t="e">
        <f>VLOOKUP(C39,PPTO!$C$6:$H$60,2,0)</f>
        <v>#N/A</v>
      </c>
      <c r="E39" s="39" t="e">
        <f>VLOOKUP(C39,PPTO!$C$6:$H$60,3,0)</f>
        <v>#N/A</v>
      </c>
      <c r="F39" s="64">
        <f>IFERROR(SUMIFS(PPTO!$F$6:$F$60,PPTO!$C$6:$C$60,ITEMS!C39),0)</f>
        <v>0</v>
      </c>
      <c r="G39" s="65" t="e">
        <f>VLOOKUP(C39,PPTO!$C$6:$H$60,5,0)</f>
        <v>#N/A</v>
      </c>
      <c r="H39" s="43" t="e">
        <f t="shared" si="13"/>
        <v>#N/A</v>
      </c>
      <c r="I39" s="5"/>
      <c r="J39" s="5"/>
      <c r="K39" s="204" t="e">
        <f t="shared" si="10"/>
        <v>#N/A</v>
      </c>
      <c r="L39" s="204" t="e">
        <f t="shared" si="11"/>
        <v>#N/A</v>
      </c>
      <c r="M39" s="200" t="e">
        <f>ROUND(VLOOKUP(C39,APUS!$H$140:$V$231,14,0),2)</f>
        <v>#N/A</v>
      </c>
      <c r="N39" s="200" t="e">
        <f>ROUND(VLOOKUP(C39,APUS!$I$140:$V$231,13,0),2)</f>
        <v>#N/A</v>
      </c>
      <c r="O39" s="200" t="e">
        <f>ROUND(VLOOKUP(C39,APUS!$D$140:$Z$231,23,0),2)</f>
        <v>#N/A</v>
      </c>
      <c r="P39" s="200" t="e">
        <f>ROUND(VLOOKUP(C39,APUS!$E$140:$Z$231,22,0),2)</f>
        <v>#N/A</v>
      </c>
      <c r="Q39" s="200" t="e">
        <f>ROUND(VLOOKUP(C39,APUS!$F$140:$Z$231,21,0),2)</f>
        <v>#N/A</v>
      </c>
      <c r="R39" s="200" t="e">
        <f>ROUND(VLOOKUP(C39,APUS!$G$140:$Z$231,20,0),2)</f>
        <v>#N/A</v>
      </c>
      <c r="S39" s="201" t="e">
        <f t="shared" si="12"/>
        <v>#N/A</v>
      </c>
      <c r="T39" s="5"/>
      <c r="U39" s="12"/>
    </row>
    <row r="40" spans="3:21" ht="15" customHeight="1" x14ac:dyDescent="0.25">
      <c r="C40" s="41" t="s">
        <v>68</v>
      </c>
      <c r="D40" s="38" t="e">
        <f>VLOOKUP(C40,PPTO!$C$6:$H$60,2,0)</f>
        <v>#N/A</v>
      </c>
      <c r="E40" s="39" t="e">
        <f>VLOOKUP(C40,PPTO!$C$6:$H$60,3,0)</f>
        <v>#N/A</v>
      </c>
      <c r="F40" s="64">
        <f>IFERROR(SUMIFS(PPTO!$F$6:$F$60,PPTO!$C$6:$C$60,ITEMS!C40),0)</f>
        <v>0</v>
      </c>
      <c r="G40" s="65" t="e">
        <f>VLOOKUP(C40,PPTO!$C$6:$H$60,5,0)</f>
        <v>#N/A</v>
      </c>
      <c r="H40" s="43" t="e">
        <f>+ROUND(F40*G40,$Q$3)</f>
        <v>#N/A</v>
      </c>
      <c r="I40" s="5"/>
      <c r="J40" s="5"/>
      <c r="K40" s="204" t="e">
        <f t="shared" si="10"/>
        <v>#N/A</v>
      </c>
      <c r="L40" s="204" t="e">
        <f t="shared" si="11"/>
        <v>#N/A</v>
      </c>
      <c r="M40" s="200" t="e">
        <f>ROUND(VLOOKUP(C40,APUS!$H$140:$V$231,14,0),2)</f>
        <v>#N/A</v>
      </c>
      <c r="N40" s="200" t="e">
        <f>ROUND(VLOOKUP(C40,APUS!$I$140:$V$231,13,0),2)</f>
        <v>#N/A</v>
      </c>
      <c r="O40" s="200" t="e">
        <f>ROUND(VLOOKUP(C40,APUS!$D$140:$Z$231,23,0),2)</f>
        <v>#N/A</v>
      </c>
      <c r="P40" s="200" t="e">
        <f>ROUND(VLOOKUP(C40,APUS!$E$140:$Z$231,22,0),2)</f>
        <v>#N/A</v>
      </c>
      <c r="Q40" s="200" t="e">
        <f>ROUND(VLOOKUP(C40,APUS!$F$140:$Z$231,21,0),2)</f>
        <v>#N/A</v>
      </c>
      <c r="R40" s="200" t="e">
        <f>ROUND(VLOOKUP(C40,APUS!$G$140:$Z$231,20,0),2)</f>
        <v>#N/A</v>
      </c>
      <c r="S40" s="201" t="e">
        <f t="shared" si="12"/>
        <v>#N/A</v>
      </c>
      <c r="T40" s="5"/>
      <c r="U40" s="12"/>
    </row>
    <row r="41" spans="3:21" ht="15" customHeight="1" x14ac:dyDescent="0.25">
      <c r="C41" s="41" t="s">
        <v>69</v>
      </c>
      <c r="D41" s="38" t="e">
        <f>VLOOKUP(C41,PPTO!$C$6:$H$60,2,0)</f>
        <v>#N/A</v>
      </c>
      <c r="E41" s="39" t="e">
        <f>VLOOKUP(C41,PPTO!$C$6:$H$60,3,0)</f>
        <v>#N/A</v>
      </c>
      <c r="F41" s="64">
        <f>IFERROR(SUMIFS(PPTO!$F$6:$F$60,PPTO!$C$6:$C$60,ITEMS!C41),0)</f>
        <v>0</v>
      </c>
      <c r="G41" s="65" t="e">
        <f>VLOOKUP(C41,PPTO!$C$6:$H$60,5,0)</f>
        <v>#N/A</v>
      </c>
      <c r="H41" s="43" t="e">
        <f>+ROUND(F41*G41,$Q$3)</f>
        <v>#N/A</v>
      </c>
      <c r="I41" s="5"/>
      <c r="J41" s="5"/>
      <c r="K41" s="204" t="e">
        <f t="shared" si="10"/>
        <v>#N/A</v>
      </c>
      <c r="L41" s="204" t="e">
        <f t="shared" si="11"/>
        <v>#N/A</v>
      </c>
      <c r="M41" s="200" t="e">
        <f>ROUND(VLOOKUP(C41,APUS!$H$140:$V$231,14,0),2)</f>
        <v>#N/A</v>
      </c>
      <c r="N41" s="200" t="e">
        <f>ROUND(VLOOKUP(C41,APUS!$I$140:$V$231,13,0),2)</f>
        <v>#N/A</v>
      </c>
      <c r="O41" s="200" t="e">
        <f>ROUND(VLOOKUP(C41,APUS!$D$140:$Z$231,23,0),2)</f>
        <v>#N/A</v>
      </c>
      <c r="P41" s="200" t="e">
        <f>ROUND(VLOOKUP(C41,APUS!$E$140:$Z$231,22,0),2)</f>
        <v>#N/A</v>
      </c>
      <c r="Q41" s="200" t="e">
        <f>ROUND(VLOOKUP(C41,APUS!$F$140:$Z$231,21,0),2)</f>
        <v>#N/A</v>
      </c>
      <c r="R41" s="200" t="e">
        <f>ROUND(VLOOKUP(C41,APUS!$G$140:$Z$231,20,0),2)</f>
        <v>#N/A</v>
      </c>
      <c r="S41" s="201" t="e">
        <f t="shared" si="12"/>
        <v>#N/A</v>
      </c>
      <c r="T41" s="5"/>
      <c r="U41" s="12"/>
    </row>
    <row r="42" spans="3:21" ht="15" customHeight="1" x14ac:dyDescent="0.25">
      <c r="C42" s="41" t="s">
        <v>70</v>
      </c>
      <c r="D42" s="38" t="e">
        <f>VLOOKUP(C42,PPTO!$C$6:$H$60,2,0)</f>
        <v>#N/A</v>
      </c>
      <c r="E42" s="39" t="e">
        <f>VLOOKUP(C42,PPTO!$C$6:$H$60,3,0)</f>
        <v>#N/A</v>
      </c>
      <c r="F42" s="64">
        <f>IFERROR(SUMIFS(PPTO!$F$6:$F$60,PPTO!$C$6:$C$60,ITEMS!C42),0)</f>
        <v>0</v>
      </c>
      <c r="G42" s="65" t="e">
        <f>VLOOKUP(C42,PPTO!$C$6:$H$60,5,0)</f>
        <v>#N/A</v>
      </c>
      <c r="H42" s="43" t="e">
        <f>+ROUND(F42*G42,$Q$3)</f>
        <v>#N/A</v>
      </c>
      <c r="I42" s="5"/>
      <c r="J42" s="5"/>
      <c r="K42" s="204" t="e">
        <f t="shared" si="10"/>
        <v>#N/A</v>
      </c>
      <c r="L42" s="204" t="e">
        <f t="shared" si="11"/>
        <v>#N/A</v>
      </c>
      <c r="M42" s="200" t="e">
        <f>ROUND(VLOOKUP(C42,APUS!$H$140:$V$231,14,0),2)</f>
        <v>#N/A</v>
      </c>
      <c r="N42" s="200" t="e">
        <f>ROUND(VLOOKUP(C42,APUS!$I$140:$V$231,13,0),2)</f>
        <v>#N/A</v>
      </c>
      <c r="O42" s="200" t="e">
        <f>ROUND(VLOOKUP(C42,APUS!$D$140:$Z$231,23,0),2)</f>
        <v>#N/A</v>
      </c>
      <c r="P42" s="200" t="e">
        <f>ROUND(VLOOKUP(C42,APUS!$E$140:$Z$231,22,0),2)</f>
        <v>#N/A</v>
      </c>
      <c r="Q42" s="200" t="e">
        <f>ROUND(VLOOKUP(C42,APUS!$F$140:$Z$231,21,0),2)</f>
        <v>#N/A</v>
      </c>
      <c r="R42" s="200" t="e">
        <f>ROUND(VLOOKUP(C42,APUS!$G$140:$Z$231,20,0),2)</f>
        <v>#N/A</v>
      </c>
      <c r="S42" s="201" t="e">
        <f t="shared" si="12"/>
        <v>#N/A</v>
      </c>
      <c r="T42" s="5"/>
      <c r="U42" s="12"/>
    </row>
    <row r="43" spans="3:21" ht="15" customHeight="1" x14ac:dyDescent="0.25">
      <c r="C43" s="41" t="s">
        <v>71</v>
      </c>
      <c r="D43" s="38" t="e">
        <f>VLOOKUP(C43,PPTO!$C$6:$H$60,2,0)</f>
        <v>#N/A</v>
      </c>
      <c r="E43" s="39" t="e">
        <f>VLOOKUP(C43,PPTO!$C$6:$H$60,3,0)</f>
        <v>#N/A</v>
      </c>
      <c r="F43" s="64">
        <f>IFERROR(SUMIFS(PPTO!$F$6:$F$60,PPTO!$C$6:$C$60,ITEMS!C43),0)</f>
        <v>0</v>
      </c>
      <c r="G43" s="65" t="e">
        <f>VLOOKUP(C43,PPTO!$C$6:$H$60,5,0)</f>
        <v>#N/A</v>
      </c>
      <c r="H43" s="43" t="e">
        <f>+ROUND(F43*G43,$Q$3)</f>
        <v>#N/A</v>
      </c>
      <c r="I43" s="5"/>
      <c r="J43" s="5"/>
      <c r="K43" s="204" t="e">
        <f t="shared" si="10"/>
        <v>#N/A</v>
      </c>
      <c r="L43" s="204" t="e">
        <f t="shared" si="11"/>
        <v>#N/A</v>
      </c>
      <c r="M43" s="200" t="e">
        <f>ROUND(VLOOKUP(C43,APUS!$H$140:$V$231,14,0),2)</f>
        <v>#N/A</v>
      </c>
      <c r="N43" s="200" t="e">
        <f>ROUND(VLOOKUP(C43,APUS!$I$140:$V$231,13,0),2)</f>
        <v>#N/A</v>
      </c>
      <c r="O43" s="200" t="e">
        <f>ROUND(VLOOKUP(C43,APUS!$D$140:$Z$231,23,0),2)</f>
        <v>#N/A</v>
      </c>
      <c r="P43" s="200" t="e">
        <f>ROUND(VLOOKUP(C43,APUS!$E$140:$Z$231,22,0),2)</f>
        <v>#N/A</v>
      </c>
      <c r="Q43" s="200" t="e">
        <f>ROUND(VLOOKUP(C43,APUS!$F$140:$Z$231,21,0),2)</f>
        <v>#N/A</v>
      </c>
      <c r="R43" s="200" t="e">
        <f>ROUND(VLOOKUP(C43,APUS!$G$140:$Z$231,20,0),2)</f>
        <v>#N/A</v>
      </c>
      <c r="S43" s="201" t="e">
        <f t="shared" si="12"/>
        <v>#N/A</v>
      </c>
      <c r="T43" s="5"/>
      <c r="U43" s="12"/>
    </row>
    <row r="44" spans="3:21" ht="15" customHeight="1" x14ac:dyDescent="0.25">
      <c r="C44" s="41" t="s">
        <v>72</v>
      </c>
      <c r="D44" s="38" t="e">
        <f>VLOOKUP(C44,PPTO!$C$6:$H$60,2,0)</f>
        <v>#N/A</v>
      </c>
      <c r="E44" s="39" t="e">
        <f>VLOOKUP(C44,PPTO!$C$6:$H$60,3,0)</f>
        <v>#N/A</v>
      </c>
      <c r="F44" s="64">
        <f>IFERROR(SUMIFS(PPTO!$F$6:$F$60,PPTO!$C$6:$C$60,ITEMS!C44),0)</f>
        <v>0</v>
      </c>
      <c r="G44" s="65" t="e">
        <f>VLOOKUP(C44,PPTO!$C$6:$H$60,5,0)</f>
        <v>#N/A</v>
      </c>
      <c r="H44" s="43" t="e">
        <f>+ROUND(F44*G44,$Q$3)</f>
        <v>#N/A</v>
      </c>
      <c r="I44" s="5"/>
      <c r="J44" s="5"/>
      <c r="K44" s="204" t="e">
        <f t="shared" si="10"/>
        <v>#N/A</v>
      </c>
      <c r="L44" s="204" t="e">
        <f t="shared" si="11"/>
        <v>#N/A</v>
      </c>
      <c r="M44" s="200" t="e">
        <f>ROUND(VLOOKUP(C44,APUS!$H$140:$V$231,14,0),2)</f>
        <v>#N/A</v>
      </c>
      <c r="N44" s="200" t="e">
        <f>ROUND(VLOOKUP(C44,APUS!$I$140:$V$231,13,0),2)</f>
        <v>#N/A</v>
      </c>
      <c r="O44" s="200" t="e">
        <f>ROUND(VLOOKUP(C44,APUS!$D$140:$Z$231,23,0),2)</f>
        <v>#N/A</v>
      </c>
      <c r="P44" s="200" t="e">
        <f>ROUND(VLOOKUP(C44,APUS!$E$140:$Z$231,22,0),2)</f>
        <v>#N/A</v>
      </c>
      <c r="Q44" s="200" t="e">
        <f>ROUND(VLOOKUP(C44,APUS!$F$140:$Z$231,21,0),2)</f>
        <v>#N/A</v>
      </c>
      <c r="R44" s="200" t="e">
        <f>ROUND(VLOOKUP(C44,APUS!$G$140:$Z$231,20,0),2)</f>
        <v>#N/A</v>
      </c>
      <c r="S44" s="201" t="e">
        <f t="shared" si="12"/>
        <v>#N/A</v>
      </c>
      <c r="T44" s="5"/>
      <c r="U44" s="12"/>
    </row>
    <row r="45" spans="3:21" ht="15" customHeight="1" x14ac:dyDescent="0.25">
      <c r="C45" s="62"/>
      <c r="D45" s="60"/>
      <c r="E45" s="60"/>
      <c r="F45" s="60"/>
      <c r="G45" s="60"/>
      <c r="H45" s="61"/>
      <c r="I45" s="5"/>
      <c r="J45" s="5"/>
      <c r="K45" s="12"/>
      <c r="L45" s="18"/>
      <c r="M45" s="5"/>
      <c r="N45" s="5"/>
      <c r="O45" s="5"/>
      <c r="P45" s="5"/>
      <c r="Q45" s="5"/>
      <c r="R45" s="5"/>
      <c r="S45" s="19"/>
      <c r="T45" s="5"/>
      <c r="U45" s="12"/>
    </row>
    <row r="46" spans="3:21" x14ac:dyDescent="0.25">
      <c r="C46" s="477" t="str">
        <f>+CONCATENATE("Subtotal ",D30)</f>
        <v>Subtotal RED CONTRAINCENDIOS</v>
      </c>
      <c r="D46" s="478"/>
      <c r="E46" s="478"/>
      <c r="F46" s="478"/>
      <c r="G46" s="478"/>
      <c r="H46" s="42" t="e">
        <f>+SUM(H30:H45)</f>
        <v>#N/A</v>
      </c>
      <c r="I46" s="5"/>
      <c r="J46" s="5"/>
      <c r="K46" s="48" t="e">
        <f t="shared" ref="K46:S46" si="14">+SUM(K30:K45)</f>
        <v>#N/A</v>
      </c>
      <c r="L46" s="48" t="e">
        <f t="shared" si="14"/>
        <v>#N/A</v>
      </c>
      <c r="M46" s="48" t="e">
        <f t="shared" si="14"/>
        <v>#N/A</v>
      </c>
      <c r="N46" s="48" t="e">
        <f t="shared" si="14"/>
        <v>#N/A</v>
      </c>
      <c r="O46" s="48" t="e">
        <f t="shared" si="14"/>
        <v>#N/A</v>
      </c>
      <c r="P46" s="48" t="e">
        <f t="shared" si="14"/>
        <v>#N/A</v>
      </c>
      <c r="Q46" s="48" t="e">
        <f t="shared" si="14"/>
        <v>#N/A</v>
      </c>
      <c r="R46" s="48" t="e">
        <f t="shared" si="14"/>
        <v>#N/A</v>
      </c>
      <c r="S46" s="48" t="e">
        <f t="shared" si="14"/>
        <v>#N/A</v>
      </c>
      <c r="T46" s="5"/>
      <c r="U46" s="12"/>
    </row>
    <row r="47" spans="3:21" x14ac:dyDescent="0.25">
      <c r="C47" s="40" t="s">
        <v>37</v>
      </c>
      <c r="D47" s="451" t="e">
        <f>VLOOKUP(C47,PPTO!$C$6:$H$60,2,0)</f>
        <v>#N/A</v>
      </c>
      <c r="E47" s="452"/>
      <c r="F47" s="452"/>
      <c r="G47" s="452"/>
      <c r="H47" s="453"/>
      <c r="I47" s="5"/>
      <c r="J47" s="5"/>
      <c r="K47" s="12"/>
      <c r="L47" s="18"/>
      <c r="M47" s="5"/>
      <c r="N47" s="5"/>
      <c r="O47" s="5"/>
      <c r="P47" s="5"/>
      <c r="Q47" s="5"/>
      <c r="R47" s="5"/>
      <c r="S47" s="19"/>
      <c r="T47" s="5"/>
      <c r="U47" s="12"/>
    </row>
    <row r="48" spans="3:21" ht="15" customHeight="1" x14ac:dyDescent="0.25">
      <c r="C48" s="41" t="s">
        <v>73</v>
      </c>
      <c r="D48" s="38" t="e">
        <f>VLOOKUP(C48,PPTO!$C$6:$H$60,2,0)</f>
        <v>#N/A</v>
      </c>
      <c r="E48" s="39" t="e">
        <f>VLOOKUP(C48,PPTO!$C$6:$H$60,3,0)</f>
        <v>#N/A</v>
      </c>
      <c r="F48" s="64">
        <f>IFERROR(SUMIFS(PPTO!$F$6:$F$60,PPTO!$C$6:$C$60,ITEMS!C48),0)</f>
        <v>0</v>
      </c>
      <c r="G48" s="65" t="e">
        <f>VLOOKUP(C48,PPTO!$C$6:$H$60,5,0)</f>
        <v>#N/A</v>
      </c>
      <c r="H48" s="43" t="e">
        <f t="shared" ref="H48:H53" si="15">+ROUND(F48*G48,$Q$3)</f>
        <v>#N/A</v>
      </c>
      <c r="I48" s="5"/>
      <c r="J48" s="5"/>
      <c r="K48" s="204" t="e">
        <f t="shared" ref="K48:K53" si="16">ROUND(F48*M48,$Q$3)</f>
        <v>#N/A</v>
      </c>
      <c r="L48" s="204" t="e">
        <f t="shared" ref="L48:L53" si="17">ROUND(F48*N48,$Q$3)</f>
        <v>#N/A</v>
      </c>
      <c r="M48" s="200" t="e">
        <f>ROUND(VLOOKUP(C48,APUS!$H$140:$V$231,14,0),2)</f>
        <v>#N/A</v>
      </c>
      <c r="N48" s="200" t="e">
        <f>ROUND(VLOOKUP(C48,APUS!$I$140:$V$231,13,0),2)</f>
        <v>#N/A</v>
      </c>
      <c r="O48" s="200" t="e">
        <f>ROUND(VLOOKUP(C48,APUS!$D$140:$Z$231,23,0),2)</f>
        <v>#N/A</v>
      </c>
      <c r="P48" s="200" t="e">
        <f>ROUND(VLOOKUP(C48,APUS!$E$140:$Z$231,22,0),2)</f>
        <v>#N/A</v>
      </c>
      <c r="Q48" s="200" t="e">
        <f>ROUND(VLOOKUP(C48,APUS!$F$140:$Z$231,21,0),2)</f>
        <v>#N/A</v>
      </c>
      <c r="R48" s="200" t="e">
        <f>ROUND(VLOOKUP(C48,APUS!$G$140:$Z$231,20,0),2)</f>
        <v>#N/A</v>
      </c>
      <c r="S48" s="201" t="e">
        <f t="shared" ref="S48:S53" si="18">ROUND(SUM(O48:R48),$Q$3)</f>
        <v>#N/A</v>
      </c>
      <c r="T48" s="5"/>
      <c r="U48" s="12"/>
    </row>
    <row r="49" spans="3:21" ht="15" customHeight="1" x14ac:dyDescent="0.25">
      <c r="C49" s="41" t="s">
        <v>74</v>
      </c>
      <c r="D49" s="38" t="e">
        <f>VLOOKUP(C49,PPTO!$C$6:$H$60,2,0)</f>
        <v>#N/A</v>
      </c>
      <c r="E49" s="39" t="e">
        <f>VLOOKUP(C49,PPTO!$C$6:$H$60,3,0)</f>
        <v>#N/A</v>
      </c>
      <c r="F49" s="64">
        <f>IFERROR(SUMIFS(PPTO!$F$6:$F$60,PPTO!$C$6:$C$60,ITEMS!C49),0)</f>
        <v>0</v>
      </c>
      <c r="G49" s="65" t="e">
        <f>VLOOKUP(C49,PPTO!$C$6:$H$60,5,0)</f>
        <v>#N/A</v>
      </c>
      <c r="H49" s="43" t="e">
        <f t="shared" si="15"/>
        <v>#N/A</v>
      </c>
      <c r="I49" s="5"/>
      <c r="J49" s="5"/>
      <c r="K49" s="204" t="e">
        <f t="shared" si="16"/>
        <v>#N/A</v>
      </c>
      <c r="L49" s="204" t="e">
        <f t="shared" si="17"/>
        <v>#N/A</v>
      </c>
      <c r="M49" s="200" t="e">
        <f>ROUND(VLOOKUP(C49,APUS!$H$140:$V$231,14,0),2)</f>
        <v>#N/A</v>
      </c>
      <c r="N49" s="200" t="e">
        <f>ROUND(VLOOKUP(C49,APUS!$I$140:$V$231,13,0),2)</f>
        <v>#N/A</v>
      </c>
      <c r="O49" s="200" t="e">
        <f>ROUND(VLOOKUP(C49,APUS!$D$140:$Z$231,23,0),2)</f>
        <v>#N/A</v>
      </c>
      <c r="P49" s="200" t="e">
        <f>ROUND(VLOOKUP(C49,APUS!$E$140:$Z$231,22,0),2)</f>
        <v>#N/A</v>
      </c>
      <c r="Q49" s="200" t="e">
        <f>ROUND(VLOOKUP(C49,APUS!$F$140:$Z$231,21,0),2)</f>
        <v>#N/A</v>
      </c>
      <c r="R49" s="200" t="e">
        <f>ROUND(VLOOKUP(C49,APUS!$G$140:$Z$231,20,0),2)</f>
        <v>#N/A</v>
      </c>
      <c r="S49" s="201" t="e">
        <f t="shared" si="18"/>
        <v>#N/A</v>
      </c>
      <c r="T49" s="5"/>
      <c r="U49" s="12"/>
    </row>
    <row r="50" spans="3:21" x14ac:dyDescent="0.25">
      <c r="C50" s="41" t="s">
        <v>75</v>
      </c>
      <c r="D50" s="38" t="e">
        <f>VLOOKUP(C50,PPTO!$C$6:$H$60,2,0)</f>
        <v>#N/A</v>
      </c>
      <c r="E50" s="39" t="e">
        <f>VLOOKUP(C50,PPTO!$C$6:$H$60,3,0)</f>
        <v>#N/A</v>
      </c>
      <c r="F50" s="64">
        <f>IFERROR(SUMIFS(PPTO!$F$6:$F$60,PPTO!$C$6:$C$60,ITEMS!C50),0)</f>
        <v>0</v>
      </c>
      <c r="G50" s="65" t="e">
        <f>VLOOKUP(C50,PPTO!$C$6:$H$60,5,0)</f>
        <v>#N/A</v>
      </c>
      <c r="H50" s="43" t="e">
        <f t="shared" si="15"/>
        <v>#N/A</v>
      </c>
      <c r="I50" s="5"/>
      <c r="J50" s="5"/>
      <c r="K50" s="204" t="e">
        <f t="shared" si="16"/>
        <v>#N/A</v>
      </c>
      <c r="L50" s="204" t="e">
        <f t="shared" si="17"/>
        <v>#N/A</v>
      </c>
      <c r="M50" s="200" t="e">
        <f>ROUND(VLOOKUP(C50,APUS!$H$140:$V$231,14,0),2)</f>
        <v>#N/A</v>
      </c>
      <c r="N50" s="200" t="e">
        <f>ROUND(VLOOKUP(C50,APUS!$I$140:$V$231,13,0),2)</f>
        <v>#N/A</v>
      </c>
      <c r="O50" s="200" t="e">
        <f>ROUND(VLOOKUP(C50,APUS!$D$140:$Z$231,23,0),2)</f>
        <v>#N/A</v>
      </c>
      <c r="P50" s="200" t="e">
        <f>ROUND(VLOOKUP(C50,APUS!$E$140:$Z$231,22,0),2)</f>
        <v>#N/A</v>
      </c>
      <c r="Q50" s="200" t="e">
        <f>ROUND(VLOOKUP(C50,APUS!$F$140:$Z$231,21,0),2)</f>
        <v>#N/A</v>
      </c>
      <c r="R50" s="200" t="e">
        <f>ROUND(VLOOKUP(C50,APUS!$G$140:$Z$231,20,0),2)</f>
        <v>#N/A</v>
      </c>
      <c r="S50" s="201" t="e">
        <f t="shared" si="18"/>
        <v>#N/A</v>
      </c>
      <c r="T50" s="5"/>
      <c r="U50" s="12"/>
    </row>
    <row r="51" spans="3:21" x14ac:dyDescent="0.25">
      <c r="C51" s="41" t="s">
        <v>76</v>
      </c>
      <c r="D51" s="38" t="e">
        <f>VLOOKUP(C51,PPTO!$C$6:$H$60,2,0)</f>
        <v>#N/A</v>
      </c>
      <c r="E51" s="39" t="e">
        <f>VLOOKUP(C51,PPTO!$C$6:$H$60,3,0)</f>
        <v>#N/A</v>
      </c>
      <c r="F51" s="64">
        <f>IFERROR(SUMIFS(PPTO!$F$6:$F$60,PPTO!$C$6:$C$60,ITEMS!C51),0)</f>
        <v>0</v>
      </c>
      <c r="G51" s="65" t="e">
        <f>VLOOKUP(C51,PPTO!$C$6:$H$60,5,0)</f>
        <v>#N/A</v>
      </c>
      <c r="H51" s="43" t="e">
        <f t="shared" si="15"/>
        <v>#N/A</v>
      </c>
      <c r="I51" s="5"/>
      <c r="J51" s="5"/>
      <c r="K51" s="204" t="e">
        <f t="shared" si="16"/>
        <v>#N/A</v>
      </c>
      <c r="L51" s="204" t="e">
        <f t="shared" si="17"/>
        <v>#N/A</v>
      </c>
      <c r="M51" s="200" t="e">
        <f>ROUND(VLOOKUP(C51,APUS!$H$140:$V$231,14,0),2)</f>
        <v>#N/A</v>
      </c>
      <c r="N51" s="200" t="e">
        <f>ROUND(VLOOKUP(C51,APUS!$I$140:$V$231,13,0),2)</f>
        <v>#N/A</v>
      </c>
      <c r="O51" s="200" t="e">
        <f>ROUND(VLOOKUP(C51,APUS!$D$140:$Z$231,23,0),2)</f>
        <v>#N/A</v>
      </c>
      <c r="P51" s="200" t="e">
        <f>ROUND(VLOOKUP(C51,APUS!$E$140:$Z$231,22,0),2)</f>
        <v>#N/A</v>
      </c>
      <c r="Q51" s="200" t="e">
        <f>ROUND(VLOOKUP(C51,APUS!$F$140:$Z$231,21,0),2)</f>
        <v>#N/A</v>
      </c>
      <c r="R51" s="200" t="e">
        <f>ROUND(VLOOKUP(C51,APUS!$G$140:$Z$231,20,0),2)</f>
        <v>#N/A</v>
      </c>
      <c r="S51" s="201" t="e">
        <f t="shared" si="18"/>
        <v>#N/A</v>
      </c>
      <c r="T51" s="5"/>
      <c r="U51" s="12"/>
    </row>
    <row r="52" spans="3:21" x14ac:dyDescent="0.25">
      <c r="C52" s="41" t="s">
        <v>77</v>
      </c>
      <c r="D52" s="38" t="e">
        <f>VLOOKUP(C52,PPTO!$C$6:$H$60,2,0)</f>
        <v>#N/A</v>
      </c>
      <c r="E52" s="39" t="e">
        <f>VLOOKUP(C52,PPTO!$C$6:$H$60,3,0)</f>
        <v>#N/A</v>
      </c>
      <c r="F52" s="64">
        <f>IFERROR(SUMIFS(PPTO!$F$6:$F$60,PPTO!$C$6:$C$60,ITEMS!C52),0)</f>
        <v>0</v>
      </c>
      <c r="G52" s="65" t="e">
        <f>VLOOKUP(C52,PPTO!$C$6:$H$60,5,0)</f>
        <v>#N/A</v>
      </c>
      <c r="H52" s="43" t="e">
        <f t="shared" si="15"/>
        <v>#N/A</v>
      </c>
      <c r="I52" s="5"/>
      <c r="J52" s="5"/>
      <c r="K52" s="204" t="e">
        <f t="shared" si="16"/>
        <v>#N/A</v>
      </c>
      <c r="L52" s="204" t="e">
        <f t="shared" si="17"/>
        <v>#N/A</v>
      </c>
      <c r="M52" s="200" t="e">
        <f>ROUND(VLOOKUP(C52,APUS!$H$140:$V$231,14,0),2)</f>
        <v>#N/A</v>
      </c>
      <c r="N52" s="200" t="e">
        <f>ROUND(VLOOKUP(C52,APUS!$I$140:$V$231,13,0),2)</f>
        <v>#N/A</v>
      </c>
      <c r="O52" s="200" t="e">
        <f>ROUND(VLOOKUP(C52,APUS!$D$140:$Z$231,23,0),2)</f>
        <v>#N/A</v>
      </c>
      <c r="P52" s="200" t="e">
        <f>ROUND(VLOOKUP(C52,APUS!$E$140:$Z$231,22,0),2)</f>
        <v>#N/A</v>
      </c>
      <c r="Q52" s="200" t="e">
        <f>ROUND(VLOOKUP(C52,APUS!$F$140:$Z$231,21,0),2)</f>
        <v>#N/A</v>
      </c>
      <c r="R52" s="200" t="e">
        <f>ROUND(VLOOKUP(C52,APUS!$G$140:$Z$231,20,0),2)</f>
        <v>#N/A</v>
      </c>
      <c r="S52" s="201" t="e">
        <f t="shared" si="18"/>
        <v>#N/A</v>
      </c>
      <c r="T52" s="5"/>
      <c r="U52" s="12"/>
    </row>
    <row r="53" spans="3:21" x14ac:dyDescent="0.25">
      <c r="C53" s="41" t="s">
        <v>78</v>
      </c>
      <c r="D53" s="38" t="e">
        <f>VLOOKUP(C53,PPTO!$C$6:$H$60,2,0)</f>
        <v>#N/A</v>
      </c>
      <c r="E53" s="39" t="e">
        <f>VLOOKUP(C53,PPTO!$C$6:$H$60,3,0)</f>
        <v>#N/A</v>
      </c>
      <c r="F53" s="64">
        <f>IFERROR(SUMIFS(PPTO!$F$6:$F$60,PPTO!$C$6:$C$60,ITEMS!C53),0)</f>
        <v>0</v>
      </c>
      <c r="G53" s="65" t="e">
        <f>VLOOKUP(C53,PPTO!$C$6:$H$60,5,0)</f>
        <v>#N/A</v>
      </c>
      <c r="H53" s="43" t="e">
        <f t="shared" si="15"/>
        <v>#N/A</v>
      </c>
      <c r="I53" s="5"/>
      <c r="J53" s="5"/>
      <c r="K53" s="204" t="e">
        <f t="shared" si="16"/>
        <v>#N/A</v>
      </c>
      <c r="L53" s="204" t="e">
        <f t="shared" si="17"/>
        <v>#N/A</v>
      </c>
      <c r="M53" s="200" t="e">
        <f>ROUND(VLOOKUP(C53,APUS!$H$140:$V$231,14,0),2)</f>
        <v>#N/A</v>
      </c>
      <c r="N53" s="200" t="e">
        <f>ROUND(VLOOKUP(C53,APUS!$I$140:$V$231,13,0),2)</f>
        <v>#N/A</v>
      </c>
      <c r="O53" s="200" t="e">
        <f>ROUND(VLOOKUP(C53,APUS!$D$140:$Z$231,23,0),2)</f>
        <v>#N/A</v>
      </c>
      <c r="P53" s="200" t="e">
        <f>ROUND(VLOOKUP(C53,APUS!$E$140:$Z$231,22,0),2)</f>
        <v>#N/A</v>
      </c>
      <c r="Q53" s="200" t="e">
        <f>ROUND(VLOOKUP(C53,APUS!$F$140:$Z$231,21,0),2)</f>
        <v>#N/A</v>
      </c>
      <c r="R53" s="200" t="e">
        <f>ROUND(VLOOKUP(C53,APUS!$G$140:$Z$231,20,0),2)</f>
        <v>#N/A</v>
      </c>
      <c r="S53" s="201" t="e">
        <f t="shared" si="18"/>
        <v>#N/A</v>
      </c>
      <c r="T53" s="5"/>
      <c r="U53" s="12"/>
    </row>
    <row r="54" spans="3:21" ht="15" customHeight="1" x14ac:dyDescent="0.25">
      <c r="C54" s="62"/>
      <c r="D54" s="38"/>
      <c r="E54" s="39"/>
      <c r="F54" s="64"/>
      <c r="G54" s="65"/>
      <c r="H54" s="43"/>
      <c r="I54" s="5"/>
      <c r="J54" s="5"/>
      <c r="K54" s="12"/>
      <c r="L54" s="18"/>
      <c r="M54" s="5"/>
      <c r="N54" s="5"/>
      <c r="O54" s="5"/>
      <c r="P54" s="5"/>
      <c r="Q54" s="5"/>
      <c r="R54" s="5"/>
      <c r="S54" s="19"/>
      <c r="T54" s="5"/>
      <c r="U54" s="12"/>
    </row>
    <row r="55" spans="3:21" x14ac:dyDescent="0.25">
      <c r="C55" s="479" t="e">
        <f>+CONCATENATE("Subtotal ",D47)</f>
        <v>#N/A</v>
      </c>
      <c r="D55" s="480"/>
      <c r="E55" s="480"/>
      <c r="F55" s="480"/>
      <c r="G55" s="480"/>
      <c r="H55" s="221" t="e">
        <f>+SUM(H47:H54)</f>
        <v>#N/A</v>
      </c>
      <c r="I55" s="5"/>
      <c r="J55" s="5"/>
      <c r="K55" s="48" t="e">
        <f t="shared" ref="K55:S55" si="19">+SUM(K47:K54)</f>
        <v>#N/A</v>
      </c>
      <c r="L55" s="48" t="e">
        <f t="shared" si="19"/>
        <v>#N/A</v>
      </c>
      <c r="M55" s="48" t="e">
        <f t="shared" si="19"/>
        <v>#N/A</v>
      </c>
      <c r="N55" s="48" t="e">
        <f t="shared" si="19"/>
        <v>#N/A</v>
      </c>
      <c r="O55" s="48" t="e">
        <f t="shared" si="19"/>
        <v>#N/A</v>
      </c>
      <c r="P55" s="48" t="e">
        <f t="shared" si="19"/>
        <v>#N/A</v>
      </c>
      <c r="Q55" s="48" t="e">
        <f t="shared" si="19"/>
        <v>#N/A</v>
      </c>
      <c r="R55" s="48" t="e">
        <f t="shared" si="19"/>
        <v>#N/A</v>
      </c>
      <c r="S55" s="48" t="e">
        <f t="shared" si="19"/>
        <v>#N/A</v>
      </c>
      <c r="T55" s="5"/>
      <c r="U55" s="12"/>
    </row>
    <row r="56" spans="3:21" x14ac:dyDescent="0.25">
      <c r="C56" s="40" t="s">
        <v>41</v>
      </c>
      <c r="D56" s="451" t="e">
        <f>VLOOKUP(C56,PPTO!$C$6:$H$60,2,0)</f>
        <v>#N/A</v>
      </c>
      <c r="E56" s="452"/>
      <c r="F56" s="452"/>
      <c r="G56" s="452"/>
      <c r="H56" s="453"/>
      <c r="I56" s="5"/>
      <c r="J56" s="5"/>
      <c r="K56" s="32"/>
      <c r="L56" s="33"/>
      <c r="M56" s="27"/>
      <c r="N56" s="27"/>
      <c r="O56" s="27"/>
      <c r="P56" s="27"/>
      <c r="Q56" s="27"/>
      <c r="R56" s="27"/>
      <c r="S56" s="34"/>
      <c r="T56" s="5"/>
      <c r="U56" s="32"/>
    </row>
    <row r="57" spans="3:21" x14ac:dyDescent="0.25">
      <c r="C57" s="63" t="s">
        <v>79</v>
      </c>
      <c r="D57" s="38" t="e">
        <f>VLOOKUP(C57,PPTO!$C$6:$H$60,2,0)</f>
        <v>#N/A</v>
      </c>
      <c r="E57" s="39" t="e">
        <f>VLOOKUP(C57,PPTO!$C$6:$H$60,3,0)</f>
        <v>#N/A</v>
      </c>
      <c r="F57" s="64">
        <f>IFERROR(SUMIFS(PPTO!$F$6:$F$60,PPTO!$C$6:$C$60,ITEMS!C57),0)</f>
        <v>0</v>
      </c>
      <c r="G57" s="65" t="e">
        <f>VLOOKUP(C57,PPTO!$C$6:$H$60,5,0)</f>
        <v>#N/A</v>
      </c>
      <c r="H57" s="43" t="e">
        <f t="shared" ref="H57:H64" si="20">+ROUND(F57*G57,$Q$3)</f>
        <v>#N/A</v>
      </c>
      <c r="I57" s="5"/>
      <c r="J57" s="5"/>
      <c r="K57" s="204" t="e">
        <f t="shared" ref="K57:K64" si="21">ROUND(F57*M57,$Q$3)</f>
        <v>#N/A</v>
      </c>
      <c r="L57" s="204" t="e">
        <f t="shared" ref="L57:L64" si="22">ROUND(F57*N57,$Q$3)</f>
        <v>#N/A</v>
      </c>
      <c r="M57" s="200" t="e">
        <f>ROUND(VLOOKUP(C57,APUS!$H$140:$V$231,14,0),2)</f>
        <v>#N/A</v>
      </c>
      <c r="N57" s="200" t="e">
        <f>ROUND(VLOOKUP(C57,APUS!$I$140:$V$231,13,0),2)</f>
        <v>#N/A</v>
      </c>
      <c r="O57" s="200" t="e">
        <f>ROUND(VLOOKUP(C57,APUS!$D$140:$Z$231,23,0),2)</f>
        <v>#N/A</v>
      </c>
      <c r="P57" s="200" t="e">
        <f>ROUND(VLOOKUP(C57,APUS!$E$140:$Z$231,22,0),2)</f>
        <v>#N/A</v>
      </c>
      <c r="Q57" s="200" t="e">
        <f>ROUND(VLOOKUP(C57,APUS!$F$140:$Z$231,21,0),2)</f>
        <v>#N/A</v>
      </c>
      <c r="R57" s="200" t="e">
        <f>ROUND(VLOOKUP(C57,APUS!$G$140:$Z$231,20,0),2)</f>
        <v>#N/A</v>
      </c>
      <c r="S57" s="201" t="e">
        <f t="shared" ref="S57:S64" si="23">ROUND(SUM(O57:R57),$Q$3)</f>
        <v>#N/A</v>
      </c>
      <c r="T57" s="5"/>
      <c r="U57" s="32"/>
    </row>
    <row r="58" spans="3:21" x14ac:dyDescent="0.25">
      <c r="C58" s="63" t="s">
        <v>80</v>
      </c>
      <c r="D58" s="38" t="e">
        <f>VLOOKUP(C58,PPTO!$C$6:$H$60,2,0)</f>
        <v>#N/A</v>
      </c>
      <c r="E58" s="39" t="e">
        <f>VLOOKUP(C58,PPTO!$C$6:$H$60,3,0)</f>
        <v>#N/A</v>
      </c>
      <c r="F58" s="64">
        <f>IFERROR(SUMIFS(PPTO!$F$6:$F$60,PPTO!$C$6:$C$60,ITEMS!C58),0)</f>
        <v>0</v>
      </c>
      <c r="G58" s="65" t="e">
        <f>VLOOKUP(C58,PPTO!$C$6:$H$60,5,0)</f>
        <v>#N/A</v>
      </c>
      <c r="H58" s="43" t="e">
        <f t="shared" si="20"/>
        <v>#N/A</v>
      </c>
      <c r="I58" s="5"/>
      <c r="J58" s="5"/>
      <c r="K58" s="204" t="e">
        <f t="shared" si="21"/>
        <v>#N/A</v>
      </c>
      <c r="L58" s="204" t="e">
        <f t="shared" si="22"/>
        <v>#N/A</v>
      </c>
      <c r="M58" s="200" t="e">
        <f>ROUND(VLOOKUP(C58,APUS!$H$140:$V$231,14,0),2)</f>
        <v>#N/A</v>
      </c>
      <c r="N58" s="200" t="e">
        <f>ROUND(VLOOKUP(C58,APUS!$I$140:$V$231,13,0),2)</f>
        <v>#N/A</v>
      </c>
      <c r="O58" s="200" t="e">
        <f>ROUND(VLOOKUP(C58,APUS!$D$140:$Z$231,23,0),2)</f>
        <v>#N/A</v>
      </c>
      <c r="P58" s="200" t="e">
        <f>ROUND(VLOOKUP(C58,APUS!$E$140:$Z$231,22,0),2)</f>
        <v>#N/A</v>
      </c>
      <c r="Q58" s="200" t="e">
        <f>ROUND(VLOOKUP(C58,APUS!$F$140:$Z$231,21,0),2)</f>
        <v>#N/A</v>
      </c>
      <c r="R58" s="200" t="e">
        <f>ROUND(VLOOKUP(C58,APUS!$G$140:$Z$231,20,0),2)</f>
        <v>#N/A</v>
      </c>
      <c r="S58" s="201" t="e">
        <f t="shared" si="23"/>
        <v>#N/A</v>
      </c>
      <c r="T58" s="5"/>
      <c r="U58" s="32"/>
    </row>
    <row r="59" spans="3:21" x14ac:dyDescent="0.25">
      <c r="C59" s="63" t="s">
        <v>81</v>
      </c>
      <c r="D59" s="38" t="e">
        <f>VLOOKUP(C59,PPTO!$C$6:$H$60,2,0)</f>
        <v>#N/A</v>
      </c>
      <c r="E59" s="39" t="e">
        <f>VLOOKUP(C59,PPTO!$C$6:$H$60,3,0)</f>
        <v>#N/A</v>
      </c>
      <c r="F59" s="64">
        <f>IFERROR(SUMIFS(PPTO!$F$6:$F$60,PPTO!$C$6:$C$60,ITEMS!C59),0)</f>
        <v>0</v>
      </c>
      <c r="G59" s="65" t="e">
        <f>VLOOKUP(C59,PPTO!$C$6:$H$60,5,0)</f>
        <v>#N/A</v>
      </c>
      <c r="H59" s="43" t="e">
        <f t="shared" si="20"/>
        <v>#N/A</v>
      </c>
      <c r="I59" s="5"/>
      <c r="J59" s="5"/>
      <c r="K59" s="204" t="e">
        <f t="shared" si="21"/>
        <v>#N/A</v>
      </c>
      <c r="L59" s="204" t="e">
        <f t="shared" si="22"/>
        <v>#N/A</v>
      </c>
      <c r="M59" s="200" t="e">
        <f>ROUND(VLOOKUP(C59,APUS!$H$140:$V$231,14,0),2)</f>
        <v>#N/A</v>
      </c>
      <c r="N59" s="200" t="e">
        <f>ROUND(VLOOKUP(C59,APUS!$I$140:$V$231,13,0),2)</f>
        <v>#N/A</v>
      </c>
      <c r="O59" s="200" t="e">
        <f>ROUND(VLOOKUP(C59,APUS!$D$140:$Z$231,23,0),2)</f>
        <v>#N/A</v>
      </c>
      <c r="P59" s="200" t="e">
        <f>ROUND(VLOOKUP(C59,APUS!$E$140:$Z$231,22,0),2)</f>
        <v>#N/A</v>
      </c>
      <c r="Q59" s="200" t="e">
        <f>ROUND(VLOOKUP(C59,APUS!$F$140:$Z$231,21,0),2)</f>
        <v>#N/A</v>
      </c>
      <c r="R59" s="200" t="e">
        <f>ROUND(VLOOKUP(C59,APUS!$G$140:$Z$231,20,0),2)</f>
        <v>#N/A</v>
      </c>
      <c r="S59" s="201" t="e">
        <f t="shared" si="23"/>
        <v>#N/A</v>
      </c>
      <c r="T59" s="5"/>
      <c r="U59" s="32"/>
    </row>
    <row r="60" spans="3:21" x14ac:dyDescent="0.25">
      <c r="C60" s="63" t="s">
        <v>426</v>
      </c>
      <c r="D60" s="38" t="e">
        <f>VLOOKUP(C60,PPTO!$C$6:$H$60,2,0)</f>
        <v>#N/A</v>
      </c>
      <c r="E60" s="39" t="e">
        <f>VLOOKUP(C60,PPTO!$C$6:$H$60,3,0)</f>
        <v>#N/A</v>
      </c>
      <c r="F60" s="64">
        <f>IFERROR(SUMIFS(PPTO!$F$6:$F$60,PPTO!$C$6:$C$60,ITEMS!C60),0)</f>
        <v>0</v>
      </c>
      <c r="G60" s="65" t="e">
        <f>VLOOKUP(C60,PPTO!$C$6:$H$60,5,0)</f>
        <v>#N/A</v>
      </c>
      <c r="H60" s="43" t="e">
        <f t="shared" si="20"/>
        <v>#N/A</v>
      </c>
      <c r="I60" s="5"/>
      <c r="J60" s="5"/>
      <c r="K60" s="204" t="e">
        <f t="shared" si="21"/>
        <v>#N/A</v>
      </c>
      <c r="L60" s="204" t="e">
        <f t="shared" si="22"/>
        <v>#N/A</v>
      </c>
      <c r="M60" s="200" t="e">
        <f>ROUND(VLOOKUP(C60,APUS!$H$140:$V$231,14,0),2)</f>
        <v>#N/A</v>
      </c>
      <c r="N60" s="200" t="e">
        <f>ROUND(VLOOKUP(C60,APUS!$I$140:$V$231,13,0),2)</f>
        <v>#N/A</v>
      </c>
      <c r="O60" s="200" t="e">
        <f>ROUND(VLOOKUP(C60,APUS!$D$140:$Z$231,23,0),2)</f>
        <v>#N/A</v>
      </c>
      <c r="P60" s="200" t="e">
        <f>ROUND(VLOOKUP(C60,APUS!$E$140:$Z$231,22,0),2)</f>
        <v>#N/A</v>
      </c>
      <c r="Q60" s="200" t="e">
        <f>ROUND(VLOOKUP(C60,APUS!$F$140:$Z$231,21,0),2)</f>
        <v>#N/A</v>
      </c>
      <c r="R60" s="200" t="e">
        <f>ROUND(VLOOKUP(C60,APUS!$G$140:$Z$231,20,0),2)</f>
        <v>#N/A</v>
      </c>
      <c r="S60" s="201" t="e">
        <f t="shared" si="23"/>
        <v>#N/A</v>
      </c>
      <c r="T60" s="5"/>
      <c r="U60" s="32"/>
    </row>
    <row r="61" spans="3:21" x14ac:dyDescent="0.25">
      <c r="C61" s="63" t="s">
        <v>427</v>
      </c>
      <c r="D61" s="38" t="e">
        <f>VLOOKUP(C61,PPTO!$C$6:$H$60,2,0)</f>
        <v>#N/A</v>
      </c>
      <c r="E61" s="39" t="e">
        <f>VLOOKUP(C61,PPTO!$C$6:$H$60,3,0)</f>
        <v>#N/A</v>
      </c>
      <c r="F61" s="64">
        <f>IFERROR(SUMIFS(PPTO!$F$6:$F$60,PPTO!$C$6:$C$60,ITEMS!C61),0)</f>
        <v>0</v>
      </c>
      <c r="G61" s="65" t="e">
        <f>VLOOKUP(C61,PPTO!$C$6:$H$60,5,0)</f>
        <v>#N/A</v>
      </c>
      <c r="H61" s="43" t="e">
        <f t="shared" si="20"/>
        <v>#N/A</v>
      </c>
      <c r="I61" s="5"/>
      <c r="J61" s="5"/>
      <c r="K61" s="204" t="e">
        <f t="shared" si="21"/>
        <v>#N/A</v>
      </c>
      <c r="L61" s="204" t="e">
        <f t="shared" si="22"/>
        <v>#N/A</v>
      </c>
      <c r="M61" s="200" t="e">
        <f>ROUND(VLOOKUP(C61,APUS!$H$140:$V$231,14,0),2)</f>
        <v>#N/A</v>
      </c>
      <c r="N61" s="200" t="e">
        <f>ROUND(VLOOKUP(C61,APUS!$I$140:$V$231,13,0),2)</f>
        <v>#N/A</v>
      </c>
      <c r="O61" s="200" t="e">
        <f>ROUND(VLOOKUP(C61,APUS!$D$140:$Z$231,23,0),2)</f>
        <v>#N/A</v>
      </c>
      <c r="P61" s="200" t="e">
        <f>ROUND(VLOOKUP(C61,APUS!$E$140:$Z$231,22,0),2)</f>
        <v>#N/A</v>
      </c>
      <c r="Q61" s="200" t="e">
        <f>ROUND(VLOOKUP(C61,APUS!$F$140:$Z$231,21,0),2)</f>
        <v>#N/A</v>
      </c>
      <c r="R61" s="200" t="e">
        <f>ROUND(VLOOKUP(C61,APUS!$G$140:$Z$231,20,0),2)</f>
        <v>#N/A</v>
      </c>
      <c r="S61" s="201" t="e">
        <f t="shared" si="23"/>
        <v>#N/A</v>
      </c>
      <c r="T61" s="5"/>
      <c r="U61" s="32"/>
    </row>
    <row r="62" spans="3:21" x14ac:dyDescent="0.25">
      <c r="C62" s="63" t="s">
        <v>428</v>
      </c>
      <c r="D62" s="38" t="e">
        <f>VLOOKUP(C62,PPTO!$C$6:$H$60,2,0)</f>
        <v>#N/A</v>
      </c>
      <c r="E62" s="39" t="e">
        <f>VLOOKUP(C62,PPTO!$C$6:$H$60,3,0)</f>
        <v>#N/A</v>
      </c>
      <c r="F62" s="64">
        <f>IFERROR(SUMIFS(PPTO!$F$6:$F$60,PPTO!$C$6:$C$60,ITEMS!C62),0)</f>
        <v>0</v>
      </c>
      <c r="G62" s="65" t="e">
        <f>VLOOKUP(C62,PPTO!$C$6:$H$60,5,0)</f>
        <v>#N/A</v>
      </c>
      <c r="H62" s="43" t="e">
        <f t="shared" si="20"/>
        <v>#N/A</v>
      </c>
      <c r="I62" s="5"/>
      <c r="J62" s="5"/>
      <c r="K62" s="204" t="e">
        <f t="shared" si="21"/>
        <v>#N/A</v>
      </c>
      <c r="L62" s="204" t="e">
        <f t="shared" si="22"/>
        <v>#N/A</v>
      </c>
      <c r="M62" s="200" t="e">
        <f>ROUND(VLOOKUP(C62,APUS!$H$140:$V$231,14,0),2)</f>
        <v>#N/A</v>
      </c>
      <c r="N62" s="200" t="e">
        <f>ROUND(VLOOKUP(C62,APUS!$I$140:$V$231,13,0),2)</f>
        <v>#N/A</v>
      </c>
      <c r="O62" s="200" t="e">
        <f>ROUND(VLOOKUP(C62,APUS!$D$140:$Z$231,23,0),2)</f>
        <v>#N/A</v>
      </c>
      <c r="P62" s="200" t="e">
        <f>ROUND(VLOOKUP(C62,APUS!$E$140:$Z$231,22,0),2)</f>
        <v>#N/A</v>
      </c>
      <c r="Q62" s="200" t="e">
        <f>ROUND(VLOOKUP(C62,APUS!$F$140:$Z$231,21,0),2)</f>
        <v>#N/A</v>
      </c>
      <c r="R62" s="200" t="e">
        <f>ROUND(VLOOKUP(C62,APUS!$G$140:$Z$231,20,0),2)</f>
        <v>#N/A</v>
      </c>
      <c r="S62" s="201" t="e">
        <f t="shared" si="23"/>
        <v>#N/A</v>
      </c>
      <c r="T62" s="5"/>
      <c r="U62" s="32"/>
    </row>
    <row r="63" spans="3:21" x14ac:dyDescent="0.25">
      <c r="C63" s="63" t="s">
        <v>429</v>
      </c>
      <c r="D63" s="38" t="e">
        <f>VLOOKUP(C63,PPTO!$C$6:$H$60,2,0)</f>
        <v>#N/A</v>
      </c>
      <c r="E63" s="39" t="e">
        <f>VLOOKUP(C63,PPTO!$C$6:$H$60,3,0)</f>
        <v>#N/A</v>
      </c>
      <c r="F63" s="64">
        <f>IFERROR(SUMIFS(PPTO!$F$6:$F$60,PPTO!$C$6:$C$60,ITEMS!C63),0)</f>
        <v>0</v>
      </c>
      <c r="G63" s="65" t="e">
        <f>VLOOKUP(C63,PPTO!$C$6:$H$60,5,0)</f>
        <v>#N/A</v>
      </c>
      <c r="H63" s="43" t="e">
        <f t="shared" si="20"/>
        <v>#N/A</v>
      </c>
      <c r="I63" s="5"/>
      <c r="J63" s="5"/>
      <c r="K63" s="204" t="e">
        <f t="shared" si="21"/>
        <v>#N/A</v>
      </c>
      <c r="L63" s="204" t="e">
        <f t="shared" si="22"/>
        <v>#N/A</v>
      </c>
      <c r="M63" s="200" t="e">
        <f>ROUND(VLOOKUP(C63,APUS!$H$140:$V$231,14,0),2)</f>
        <v>#N/A</v>
      </c>
      <c r="N63" s="200" t="e">
        <f>ROUND(VLOOKUP(C63,APUS!$I$140:$V$231,13,0),2)</f>
        <v>#N/A</v>
      </c>
      <c r="O63" s="200" t="e">
        <f>ROUND(VLOOKUP(C63,APUS!$D$140:$Z$231,23,0),2)</f>
        <v>#N/A</v>
      </c>
      <c r="P63" s="200" t="e">
        <f>ROUND(VLOOKUP(C63,APUS!$E$140:$Z$231,22,0),2)</f>
        <v>#N/A</v>
      </c>
      <c r="Q63" s="200" t="e">
        <f>ROUND(VLOOKUP(C63,APUS!$F$140:$Z$231,21,0),2)</f>
        <v>#N/A</v>
      </c>
      <c r="R63" s="200" t="e">
        <f>ROUND(VLOOKUP(C63,APUS!$G$140:$Z$231,20,0),2)</f>
        <v>#N/A</v>
      </c>
      <c r="S63" s="201" t="e">
        <f t="shared" si="23"/>
        <v>#N/A</v>
      </c>
      <c r="T63" s="5"/>
      <c r="U63" s="32"/>
    </row>
    <row r="64" spans="3:21" x14ac:dyDescent="0.25">
      <c r="C64" s="63" t="s">
        <v>430</v>
      </c>
      <c r="D64" s="38" t="e">
        <f>VLOOKUP(C64,PPTO!$C$6:$H$60,2,0)</f>
        <v>#N/A</v>
      </c>
      <c r="E64" s="39" t="e">
        <f>VLOOKUP(C64,PPTO!$C$6:$H$60,3,0)</f>
        <v>#N/A</v>
      </c>
      <c r="F64" s="64">
        <f>IFERROR(SUMIFS(PPTO!$F$6:$F$60,PPTO!$C$6:$C$60,ITEMS!C64),0)</f>
        <v>0</v>
      </c>
      <c r="G64" s="65" t="e">
        <f>VLOOKUP(C64,PPTO!$C$6:$H$60,5,0)</f>
        <v>#N/A</v>
      </c>
      <c r="H64" s="43" t="e">
        <f t="shared" si="20"/>
        <v>#N/A</v>
      </c>
      <c r="I64" s="5"/>
      <c r="J64" s="5"/>
      <c r="K64" s="204" t="e">
        <f t="shared" si="21"/>
        <v>#N/A</v>
      </c>
      <c r="L64" s="204" t="e">
        <f t="shared" si="22"/>
        <v>#N/A</v>
      </c>
      <c r="M64" s="200" t="e">
        <f>ROUND(VLOOKUP(C64,APUS!$H$140:$V$231,14,0),2)</f>
        <v>#N/A</v>
      </c>
      <c r="N64" s="200" t="e">
        <f>ROUND(VLOOKUP(C64,APUS!$I$140:$V$231,13,0),2)</f>
        <v>#N/A</v>
      </c>
      <c r="O64" s="200" t="e">
        <f>ROUND(VLOOKUP(C64,APUS!$D$140:$Z$231,23,0),2)</f>
        <v>#N/A</v>
      </c>
      <c r="P64" s="200" t="e">
        <f>ROUND(VLOOKUP(C64,APUS!$E$140:$Z$231,22,0),2)</f>
        <v>#N/A</v>
      </c>
      <c r="Q64" s="200" t="e">
        <f>ROUND(VLOOKUP(C64,APUS!$F$140:$Z$231,21,0),2)</f>
        <v>#N/A</v>
      </c>
      <c r="R64" s="200" t="e">
        <f>ROUND(VLOOKUP(C64,APUS!$G$140:$Z$231,20,0),2)</f>
        <v>#N/A</v>
      </c>
      <c r="S64" s="201" t="e">
        <f t="shared" si="23"/>
        <v>#N/A</v>
      </c>
      <c r="T64" s="5"/>
      <c r="U64" s="32"/>
    </row>
    <row r="65" spans="3:21" x14ac:dyDescent="0.25">
      <c r="C65" s="45"/>
      <c r="D65" s="38"/>
      <c r="E65" s="39"/>
      <c r="F65" s="44"/>
      <c r="G65" s="44"/>
      <c r="H65" s="46"/>
      <c r="I65" s="5"/>
      <c r="J65" s="5"/>
      <c r="K65" s="32"/>
      <c r="L65" s="33"/>
      <c r="M65" s="27"/>
      <c r="N65" s="27"/>
      <c r="O65" s="27"/>
      <c r="P65" s="27"/>
      <c r="Q65" s="27"/>
      <c r="R65" s="27"/>
      <c r="S65" s="34"/>
      <c r="T65" s="5"/>
      <c r="U65" s="32"/>
    </row>
    <row r="66" spans="3:21" x14ac:dyDescent="0.25">
      <c r="C66" s="477" t="e">
        <f>+CONCATENATE("Subtotal ",D56)</f>
        <v>#N/A</v>
      </c>
      <c r="D66" s="478"/>
      <c r="E66" s="478"/>
      <c r="F66" s="478"/>
      <c r="G66" s="478"/>
      <c r="H66" s="42" t="e">
        <f>+SUM(H56:H65)</f>
        <v>#N/A</v>
      </c>
      <c r="I66" s="5"/>
      <c r="J66" s="5"/>
      <c r="K66" s="48" t="e">
        <f t="shared" ref="K66:S66" si="24">+SUM(K56:K65)</f>
        <v>#N/A</v>
      </c>
      <c r="L66" s="48" t="e">
        <f t="shared" si="24"/>
        <v>#N/A</v>
      </c>
      <c r="M66" s="48" t="e">
        <f t="shared" si="24"/>
        <v>#N/A</v>
      </c>
      <c r="N66" s="48" t="e">
        <f t="shared" si="24"/>
        <v>#N/A</v>
      </c>
      <c r="O66" s="48" t="e">
        <f t="shared" si="24"/>
        <v>#N/A</v>
      </c>
      <c r="P66" s="48" t="e">
        <f t="shared" si="24"/>
        <v>#N/A</v>
      </c>
      <c r="Q66" s="48" t="e">
        <f t="shared" si="24"/>
        <v>#N/A</v>
      </c>
      <c r="R66" s="48" t="e">
        <f t="shared" si="24"/>
        <v>#N/A</v>
      </c>
      <c r="S66" s="48" t="e">
        <f t="shared" si="24"/>
        <v>#N/A</v>
      </c>
      <c r="T66" s="5"/>
      <c r="U66" s="32"/>
    </row>
    <row r="67" spans="3:21" x14ac:dyDescent="0.25">
      <c r="C67" s="40" t="s">
        <v>42</v>
      </c>
      <c r="D67" s="451" t="e">
        <f>VLOOKUP(C67,PPTO!$C$6:$H$60,2,0)</f>
        <v>#N/A</v>
      </c>
      <c r="E67" s="452"/>
      <c r="F67" s="452"/>
      <c r="G67" s="452"/>
      <c r="H67" s="453"/>
      <c r="I67" s="5"/>
      <c r="J67" s="5"/>
      <c r="K67" s="32"/>
      <c r="L67" s="33"/>
      <c r="M67" s="27"/>
      <c r="N67" s="27"/>
      <c r="O67" s="27"/>
      <c r="P67" s="27"/>
      <c r="Q67" s="27"/>
      <c r="R67" s="27"/>
      <c r="S67" s="34"/>
      <c r="T67" s="5"/>
      <c r="U67" s="32"/>
    </row>
    <row r="68" spans="3:21" x14ac:dyDescent="0.25">
      <c r="C68" s="63" t="s">
        <v>82</v>
      </c>
      <c r="D68" s="38" t="e">
        <f>VLOOKUP(C68,PPTO!$C$6:$H$60,2,0)</f>
        <v>#N/A</v>
      </c>
      <c r="E68" s="39" t="e">
        <f>VLOOKUP(C68,PPTO!$C$6:$H$60,3,0)</f>
        <v>#N/A</v>
      </c>
      <c r="F68" s="64">
        <f>IFERROR(SUMIFS(PPTO!$F$6:$F$60,PPTO!$C$6:$C$60,ITEMS!C68),0)</f>
        <v>0</v>
      </c>
      <c r="G68" s="65" t="e">
        <f>VLOOKUP(C68,PPTO!$C$6:$H$60,5,0)</f>
        <v>#N/A</v>
      </c>
      <c r="H68" s="43" t="e">
        <f>+ROUND(F68*G68,$Q$3)</f>
        <v>#N/A</v>
      </c>
      <c r="I68" s="5"/>
      <c r="J68" s="5"/>
      <c r="K68" s="204" t="e">
        <f>ROUND(F68*M68,$Q$3)</f>
        <v>#N/A</v>
      </c>
      <c r="L68" s="204" t="e">
        <f>ROUND(F68*N68,$Q$3)</f>
        <v>#N/A</v>
      </c>
      <c r="M68" s="200" t="e">
        <f>ROUND(VLOOKUP(C68,APUS!$H$140:$V$231,14,0),2)</f>
        <v>#N/A</v>
      </c>
      <c r="N68" s="200" t="e">
        <f>ROUND(VLOOKUP(C68,APUS!$I$140:$V$231,13,0),2)</f>
        <v>#N/A</v>
      </c>
      <c r="O68" s="200" t="e">
        <f>ROUND(VLOOKUP(C68,APUS!$D$140:$Z$231,23,0),2)</f>
        <v>#N/A</v>
      </c>
      <c r="P68" s="200" t="e">
        <f>ROUND(VLOOKUP(C68,APUS!$E$140:$Z$231,22,0),2)</f>
        <v>#N/A</v>
      </c>
      <c r="Q68" s="200" t="e">
        <f>ROUND(VLOOKUP(C68,APUS!$F$140:$Z$231,21,0),2)</f>
        <v>#N/A</v>
      </c>
      <c r="R68" s="200" t="e">
        <f>ROUND(VLOOKUP(C68,APUS!$G$140:$Z$231,20,0),2)</f>
        <v>#N/A</v>
      </c>
      <c r="S68" s="201" t="e">
        <f>ROUND(SUM(O68:R68),$Q$3)</f>
        <v>#N/A</v>
      </c>
      <c r="T68" s="5"/>
      <c r="U68" s="32"/>
    </row>
    <row r="69" spans="3:21" x14ac:dyDescent="0.25">
      <c r="C69" s="63" t="s">
        <v>83</v>
      </c>
      <c r="D69" s="38" t="e">
        <f>VLOOKUP(C69,PPTO!$C$6:$H$60,2,0)</f>
        <v>#N/A</v>
      </c>
      <c r="E69" s="39" t="e">
        <f>VLOOKUP(C69,PPTO!$C$6:$H$60,3,0)</f>
        <v>#N/A</v>
      </c>
      <c r="F69" s="64">
        <f>IFERROR(SUMIFS(PPTO!$F$6:$F$60,PPTO!$C$6:$C$60,ITEMS!C69),0)</f>
        <v>0</v>
      </c>
      <c r="G69" s="65" t="e">
        <f>VLOOKUP(C69,PPTO!$C$6:$H$60,5,0)</f>
        <v>#N/A</v>
      </c>
      <c r="H69" s="43" t="e">
        <f t="shared" ref="H69:H88" si="25">+ROUND(F69*G69,$Q$3)</f>
        <v>#N/A</v>
      </c>
      <c r="I69" s="5"/>
      <c r="J69" s="5"/>
      <c r="K69" s="204" t="e">
        <f t="shared" ref="K69:K80" si="26">ROUND(F69*M69,$Q$3)</f>
        <v>#N/A</v>
      </c>
      <c r="L69" s="204" t="e">
        <f t="shared" ref="L69:L80" si="27">ROUND(F69*N69,$Q$3)</f>
        <v>#N/A</v>
      </c>
      <c r="M69" s="200" t="e">
        <f>ROUND(VLOOKUP(C69,APUS!$H$140:$V$231,14,0),2)</f>
        <v>#N/A</v>
      </c>
      <c r="N69" s="200" t="e">
        <f>ROUND(VLOOKUP(C69,APUS!$I$140:$V$231,13,0),2)</f>
        <v>#N/A</v>
      </c>
      <c r="O69" s="200" t="e">
        <f>ROUND(VLOOKUP(C69,APUS!$D$140:$Z$231,23,0),2)</f>
        <v>#N/A</v>
      </c>
      <c r="P69" s="200" t="e">
        <f>ROUND(VLOOKUP(C69,APUS!$E$140:$Z$231,22,0),2)</f>
        <v>#N/A</v>
      </c>
      <c r="Q69" s="200" t="e">
        <f>ROUND(VLOOKUP(C69,APUS!$F$140:$Z$231,21,0),2)</f>
        <v>#N/A</v>
      </c>
      <c r="R69" s="200" t="e">
        <f>ROUND(VLOOKUP(C69,APUS!$G$140:$Z$231,20,0),2)</f>
        <v>#N/A</v>
      </c>
      <c r="S69" s="201" t="e">
        <f t="shared" ref="S69:S80" si="28">ROUND(SUM(O69:R69),$Q$3)</f>
        <v>#N/A</v>
      </c>
      <c r="T69" s="5"/>
      <c r="U69" s="32"/>
    </row>
    <row r="70" spans="3:21" x14ac:dyDescent="0.25">
      <c r="C70" s="63" t="s">
        <v>84</v>
      </c>
      <c r="D70" s="38" t="e">
        <f>VLOOKUP(C70,PPTO!$C$6:$H$60,2,0)</f>
        <v>#N/A</v>
      </c>
      <c r="E70" s="39" t="e">
        <f>VLOOKUP(C70,PPTO!$C$6:$H$60,3,0)</f>
        <v>#N/A</v>
      </c>
      <c r="F70" s="64">
        <f>IFERROR(SUMIFS(PPTO!$F$6:$F$60,PPTO!$C$6:$C$60,ITEMS!C70),0)</f>
        <v>0</v>
      </c>
      <c r="G70" s="65" t="e">
        <f>VLOOKUP(C70,PPTO!$C$6:$H$60,5,0)</f>
        <v>#N/A</v>
      </c>
      <c r="H70" s="43" t="e">
        <f t="shared" si="25"/>
        <v>#N/A</v>
      </c>
      <c r="I70" s="5"/>
      <c r="J70" s="5"/>
      <c r="K70" s="204" t="e">
        <f t="shared" si="26"/>
        <v>#N/A</v>
      </c>
      <c r="L70" s="204" t="e">
        <f t="shared" si="27"/>
        <v>#N/A</v>
      </c>
      <c r="M70" s="200" t="e">
        <f>ROUND(VLOOKUP(C70,APUS!$H$140:$V$231,14,0),2)</f>
        <v>#N/A</v>
      </c>
      <c r="N70" s="200" t="e">
        <f>ROUND(VLOOKUP(C70,APUS!$I$140:$V$231,13,0),2)</f>
        <v>#N/A</v>
      </c>
      <c r="O70" s="200" t="e">
        <f>ROUND(VLOOKUP(C70,APUS!$D$140:$Z$231,23,0),2)</f>
        <v>#N/A</v>
      </c>
      <c r="P70" s="200" t="e">
        <f>ROUND(VLOOKUP(C70,APUS!$E$140:$Z$231,22,0),2)</f>
        <v>#N/A</v>
      </c>
      <c r="Q70" s="200" t="e">
        <f>ROUND(VLOOKUP(C70,APUS!$F$140:$Z$231,21,0),2)</f>
        <v>#N/A</v>
      </c>
      <c r="R70" s="200" t="e">
        <f>ROUND(VLOOKUP(C70,APUS!$G$140:$Z$231,20,0),2)</f>
        <v>#N/A</v>
      </c>
      <c r="S70" s="201" t="e">
        <f t="shared" si="28"/>
        <v>#N/A</v>
      </c>
      <c r="T70" s="5"/>
      <c r="U70" s="32"/>
    </row>
    <row r="71" spans="3:21" x14ac:dyDescent="0.25">
      <c r="C71" s="63" t="s">
        <v>378</v>
      </c>
      <c r="D71" s="38" t="e">
        <f>VLOOKUP(C71,PPTO!$C$6:$H$60,2,0)</f>
        <v>#N/A</v>
      </c>
      <c r="E71" s="39" t="e">
        <f>VLOOKUP(C71,PPTO!$C$6:$H$60,3,0)</f>
        <v>#N/A</v>
      </c>
      <c r="F71" s="64">
        <f>IFERROR(SUMIFS(PPTO!$F$6:$F$60,PPTO!$C$6:$C$60,ITEMS!C71),0)</f>
        <v>0</v>
      </c>
      <c r="G71" s="65" t="e">
        <f>VLOOKUP(C71,PPTO!$C$6:$H$60,5,0)</f>
        <v>#N/A</v>
      </c>
      <c r="H71" s="43" t="e">
        <f t="shared" si="25"/>
        <v>#N/A</v>
      </c>
      <c r="I71" s="5"/>
      <c r="J71" s="5"/>
      <c r="K71" s="204" t="e">
        <f t="shared" si="26"/>
        <v>#N/A</v>
      </c>
      <c r="L71" s="204" t="e">
        <f t="shared" si="27"/>
        <v>#N/A</v>
      </c>
      <c r="M71" s="200" t="e">
        <f>ROUND(VLOOKUP(C71,APUS!$H$140:$V$231,14,0),2)</f>
        <v>#N/A</v>
      </c>
      <c r="N71" s="200" t="e">
        <f>ROUND(VLOOKUP(C71,APUS!$I$140:$V$231,13,0),2)</f>
        <v>#N/A</v>
      </c>
      <c r="O71" s="200" t="e">
        <f>ROUND(VLOOKUP(C71,APUS!$D$140:$Z$231,23,0),2)</f>
        <v>#N/A</v>
      </c>
      <c r="P71" s="200" t="e">
        <f>ROUND(VLOOKUP(C71,APUS!$E$140:$Z$231,22,0),2)</f>
        <v>#N/A</v>
      </c>
      <c r="Q71" s="200" t="e">
        <f>ROUND(VLOOKUP(C71,APUS!$F$140:$Z$231,21,0),2)</f>
        <v>#N/A</v>
      </c>
      <c r="R71" s="200" t="e">
        <f>ROUND(VLOOKUP(C71,APUS!$G$140:$Z$231,20,0),2)</f>
        <v>#N/A</v>
      </c>
      <c r="S71" s="201" t="e">
        <f t="shared" si="28"/>
        <v>#N/A</v>
      </c>
      <c r="T71" s="5"/>
      <c r="U71" s="32"/>
    </row>
    <row r="72" spans="3:21" x14ac:dyDescent="0.25">
      <c r="C72" s="63" t="s">
        <v>379</v>
      </c>
      <c r="D72" s="38" t="e">
        <f>VLOOKUP(C72,PPTO!$C$6:$H$60,2,0)</f>
        <v>#N/A</v>
      </c>
      <c r="E72" s="39" t="e">
        <f>VLOOKUP(C72,PPTO!$C$6:$H$60,3,0)</f>
        <v>#N/A</v>
      </c>
      <c r="F72" s="64">
        <f>IFERROR(SUMIFS(PPTO!$F$6:$F$60,PPTO!$C$6:$C$60,ITEMS!C72),0)</f>
        <v>0</v>
      </c>
      <c r="G72" s="65" t="e">
        <f>VLOOKUP(C72,PPTO!$C$6:$H$60,5,0)</f>
        <v>#N/A</v>
      </c>
      <c r="H72" s="43" t="e">
        <f t="shared" si="25"/>
        <v>#N/A</v>
      </c>
      <c r="I72" s="5"/>
      <c r="J72" s="5"/>
      <c r="K72" s="204" t="e">
        <f t="shared" si="26"/>
        <v>#N/A</v>
      </c>
      <c r="L72" s="204" t="e">
        <f t="shared" si="27"/>
        <v>#N/A</v>
      </c>
      <c r="M72" s="200" t="e">
        <f>ROUND(VLOOKUP(C72,APUS!$H$140:$V$231,14,0),2)</f>
        <v>#N/A</v>
      </c>
      <c r="N72" s="200" t="e">
        <f>ROUND(VLOOKUP(C72,APUS!$I$140:$V$231,13,0),2)</f>
        <v>#N/A</v>
      </c>
      <c r="O72" s="200" t="e">
        <f>ROUND(VLOOKUP(C72,APUS!$D$140:$Z$231,23,0),2)</f>
        <v>#N/A</v>
      </c>
      <c r="P72" s="200" t="e">
        <f>ROUND(VLOOKUP(C72,APUS!$E$140:$Z$231,22,0),2)</f>
        <v>#N/A</v>
      </c>
      <c r="Q72" s="200" t="e">
        <f>ROUND(VLOOKUP(C72,APUS!$F$140:$Z$231,21,0),2)</f>
        <v>#N/A</v>
      </c>
      <c r="R72" s="200" t="e">
        <f>ROUND(VLOOKUP(C72,APUS!$G$140:$Z$231,20,0),2)</f>
        <v>#N/A</v>
      </c>
      <c r="S72" s="201" t="e">
        <f t="shared" si="28"/>
        <v>#N/A</v>
      </c>
      <c r="T72" s="5"/>
      <c r="U72" s="32"/>
    </row>
    <row r="73" spans="3:21" x14ac:dyDescent="0.25">
      <c r="C73" s="63" t="s">
        <v>380</v>
      </c>
      <c r="D73" s="38" t="e">
        <f>VLOOKUP(C73,PPTO!$C$6:$H$60,2,0)</f>
        <v>#N/A</v>
      </c>
      <c r="E73" s="39" t="e">
        <f>VLOOKUP(C73,PPTO!$C$6:$H$60,3,0)</f>
        <v>#N/A</v>
      </c>
      <c r="F73" s="64">
        <f>IFERROR(SUMIFS(PPTO!$F$6:$F$60,PPTO!$C$6:$C$60,ITEMS!C73),0)</f>
        <v>0</v>
      </c>
      <c r="G73" s="65" t="e">
        <f>VLOOKUP(C73,PPTO!$C$6:$H$60,5,0)</f>
        <v>#N/A</v>
      </c>
      <c r="H73" s="43" t="e">
        <f t="shared" si="25"/>
        <v>#N/A</v>
      </c>
      <c r="I73" s="5"/>
      <c r="J73" s="5"/>
      <c r="K73" s="204" t="e">
        <f t="shared" si="26"/>
        <v>#N/A</v>
      </c>
      <c r="L73" s="204" t="e">
        <f t="shared" si="27"/>
        <v>#N/A</v>
      </c>
      <c r="M73" s="200" t="e">
        <f>ROUND(VLOOKUP(C73,APUS!$H$140:$V$231,14,0),2)</f>
        <v>#N/A</v>
      </c>
      <c r="N73" s="200" t="e">
        <f>ROUND(VLOOKUP(C73,APUS!$I$140:$V$231,13,0),2)</f>
        <v>#N/A</v>
      </c>
      <c r="O73" s="200" t="e">
        <f>ROUND(VLOOKUP(C73,APUS!$D$140:$Z$231,23,0),2)</f>
        <v>#N/A</v>
      </c>
      <c r="P73" s="200" t="e">
        <f>ROUND(VLOOKUP(C73,APUS!$E$140:$Z$231,22,0),2)</f>
        <v>#N/A</v>
      </c>
      <c r="Q73" s="200" t="e">
        <f>ROUND(VLOOKUP(C73,APUS!$F$140:$Z$231,21,0),2)</f>
        <v>#N/A</v>
      </c>
      <c r="R73" s="200" t="e">
        <f>ROUND(VLOOKUP(C73,APUS!$G$140:$Z$231,20,0),2)</f>
        <v>#N/A</v>
      </c>
      <c r="S73" s="201" t="e">
        <f t="shared" si="28"/>
        <v>#N/A</v>
      </c>
      <c r="T73" s="5"/>
      <c r="U73" s="32"/>
    </row>
    <row r="74" spans="3:21" x14ac:dyDescent="0.25">
      <c r="C74" s="63" t="s">
        <v>381</v>
      </c>
      <c r="D74" s="38" t="e">
        <f>VLOOKUP(C74,PPTO!$C$6:$H$60,2,0)</f>
        <v>#N/A</v>
      </c>
      <c r="E74" s="39" t="e">
        <f>VLOOKUP(C74,PPTO!$C$6:$H$60,3,0)</f>
        <v>#N/A</v>
      </c>
      <c r="F74" s="64">
        <f>IFERROR(SUMIFS(PPTO!$F$6:$F$60,PPTO!$C$6:$C$60,ITEMS!C74),0)</f>
        <v>0</v>
      </c>
      <c r="G74" s="65" t="e">
        <f>VLOOKUP(C74,PPTO!$C$6:$H$60,5,0)</f>
        <v>#N/A</v>
      </c>
      <c r="H74" s="43" t="e">
        <f t="shared" si="25"/>
        <v>#N/A</v>
      </c>
      <c r="I74" s="5"/>
      <c r="J74" s="5"/>
      <c r="K74" s="204" t="e">
        <f t="shared" si="26"/>
        <v>#N/A</v>
      </c>
      <c r="L74" s="204" t="e">
        <f t="shared" si="27"/>
        <v>#N/A</v>
      </c>
      <c r="M74" s="200" t="e">
        <f>ROUND(VLOOKUP(C74,APUS!$H$140:$V$231,14,0),2)</f>
        <v>#N/A</v>
      </c>
      <c r="N74" s="200" t="e">
        <f>ROUND(VLOOKUP(C74,APUS!$I$140:$V$231,13,0),2)</f>
        <v>#N/A</v>
      </c>
      <c r="O74" s="200" t="e">
        <f>ROUND(VLOOKUP(C74,APUS!$D$140:$Z$231,23,0),2)</f>
        <v>#N/A</v>
      </c>
      <c r="P74" s="200" t="e">
        <f>ROUND(VLOOKUP(C74,APUS!$E$140:$Z$231,22,0),2)</f>
        <v>#N/A</v>
      </c>
      <c r="Q74" s="200" t="e">
        <f>ROUND(VLOOKUP(C74,APUS!$F$140:$Z$231,21,0),2)</f>
        <v>#N/A</v>
      </c>
      <c r="R74" s="200" t="e">
        <f>ROUND(VLOOKUP(C74,APUS!$G$140:$Z$231,20,0),2)</f>
        <v>#N/A</v>
      </c>
      <c r="S74" s="201" t="e">
        <f t="shared" si="28"/>
        <v>#N/A</v>
      </c>
      <c r="T74" s="5"/>
      <c r="U74" s="32"/>
    </row>
    <row r="75" spans="3:21" x14ac:dyDescent="0.25">
      <c r="C75" s="63" t="s">
        <v>382</v>
      </c>
      <c r="D75" s="38" t="e">
        <f>VLOOKUP(C75,PPTO!$C$6:$H$60,2,0)</f>
        <v>#N/A</v>
      </c>
      <c r="E75" s="39" t="e">
        <f>VLOOKUP(C75,PPTO!$C$6:$H$60,3,0)</f>
        <v>#N/A</v>
      </c>
      <c r="F75" s="64">
        <f>IFERROR(SUMIFS(PPTO!$F$6:$F$60,PPTO!$C$6:$C$60,ITEMS!C75),0)</f>
        <v>0</v>
      </c>
      <c r="G75" s="65" t="e">
        <f>VLOOKUP(C75,PPTO!$C$6:$H$60,5,0)</f>
        <v>#N/A</v>
      </c>
      <c r="H75" s="43" t="e">
        <f t="shared" si="25"/>
        <v>#N/A</v>
      </c>
      <c r="I75" s="5"/>
      <c r="J75" s="5"/>
      <c r="K75" s="204" t="e">
        <f t="shared" si="26"/>
        <v>#N/A</v>
      </c>
      <c r="L75" s="204" t="e">
        <f t="shared" si="27"/>
        <v>#N/A</v>
      </c>
      <c r="M75" s="200" t="e">
        <f>ROUND(VLOOKUP(C75,APUS!$H$140:$V$231,14,0),2)</f>
        <v>#N/A</v>
      </c>
      <c r="N75" s="200" t="e">
        <f>ROUND(VLOOKUP(C75,APUS!$I$140:$V$231,13,0),2)</f>
        <v>#N/A</v>
      </c>
      <c r="O75" s="200" t="e">
        <f>ROUND(VLOOKUP(C75,APUS!$D$140:$Z$231,23,0),2)</f>
        <v>#N/A</v>
      </c>
      <c r="P75" s="200" t="e">
        <f>ROUND(VLOOKUP(C75,APUS!$E$140:$Z$231,22,0),2)</f>
        <v>#N/A</v>
      </c>
      <c r="Q75" s="200" t="e">
        <f>ROUND(VLOOKUP(C75,APUS!$F$140:$Z$231,21,0),2)</f>
        <v>#N/A</v>
      </c>
      <c r="R75" s="200" t="e">
        <f>ROUND(VLOOKUP(C75,APUS!$G$140:$Z$231,20,0),2)</f>
        <v>#N/A</v>
      </c>
      <c r="S75" s="201" t="e">
        <f t="shared" si="28"/>
        <v>#N/A</v>
      </c>
      <c r="T75" s="5"/>
      <c r="U75" s="32"/>
    </row>
    <row r="76" spans="3:21" x14ac:dyDescent="0.25">
      <c r="C76" s="63" t="s">
        <v>383</v>
      </c>
      <c r="D76" s="38" t="e">
        <f>VLOOKUP(C76,PPTO!$C$6:$H$60,2,0)</f>
        <v>#N/A</v>
      </c>
      <c r="E76" s="39" t="e">
        <f>VLOOKUP(C76,PPTO!$C$6:$H$60,3,0)</f>
        <v>#N/A</v>
      </c>
      <c r="F76" s="64">
        <f>IFERROR(SUMIFS(PPTO!$F$6:$F$60,PPTO!$C$6:$C$60,ITEMS!C76),0)</f>
        <v>0</v>
      </c>
      <c r="G76" s="65" t="e">
        <f>VLOOKUP(C76,PPTO!$C$6:$H$60,5,0)</f>
        <v>#N/A</v>
      </c>
      <c r="H76" s="43" t="e">
        <f t="shared" si="25"/>
        <v>#N/A</v>
      </c>
      <c r="I76" s="5"/>
      <c r="J76" s="5"/>
      <c r="K76" s="204" t="e">
        <f t="shared" si="26"/>
        <v>#N/A</v>
      </c>
      <c r="L76" s="204" t="e">
        <f t="shared" si="27"/>
        <v>#N/A</v>
      </c>
      <c r="M76" s="200" t="e">
        <f>ROUND(VLOOKUP(C76,APUS!$H$140:$V$231,14,0),2)</f>
        <v>#N/A</v>
      </c>
      <c r="N76" s="200" t="e">
        <f>ROUND(VLOOKUP(C76,APUS!$I$140:$V$231,13,0),2)</f>
        <v>#N/A</v>
      </c>
      <c r="O76" s="200" t="e">
        <f>ROUND(VLOOKUP(C76,APUS!$D$140:$Z$231,23,0),2)</f>
        <v>#N/A</v>
      </c>
      <c r="P76" s="200" t="e">
        <f>ROUND(VLOOKUP(C76,APUS!$E$140:$Z$231,22,0),2)</f>
        <v>#N/A</v>
      </c>
      <c r="Q76" s="200" t="e">
        <f>ROUND(VLOOKUP(C76,APUS!$F$140:$Z$231,21,0),2)</f>
        <v>#N/A</v>
      </c>
      <c r="R76" s="200" t="e">
        <f>ROUND(VLOOKUP(C76,APUS!$G$140:$Z$231,20,0),2)</f>
        <v>#N/A</v>
      </c>
      <c r="S76" s="201" t="e">
        <f t="shared" si="28"/>
        <v>#N/A</v>
      </c>
      <c r="T76" s="5"/>
      <c r="U76" s="32"/>
    </row>
    <row r="77" spans="3:21" x14ac:dyDescent="0.25">
      <c r="C77" s="63" t="s">
        <v>384</v>
      </c>
      <c r="D77" s="38" t="e">
        <f>VLOOKUP(C77,PPTO!$C$6:$H$60,2,0)</f>
        <v>#N/A</v>
      </c>
      <c r="E77" s="39" t="e">
        <f>VLOOKUP(C77,PPTO!$C$6:$H$60,3,0)</f>
        <v>#N/A</v>
      </c>
      <c r="F77" s="64">
        <f>IFERROR(SUMIFS(PPTO!$F$6:$F$60,PPTO!$C$6:$C$60,ITEMS!C77),0)</f>
        <v>0</v>
      </c>
      <c r="G77" s="65" t="e">
        <f>VLOOKUP(C77,PPTO!$C$6:$H$60,5,0)</f>
        <v>#N/A</v>
      </c>
      <c r="H77" s="43" t="e">
        <f t="shared" si="25"/>
        <v>#N/A</v>
      </c>
      <c r="I77" s="5"/>
      <c r="J77" s="5"/>
      <c r="K77" s="204" t="e">
        <f t="shared" si="26"/>
        <v>#N/A</v>
      </c>
      <c r="L77" s="204" t="e">
        <f t="shared" si="27"/>
        <v>#N/A</v>
      </c>
      <c r="M77" s="200" t="e">
        <f>ROUND(VLOOKUP(C77,APUS!$H$140:$V$231,14,0),2)</f>
        <v>#N/A</v>
      </c>
      <c r="N77" s="200" t="e">
        <f>ROUND(VLOOKUP(C77,APUS!$I$140:$V$231,13,0),2)</f>
        <v>#N/A</v>
      </c>
      <c r="O77" s="200" t="e">
        <f>ROUND(VLOOKUP(C77,APUS!$D$140:$Z$231,23,0),2)</f>
        <v>#N/A</v>
      </c>
      <c r="P77" s="200" t="e">
        <f>ROUND(VLOOKUP(C77,APUS!$E$140:$Z$231,22,0),2)</f>
        <v>#N/A</v>
      </c>
      <c r="Q77" s="200" t="e">
        <f>ROUND(VLOOKUP(C77,APUS!$F$140:$Z$231,21,0),2)</f>
        <v>#N/A</v>
      </c>
      <c r="R77" s="200" t="e">
        <f>ROUND(VLOOKUP(C77,APUS!$G$140:$Z$231,20,0),2)</f>
        <v>#N/A</v>
      </c>
      <c r="S77" s="201" t="e">
        <f t="shared" si="28"/>
        <v>#N/A</v>
      </c>
      <c r="T77" s="5"/>
      <c r="U77" s="32"/>
    </row>
    <row r="78" spans="3:21" x14ac:dyDescent="0.25">
      <c r="C78" s="63" t="s">
        <v>385</v>
      </c>
      <c r="D78" s="38" t="e">
        <f>VLOOKUP(C78,PPTO!$C$6:$H$60,2,0)</f>
        <v>#N/A</v>
      </c>
      <c r="E78" s="39" t="e">
        <f>VLOOKUP(C78,PPTO!$C$6:$H$60,3,0)</f>
        <v>#N/A</v>
      </c>
      <c r="F78" s="64">
        <f>IFERROR(SUMIFS(PPTO!$F$6:$F$60,PPTO!$C$6:$C$60,ITEMS!C78),0)</f>
        <v>0</v>
      </c>
      <c r="G78" s="65" t="e">
        <f>VLOOKUP(C78,PPTO!$C$6:$H$60,5,0)</f>
        <v>#N/A</v>
      </c>
      <c r="H78" s="43" t="e">
        <f t="shared" si="25"/>
        <v>#N/A</v>
      </c>
      <c r="I78" s="5"/>
      <c r="J78" s="5"/>
      <c r="K78" s="204" t="e">
        <f t="shared" si="26"/>
        <v>#N/A</v>
      </c>
      <c r="L78" s="204" t="e">
        <f t="shared" si="27"/>
        <v>#N/A</v>
      </c>
      <c r="M78" s="200" t="e">
        <f>ROUND(VLOOKUP(C78,APUS!$H$140:$V$231,14,0),2)</f>
        <v>#N/A</v>
      </c>
      <c r="N78" s="200" t="e">
        <f>ROUND(VLOOKUP(C78,APUS!$I$140:$V$231,13,0),2)</f>
        <v>#N/A</v>
      </c>
      <c r="O78" s="200" t="e">
        <f>ROUND(VLOOKUP(C78,APUS!$D$140:$Z$231,23,0),2)</f>
        <v>#N/A</v>
      </c>
      <c r="P78" s="200" t="e">
        <f>ROUND(VLOOKUP(C78,APUS!$E$140:$Z$231,22,0),2)</f>
        <v>#N/A</v>
      </c>
      <c r="Q78" s="200" t="e">
        <f>ROUND(VLOOKUP(C78,APUS!$F$140:$Z$231,21,0),2)</f>
        <v>#N/A</v>
      </c>
      <c r="R78" s="200" t="e">
        <f>ROUND(VLOOKUP(C78,APUS!$G$140:$Z$231,20,0),2)</f>
        <v>#N/A</v>
      </c>
      <c r="S78" s="201" t="e">
        <f t="shared" si="28"/>
        <v>#N/A</v>
      </c>
      <c r="T78" s="5"/>
      <c r="U78" s="32"/>
    </row>
    <row r="79" spans="3:21" x14ac:dyDescent="0.25">
      <c r="C79" s="63" t="s">
        <v>386</v>
      </c>
      <c r="D79" s="38" t="e">
        <f>VLOOKUP(C79,PPTO!$C$6:$H$60,2,0)</f>
        <v>#N/A</v>
      </c>
      <c r="E79" s="39" t="e">
        <f>VLOOKUP(C79,PPTO!$C$6:$H$60,3,0)</f>
        <v>#N/A</v>
      </c>
      <c r="F79" s="64">
        <f>IFERROR(SUMIFS(PPTO!$F$6:$F$60,PPTO!$C$6:$C$60,ITEMS!C79),0)</f>
        <v>0</v>
      </c>
      <c r="G79" s="65" t="e">
        <f>VLOOKUP(C79,PPTO!$C$6:$H$60,5,0)</f>
        <v>#N/A</v>
      </c>
      <c r="H79" s="43" t="e">
        <f t="shared" si="25"/>
        <v>#N/A</v>
      </c>
      <c r="I79" s="5"/>
      <c r="J79" s="5"/>
      <c r="K79" s="204" t="e">
        <f t="shared" si="26"/>
        <v>#N/A</v>
      </c>
      <c r="L79" s="204" t="e">
        <f t="shared" si="27"/>
        <v>#N/A</v>
      </c>
      <c r="M79" s="200" t="e">
        <f>ROUND(VLOOKUP(C79,APUS!$H$140:$V$231,14,0),2)</f>
        <v>#N/A</v>
      </c>
      <c r="N79" s="200" t="e">
        <f>ROUND(VLOOKUP(C79,APUS!$I$140:$V$231,13,0),2)</f>
        <v>#N/A</v>
      </c>
      <c r="O79" s="200" t="e">
        <f>ROUND(VLOOKUP(C79,APUS!$D$140:$Z$231,23,0),2)</f>
        <v>#N/A</v>
      </c>
      <c r="P79" s="200" t="e">
        <f>ROUND(VLOOKUP(C79,APUS!$E$140:$Z$231,22,0),2)</f>
        <v>#N/A</v>
      </c>
      <c r="Q79" s="200" t="e">
        <f>ROUND(VLOOKUP(C79,APUS!$F$140:$Z$231,21,0),2)</f>
        <v>#N/A</v>
      </c>
      <c r="R79" s="200" t="e">
        <f>ROUND(VLOOKUP(C79,APUS!$G$140:$Z$231,20,0),2)</f>
        <v>#N/A</v>
      </c>
      <c r="S79" s="201" t="e">
        <f t="shared" si="28"/>
        <v>#N/A</v>
      </c>
      <c r="T79" s="5"/>
      <c r="U79" s="32"/>
    </row>
    <row r="80" spans="3:21" x14ac:dyDescent="0.25">
      <c r="C80" s="63" t="s">
        <v>387</v>
      </c>
      <c r="D80" s="38" t="e">
        <f>VLOOKUP(C80,PPTO!$C$6:$H$60,2,0)</f>
        <v>#N/A</v>
      </c>
      <c r="E80" s="39" t="e">
        <f>VLOOKUP(C80,PPTO!$C$6:$H$60,3,0)</f>
        <v>#N/A</v>
      </c>
      <c r="F80" s="64">
        <f>IFERROR(SUMIFS(PPTO!$F$6:$F$60,PPTO!$C$6:$C$60,ITEMS!C80),0)</f>
        <v>0</v>
      </c>
      <c r="G80" s="65" t="e">
        <f>VLOOKUP(C80,PPTO!$C$6:$H$60,5,0)</f>
        <v>#N/A</v>
      </c>
      <c r="H80" s="43" t="e">
        <f t="shared" si="25"/>
        <v>#N/A</v>
      </c>
      <c r="I80" s="5"/>
      <c r="J80" s="5"/>
      <c r="K80" s="204" t="e">
        <f t="shared" si="26"/>
        <v>#N/A</v>
      </c>
      <c r="L80" s="204" t="e">
        <f t="shared" si="27"/>
        <v>#N/A</v>
      </c>
      <c r="M80" s="200" t="e">
        <f>ROUND(VLOOKUP(C80,APUS!$H$140:$V$231,14,0),2)</f>
        <v>#N/A</v>
      </c>
      <c r="N80" s="200" t="e">
        <f>ROUND(VLOOKUP(C80,APUS!$I$140:$V$231,13,0),2)</f>
        <v>#N/A</v>
      </c>
      <c r="O80" s="200" t="e">
        <f>ROUND(VLOOKUP(C80,APUS!$D$140:$Z$231,23,0),2)</f>
        <v>#N/A</v>
      </c>
      <c r="P80" s="200" t="e">
        <f>ROUND(VLOOKUP(C80,APUS!$E$140:$Z$231,22,0),2)</f>
        <v>#N/A</v>
      </c>
      <c r="Q80" s="200" t="e">
        <f>ROUND(VLOOKUP(C80,APUS!$F$140:$Z$231,21,0),2)</f>
        <v>#N/A</v>
      </c>
      <c r="R80" s="200" t="e">
        <f>ROUND(VLOOKUP(C80,APUS!$G$140:$Z$231,20,0),2)</f>
        <v>#N/A</v>
      </c>
      <c r="S80" s="201" t="e">
        <f t="shared" si="28"/>
        <v>#N/A</v>
      </c>
      <c r="T80" s="5"/>
      <c r="U80" s="32"/>
    </row>
    <row r="81" spans="3:22" x14ac:dyDescent="0.25">
      <c r="C81" s="63" t="s">
        <v>389</v>
      </c>
      <c r="D81" s="38" t="e">
        <f>VLOOKUP(C81,PPTO!$C$6:$H$60,2,0)</f>
        <v>#N/A</v>
      </c>
      <c r="E81" s="39" t="e">
        <f>VLOOKUP(C81,PPTO!$C$6:$H$60,3,0)</f>
        <v>#N/A</v>
      </c>
      <c r="F81" s="64">
        <f>IFERROR(SUMIFS(PPTO!$F$6:$F$60,PPTO!$C$6:$C$60,ITEMS!C81),0)</f>
        <v>0</v>
      </c>
      <c r="G81" s="65" t="e">
        <f>VLOOKUP(C81,PPTO!$C$6:$H$60,5,0)</f>
        <v>#N/A</v>
      </c>
      <c r="H81" s="43" t="e">
        <f t="shared" si="25"/>
        <v>#N/A</v>
      </c>
      <c r="I81" s="5"/>
      <c r="J81" s="5"/>
      <c r="K81" s="204" t="e">
        <f>ROUND(F81*M81,$Q$3)</f>
        <v>#N/A</v>
      </c>
      <c r="L81" s="204" t="e">
        <f>ROUND(F81*N81,$Q$3)</f>
        <v>#N/A</v>
      </c>
      <c r="M81" s="200" t="e">
        <f>ROUND(VLOOKUP(C81,APUS!$H$140:$V$231,14,0),2)</f>
        <v>#N/A</v>
      </c>
      <c r="N81" s="200" t="e">
        <f>ROUND(VLOOKUP(C81,APUS!$I$140:$V$231,13,0),2)</f>
        <v>#N/A</v>
      </c>
      <c r="O81" s="200" t="e">
        <f>ROUND(VLOOKUP(C81,APUS!$D$140:$Z$231,23,0),2)</f>
        <v>#N/A</v>
      </c>
      <c r="P81" s="200" t="e">
        <f>ROUND(VLOOKUP(C81,APUS!$E$140:$Z$231,22,0),2)</f>
        <v>#N/A</v>
      </c>
      <c r="Q81" s="200" t="e">
        <f>ROUND(VLOOKUP(C81,APUS!$F$140:$Z$231,21,0),2)</f>
        <v>#N/A</v>
      </c>
      <c r="R81" s="200" t="e">
        <f>ROUND(VLOOKUP(C81,APUS!$G$140:$Z$231,20,0),2)</f>
        <v>#N/A</v>
      </c>
      <c r="S81" s="201" t="e">
        <f>ROUND(SUM(O81:R81),$Q$3)</f>
        <v>#N/A</v>
      </c>
      <c r="T81" s="5"/>
      <c r="U81" s="32"/>
    </row>
    <row r="82" spans="3:22" x14ac:dyDescent="0.25">
      <c r="C82" s="63" t="s">
        <v>390</v>
      </c>
      <c r="D82" s="38" t="e">
        <f>VLOOKUP(C82,PPTO!$C$6:$H$60,2,0)</f>
        <v>#N/A</v>
      </c>
      <c r="E82" s="39" t="e">
        <f>VLOOKUP(C82,PPTO!$C$6:$H$60,3,0)</f>
        <v>#N/A</v>
      </c>
      <c r="F82" s="64">
        <f>IFERROR(SUMIFS(PPTO!$F$6:$F$60,PPTO!$C$6:$C$60,ITEMS!C82),0)</f>
        <v>0</v>
      </c>
      <c r="G82" s="65" t="e">
        <f>VLOOKUP(C82,PPTO!$C$6:$H$60,5,0)</f>
        <v>#N/A</v>
      </c>
      <c r="H82" s="43" t="e">
        <f t="shared" si="25"/>
        <v>#N/A</v>
      </c>
      <c r="I82" s="5"/>
      <c r="J82" s="5"/>
      <c r="K82" s="204" t="e">
        <f t="shared" ref="K82:K87" si="29">ROUND(F82*M82,$Q$3)</f>
        <v>#N/A</v>
      </c>
      <c r="L82" s="204" t="e">
        <f t="shared" ref="L82:L87" si="30">ROUND(F82*N82,$Q$3)</f>
        <v>#N/A</v>
      </c>
      <c r="M82" s="200" t="e">
        <f>ROUND(VLOOKUP(C82,APUS!$H$140:$V$231,14,0),2)</f>
        <v>#N/A</v>
      </c>
      <c r="N82" s="200" t="e">
        <f>ROUND(VLOOKUP(C82,APUS!$I$140:$V$231,13,0),2)</f>
        <v>#N/A</v>
      </c>
      <c r="O82" s="200" t="e">
        <f>ROUND(VLOOKUP(C82,APUS!$D$140:$Z$231,23,0),2)</f>
        <v>#N/A</v>
      </c>
      <c r="P82" s="200" t="e">
        <f>ROUND(VLOOKUP(C82,APUS!$E$140:$Z$231,22,0),2)</f>
        <v>#N/A</v>
      </c>
      <c r="Q82" s="200" t="e">
        <f>ROUND(VLOOKUP(C82,APUS!$F$140:$Z$231,21,0),2)</f>
        <v>#N/A</v>
      </c>
      <c r="R82" s="200" t="e">
        <f>ROUND(VLOOKUP(C82,APUS!$G$140:$Z$231,20,0),2)</f>
        <v>#N/A</v>
      </c>
      <c r="S82" s="201" t="e">
        <f t="shared" ref="S82:S87" si="31">ROUND(SUM(O82:R82),$Q$3)</f>
        <v>#N/A</v>
      </c>
      <c r="T82" s="5"/>
      <c r="U82" s="32"/>
    </row>
    <row r="83" spans="3:22" x14ac:dyDescent="0.25">
      <c r="C83" s="63" t="s">
        <v>391</v>
      </c>
      <c r="D83" s="38" t="e">
        <f>VLOOKUP(C83,PPTO!$C$6:$H$60,2,0)</f>
        <v>#N/A</v>
      </c>
      <c r="E83" s="39" t="e">
        <f>VLOOKUP(C83,PPTO!$C$6:$H$60,3,0)</f>
        <v>#N/A</v>
      </c>
      <c r="F83" s="64">
        <f>IFERROR(SUMIFS(PPTO!$F$6:$F$60,PPTO!$C$6:$C$60,ITEMS!C83),0)</f>
        <v>0</v>
      </c>
      <c r="G83" s="65" t="e">
        <f>VLOOKUP(C83,PPTO!$C$6:$H$60,5,0)</f>
        <v>#N/A</v>
      </c>
      <c r="H83" s="43" t="e">
        <f t="shared" si="25"/>
        <v>#N/A</v>
      </c>
      <c r="I83" s="5"/>
      <c r="J83" s="5"/>
      <c r="K83" s="204" t="e">
        <f t="shared" si="29"/>
        <v>#N/A</v>
      </c>
      <c r="L83" s="204" t="e">
        <f t="shared" si="30"/>
        <v>#N/A</v>
      </c>
      <c r="M83" s="200" t="e">
        <f>ROUND(VLOOKUP(C83,APUS!$H$140:$V$231,14,0),2)</f>
        <v>#N/A</v>
      </c>
      <c r="N83" s="200" t="e">
        <f>ROUND(VLOOKUP(C83,APUS!$I$140:$V$231,13,0),2)</f>
        <v>#N/A</v>
      </c>
      <c r="O83" s="200" t="e">
        <f>ROUND(VLOOKUP(C83,APUS!$D$140:$Z$231,23,0),2)</f>
        <v>#N/A</v>
      </c>
      <c r="P83" s="200" t="e">
        <f>ROUND(VLOOKUP(C83,APUS!$E$140:$Z$231,22,0),2)</f>
        <v>#N/A</v>
      </c>
      <c r="Q83" s="200" t="e">
        <f>ROUND(VLOOKUP(C83,APUS!$F$140:$Z$231,21,0),2)</f>
        <v>#N/A</v>
      </c>
      <c r="R83" s="200" t="e">
        <f>ROUND(VLOOKUP(C83,APUS!$G$140:$Z$231,20,0),2)</f>
        <v>#N/A</v>
      </c>
      <c r="S83" s="201" t="e">
        <f t="shared" si="31"/>
        <v>#N/A</v>
      </c>
      <c r="T83" s="5"/>
      <c r="U83" s="32"/>
    </row>
    <row r="84" spans="3:22" x14ac:dyDescent="0.25">
      <c r="C84" s="63" t="s">
        <v>392</v>
      </c>
      <c r="D84" s="38" t="e">
        <f>VLOOKUP(C84,PPTO!$C$6:$H$60,2,0)</f>
        <v>#N/A</v>
      </c>
      <c r="E84" s="39" t="e">
        <f>VLOOKUP(C84,PPTO!$C$6:$H$60,3,0)</f>
        <v>#N/A</v>
      </c>
      <c r="F84" s="64">
        <f>IFERROR(SUMIFS(PPTO!$F$6:$F$60,PPTO!$C$6:$C$60,ITEMS!C84),0)</f>
        <v>0</v>
      </c>
      <c r="G84" s="65" t="e">
        <f>VLOOKUP(C84,PPTO!$C$6:$H$60,5,0)</f>
        <v>#N/A</v>
      </c>
      <c r="H84" s="43" t="e">
        <f t="shared" si="25"/>
        <v>#N/A</v>
      </c>
      <c r="I84" s="5"/>
      <c r="J84" s="5"/>
      <c r="K84" s="204" t="e">
        <f t="shared" si="29"/>
        <v>#N/A</v>
      </c>
      <c r="L84" s="204" t="e">
        <f t="shared" si="30"/>
        <v>#N/A</v>
      </c>
      <c r="M84" s="200" t="e">
        <f>ROUND(VLOOKUP(C84,APUS!$H$140:$V$231,14,0),2)</f>
        <v>#N/A</v>
      </c>
      <c r="N84" s="200" t="e">
        <f>ROUND(VLOOKUP(C84,APUS!$I$140:$V$231,13,0),2)</f>
        <v>#N/A</v>
      </c>
      <c r="O84" s="200" t="e">
        <f>ROUND(VLOOKUP(C84,APUS!$D$140:$Z$231,23,0),2)</f>
        <v>#N/A</v>
      </c>
      <c r="P84" s="200" t="e">
        <f>ROUND(VLOOKUP(C84,APUS!$E$140:$Z$231,22,0),2)</f>
        <v>#N/A</v>
      </c>
      <c r="Q84" s="200" t="e">
        <f>ROUND(VLOOKUP(C84,APUS!$F$140:$Z$231,21,0),2)</f>
        <v>#N/A</v>
      </c>
      <c r="R84" s="200" t="e">
        <f>ROUND(VLOOKUP(C84,APUS!$G$140:$Z$231,20,0),2)</f>
        <v>#N/A</v>
      </c>
      <c r="S84" s="201" t="e">
        <f t="shared" si="31"/>
        <v>#N/A</v>
      </c>
      <c r="T84" s="5"/>
      <c r="U84" s="32"/>
    </row>
    <row r="85" spans="3:22" x14ac:dyDescent="0.25">
      <c r="C85" s="63" t="s">
        <v>445</v>
      </c>
      <c r="D85" s="38" t="e">
        <f>VLOOKUP(C85,PPTO!$C$6:$H$60,2,0)</f>
        <v>#N/A</v>
      </c>
      <c r="E85" s="39" t="e">
        <f>VLOOKUP(C85,PPTO!$C$6:$H$60,3,0)</f>
        <v>#N/A</v>
      </c>
      <c r="F85" s="64">
        <f>IFERROR(SUMIFS(PPTO!$F$6:$F$60,PPTO!$C$6:$C$60,ITEMS!C85),0)</f>
        <v>0</v>
      </c>
      <c r="G85" s="65" t="e">
        <f>VLOOKUP(C85,PPTO!$C$6:$H$60,5,0)</f>
        <v>#N/A</v>
      </c>
      <c r="H85" s="43" t="e">
        <f t="shared" si="25"/>
        <v>#N/A</v>
      </c>
      <c r="I85" s="5"/>
      <c r="J85" s="5"/>
      <c r="K85" s="204" t="e">
        <f t="shared" si="29"/>
        <v>#N/A</v>
      </c>
      <c r="L85" s="204" t="e">
        <f t="shared" si="30"/>
        <v>#N/A</v>
      </c>
      <c r="M85" s="200" t="e">
        <f>ROUND(VLOOKUP(C85,APUS!$H$140:$V$231,14,0),2)</f>
        <v>#N/A</v>
      </c>
      <c r="N85" s="200" t="e">
        <f>ROUND(VLOOKUP(C85,APUS!$I$140:$V$231,13,0),2)</f>
        <v>#N/A</v>
      </c>
      <c r="O85" s="200" t="e">
        <f>ROUND(VLOOKUP(C85,APUS!$D$140:$Z$231,23,0),2)</f>
        <v>#N/A</v>
      </c>
      <c r="P85" s="200" t="e">
        <f>ROUND(VLOOKUP(C85,APUS!$E$140:$Z$231,22,0),2)</f>
        <v>#N/A</v>
      </c>
      <c r="Q85" s="200" t="e">
        <f>ROUND(VLOOKUP(C85,APUS!$F$140:$Z$231,21,0),2)</f>
        <v>#N/A</v>
      </c>
      <c r="R85" s="200" t="e">
        <f>ROUND(VLOOKUP(C85,APUS!$G$140:$Z$231,20,0),2)</f>
        <v>#N/A</v>
      </c>
      <c r="S85" s="201" t="e">
        <f t="shared" si="31"/>
        <v>#N/A</v>
      </c>
      <c r="T85" s="5"/>
      <c r="U85" s="32"/>
    </row>
    <row r="86" spans="3:22" x14ac:dyDescent="0.25">
      <c r="C86" s="63" t="s">
        <v>446</v>
      </c>
      <c r="D86" s="38" t="e">
        <f>VLOOKUP(C86,PPTO!$C$6:$H$60,2,0)</f>
        <v>#N/A</v>
      </c>
      <c r="E86" s="39" t="e">
        <f>VLOOKUP(C86,PPTO!$C$6:$H$60,3,0)</f>
        <v>#N/A</v>
      </c>
      <c r="F86" s="64">
        <f>IFERROR(SUMIFS(PPTO!$F$6:$F$60,PPTO!$C$6:$C$60,ITEMS!C86),0)</f>
        <v>0</v>
      </c>
      <c r="G86" s="65" t="e">
        <f>VLOOKUP(C86,PPTO!$C$6:$H$60,5,0)</f>
        <v>#N/A</v>
      </c>
      <c r="H86" s="43" t="e">
        <f t="shared" si="25"/>
        <v>#N/A</v>
      </c>
      <c r="I86" s="5"/>
      <c r="J86" s="5"/>
      <c r="K86" s="204"/>
      <c r="L86" s="204"/>
      <c r="M86" s="200"/>
      <c r="N86" s="200"/>
      <c r="O86" s="200"/>
      <c r="P86" s="200"/>
      <c r="Q86" s="200"/>
      <c r="R86" s="200"/>
      <c r="S86" s="201"/>
      <c r="T86" s="5"/>
      <c r="U86" s="32"/>
    </row>
    <row r="87" spans="3:22" x14ac:dyDescent="0.25">
      <c r="C87" s="63" t="s">
        <v>447</v>
      </c>
      <c r="D87" s="38" t="e">
        <f>VLOOKUP(C87,PPTO!$C$6:$H$60,2,0)</f>
        <v>#N/A</v>
      </c>
      <c r="E87" s="39" t="e">
        <f>VLOOKUP(C87,PPTO!$C$6:$H$60,3,0)</f>
        <v>#N/A</v>
      </c>
      <c r="F87" s="64">
        <f>IFERROR(SUMIFS(PPTO!$F$6:$F$60,PPTO!$C$6:$C$60,ITEMS!C87),0)</f>
        <v>0</v>
      </c>
      <c r="G87" s="65" t="e">
        <f>VLOOKUP(C87,PPTO!$C$6:$H$60,5,0)</f>
        <v>#N/A</v>
      </c>
      <c r="H87" s="43" t="e">
        <f t="shared" si="25"/>
        <v>#N/A</v>
      </c>
      <c r="I87" s="5"/>
      <c r="J87" s="5"/>
      <c r="K87" s="204" t="e">
        <f t="shared" si="29"/>
        <v>#N/A</v>
      </c>
      <c r="L87" s="204" t="e">
        <f t="shared" si="30"/>
        <v>#N/A</v>
      </c>
      <c r="M87" s="200" t="e">
        <f>ROUND(VLOOKUP(C87,APUS!$H$140:$V$231,14,0),2)</f>
        <v>#N/A</v>
      </c>
      <c r="N87" s="200" t="e">
        <f>ROUND(VLOOKUP(C87,APUS!$I$140:$V$231,13,0),2)</f>
        <v>#N/A</v>
      </c>
      <c r="O87" s="200" t="e">
        <f>ROUND(VLOOKUP(C87,APUS!$D$140:$Z$231,23,0),2)</f>
        <v>#N/A</v>
      </c>
      <c r="P87" s="200" t="e">
        <f>ROUND(VLOOKUP(C87,APUS!$E$140:$Z$231,22,0),2)</f>
        <v>#N/A</v>
      </c>
      <c r="Q87" s="200" t="e">
        <f>ROUND(VLOOKUP(C87,APUS!$F$140:$Z$231,21,0),2)</f>
        <v>#N/A</v>
      </c>
      <c r="R87" s="200" t="e">
        <f>ROUND(VLOOKUP(C87,APUS!$G$140:$Z$231,20,0),2)</f>
        <v>#N/A</v>
      </c>
      <c r="S87" s="201" t="e">
        <f t="shared" si="31"/>
        <v>#N/A</v>
      </c>
      <c r="T87" s="5"/>
      <c r="U87" s="32"/>
    </row>
    <row r="88" spans="3:22" x14ac:dyDescent="0.25">
      <c r="C88" s="63" t="s">
        <v>448</v>
      </c>
      <c r="D88" s="38" t="e">
        <f>VLOOKUP(C88,PPTO!$C$6:$H$60,2,0)</f>
        <v>#N/A</v>
      </c>
      <c r="E88" s="39" t="e">
        <f>VLOOKUP(C88,PPTO!$C$6:$H$60,3,0)</f>
        <v>#N/A</v>
      </c>
      <c r="F88" s="64">
        <f>IFERROR(SUMIFS(PPTO!$F$6:$F$60,PPTO!$C$6:$C$60,ITEMS!C88),0)</f>
        <v>0</v>
      </c>
      <c r="G88" s="65" t="e">
        <f>VLOOKUP(C88,PPTO!$C$6:$H$60,5,0)</f>
        <v>#N/A</v>
      </c>
      <c r="H88" s="43" t="e">
        <f t="shared" si="25"/>
        <v>#N/A</v>
      </c>
      <c r="I88" s="5"/>
      <c r="J88" s="5"/>
      <c r="K88" s="204" t="e">
        <f>ROUND(F88*M88,$Q$3)</f>
        <v>#N/A</v>
      </c>
      <c r="L88" s="204" t="e">
        <f>ROUND(F88*N88,$Q$3)</f>
        <v>#N/A</v>
      </c>
      <c r="M88" s="200" t="e">
        <f>ROUND(VLOOKUP(C88,APUS!$H$140:$V$231,14,0),2)</f>
        <v>#N/A</v>
      </c>
      <c r="N88" s="200" t="e">
        <f>ROUND(VLOOKUP(C88,APUS!$I$140:$V$231,13,0),2)</f>
        <v>#N/A</v>
      </c>
      <c r="O88" s="200" t="e">
        <f>ROUND(VLOOKUP(C88,APUS!$D$140:$Z$231,23,0),2)</f>
        <v>#N/A</v>
      </c>
      <c r="P88" s="200" t="e">
        <f>ROUND(VLOOKUP(C88,APUS!$E$140:$Z$231,22,0),2)</f>
        <v>#N/A</v>
      </c>
      <c r="Q88" s="200" t="e">
        <f>ROUND(VLOOKUP(C88,APUS!$F$140:$Z$231,21,0),2)</f>
        <v>#N/A</v>
      </c>
      <c r="R88" s="200" t="e">
        <f>ROUND(VLOOKUP(C88,APUS!$G$140:$Z$231,20,0),2)</f>
        <v>#N/A</v>
      </c>
      <c r="S88" s="201" t="e">
        <f>ROUND(SUM(O88:R88),$Q$3)</f>
        <v>#N/A</v>
      </c>
      <c r="T88" s="5"/>
      <c r="U88" s="32"/>
    </row>
    <row r="89" spans="3:22" x14ac:dyDescent="0.25">
      <c r="C89" s="45"/>
      <c r="D89" s="38"/>
      <c r="E89" s="39"/>
      <c r="F89" s="44"/>
      <c r="G89" s="44"/>
      <c r="H89" s="46"/>
      <c r="I89" s="5"/>
      <c r="J89" s="5"/>
      <c r="K89" s="32"/>
      <c r="L89" s="33"/>
      <c r="M89" s="27"/>
      <c r="N89" s="27"/>
      <c r="O89" s="27"/>
      <c r="P89" s="27"/>
      <c r="Q89" s="27"/>
      <c r="R89" s="27"/>
      <c r="S89" s="34"/>
      <c r="T89" s="5"/>
      <c r="U89" s="32"/>
    </row>
    <row r="90" spans="3:22" x14ac:dyDescent="0.25">
      <c r="C90" s="477" t="e">
        <f>+CONCATENATE("Subtotal ",D67)</f>
        <v>#N/A</v>
      </c>
      <c r="D90" s="478"/>
      <c r="E90" s="478"/>
      <c r="F90" s="478"/>
      <c r="G90" s="478"/>
      <c r="H90" s="42" t="e">
        <f>+SUM(H67:H89)</f>
        <v>#N/A</v>
      </c>
      <c r="I90" s="5"/>
      <c r="J90" s="5"/>
      <c r="K90" s="48" t="e">
        <f t="shared" ref="K90:S90" si="32">+SUM(K67:K89)</f>
        <v>#N/A</v>
      </c>
      <c r="L90" s="48" t="e">
        <f t="shared" si="32"/>
        <v>#N/A</v>
      </c>
      <c r="M90" s="48" t="e">
        <f t="shared" si="32"/>
        <v>#N/A</v>
      </c>
      <c r="N90" s="48" t="e">
        <f t="shared" si="32"/>
        <v>#N/A</v>
      </c>
      <c r="O90" s="48" t="e">
        <f t="shared" si="32"/>
        <v>#N/A</v>
      </c>
      <c r="P90" s="48" t="e">
        <f t="shared" si="32"/>
        <v>#N/A</v>
      </c>
      <c r="Q90" s="48" t="e">
        <f t="shared" si="32"/>
        <v>#N/A</v>
      </c>
      <c r="R90" s="48" t="e">
        <f t="shared" si="32"/>
        <v>#N/A</v>
      </c>
      <c r="S90" s="48" t="e">
        <f t="shared" si="32"/>
        <v>#N/A</v>
      </c>
      <c r="T90" s="5"/>
      <c r="U90" s="32"/>
    </row>
    <row r="91" spans="3:22" s="37" customFormat="1" ht="15" customHeight="1" x14ac:dyDescent="0.25">
      <c r="C91" s="5"/>
      <c r="D91" s="5"/>
      <c r="E91" s="5"/>
      <c r="F91" s="5"/>
      <c r="G91" s="5"/>
      <c r="H91" s="5"/>
      <c r="I91" s="5"/>
      <c r="J91" s="5"/>
      <c r="K91" s="35"/>
      <c r="L91" s="36"/>
      <c r="M91" s="5"/>
      <c r="N91" s="5"/>
      <c r="O91" s="5"/>
      <c r="P91" s="5"/>
      <c r="Q91" s="5"/>
      <c r="R91" s="5"/>
      <c r="S91" s="19"/>
      <c r="T91" s="5"/>
      <c r="V91" s="35"/>
    </row>
    <row r="92" spans="3:22" s="37" customFormat="1" ht="15" customHeight="1" x14ac:dyDescent="0.25">
      <c r="C92" s="473" t="s">
        <v>17</v>
      </c>
      <c r="D92" s="473"/>
      <c r="E92" s="473"/>
      <c r="F92" s="473"/>
      <c r="G92" s="473"/>
      <c r="H92" s="48" t="e">
        <f>H20+H29+H46+H55+H66+H90</f>
        <v>#N/A</v>
      </c>
      <c r="I92" s="5"/>
      <c r="J92" s="5"/>
      <c r="K92" s="48" t="e">
        <f>K20+K29+K46+K55+K90</f>
        <v>#N/A</v>
      </c>
      <c r="L92" s="48" t="e">
        <f t="shared" ref="L92:S92" si="33">L20+L29+L46+L55+L90</f>
        <v>#N/A</v>
      </c>
      <c r="M92" s="48" t="e">
        <f t="shared" si="33"/>
        <v>#N/A</v>
      </c>
      <c r="N92" s="48" t="e">
        <f t="shared" si="33"/>
        <v>#N/A</v>
      </c>
      <c r="O92" s="48" t="e">
        <f t="shared" si="33"/>
        <v>#N/A</v>
      </c>
      <c r="P92" s="48" t="e">
        <f t="shared" si="33"/>
        <v>#N/A</v>
      </c>
      <c r="Q92" s="48" t="e">
        <f t="shared" si="33"/>
        <v>#N/A</v>
      </c>
      <c r="R92" s="48" t="e">
        <f t="shared" si="33"/>
        <v>#N/A</v>
      </c>
      <c r="S92" s="48" t="e">
        <f t="shared" si="33"/>
        <v>#N/A</v>
      </c>
      <c r="T92" s="5"/>
      <c r="V92" s="35"/>
    </row>
    <row r="93" spans="3:22" s="37" customFormat="1" ht="15" customHeight="1" x14ac:dyDescent="0.25">
      <c r="C93" s="474" t="s">
        <v>18</v>
      </c>
      <c r="D93" s="474"/>
      <c r="E93" s="474"/>
      <c r="F93" s="474"/>
      <c r="G93" s="50">
        <v>0.28999999999999998</v>
      </c>
      <c r="H93" s="20" t="e">
        <f>+ROUND($H$92*G93,$Q$3)</f>
        <v>#N/A</v>
      </c>
      <c r="I93" s="5"/>
      <c r="J93" s="5"/>
      <c r="K93" s="35"/>
      <c r="L93" s="36"/>
      <c r="M93" s="5"/>
      <c r="N93" s="5"/>
      <c r="O93" s="5"/>
      <c r="P93" s="5"/>
      <c r="Q93" s="5"/>
      <c r="R93" s="5"/>
      <c r="S93" s="19"/>
      <c r="T93" s="5"/>
      <c r="V93" s="35"/>
    </row>
    <row r="94" spans="3:22" s="37" customFormat="1" ht="15" customHeight="1" x14ac:dyDescent="0.25">
      <c r="C94" s="474" t="s">
        <v>19</v>
      </c>
      <c r="D94" s="474"/>
      <c r="E94" s="474"/>
      <c r="F94" s="474"/>
      <c r="G94" s="50">
        <v>0.01</v>
      </c>
      <c r="H94" s="20" t="e">
        <f>+ROUND($H$92*G94,$Q$3)</f>
        <v>#N/A</v>
      </c>
      <c r="I94" s="5"/>
      <c r="J94" s="5"/>
      <c r="K94" s="35"/>
      <c r="L94" s="36"/>
      <c r="M94" s="5"/>
      <c r="N94" s="5"/>
      <c r="O94" s="5"/>
      <c r="P94" s="5"/>
      <c r="Q94" s="5"/>
      <c r="R94" s="5"/>
      <c r="S94" s="25"/>
      <c r="T94" s="5"/>
      <c r="V94" s="35"/>
    </row>
    <row r="95" spans="3:22" s="37" customFormat="1" ht="15" customHeight="1" x14ac:dyDescent="0.25">
      <c r="C95" s="474" t="s">
        <v>20</v>
      </c>
      <c r="D95" s="474"/>
      <c r="E95" s="474"/>
      <c r="F95" s="474"/>
      <c r="G95" s="50">
        <v>0.05</v>
      </c>
      <c r="H95" s="20" t="e">
        <f>+ROUND($H$92*G95,$Q$3)</f>
        <v>#N/A</v>
      </c>
      <c r="I95" s="5"/>
      <c r="J95" s="5"/>
      <c r="K95" s="35"/>
      <c r="L95" s="36"/>
      <c r="M95" s="5"/>
      <c r="N95" s="5"/>
      <c r="O95" s="5"/>
      <c r="P95" s="5"/>
      <c r="Q95" s="5"/>
      <c r="R95" s="5"/>
      <c r="S95" s="19"/>
      <c r="T95" s="5"/>
      <c r="V95" s="35"/>
    </row>
    <row r="96" spans="3:22" s="37" customFormat="1" ht="15" customHeight="1" x14ac:dyDescent="0.25">
      <c r="C96" s="474" t="s">
        <v>21</v>
      </c>
      <c r="D96" s="474"/>
      <c r="E96" s="474"/>
      <c r="F96" s="474"/>
      <c r="G96" s="50"/>
      <c r="H96" s="20" t="e">
        <f>+ROUND(H95*G96,$Q$3)</f>
        <v>#N/A</v>
      </c>
      <c r="I96" s="5"/>
      <c r="J96" s="5"/>
      <c r="K96" s="51"/>
      <c r="L96" s="36"/>
      <c r="M96" s="5"/>
      <c r="N96" s="5"/>
      <c r="O96" s="5"/>
      <c r="P96" s="5"/>
      <c r="Q96" s="5"/>
      <c r="R96" s="5"/>
      <c r="S96" s="19"/>
      <c r="T96" s="5"/>
      <c r="V96" s="35"/>
    </row>
    <row r="97" spans="3:22" s="37" customFormat="1" ht="15" customHeight="1" x14ac:dyDescent="0.25">
      <c r="C97" s="482" t="s">
        <v>22</v>
      </c>
      <c r="D97" s="482"/>
      <c r="E97" s="482"/>
      <c r="F97" s="482"/>
      <c r="G97" s="482"/>
      <c r="H97" s="70" t="e">
        <f>+SUM(H93:H96)</f>
        <v>#N/A</v>
      </c>
      <c r="I97" s="5"/>
      <c r="J97" s="5"/>
      <c r="K97" s="51"/>
      <c r="L97" s="36"/>
      <c r="M97" s="5"/>
      <c r="N97" s="5"/>
      <c r="O97" s="5"/>
      <c r="P97" s="5"/>
      <c r="Q97" s="5"/>
      <c r="R97" s="5"/>
      <c r="S97" s="19"/>
      <c r="T97" s="5"/>
      <c r="V97" s="35"/>
    </row>
    <row r="98" spans="3:22" ht="15" customHeight="1" x14ac:dyDescent="0.25">
      <c r="C98" s="16"/>
      <c r="D98" s="16"/>
      <c r="E98" s="16"/>
      <c r="F98" s="16"/>
      <c r="G98" s="21"/>
      <c r="H98" s="20"/>
      <c r="I98" s="5"/>
      <c r="J98" s="5"/>
      <c r="K98" s="51"/>
      <c r="L98" s="22"/>
      <c r="M98" s="5"/>
      <c r="N98" s="5"/>
      <c r="O98" s="5"/>
      <c r="P98" s="5"/>
      <c r="Q98" s="5"/>
      <c r="R98" s="5"/>
      <c r="S98" s="19"/>
      <c r="T98" s="5"/>
    </row>
    <row r="99" spans="3:22" x14ac:dyDescent="0.25">
      <c r="C99" s="482" t="s">
        <v>23</v>
      </c>
      <c r="D99" s="482"/>
      <c r="E99" s="482"/>
      <c r="F99" s="482"/>
      <c r="G99" s="482"/>
      <c r="H99" s="70" t="e">
        <f>H92+H97</f>
        <v>#N/A</v>
      </c>
      <c r="I99" s="5"/>
      <c r="J99" s="5"/>
      <c r="K99" s="51"/>
      <c r="M99" s="5"/>
      <c r="N99" s="5"/>
      <c r="O99" s="5"/>
      <c r="P99" s="5"/>
      <c r="Q99" s="5"/>
      <c r="R99" s="5"/>
      <c r="S99" s="19"/>
      <c r="T99" s="5"/>
      <c r="V99" s="52"/>
    </row>
    <row r="100" spans="3:22" ht="15" customHeight="1" x14ac:dyDescent="0.25">
      <c r="C100" s="16"/>
      <c r="D100" s="23"/>
      <c r="E100" s="12"/>
      <c r="F100" s="23"/>
      <c r="G100" s="23"/>
      <c r="H100" s="24"/>
      <c r="I100" s="5"/>
      <c r="J100" s="5"/>
      <c r="K100" s="26"/>
      <c r="L100" s="18"/>
      <c r="M100" s="5"/>
      <c r="N100" s="5"/>
      <c r="O100" s="27"/>
      <c r="P100" s="5"/>
      <c r="Q100" s="5"/>
      <c r="R100" s="5"/>
      <c r="S100" s="19"/>
      <c r="T100" s="5"/>
    </row>
    <row r="101" spans="3:22" ht="15" customHeight="1" x14ac:dyDescent="0.25">
      <c r="C101" s="483" t="s">
        <v>43</v>
      </c>
      <c r="D101" s="483"/>
      <c r="E101" s="483"/>
      <c r="F101" s="483"/>
      <c r="G101" s="483"/>
      <c r="H101" s="24" t="e">
        <f>PPTO!#REF!</f>
        <v>#REF!</v>
      </c>
      <c r="I101" s="5"/>
      <c r="J101" s="5"/>
      <c r="M101" s="5"/>
      <c r="N101" s="5"/>
      <c r="O101" s="5"/>
      <c r="P101" s="5"/>
      <c r="Q101" s="5"/>
      <c r="R101" s="5"/>
      <c r="S101" s="19"/>
      <c r="T101" s="5"/>
    </row>
    <row r="102" spans="3:22" ht="15" customHeight="1" x14ac:dyDescent="0.25">
      <c r="C102" s="484" t="s">
        <v>44</v>
      </c>
      <c r="D102" s="484"/>
      <c r="E102" s="484"/>
      <c r="F102" s="484"/>
      <c r="G102" s="484"/>
      <c r="H102" s="24" t="e">
        <f>PPTO!#REF!</f>
        <v>#REF!</v>
      </c>
      <c r="I102" s="5"/>
      <c r="J102" s="5"/>
      <c r="M102" s="5"/>
      <c r="N102" s="5"/>
      <c r="O102" s="5"/>
      <c r="P102" s="5"/>
      <c r="Q102" s="5"/>
      <c r="R102" s="5"/>
      <c r="S102" s="19"/>
      <c r="T102" s="5"/>
    </row>
    <row r="103" spans="3:22" ht="15" customHeight="1" x14ac:dyDescent="0.25">
      <c r="C103" s="473" t="s">
        <v>24</v>
      </c>
      <c r="D103" s="473"/>
      <c r="E103" s="473"/>
      <c r="F103" s="473"/>
      <c r="G103" s="473"/>
      <c r="H103" s="48" t="e">
        <f>SUM(H99:H102)</f>
        <v>#N/A</v>
      </c>
      <c r="I103" s="5"/>
      <c r="J103" s="5"/>
      <c r="K103" s="52"/>
      <c r="M103" s="5"/>
      <c r="N103" s="5"/>
      <c r="O103" s="5"/>
      <c r="P103" s="5"/>
      <c r="Q103" s="5"/>
      <c r="R103" s="5"/>
      <c r="S103" s="19"/>
      <c r="T103" s="5"/>
      <c r="V103" s="52"/>
    </row>
    <row r="104" spans="3:22" x14ac:dyDescent="0.25">
      <c r="C104" s="3"/>
      <c r="D104" s="4"/>
      <c r="E104" s="3"/>
      <c r="F104" s="5"/>
      <c r="G104" s="5"/>
      <c r="H104" s="6"/>
      <c r="I104" s="5"/>
      <c r="J104" s="5"/>
      <c r="K104" s="28"/>
      <c r="L104" s="7"/>
      <c r="M104" s="5"/>
      <c r="N104" s="5"/>
      <c r="O104" s="5"/>
      <c r="P104" s="5"/>
      <c r="Q104" s="5"/>
      <c r="R104" s="5"/>
      <c r="S104" s="19"/>
      <c r="T104" s="5"/>
    </row>
    <row r="105" spans="3:22" ht="30" x14ac:dyDescent="0.25">
      <c r="C105" s="2" t="s">
        <v>127</v>
      </c>
      <c r="D105" s="4"/>
      <c r="E105" s="485" t="s">
        <v>125</v>
      </c>
      <c r="F105" s="485"/>
      <c r="G105" s="5"/>
      <c r="H105" s="6"/>
      <c r="I105" s="5"/>
      <c r="J105" s="5"/>
      <c r="K105" s="28"/>
      <c r="L105" s="7"/>
      <c r="M105" s="5"/>
      <c r="N105" s="5"/>
      <c r="O105" s="5"/>
      <c r="P105" s="5"/>
      <c r="Q105" s="5"/>
      <c r="R105" s="5"/>
      <c r="S105" s="19"/>
      <c r="T105" s="5"/>
    </row>
    <row r="106" spans="3:22" x14ac:dyDescent="0.25">
      <c r="C106" s="3"/>
      <c r="D106" s="4"/>
      <c r="E106" s="3"/>
      <c r="F106" s="5"/>
      <c r="G106" s="5"/>
      <c r="H106" s="6"/>
      <c r="I106" s="5"/>
      <c r="J106" s="5"/>
      <c r="K106" s="3"/>
      <c r="L106" s="7"/>
      <c r="M106" s="8"/>
      <c r="N106" s="5"/>
      <c r="O106" s="9"/>
      <c r="P106" s="6"/>
      <c r="Q106" s="6"/>
      <c r="R106" s="5"/>
      <c r="S106" s="5"/>
      <c r="T106" s="5"/>
    </row>
    <row r="107" spans="3:22" x14ac:dyDescent="0.25">
      <c r="C107" s="3"/>
      <c r="D107" s="4"/>
      <c r="E107" s="3"/>
      <c r="F107" s="5"/>
      <c r="G107" s="30"/>
      <c r="H107" s="31"/>
      <c r="I107" s="5"/>
      <c r="J107" s="5"/>
      <c r="K107" s="3"/>
      <c r="L107" s="7"/>
      <c r="M107" s="8"/>
      <c r="N107" s="5"/>
      <c r="O107" s="9"/>
      <c r="P107" s="6"/>
      <c r="Q107" s="6"/>
      <c r="R107" s="5"/>
      <c r="S107" s="5"/>
      <c r="T107" s="5"/>
    </row>
    <row r="108" spans="3:22" x14ac:dyDescent="0.25">
      <c r="C108" s="53"/>
      <c r="D108" s="4"/>
      <c r="E108" s="3"/>
      <c r="F108" s="5"/>
      <c r="G108" s="5"/>
      <c r="H108" s="6"/>
    </row>
    <row r="109" spans="3:22" x14ac:dyDescent="0.25">
      <c r="C109" s="486" t="s">
        <v>35</v>
      </c>
      <c r="D109" s="486"/>
      <c r="E109" s="486">
        <f>INFORMACION!$C$14</f>
        <v>0</v>
      </c>
      <c r="F109" s="486"/>
      <c r="G109" s="486"/>
      <c r="H109" s="486"/>
    </row>
    <row r="110" spans="3:22" x14ac:dyDescent="0.25">
      <c r="C110" s="487" t="s">
        <v>36</v>
      </c>
      <c r="D110" s="487"/>
      <c r="E110" s="487">
        <f>INFORMACION!$C$15</f>
        <v>0</v>
      </c>
      <c r="F110" s="487"/>
      <c r="G110" s="487"/>
      <c r="H110" s="487"/>
    </row>
    <row r="111" spans="3:22" x14ac:dyDescent="0.2">
      <c r="C111" s="54"/>
      <c r="E111" s="481" t="str">
        <f>INFORMACION!$C$16</f>
        <v>ARAUCA, ARAUCA</v>
      </c>
      <c r="F111" s="481"/>
      <c r="G111" s="481"/>
      <c r="H111" s="481"/>
    </row>
    <row r="112" spans="3:22" x14ac:dyDescent="0.25">
      <c r="C112" s="83"/>
      <c r="D112" s="83"/>
      <c r="E112" s="83"/>
      <c r="F112" s="83"/>
      <c r="G112" s="83"/>
      <c r="H112" s="83"/>
    </row>
    <row r="113" spans="3:8" x14ac:dyDescent="0.25">
      <c r="C113" s="83"/>
      <c r="D113" s="83"/>
      <c r="E113" s="83"/>
      <c r="F113" s="83"/>
      <c r="G113" s="83"/>
      <c r="H113" s="83"/>
    </row>
    <row r="114" spans="3:8" x14ac:dyDescent="0.25">
      <c r="C114" s="83"/>
      <c r="D114" s="83"/>
      <c r="E114" s="83"/>
      <c r="F114" s="83"/>
      <c r="G114" s="83"/>
      <c r="H114" s="83"/>
    </row>
  </sheetData>
  <mergeCells count="33">
    <mergeCell ref="E111:H111"/>
    <mergeCell ref="C95:F95"/>
    <mergeCell ref="C96:F96"/>
    <mergeCell ref="C97:G97"/>
    <mergeCell ref="C99:G99"/>
    <mergeCell ref="C101:G101"/>
    <mergeCell ref="C102:G102"/>
    <mergeCell ref="C103:G103"/>
    <mergeCell ref="E105:F105"/>
    <mergeCell ref="C109:D109"/>
    <mergeCell ref="E109:H109"/>
    <mergeCell ref="C110:D110"/>
    <mergeCell ref="E110:H110"/>
    <mergeCell ref="C94:F94"/>
    <mergeCell ref="C29:G29"/>
    <mergeCell ref="D30:H30"/>
    <mergeCell ref="C46:G46"/>
    <mergeCell ref="D67:H67"/>
    <mergeCell ref="C90:G90"/>
    <mergeCell ref="C55:G55"/>
    <mergeCell ref="D47:H47"/>
    <mergeCell ref="D56:H56"/>
    <mergeCell ref="C66:G66"/>
    <mergeCell ref="C3:G3"/>
    <mergeCell ref="D4:G4"/>
    <mergeCell ref="H3:H4"/>
    <mergeCell ref="C92:G92"/>
    <mergeCell ref="C93:F93"/>
    <mergeCell ref="C5:E5"/>
    <mergeCell ref="F5:G5"/>
    <mergeCell ref="C20:G20"/>
    <mergeCell ref="D21:H21"/>
    <mergeCell ref="D9:H9"/>
  </mergeCells>
  <phoneticPr fontId="20" type="noConversion"/>
  <dataValidations disablePrompts="1" count="1">
    <dataValidation type="list" allowBlank="1" showInputMessage="1" showErrorMessage="1" promptTitle="Seleccione" prompt="Escoja una de las opciones" sqref="Q2" xr:uid="{8B76E90A-DB2E-46FA-884A-F053DC8D1397}">
      <formula1>$S$2:$S$3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rowBreaks count="1" manualBreakCount="1">
    <brk id="46" min="1" max="8" man="1"/>
  </rowBreaks>
  <ignoredErrors>
    <ignoredError sqref="H28:H29" evalError="1"/>
  </ignoredErrors>
  <drawing r:id="rId2"/>
  <legacyDrawing r:id="rId3"/>
  <oleObjects>
    <mc:AlternateContent xmlns:mc="http://schemas.openxmlformats.org/markup-compatibility/2006">
      <mc:Choice Requires="x14">
        <oleObject progId="PBrush" shapeId="22529" r:id="rId4">
          <objectPr defaultSize="0" autoPict="0" r:id="rId5">
            <anchor moveWithCells="1" sizeWithCells="1">
              <from>
                <xdr:col>2</xdr:col>
                <xdr:colOff>419100</xdr:colOff>
                <xdr:row>2</xdr:row>
                <xdr:rowOff>66675</xdr:rowOff>
              </from>
              <to>
                <xdr:col>3</xdr:col>
                <xdr:colOff>1504950</xdr:colOff>
                <xdr:row>2</xdr:row>
                <xdr:rowOff>752475</xdr:rowOff>
              </to>
            </anchor>
          </objectPr>
        </oleObject>
      </mc:Choice>
      <mc:Fallback>
        <oleObject progId="PBrush" shapeId="2252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1:V167"/>
  <sheetViews>
    <sheetView showGridLines="0" tabSelected="1" view="pageBreakPreview" topLeftCell="D1" zoomScale="85" zoomScaleNormal="85" zoomScaleSheetLayoutView="85" workbookViewId="0">
      <pane ySplit="6" topLeftCell="A129" activePane="bottomLeft" state="frozen"/>
      <selection pane="bottomLeft" activeCell="G141" sqref="G141"/>
    </sheetView>
  </sheetViews>
  <sheetFormatPr baseColWidth="10" defaultColWidth="11.42578125" defaultRowHeight="15" x14ac:dyDescent="0.25"/>
  <cols>
    <col min="1" max="1" width="1.7109375" style="35" customWidth="1"/>
    <col min="2" max="2" width="1.42578125" style="35" customWidth="1"/>
    <col min="3" max="3" width="12.5703125" style="35" customWidth="1"/>
    <col min="4" max="4" width="76.42578125" style="35" customWidth="1"/>
    <col min="5" max="5" width="7.42578125" style="35" bestFit="1" customWidth="1"/>
    <col min="6" max="6" width="14.7109375" style="35" customWidth="1"/>
    <col min="7" max="7" width="21.28515625" style="35" customWidth="1"/>
    <col min="8" max="8" width="27.5703125" style="35" customWidth="1"/>
    <col min="9" max="9" width="1.42578125" style="35" customWidth="1"/>
    <col min="10" max="10" width="4.5703125" style="35" customWidth="1"/>
    <col min="11" max="11" width="26.5703125" style="196" bestFit="1" customWidth="1"/>
    <col min="12" max="12" width="26.5703125" style="197" bestFit="1" customWidth="1"/>
    <col min="13" max="13" width="25" style="196" customWidth="1"/>
    <col min="14" max="14" width="22.7109375" style="196" bestFit="1" customWidth="1"/>
    <col min="15" max="15" width="25.28515625" style="196" bestFit="1" customWidth="1"/>
    <col min="16" max="16" width="25.85546875" style="196" customWidth="1"/>
    <col min="17" max="19" width="25.28515625" style="196" bestFit="1" customWidth="1"/>
    <col min="20" max="20" width="3.28515625" style="35" customWidth="1"/>
    <col min="21" max="21" width="12.28515625" style="37" customWidth="1"/>
    <col min="22" max="22" width="81.7109375" style="35" customWidth="1"/>
    <col min="23" max="32" width="11.42578125" style="35"/>
    <col min="33" max="33" width="13.7109375" style="35" bestFit="1" customWidth="1"/>
    <col min="34" max="16384" width="11.42578125" style="35"/>
  </cols>
  <sheetData>
    <row r="1" spans="2:22" ht="15.75" thickBot="1" x14ac:dyDescent="0.3">
      <c r="C1" s="3"/>
      <c r="D1" s="4"/>
      <c r="E1" s="3"/>
      <c r="F1" s="5"/>
      <c r="G1" s="5"/>
      <c r="H1" s="6"/>
      <c r="I1" s="5"/>
      <c r="J1" s="5"/>
      <c r="K1" s="191"/>
      <c r="L1" s="192"/>
      <c r="M1" s="193"/>
      <c r="N1" s="191"/>
      <c r="O1" s="194"/>
      <c r="P1" s="195" t="s">
        <v>0</v>
      </c>
      <c r="Q1" s="202" t="s">
        <v>1</v>
      </c>
      <c r="R1" s="3"/>
      <c r="S1" s="203" t="s">
        <v>1</v>
      </c>
      <c r="T1" s="5"/>
    </row>
    <row r="2" spans="2:22" s="267" customFormat="1" ht="62.25" customHeight="1" x14ac:dyDescent="0.25">
      <c r="C2" s="507" t="s">
        <v>2</v>
      </c>
      <c r="D2" s="508"/>
      <c r="E2" s="508"/>
      <c r="F2" s="508"/>
      <c r="G2" s="509"/>
      <c r="H2" s="503"/>
      <c r="I2" s="264"/>
      <c r="J2" s="264"/>
      <c r="K2" s="269"/>
      <c r="L2" s="270"/>
      <c r="M2" s="275"/>
      <c r="N2" s="276"/>
      <c r="O2" s="277"/>
      <c r="P2" s="276" t="s">
        <v>3</v>
      </c>
      <c r="Q2" s="278">
        <v>0</v>
      </c>
      <c r="R2" s="279"/>
      <c r="S2" s="280" t="s">
        <v>4</v>
      </c>
      <c r="T2" s="264"/>
      <c r="U2" s="266"/>
    </row>
    <row r="3" spans="2:22" s="267" customFormat="1" ht="43.5" customHeight="1" x14ac:dyDescent="0.25">
      <c r="C3" s="281" t="s">
        <v>27</v>
      </c>
      <c r="D3" s="505" t="str">
        <f>+INFORMACION!A3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E3" s="506"/>
      <c r="F3" s="506"/>
      <c r="G3" s="506"/>
      <c r="H3" s="504"/>
      <c r="I3" s="264"/>
      <c r="J3" s="264"/>
      <c r="K3" s="269"/>
      <c r="L3" s="270"/>
      <c r="M3" s="275"/>
      <c r="N3" s="263"/>
      <c r="O3" s="282"/>
      <c r="P3" s="283"/>
      <c r="Q3" s="265"/>
      <c r="R3" s="271"/>
      <c r="S3" s="271"/>
      <c r="T3" s="264"/>
      <c r="U3" s="266"/>
    </row>
    <row r="4" spans="2:22" s="267" customFormat="1" ht="15.75" customHeight="1" thickBot="1" x14ac:dyDescent="0.3">
      <c r="C4" s="496" t="str">
        <f>+CONCATENATE("LOCALIZACION:"," ",INFORMACION!$C$16)</f>
        <v>LOCALIZACION: ARAUCA, ARAUCA</v>
      </c>
      <c r="D4" s="497"/>
      <c r="E4" s="497"/>
      <c r="F4" s="497" t="s">
        <v>31</v>
      </c>
      <c r="G4" s="497"/>
      <c r="H4" s="284" t="str">
        <f>+INFORMACION!A9</f>
        <v>MARZO DE 2025</v>
      </c>
      <c r="I4" s="264"/>
      <c r="J4" s="264"/>
      <c r="K4" s="269"/>
      <c r="L4" s="270"/>
      <c r="M4" s="275"/>
      <c r="N4" s="263"/>
      <c r="O4" s="282"/>
      <c r="P4" s="283"/>
      <c r="Q4" s="265"/>
      <c r="R4" s="271"/>
      <c r="S4" s="271"/>
      <c r="T4" s="264"/>
      <c r="U4" s="266"/>
    </row>
    <row r="5" spans="2:22" s="267" customFormat="1" ht="10.5" customHeight="1" thickBot="1" x14ac:dyDescent="0.3">
      <c r="C5" s="279"/>
      <c r="D5" s="285"/>
      <c r="E5" s="279"/>
      <c r="F5" s="279"/>
      <c r="G5" s="286"/>
      <c r="H5" s="287"/>
      <c r="I5" s="264"/>
      <c r="J5" s="264"/>
      <c r="K5" s="271"/>
      <c r="L5" s="288"/>
      <c r="M5" s="275"/>
      <c r="N5" s="263"/>
      <c r="O5" s="282"/>
      <c r="P5" s="283"/>
      <c r="Q5" s="265"/>
      <c r="R5" s="271"/>
      <c r="S5" s="272"/>
      <c r="T5" s="289"/>
      <c r="U5" s="266"/>
    </row>
    <row r="6" spans="2:22" s="267" customFormat="1" ht="18.75" customHeight="1" thickBot="1" x14ac:dyDescent="0.3">
      <c r="C6" s="290" t="s">
        <v>5</v>
      </c>
      <c r="D6" s="291" t="s">
        <v>26</v>
      </c>
      <c r="E6" s="291" t="s">
        <v>6</v>
      </c>
      <c r="F6" s="292" t="s">
        <v>7</v>
      </c>
      <c r="G6" s="291" t="s">
        <v>8</v>
      </c>
      <c r="H6" s="293" t="s">
        <v>9</v>
      </c>
      <c r="I6" s="264"/>
      <c r="J6" s="264"/>
      <c r="K6" s="294" t="s">
        <v>85</v>
      </c>
      <c r="L6" s="295" t="s">
        <v>86</v>
      </c>
      <c r="M6" s="296" t="s">
        <v>10</v>
      </c>
      <c r="N6" s="296" t="s">
        <v>11</v>
      </c>
      <c r="O6" s="296" t="s">
        <v>12</v>
      </c>
      <c r="P6" s="296" t="s">
        <v>13</v>
      </c>
      <c r="Q6" s="296" t="s">
        <v>14</v>
      </c>
      <c r="R6" s="296" t="s">
        <v>15</v>
      </c>
      <c r="S6" s="297" t="s">
        <v>16</v>
      </c>
      <c r="T6" s="264"/>
      <c r="U6" s="286"/>
    </row>
    <row r="7" spans="2:22" s="267" customFormat="1" ht="15" customHeight="1" thickBot="1" x14ac:dyDescent="0.3">
      <c r="C7" s="285"/>
      <c r="D7" s="286"/>
      <c r="E7" s="286"/>
      <c r="F7" s="298"/>
      <c r="G7" s="286"/>
      <c r="H7" s="299"/>
      <c r="I7" s="264"/>
      <c r="J7" s="264"/>
      <c r="K7" s="263"/>
      <c r="L7" s="300"/>
      <c r="M7" s="271"/>
      <c r="N7" s="271"/>
      <c r="O7" s="271"/>
      <c r="P7" s="271"/>
      <c r="Q7" s="271"/>
      <c r="R7" s="271"/>
      <c r="S7" s="272"/>
      <c r="T7" s="264"/>
      <c r="U7" s="286"/>
    </row>
    <row r="8" spans="2:22" ht="21" customHeight="1" x14ac:dyDescent="0.25">
      <c r="C8" s="498" t="str">
        <f>+INFORMACION!A6</f>
        <v>ARAUCA, ARAUCA</v>
      </c>
      <c r="D8" s="499"/>
      <c r="E8" s="499"/>
      <c r="F8" s="499"/>
      <c r="G8" s="499"/>
      <c r="H8" s="500"/>
      <c r="I8" s="5"/>
      <c r="J8" s="5"/>
      <c r="K8" s="23"/>
      <c r="L8" s="199"/>
      <c r="M8" s="191"/>
      <c r="N8" s="191"/>
      <c r="O8" s="191"/>
      <c r="P8" s="191"/>
      <c r="Q8" s="191"/>
      <c r="R8" s="191"/>
      <c r="S8" s="198"/>
      <c r="T8" s="5"/>
      <c r="U8" s="12"/>
    </row>
    <row r="9" spans="2:22" x14ac:dyDescent="0.25">
      <c r="B9" s="35">
        <v>1</v>
      </c>
      <c r="C9" s="40" t="str">
        <f>+CONCATENATE("CAP.",B9)</f>
        <v>CAP.1</v>
      </c>
      <c r="D9" s="231" t="str">
        <f>+VLOOKUP(B9,'[7]CANTIDADES DE OBRA'!$B:$E,2,FALSE)</f>
        <v>PRELIMINARES Y REPARACIONES</v>
      </c>
      <c r="E9" s="230"/>
      <c r="F9" s="230"/>
      <c r="G9" s="230"/>
      <c r="H9" s="232">
        <f>+SUM(H10:H17)</f>
        <v>41180890</v>
      </c>
      <c r="I9" s="5"/>
      <c r="J9" s="5"/>
      <c r="K9" s="234">
        <f>+SUM(K10:K17)</f>
        <v>41180890</v>
      </c>
      <c r="L9" s="234">
        <f>+SUM(L10:L17)</f>
        <v>43239930</v>
      </c>
      <c r="M9" s="234"/>
      <c r="N9" s="234"/>
      <c r="O9" s="234">
        <f>+SUM(O10:O17)</f>
        <v>2058306.34</v>
      </c>
      <c r="P9" s="234">
        <f>+SUM(P10:P17)</f>
        <v>18273954.920000002</v>
      </c>
      <c r="Q9" s="234">
        <f>+SUM(Q10:Q17)</f>
        <v>0</v>
      </c>
      <c r="R9" s="234">
        <f>+SUM(R10:R17)</f>
        <v>20848626.960000001</v>
      </c>
      <c r="S9" s="234">
        <f>+SUM(S10:S17)</f>
        <v>41180888.219999999</v>
      </c>
      <c r="T9" s="234"/>
      <c r="U9" s="12"/>
      <c r="V9" s="35" t="str">
        <f t="shared" ref="V9:V60" si="0">CONCATENATE(C9," ","-"," ",D9)</f>
        <v>CAP.1 - PRELIMINARES Y REPARACIONES</v>
      </c>
    </row>
    <row r="10" spans="2:22" x14ac:dyDescent="0.25">
      <c r="C10" s="229">
        <f>+B9+0.01</f>
        <v>1.01</v>
      </c>
      <c r="D10" s="38" t="str">
        <f>+VLOOKUP(C10,'[7]CANTIDADES DE OBRA'!$B:$E,2,FALSE)</f>
        <v>Desmonte de redes hidraulicas existentes (incluye manipulacion de cielo raso)</v>
      </c>
      <c r="E10" s="39" t="str">
        <f>+VLOOKUP(C10,'[7]CANTIDADES DE OBRA'!$B:$E,3,FALSE)</f>
        <v>ML</v>
      </c>
      <c r="F10" s="39">
        <f>+VLOOKUP(C10,'[7]CANTIDADES DE OBRA'!$B:$E,4,FALSE)</f>
        <v>303.93</v>
      </c>
      <c r="G10" s="65">
        <f t="shared" ref="G10:G16" si="1">+IFERROR(IF($Q$1="UNITARIOS",VLOOKUP(C10,C:Y,11,FALSE),VLOOKUP(C10,C:Y,12,FALSE)),0)</f>
        <v>26726.63</v>
      </c>
      <c r="H10" s="43">
        <f>+ROUND(F10*G10,$Q$2)</f>
        <v>8123025</v>
      </c>
      <c r="I10" s="5"/>
      <c r="J10" s="5"/>
      <c r="K10" s="204">
        <f>ROUND(F10*M10,$Q$2)</f>
        <v>8123025</v>
      </c>
      <c r="L10" s="204">
        <f>ROUND(F10*N10,$Q$2)</f>
        <v>8529175</v>
      </c>
      <c r="M10" s="200">
        <f>ROUND(VLOOKUP(C10,APUS!H:V,14,0),2)</f>
        <v>26726.63</v>
      </c>
      <c r="N10" s="200">
        <f>ROUND(VLOOKUP(C10,APUS!I:V,13,0),2)</f>
        <v>28062.959999999999</v>
      </c>
      <c r="O10" s="200">
        <f>ROUND(VLOOKUP(C10,APUS!D:Z,23,0),2)</f>
        <v>386810.65</v>
      </c>
      <c r="P10" s="200">
        <f>ROUND(VLOOKUP(C10,APUS!E:Z,22,0),2)</f>
        <v>0</v>
      </c>
      <c r="Q10" s="200">
        <f>ROUND(VLOOKUP(C10,APUS!F:Z,21,0),2)</f>
        <v>0</v>
      </c>
      <c r="R10" s="200">
        <f>ROUND(VLOOKUP(C10,APUS!G:Z,20,0),2)</f>
        <v>7736213.96</v>
      </c>
      <c r="S10" s="201">
        <f>SUM(O10:R10)</f>
        <v>8123024.6100000003</v>
      </c>
      <c r="T10" s="5"/>
      <c r="U10" s="12"/>
      <c r="V10" s="35" t="str">
        <f t="shared" si="0"/>
        <v>1.01 - Desmonte de redes hidraulicas existentes (incluye manipulacion de cielo raso)</v>
      </c>
    </row>
    <row r="11" spans="2:22" ht="30" x14ac:dyDescent="0.25">
      <c r="C11" s="229">
        <f t="shared" ref="C11:C16" si="2">+ROUNDUP(C10+0.01,2)</f>
        <v>1.02</v>
      </c>
      <c r="D11" s="38" t="str">
        <f>+VLOOKUP(C11,'[7]CANTIDADES DE OBRA'!$B:$E,2,FALSE)</f>
        <v>Desmonte de redes sanitarias existentes (incluye manipulacion de cielo raso)</v>
      </c>
      <c r="E11" s="39" t="str">
        <f>+VLOOKUP(C11,'[7]CANTIDADES DE OBRA'!$B:$E,3,FALSE)</f>
        <v>ML</v>
      </c>
      <c r="F11" s="39">
        <f>+VLOOKUP(C11,'[7]CANTIDADES DE OBRA'!$B:$E,4,FALSE)</f>
        <v>212.3</v>
      </c>
      <c r="G11" s="65">
        <f t="shared" si="1"/>
        <v>33408.29</v>
      </c>
      <c r="H11" s="43">
        <f t="shared" ref="H11:H16" si="3">+ROUND(F11*G11,$Q$2)</f>
        <v>7092580</v>
      </c>
      <c r="I11" s="5"/>
      <c r="J11" s="5"/>
      <c r="K11" s="204">
        <f t="shared" ref="K11" si="4">ROUND(F11*M11,$Q$2)</f>
        <v>7092580</v>
      </c>
      <c r="L11" s="204">
        <f t="shared" ref="L11" si="5">ROUND(F11*N11,$Q$2)</f>
        <v>7447208</v>
      </c>
      <c r="M11" s="200">
        <f>ROUND(VLOOKUP(C11,APUS!H:V,14,0),2)</f>
        <v>33408.29</v>
      </c>
      <c r="N11" s="200">
        <f>ROUND(VLOOKUP(C11,APUS!I:V,13,0),2)</f>
        <v>35078.699999999997</v>
      </c>
      <c r="O11" s="200">
        <f>ROUND(VLOOKUP(C11,APUS!D:Z,23,0),2)</f>
        <v>337741.91</v>
      </c>
      <c r="P11" s="200">
        <f>ROUND(VLOOKUP(C11,APUS!E:Z,22,0),2)</f>
        <v>0</v>
      </c>
      <c r="Q11" s="200">
        <f>ROUND(VLOOKUP(C11,APUS!F:Z,21,0),2)</f>
        <v>0</v>
      </c>
      <c r="R11" s="200">
        <f>ROUND(VLOOKUP(C11,APUS!G:Z,20,0),2)</f>
        <v>6754837.5599999996</v>
      </c>
      <c r="S11" s="201">
        <f t="shared" ref="S11" si="6">SUM(O11:R11)</f>
        <v>7092579.4699999997</v>
      </c>
      <c r="T11" s="5"/>
      <c r="U11" s="12"/>
      <c r="V11" s="35" t="str">
        <f t="shared" ref="V11" si="7">CONCATENATE(C11," ","-"," ",D11)</f>
        <v>1.02 - Desmonte de redes sanitarias existentes (incluye manipulacion de cielo raso)</v>
      </c>
    </row>
    <row r="12" spans="2:22" ht="30" x14ac:dyDescent="0.25">
      <c r="C12" s="229">
        <f t="shared" si="2"/>
        <v>1.03</v>
      </c>
      <c r="D12" s="38" t="str">
        <f>+VLOOKUP(C12,'[7]CANTIDADES DE OBRA'!$B:$E,2,FALSE)</f>
        <v>Demolicion de piso para instalacion de redes sanitarias y drenaje</v>
      </c>
      <c r="E12" s="39" t="str">
        <f>+VLOOKUP(C12,'[7]CANTIDADES DE OBRA'!$B:$E,3,FALSE)</f>
        <v>M2</v>
      </c>
      <c r="F12" s="39">
        <f>+VLOOKUP(C12,'[7]CANTIDADES DE OBRA'!$B:$E,4,FALSE)</f>
        <v>108.36</v>
      </c>
      <c r="G12" s="65">
        <f t="shared" si="1"/>
        <v>34431.21</v>
      </c>
      <c r="H12" s="43">
        <f t="shared" si="3"/>
        <v>3730966</v>
      </c>
      <c r="I12" s="5"/>
      <c r="J12" s="5"/>
      <c r="K12" s="204">
        <f t="shared" ref="K12" si="8">ROUND(F12*M12,$Q$2)</f>
        <v>3730966</v>
      </c>
      <c r="L12" s="204">
        <f t="shared" ref="L12" si="9">ROUND(F12*N12,$Q$2)</f>
        <v>3917514</v>
      </c>
      <c r="M12" s="200">
        <f>ROUND(VLOOKUP(C12,APUS!H:V,14,0),2)</f>
        <v>34431.21</v>
      </c>
      <c r="N12" s="200">
        <f>ROUND(VLOOKUP(C12,APUS!I:V,13,0),2)</f>
        <v>36152.769999999997</v>
      </c>
      <c r="O12" s="200">
        <f>ROUND(VLOOKUP(C12,APUS!D:Z,23,0),2)</f>
        <v>1145165.06</v>
      </c>
      <c r="P12" s="200">
        <f>ROUND(VLOOKUP(C12,APUS!E:Z,22,0),2)</f>
        <v>0</v>
      </c>
      <c r="Q12" s="200">
        <f>ROUND(VLOOKUP(C12,APUS!F:Z,21,0),2)</f>
        <v>0</v>
      </c>
      <c r="R12" s="200">
        <f>ROUND(VLOOKUP(C12,APUS!G:Z,20,0),2)</f>
        <v>2585801.4500000002</v>
      </c>
      <c r="S12" s="201">
        <f t="shared" ref="S12" si="10">SUM(O12:R12)</f>
        <v>3730966.5100000002</v>
      </c>
      <c r="T12" s="5"/>
      <c r="U12" s="12"/>
      <c r="V12" s="35" t="str">
        <f t="shared" ref="V12" si="11">CONCATENATE(C12," ","-"," ",D12)</f>
        <v>1.03 - Demolicion de piso para instalacion de redes sanitarias y drenaje</v>
      </c>
    </row>
    <row r="13" spans="2:22" ht="30" x14ac:dyDescent="0.25">
      <c r="C13" s="229">
        <f t="shared" si="2"/>
        <v>1.04</v>
      </c>
      <c r="D13" s="38" t="str">
        <f>+VLOOKUP(C13,'[7]CANTIDADES DE OBRA'!$B:$E,2,FALSE)</f>
        <v>Reparacion de piso para instalacion de redes sanitarias y drenaje</v>
      </c>
      <c r="E13" s="39" t="str">
        <f>+VLOOKUP(C13,'[7]CANTIDADES DE OBRA'!$B:$E,3,FALSE)</f>
        <v>M2</v>
      </c>
      <c r="F13" s="39">
        <f>+VLOOKUP(C13,'[7]CANTIDADES DE OBRA'!$B:$E,4,FALSE)</f>
        <v>88.98</v>
      </c>
      <c r="G13" s="65">
        <f t="shared" si="1"/>
        <v>167954.25</v>
      </c>
      <c r="H13" s="43">
        <f t="shared" si="3"/>
        <v>14944569</v>
      </c>
      <c r="I13" s="5"/>
      <c r="J13" s="5"/>
      <c r="K13" s="204">
        <f t="shared" ref="K13:K14" si="12">ROUND(F13*M13,$Q$2)</f>
        <v>14944569</v>
      </c>
      <c r="L13" s="204">
        <f t="shared" ref="L13:L14" si="13">ROUND(F13*N13,$Q$2)</f>
        <v>15691797</v>
      </c>
      <c r="M13" s="200">
        <f>ROUND(VLOOKUP(C13,APUS!H:V,14,0),2)</f>
        <v>167954.25</v>
      </c>
      <c r="N13" s="200">
        <f>ROUND(VLOOKUP(C13,APUS!I:V,13,0),2)</f>
        <v>176351.96</v>
      </c>
      <c r="O13" s="200">
        <f>ROUND(VLOOKUP(C13,APUS!D:Z,23,0),2)</f>
        <v>79348.490000000005</v>
      </c>
      <c r="P13" s="200">
        <f>ROUND(VLOOKUP(C13,APUS!E:Z,22,0),2)</f>
        <v>13278250.83</v>
      </c>
      <c r="Q13" s="200">
        <f>ROUND(VLOOKUP(C13,APUS!F:Z,21,0),2)</f>
        <v>0</v>
      </c>
      <c r="R13" s="200">
        <f>ROUND(VLOOKUP(C13,APUS!G:Z,20,0),2)</f>
        <v>1586970.16</v>
      </c>
      <c r="S13" s="201">
        <f t="shared" ref="S13:S14" si="14">SUM(O13:R13)</f>
        <v>14944569.48</v>
      </c>
      <c r="T13" s="5"/>
      <c r="U13" s="12"/>
      <c r="V13" s="35" t="str">
        <f t="shared" ref="V13:V14" si="15">CONCATENATE(C13," ","-"," ",D13)</f>
        <v>1.04 - Reparacion de piso para instalacion de redes sanitarias y drenaje</v>
      </c>
    </row>
    <row r="14" spans="2:22" x14ac:dyDescent="0.25">
      <c r="C14" s="229">
        <f t="shared" si="2"/>
        <v>1.05</v>
      </c>
      <c r="D14" s="38" t="str">
        <f>+VLOOKUP(C14,'[7]CANTIDADES DE OBRA'!$B:$E,2,FALSE)</f>
        <v>Reparacion de regatas existentes</v>
      </c>
      <c r="E14" s="39" t="str">
        <f>+VLOOKUP(C14,'[7]CANTIDADES DE OBRA'!$B:$E,3,FALSE)</f>
        <v>ML</v>
      </c>
      <c r="F14" s="39">
        <f>+VLOOKUP(C14,'[7]CANTIDADES DE OBRA'!$B:$E,4,FALSE)</f>
        <v>177.3</v>
      </c>
      <c r="G14" s="65">
        <f t="shared" si="1"/>
        <v>20358.03</v>
      </c>
      <c r="H14" s="43">
        <f t="shared" si="3"/>
        <v>3609479</v>
      </c>
      <c r="I14" s="5"/>
      <c r="J14" s="5"/>
      <c r="K14" s="204">
        <f t="shared" si="12"/>
        <v>3609479</v>
      </c>
      <c r="L14" s="204">
        <f t="shared" si="13"/>
        <v>3789952</v>
      </c>
      <c r="M14" s="200">
        <f>ROUND(VLOOKUP(C14,APUS!H:V,14,0),2)</f>
        <v>20358.03</v>
      </c>
      <c r="N14" s="200">
        <f>ROUND(VLOOKUP(C14,APUS!I:V,13,0),2)</f>
        <v>21375.93</v>
      </c>
      <c r="O14" s="200">
        <f>ROUND(VLOOKUP(C14,APUS!D:Z,23,0),2)</f>
        <v>79054.259999999995</v>
      </c>
      <c r="P14" s="200">
        <f>ROUND(VLOOKUP(C14,APUS!E:Z,22,0),2)</f>
        <v>1949339.03</v>
      </c>
      <c r="Q14" s="200">
        <f>ROUND(VLOOKUP(C14,APUS!F:Z,21,0),2)</f>
        <v>0</v>
      </c>
      <c r="R14" s="200">
        <f>ROUND(VLOOKUP(C14,APUS!G:Z,20,0),2)</f>
        <v>1581084.57</v>
      </c>
      <c r="S14" s="201">
        <f t="shared" si="14"/>
        <v>3609477.8600000003</v>
      </c>
      <c r="T14" s="5"/>
      <c r="U14" s="12"/>
      <c r="V14" s="35" t="str">
        <f t="shared" si="15"/>
        <v>1.05 - Reparacion de regatas existentes</v>
      </c>
    </row>
    <row r="15" spans="2:22" x14ac:dyDescent="0.25">
      <c r="C15" s="229">
        <f t="shared" si="2"/>
        <v>1.06</v>
      </c>
      <c r="D15" s="38" t="str">
        <f>+VLOOKUP(C15,'[7]CANTIDADES DE OBRA'!$B:$E,2,FALSE)</f>
        <v>regatas para nuevas redes hidraulicas</v>
      </c>
      <c r="E15" s="39" t="str">
        <f>+VLOOKUP(C15,'[7]CANTIDADES DE OBRA'!$B:$E,3,FALSE)</f>
        <v>ML</v>
      </c>
      <c r="F15" s="39">
        <f>+VLOOKUP(C15,'[7]CANTIDADES DE OBRA'!$B:$E,4,FALSE)</f>
        <v>67.7</v>
      </c>
      <c r="G15" s="65">
        <f t="shared" si="1"/>
        <v>15956.73</v>
      </c>
      <c r="H15" s="43">
        <f t="shared" si="3"/>
        <v>1080271</v>
      </c>
      <c r="I15" s="5"/>
      <c r="J15" s="5"/>
      <c r="K15" s="204">
        <f t="shared" ref="K15" si="16">ROUND(F15*M15,$Q$2)</f>
        <v>1080271</v>
      </c>
      <c r="L15" s="204">
        <f t="shared" ref="L15" si="17">ROUND(F15*N15,$Q$2)</f>
        <v>1134284</v>
      </c>
      <c r="M15" s="200">
        <f>ROUND(VLOOKUP(C15,APUS!H:V,14,0),2)</f>
        <v>15956.73</v>
      </c>
      <c r="N15" s="200">
        <f>ROUND(VLOOKUP(C15,APUS!I:V,13,0),2)</f>
        <v>16754.57</v>
      </c>
      <c r="O15" s="200">
        <f>ROUND(VLOOKUP(C15,APUS!D:Z,23,0),2)</f>
        <v>30185.97</v>
      </c>
      <c r="P15" s="200">
        <f>ROUND(VLOOKUP(C15,APUS!E:Z,22,0),2)</f>
        <v>446365.06</v>
      </c>
      <c r="Q15" s="200">
        <f>ROUND(VLOOKUP(C15,APUS!F:Z,21,0),2)</f>
        <v>0</v>
      </c>
      <c r="R15" s="200">
        <f>ROUND(VLOOKUP(C15,APUS!G:Z,20,0),2)</f>
        <v>603719.26</v>
      </c>
      <c r="S15" s="201">
        <f t="shared" ref="S15" si="18">SUM(O15:R15)</f>
        <v>1080270.29</v>
      </c>
      <c r="T15" s="5"/>
      <c r="U15" s="12"/>
      <c r="V15" s="35" t="str">
        <f t="shared" ref="V15" si="19">CONCATENATE(C15," ","-"," ",D15)</f>
        <v>1.06 - regatas para nuevas redes hidraulicas</v>
      </c>
    </row>
    <row r="16" spans="2:22" x14ac:dyDescent="0.25">
      <c r="C16" s="229">
        <f t="shared" si="2"/>
        <v>1.07</v>
      </c>
      <c r="D16" s="38" t="str">
        <f>+VLOOKUP(C16,'[7]CANTIDADES DE OBRA'!$B:$E,2,FALSE)</f>
        <v>Retiro de tuberias y materiales de desperdicio</v>
      </c>
      <c r="E16" s="39" t="str">
        <f>+VLOOKUP(C16,'[7]CANTIDADES DE OBRA'!$B:$E,3,FALSE)</f>
        <v>GLB</v>
      </c>
      <c r="F16" s="321">
        <f>+VLOOKUP(C16,'[7]CANTIDADES DE OBRA'!$B:$E,4,FALSE)</f>
        <v>2</v>
      </c>
      <c r="G16" s="65">
        <f t="shared" si="1"/>
        <v>1300000</v>
      </c>
      <c r="H16" s="43">
        <f t="shared" si="3"/>
        <v>2600000</v>
      </c>
      <c r="I16" s="5"/>
      <c r="J16" s="5"/>
      <c r="K16" s="204">
        <f t="shared" ref="K16" si="20">ROUND(F16*M16,$Q$2)</f>
        <v>2600000</v>
      </c>
      <c r="L16" s="204">
        <f t="shared" ref="L16" si="21">ROUND(F16*N16,$Q$2)</f>
        <v>2730000</v>
      </c>
      <c r="M16" s="200">
        <f>ROUND(VLOOKUP(C16,APUS!H:V,14,0),2)</f>
        <v>1300000</v>
      </c>
      <c r="N16" s="200">
        <f>ROUND(VLOOKUP(C16,APUS!I:V,13,0),2)</f>
        <v>1365000</v>
      </c>
      <c r="O16" s="200">
        <f>ROUND(VLOOKUP(C16,APUS!D:Z,23,0),2)</f>
        <v>0</v>
      </c>
      <c r="P16" s="200">
        <f>ROUND(VLOOKUP(C16,APUS!E:Z,22,0),2)</f>
        <v>2600000</v>
      </c>
      <c r="Q16" s="200">
        <f>ROUND(VLOOKUP(C16,APUS!F:Z,21,0),2)</f>
        <v>0</v>
      </c>
      <c r="R16" s="200">
        <f>ROUND(VLOOKUP(C16,APUS!G:Z,20,0),2)</f>
        <v>0</v>
      </c>
      <c r="S16" s="201">
        <f t="shared" ref="S16" si="22">SUM(O16:R16)</f>
        <v>2600000</v>
      </c>
      <c r="T16" s="5"/>
      <c r="U16" s="12"/>
      <c r="V16" s="35" t="str">
        <f t="shared" ref="V16" si="23">CONCATENATE(C16," ","-"," ",D16)</f>
        <v>1.07 - Retiro de tuberias y materiales de desperdicio</v>
      </c>
    </row>
    <row r="17" spans="2:22" x14ac:dyDescent="0.25">
      <c r="C17" s="229"/>
      <c r="D17" s="339"/>
      <c r="E17" s="340"/>
      <c r="F17" s="340"/>
      <c r="G17" s="341"/>
      <c r="H17" s="342"/>
      <c r="I17" s="5"/>
      <c r="J17" s="5"/>
      <c r="K17" s="204"/>
      <c r="L17" s="204"/>
      <c r="M17" s="200"/>
      <c r="N17" s="200"/>
      <c r="O17" s="200"/>
      <c r="P17" s="200"/>
      <c r="Q17" s="200"/>
      <c r="R17" s="200"/>
      <c r="S17" s="201"/>
      <c r="T17" s="5"/>
      <c r="U17" s="12"/>
    </row>
    <row r="18" spans="2:22" x14ac:dyDescent="0.25">
      <c r="B18" s="235">
        <f>+ROUNDUP(C16,0)</f>
        <v>2</v>
      </c>
      <c r="C18" s="40" t="str">
        <f>+CONCATENATE("CAP.",B18)</f>
        <v>CAP.2</v>
      </c>
      <c r="D18" s="231" t="str">
        <f>+VLOOKUP(B18,'[7]CANTIDADES DE OBRA'!$B:$E,2,FALSE)</f>
        <v>RED HIDRAULICA</v>
      </c>
      <c r="E18" s="230"/>
      <c r="F18" s="230"/>
      <c r="G18" s="230"/>
      <c r="H18" s="232">
        <f>+SUM(H19:H58)</f>
        <v>80133133</v>
      </c>
      <c r="I18" s="5"/>
      <c r="J18" s="5"/>
      <c r="K18" s="234">
        <f>+SUM(K19:K58)</f>
        <v>80133133</v>
      </c>
      <c r="L18" s="234">
        <f>+SUM(L19:L58)</f>
        <v>84139787</v>
      </c>
      <c r="M18" s="234"/>
      <c r="N18" s="234"/>
      <c r="O18" s="234">
        <f>+SUM(O19:O58)</f>
        <v>433217.38000000006</v>
      </c>
      <c r="P18" s="234">
        <f>+SUM(P19:P58)</f>
        <v>70728301.670000002</v>
      </c>
      <c r="Q18" s="234">
        <f>+SUM(Q19:Q58)</f>
        <v>307266.92999999988</v>
      </c>
      <c r="R18" s="234">
        <f>+SUM(R19:R58)</f>
        <v>8664345.9599999972</v>
      </c>
      <c r="S18" s="234">
        <f>+SUM(S19:S58)</f>
        <v>80133131.939999998</v>
      </c>
      <c r="T18" s="5"/>
      <c r="U18" s="12"/>
      <c r="V18" s="35" t="str">
        <f t="shared" si="0"/>
        <v>CAP.2 - RED HIDRAULICA</v>
      </c>
    </row>
    <row r="19" spans="2:22" x14ac:dyDescent="0.25">
      <c r="C19" s="229">
        <f>+B18+0.01</f>
        <v>2.0099999999999998</v>
      </c>
      <c r="D19" s="38" t="str">
        <f>+VLOOKUP(C19,'[7]CANTIDADES DE OBRA'!$B:$E,2,FALSE)</f>
        <v>Tuberia PVC Ø1/2"</v>
      </c>
      <c r="E19" s="39" t="str">
        <f>+VLOOKUP(C19,'[7]CANTIDADES DE OBRA'!$B:$E,3,FALSE)</f>
        <v>ML</v>
      </c>
      <c r="F19" s="39">
        <f>+VLOOKUP(C19,'[7]CANTIDADES DE OBRA'!$B:$E,4,FALSE)</f>
        <v>49.03</v>
      </c>
      <c r="G19" s="65">
        <f t="shared" ref="G19:G57" si="24">+IFERROR(IF($Q$1="UNITARIOS",VLOOKUP(C19,C:Y,11,FALSE),VLOOKUP(C19,C:Y,12,FALSE)),0)</f>
        <v>20082.18</v>
      </c>
      <c r="H19" s="43">
        <f t="shared" ref="H19:H57" si="25">+ROUND(F19*G19,$Q$2)</f>
        <v>984629</v>
      </c>
      <c r="I19" s="5"/>
      <c r="J19" s="5"/>
      <c r="K19" s="204">
        <f t="shared" ref="K19:K24" si="26">ROUND(F19*M19,$Q$2)</f>
        <v>984629</v>
      </c>
      <c r="L19" s="204">
        <f t="shared" ref="L19:L24" si="27">ROUND(F19*N19,$Q$2)</f>
        <v>1033861</v>
      </c>
      <c r="M19" s="200">
        <f>ROUND(VLOOKUP(C19,APUS!H:V,14,0),2)</f>
        <v>20082.18</v>
      </c>
      <c r="N19" s="200">
        <f>ROUND(VLOOKUP(C19,APUS!I:V,13,0),2)</f>
        <v>21086.29</v>
      </c>
      <c r="O19" s="200">
        <f>ROUND(VLOOKUP(C19,APUS!D:Z,23,0),2)</f>
        <v>28621.56</v>
      </c>
      <c r="P19" s="200">
        <f>ROUND(VLOOKUP(C19,APUS!E:Z,22,0),2)</f>
        <v>366552.03</v>
      </c>
      <c r="Q19" s="200">
        <f>ROUND(VLOOKUP(C19,APUS!F:Z,21,0),2)</f>
        <v>17024.28</v>
      </c>
      <c r="R19" s="200">
        <f>ROUND(VLOOKUP(C19,APUS!G:Z,20,0),2)</f>
        <v>572431.13</v>
      </c>
      <c r="S19" s="201">
        <f t="shared" ref="S19:S24" si="28">SUM(O19:R19)</f>
        <v>984629</v>
      </c>
      <c r="T19" s="5"/>
      <c r="U19" s="12"/>
      <c r="V19" s="35" t="str">
        <f t="shared" si="0"/>
        <v>2.01 - Tuberia PVC Ø1/2"</v>
      </c>
    </row>
    <row r="20" spans="2:22" x14ac:dyDescent="0.25">
      <c r="C20" s="229">
        <f t="shared" ref="C20:C57" si="29">+ROUNDUP(C19+0.01,2)</f>
        <v>2.02</v>
      </c>
      <c r="D20" s="38" t="str">
        <f>+VLOOKUP(C20,'[7]CANTIDADES DE OBRA'!$B:$E,2,FALSE)</f>
        <v>Tuberia PVC Ø3/4"</v>
      </c>
      <c r="E20" s="39" t="str">
        <f>+VLOOKUP(C20,'[7]CANTIDADES DE OBRA'!$B:$E,3,FALSE)</f>
        <v>ML</v>
      </c>
      <c r="F20" s="39">
        <f>+VLOOKUP(C20,'[7]CANTIDADES DE OBRA'!$B:$E,4,FALSE)</f>
        <v>92.9</v>
      </c>
      <c r="G20" s="65">
        <f t="shared" si="24"/>
        <v>21841.85</v>
      </c>
      <c r="H20" s="43">
        <f t="shared" si="25"/>
        <v>2029108</v>
      </c>
      <c r="I20" s="5"/>
      <c r="J20" s="5"/>
      <c r="K20" s="204">
        <f t="shared" si="26"/>
        <v>2029108</v>
      </c>
      <c r="L20" s="204">
        <f t="shared" si="27"/>
        <v>2130563</v>
      </c>
      <c r="M20" s="200">
        <f>ROUND(VLOOKUP(C20,APUS!H:V,14,0),2)</f>
        <v>21841.85</v>
      </c>
      <c r="N20" s="200">
        <f>ROUND(VLOOKUP(C20,APUS!I:V,13,0),2)</f>
        <v>22933.94</v>
      </c>
      <c r="O20" s="200">
        <f>ROUND(VLOOKUP(C20,APUS!D:Z,23,0),2)</f>
        <v>54230.93</v>
      </c>
      <c r="P20" s="200">
        <f>ROUND(VLOOKUP(C20,APUS!E:Z,22,0),2)</f>
        <v>858000.84</v>
      </c>
      <c r="Q20" s="200">
        <f>ROUND(VLOOKUP(C20,APUS!F:Z,21,0),2)</f>
        <v>32256.9</v>
      </c>
      <c r="R20" s="200">
        <f>ROUND(VLOOKUP(C20,APUS!G:Z,20,0),2)</f>
        <v>1084618.6499999999</v>
      </c>
      <c r="S20" s="201">
        <f t="shared" si="28"/>
        <v>2029107.3199999998</v>
      </c>
      <c r="T20" s="5"/>
      <c r="U20" s="12"/>
      <c r="V20" s="35" t="str">
        <f t="shared" si="0"/>
        <v>2.02 - Tuberia PVC Ø3/4"</v>
      </c>
    </row>
    <row r="21" spans="2:22" x14ac:dyDescent="0.25">
      <c r="C21" s="229">
        <f t="shared" si="29"/>
        <v>2.0299999999999998</v>
      </c>
      <c r="D21" s="38" t="str">
        <f>+VLOOKUP(C21,'[7]CANTIDADES DE OBRA'!$B:$E,2,FALSE)</f>
        <v>Tuberia PVC Ø1"</v>
      </c>
      <c r="E21" s="39" t="str">
        <f>+VLOOKUP(C21,'[7]CANTIDADES DE OBRA'!$B:$E,3,FALSE)</f>
        <v>ML</v>
      </c>
      <c r="F21" s="39">
        <f>+VLOOKUP(C21,'[7]CANTIDADES DE OBRA'!$B:$E,4,FALSE)</f>
        <v>28.6</v>
      </c>
      <c r="G21" s="65">
        <f t="shared" si="24"/>
        <v>26477.9</v>
      </c>
      <c r="H21" s="43">
        <f t="shared" si="25"/>
        <v>757268</v>
      </c>
      <c r="I21" s="5"/>
      <c r="J21" s="5"/>
      <c r="K21" s="204">
        <f t="shared" si="26"/>
        <v>757268</v>
      </c>
      <c r="L21" s="204">
        <f t="shared" si="27"/>
        <v>795131</v>
      </c>
      <c r="M21" s="200">
        <f>ROUND(VLOOKUP(C21,APUS!H:V,14,0),2)</f>
        <v>26477.9</v>
      </c>
      <c r="N21" s="200">
        <f>ROUND(VLOOKUP(C21,APUS!I:V,13,0),2)</f>
        <v>27801.8</v>
      </c>
      <c r="O21" s="200">
        <f>ROUND(VLOOKUP(C21,APUS!D:Z,23,0),2)</f>
        <v>16695.419999999998</v>
      </c>
      <c r="P21" s="200">
        <f>ROUND(VLOOKUP(C21,APUS!E:Z,22,0),2)</f>
        <v>396733.56</v>
      </c>
      <c r="Q21" s="200">
        <f>ROUND(VLOOKUP(C21,APUS!F:Z,21,0),2)</f>
        <v>9930.5400000000009</v>
      </c>
      <c r="R21" s="200">
        <f>ROUND(VLOOKUP(C21,APUS!G:Z,20,0),2)</f>
        <v>333908.43</v>
      </c>
      <c r="S21" s="201">
        <f t="shared" si="28"/>
        <v>757267.95</v>
      </c>
      <c r="T21" s="5"/>
      <c r="U21" s="12"/>
      <c r="V21" s="35" t="str">
        <f t="shared" si="0"/>
        <v>2.03 - Tuberia PVC Ø1"</v>
      </c>
    </row>
    <row r="22" spans="2:22" x14ac:dyDescent="0.25">
      <c r="C22" s="229">
        <f t="shared" si="29"/>
        <v>2.04</v>
      </c>
      <c r="D22" s="38" t="str">
        <f>+VLOOKUP(C22,'[7]CANTIDADES DE OBRA'!$B:$E,2,FALSE)</f>
        <v>Tuberia PVC Ø1_1/4"</v>
      </c>
      <c r="E22" s="39" t="str">
        <f>+VLOOKUP(C22,'[7]CANTIDADES DE OBRA'!$B:$E,3,FALSE)</f>
        <v>ML</v>
      </c>
      <c r="F22" s="39">
        <f>+VLOOKUP(C22,'[7]CANTIDADES DE OBRA'!$B:$E,4,FALSE)</f>
        <v>58.65</v>
      </c>
      <c r="G22" s="65">
        <f t="shared" si="24"/>
        <v>29315.98</v>
      </c>
      <c r="H22" s="43">
        <f t="shared" si="25"/>
        <v>1719382</v>
      </c>
      <c r="I22" s="5"/>
      <c r="J22" s="5"/>
      <c r="K22" s="204">
        <f t="shared" si="26"/>
        <v>1719382</v>
      </c>
      <c r="L22" s="204">
        <f t="shared" si="27"/>
        <v>1805351</v>
      </c>
      <c r="M22" s="200">
        <f>ROUND(VLOOKUP(C22,APUS!H:V,14,0),2)</f>
        <v>29315.98</v>
      </c>
      <c r="N22" s="200">
        <f>ROUND(VLOOKUP(C22,APUS!I:V,13,0),2)</f>
        <v>30781.78</v>
      </c>
      <c r="O22" s="200">
        <f>ROUND(VLOOKUP(C22,APUS!D:Z,23,0),2)</f>
        <v>35663.83</v>
      </c>
      <c r="P22" s="200">
        <f>ROUND(VLOOKUP(C22,APUS!E:Z,22,0),2)</f>
        <v>950077.38</v>
      </c>
      <c r="Q22" s="200">
        <f>ROUND(VLOOKUP(C22,APUS!F:Z,21,0),2)</f>
        <v>20364.560000000001</v>
      </c>
      <c r="R22" s="200">
        <f>ROUND(VLOOKUP(C22,APUS!G:Z,20,0),2)</f>
        <v>713276.86</v>
      </c>
      <c r="S22" s="201">
        <f t="shared" si="28"/>
        <v>1719382.63</v>
      </c>
      <c r="T22" s="5"/>
      <c r="U22" s="12"/>
      <c r="V22" s="35" t="str">
        <f t="shared" si="0"/>
        <v>2.04 - Tuberia PVC Ø1_1/4"</v>
      </c>
    </row>
    <row r="23" spans="2:22" x14ac:dyDescent="0.25">
      <c r="C23" s="229">
        <f t="shared" si="29"/>
        <v>2.0499999999999998</v>
      </c>
      <c r="D23" s="38" t="str">
        <f>+VLOOKUP(C23,'[7]CANTIDADES DE OBRA'!$B:$E,2,FALSE)</f>
        <v>Tuberia PVC Ø1_1/2"</v>
      </c>
      <c r="E23" s="39" t="str">
        <f>+VLOOKUP(C23,'[7]CANTIDADES DE OBRA'!$B:$E,3,FALSE)</f>
        <v>ML</v>
      </c>
      <c r="F23" s="39">
        <f>+VLOOKUP(C23,'[7]CANTIDADES DE OBRA'!$B:$E,4,FALSE)</f>
        <v>52</v>
      </c>
      <c r="G23" s="65">
        <f t="shared" si="24"/>
        <v>33498.31</v>
      </c>
      <c r="H23" s="43">
        <f t="shared" si="25"/>
        <v>1741912</v>
      </c>
      <c r="I23" s="5"/>
      <c r="J23" s="5"/>
      <c r="K23" s="204">
        <f t="shared" si="26"/>
        <v>1741912</v>
      </c>
      <c r="L23" s="204">
        <f t="shared" si="27"/>
        <v>1829008</v>
      </c>
      <c r="M23" s="200">
        <f>ROUND(VLOOKUP(C23,APUS!H:V,14,0),2)</f>
        <v>33498.31</v>
      </c>
      <c r="N23" s="200">
        <f>ROUND(VLOOKUP(C23,APUS!I:V,13,0),2)</f>
        <v>35173.230000000003</v>
      </c>
      <c r="O23" s="200">
        <f>ROUND(VLOOKUP(C23,APUS!D:Z,23,0),2)</f>
        <v>32994.910000000003</v>
      </c>
      <c r="P23" s="200">
        <f>ROUND(VLOOKUP(C23,APUS!E:Z,22,0),2)</f>
        <v>1030963.59</v>
      </c>
      <c r="Q23" s="200">
        <f>ROUND(VLOOKUP(C23,APUS!F:Z,21,0),2)</f>
        <v>18055.53</v>
      </c>
      <c r="R23" s="200">
        <f>ROUND(VLOOKUP(C23,APUS!G:Z,20,0),2)</f>
        <v>659898.09</v>
      </c>
      <c r="S23" s="201">
        <f t="shared" si="28"/>
        <v>1741912.12</v>
      </c>
      <c r="T23" s="5"/>
      <c r="U23" s="12"/>
      <c r="V23" s="35" t="str">
        <f t="shared" si="0"/>
        <v>2.05 - Tuberia PVC Ø1_1/2"</v>
      </c>
    </row>
    <row r="24" spans="2:22" x14ac:dyDescent="0.25">
      <c r="C24" s="229">
        <f t="shared" si="29"/>
        <v>2.06</v>
      </c>
      <c r="D24" s="38" t="str">
        <f>+VLOOKUP(C24,'[7]CANTIDADES DE OBRA'!$B:$E,2,FALSE)</f>
        <v>Tuberia PVC Ø2"</v>
      </c>
      <c r="E24" s="39" t="str">
        <f>+VLOOKUP(C24,'[7]CANTIDADES DE OBRA'!$B:$E,3,FALSE)</f>
        <v>ML</v>
      </c>
      <c r="F24" s="39">
        <f>+VLOOKUP(C24,'[7]CANTIDADES DE OBRA'!$B:$E,4,FALSE)</f>
        <v>10.5</v>
      </c>
      <c r="G24" s="65">
        <f t="shared" si="24"/>
        <v>43451.51</v>
      </c>
      <c r="H24" s="43">
        <f t="shared" si="25"/>
        <v>456241</v>
      </c>
      <c r="I24" s="5"/>
      <c r="J24" s="5"/>
      <c r="K24" s="204">
        <f t="shared" si="26"/>
        <v>456241</v>
      </c>
      <c r="L24" s="204">
        <f t="shared" si="27"/>
        <v>479053</v>
      </c>
      <c r="M24" s="200">
        <f>ROUND(VLOOKUP(C24,APUS!H:V,14,0),2)</f>
        <v>43451.51</v>
      </c>
      <c r="N24" s="200">
        <f>ROUND(VLOOKUP(C24,APUS!I:V,13,0),2)</f>
        <v>45624.09</v>
      </c>
      <c r="O24" s="200">
        <f>ROUND(VLOOKUP(C24,APUS!D:Z,23,0),2)</f>
        <v>6965.27</v>
      </c>
      <c r="P24" s="200">
        <f>ROUND(VLOOKUP(C24,APUS!E:Z,22,0),2)</f>
        <v>306324.39</v>
      </c>
      <c r="Q24" s="200">
        <f>ROUND(VLOOKUP(C24,APUS!F:Z,21,0),2)</f>
        <v>3645.83</v>
      </c>
      <c r="R24" s="200">
        <f>ROUND(VLOOKUP(C24,APUS!G:Z,20,0),2)</f>
        <v>139305.41</v>
      </c>
      <c r="S24" s="201">
        <f t="shared" si="28"/>
        <v>456240.9</v>
      </c>
      <c r="T24" s="5"/>
      <c r="U24" s="12"/>
      <c r="V24" s="35" t="str">
        <f t="shared" ref="V24:V27" si="30">CONCATENATE(C24," ","-"," ",D24)</f>
        <v>2.06 - Tuberia PVC Ø2"</v>
      </c>
    </row>
    <row r="25" spans="2:22" x14ac:dyDescent="0.25">
      <c r="C25" s="229">
        <f t="shared" si="29"/>
        <v>2.0699999999999998</v>
      </c>
      <c r="D25" s="38" t="str">
        <f>+VLOOKUP(C25,'[7]CANTIDADES DE OBRA'!$B:$E,2,FALSE)</f>
        <v>Tuberia PVC Ø2_1/2"</v>
      </c>
      <c r="E25" s="39" t="str">
        <f>+VLOOKUP(C25,'[7]CANTIDADES DE OBRA'!$B:$E,3,FALSE)</f>
        <v>ML</v>
      </c>
      <c r="F25" s="39">
        <f>+VLOOKUP(C25,'[7]CANTIDADES DE OBRA'!$B:$E,4,FALSE)</f>
        <v>7</v>
      </c>
      <c r="G25" s="65">
        <f t="shared" si="24"/>
        <v>67672.929999999993</v>
      </c>
      <c r="H25" s="43">
        <f t="shared" si="25"/>
        <v>473711</v>
      </c>
      <c r="I25" s="5"/>
      <c r="J25" s="5"/>
      <c r="K25" s="204">
        <f t="shared" ref="K25:K32" si="31">ROUND(F25*M25,$Q$2)</f>
        <v>473711</v>
      </c>
      <c r="L25" s="204">
        <f t="shared" ref="L25:L32" si="32">ROUND(F25*N25,$Q$2)</f>
        <v>497396</v>
      </c>
      <c r="M25" s="200">
        <f>ROUND(VLOOKUP(C25,APUS!H:V,14,0),2)</f>
        <v>67672.929999999993</v>
      </c>
      <c r="N25" s="200">
        <f>ROUND(VLOOKUP(C25,APUS!I:V,13,0),2)</f>
        <v>71056.58</v>
      </c>
      <c r="O25" s="200">
        <f>ROUND(VLOOKUP(C25,APUS!D:Z,23,0),2)</f>
        <v>5107.87</v>
      </c>
      <c r="P25" s="200">
        <f>ROUND(VLOOKUP(C25,APUS!E:Z,22,0),2)</f>
        <v>364014.76</v>
      </c>
      <c r="Q25" s="200">
        <f>ROUND(VLOOKUP(C25,APUS!F:Z,21,0),2)</f>
        <v>2430.5500000000002</v>
      </c>
      <c r="R25" s="200">
        <f>ROUND(VLOOKUP(C25,APUS!G:Z,20,0),2)</f>
        <v>102157.3</v>
      </c>
      <c r="S25" s="201">
        <f t="shared" ref="S25:S32" si="33">SUM(O25:R25)</f>
        <v>473710.48</v>
      </c>
      <c r="T25" s="5"/>
      <c r="U25" s="12"/>
      <c r="V25" s="35" t="str">
        <f t="shared" si="30"/>
        <v>2.07 - Tuberia PVC Ø2_1/2"</v>
      </c>
    </row>
    <row r="26" spans="2:22" x14ac:dyDescent="0.25">
      <c r="C26" s="229">
        <f t="shared" si="29"/>
        <v>2.08</v>
      </c>
      <c r="D26" s="38" t="str">
        <f>+VLOOKUP(C26,'[7]CANTIDADES DE OBRA'!$B:$E,2,FALSE)</f>
        <v>Tuberia PVC Ø3"</v>
      </c>
      <c r="E26" s="39" t="str">
        <f>+VLOOKUP(C26,'[7]CANTIDADES DE OBRA'!$B:$E,3,FALSE)</f>
        <v>ML</v>
      </c>
      <c r="F26" s="39">
        <f>+VLOOKUP(C26,'[7]CANTIDADES DE OBRA'!$B:$E,4,FALSE)</f>
        <v>5.25</v>
      </c>
      <c r="G26" s="65">
        <f t="shared" si="24"/>
        <v>75615.5</v>
      </c>
      <c r="H26" s="43">
        <f t="shared" si="25"/>
        <v>396981</v>
      </c>
      <c r="I26" s="5"/>
      <c r="J26" s="5"/>
      <c r="K26" s="204">
        <f t="shared" si="31"/>
        <v>396981</v>
      </c>
      <c r="L26" s="204">
        <f t="shared" si="32"/>
        <v>416830</v>
      </c>
      <c r="M26" s="200">
        <f>ROUND(VLOOKUP(C26,APUS!H:V,14,0),2)</f>
        <v>75615.5</v>
      </c>
      <c r="N26" s="200">
        <f>ROUND(VLOOKUP(C26,APUS!I:V,13,0),2)</f>
        <v>79396.28</v>
      </c>
      <c r="O26" s="200">
        <f>ROUND(VLOOKUP(C26,APUS!D:Z,23,0),2)</f>
        <v>3830.9</v>
      </c>
      <c r="P26" s="200">
        <f>ROUND(VLOOKUP(C26,APUS!E:Z,22,0),2)</f>
        <v>314709.57</v>
      </c>
      <c r="Q26" s="200">
        <f>ROUND(VLOOKUP(C26,APUS!F:Z,21,0),2)</f>
        <v>1822.91</v>
      </c>
      <c r="R26" s="200">
        <f>ROUND(VLOOKUP(C26,APUS!G:Z,20,0),2)</f>
        <v>76617.98</v>
      </c>
      <c r="S26" s="201">
        <f t="shared" si="33"/>
        <v>396981.36</v>
      </c>
      <c r="T26" s="5"/>
      <c r="U26" s="12"/>
      <c r="V26" s="35" t="str">
        <f t="shared" si="30"/>
        <v>2.08 - Tuberia PVC Ø3"</v>
      </c>
    </row>
    <row r="27" spans="2:22" x14ac:dyDescent="0.25">
      <c r="C27" s="229">
        <f t="shared" si="29"/>
        <v>2.09</v>
      </c>
      <c r="D27" s="38" t="str">
        <f>+VLOOKUP(C27,'[7]CANTIDADES DE OBRA'!$B:$E,2,FALSE)</f>
        <v>Codo 90° PVC Ø1/2"</v>
      </c>
      <c r="E27" s="39" t="str">
        <f>+VLOOKUP(C27,'[7]CANTIDADES DE OBRA'!$B:$E,3,FALSE)</f>
        <v>UND</v>
      </c>
      <c r="F27" s="39">
        <f>+VLOOKUP(C27,'[7]CANTIDADES DE OBRA'!$B:$E,4,FALSE)</f>
        <v>50</v>
      </c>
      <c r="G27" s="65">
        <f t="shared" si="24"/>
        <v>8151.8</v>
      </c>
      <c r="H27" s="43">
        <f t="shared" si="25"/>
        <v>407590</v>
      </c>
      <c r="I27" s="5"/>
      <c r="J27" s="5"/>
      <c r="K27" s="204">
        <f t="shared" si="31"/>
        <v>407590</v>
      </c>
      <c r="L27" s="204">
        <f t="shared" si="32"/>
        <v>427970</v>
      </c>
      <c r="M27" s="200">
        <f>ROUND(VLOOKUP(C27,APUS!H:V,14,0),2)</f>
        <v>8151.8</v>
      </c>
      <c r="N27" s="200">
        <f>ROUND(VLOOKUP(C27,APUS!I:V,13,0),2)</f>
        <v>8559.39</v>
      </c>
      <c r="O27" s="200">
        <f>ROUND(VLOOKUP(C27,APUS!D:Z,23,0),2)</f>
        <v>13947.43</v>
      </c>
      <c r="P27" s="200">
        <f>ROUND(VLOOKUP(C27,APUS!E:Z,22,0),2)</f>
        <v>97332.91</v>
      </c>
      <c r="Q27" s="200">
        <f>ROUND(VLOOKUP(C27,APUS!F:Z,21,0),2)</f>
        <v>17361.09</v>
      </c>
      <c r="R27" s="200">
        <f>ROUND(VLOOKUP(C27,APUS!G:Z,20,0),2)</f>
        <v>278948.33</v>
      </c>
      <c r="S27" s="201">
        <f t="shared" si="33"/>
        <v>407589.76</v>
      </c>
      <c r="T27" s="5"/>
      <c r="U27" s="12"/>
      <c r="V27" s="35" t="str">
        <f t="shared" si="30"/>
        <v>2.09 - Codo 90° PVC Ø1/2"</v>
      </c>
    </row>
    <row r="28" spans="2:22" x14ac:dyDescent="0.25">
      <c r="C28" s="229">
        <f t="shared" si="29"/>
        <v>2.1</v>
      </c>
      <c r="D28" s="38" t="str">
        <f>+VLOOKUP(C28,'[7]CANTIDADES DE OBRA'!$B:$E,2,FALSE)</f>
        <v>Codo 90° PVC Ø3/4"</v>
      </c>
      <c r="E28" s="39" t="str">
        <f>+VLOOKUP(C28,'[7]CANTIDADES DE OBRA'!$B:$E,3,FALSE)</f>
        <v>UND</v>
      </c>
      <c r="F28" s="39">
        <f>+VLOOKUP(C28,'[7]CANTIDADES DE OBRA'!$B:$E,4,FALSE)</f>
        <v>29</v>
      </c>
      <c r="G28" s="65">
        <f t="shared" si="24"/>
        <v>8669.7999999999993</v>
      </c>
      <c r="H28" s="43">
        <f t="shared" si="25"/>
        <v>251424</v>
      </c>
      <c r="I28" s="5"/>
      <c r="J28" s="5"/>
      <c r="K28" s="204">
        <f t="shared" si="31"/>
        <v>251424</v>
      </c>
      <c r="L28" s="204">
        <f t="shared" si="32"/>
        <v>263995</v>
      </c>
      <c r="M28" s="200">
        <f>ROUND(VLOOKUP(C28,APUS!H:V,14,0),2)</f>
        <v>8669.7999999999993</v>
      </c>
      <c r="N28" s="200">
        <f>ROUND(VLOOKUP(C28,APUS!I:V,13,0),2)</f>
        <v>9103.2900000000009</v>
      </c>
      <c r="O28" s="200">
        <f>ROUND(VLOOKUP(C28,APUS!D:Z,23,0),2)</f>
        <v>8089.51</v>
      </c>
      <c r="P28" s="200">
        <f>ROUND(VLOOKUP(C28,APUS!E:Z,22,0),2)</f>
        <v>71475.09</v>
      </c>
      <c r="Q28" s="200">
        <f>ROUND(VLOOKUP(C28,APUS!F:Z,21,0),2)</f>
        <v>10069.43</v>
      </c>
      <c r="R28" s="200">
        <f>ROUND(VLOOKUP(C28,APUS!G:Z,20,0),2)</f>
        <v>161790.03</v>
      </c>
      <c r="S28" s="201">
        <f t="shared" si="33"/>
        <v>251424.06</v>
      </c>
      <c r="T28" s="5"/>
      <c r="U28" s="12"/>
      <c r="V28" s="35" t="str">
        <f t="shared" ref="V28:V35" si="34">CONCATENATE(C28," ","-"," ",D28)</f>
        <v>2.1 - Codo 90° PVC Ø3/4"</v>
      </c>
    </row>
    <row r="29" spans="2:22" x14ac:dyDescent="0.25">
      <c r="C29" s="229">
        <f t="shared" si="29"/>
        <v>2.11</v>
      </c>
      <c r="D29" s="38" t="str">
        <f>+VLOOKUP(C29,'[7]CANTIDADES DE OBRA'!$B:$E,2,FALSE)</f>
        <v>Tee PVC Ø3/4"</v>
      </c>
      <c r="E29" s="39" t="str">
        <f>+VLOOKUP(C29,'[7]CANTIDADES DE OBRA'!$B:$E,3,FALSE)</f>
        <v>UND</v>
      </c>
      <c r="F29" s="39">
        <f>+VLOOKUP(C29,'[7]CANTIDADES DE OBRA'!$B:$E,4,FALSE)</f>
        <v>24</v>
      </c>
      <c r="G29" s="65">
        <f t="shared" si="24"/>
        <v>9210.7999999999993</v>
      </c>
      <c r="H29" s="43">
        <f t="shared" si="25"/>
        <v>221059</v>
      </c>
      <c r="I29" s="5"/>
      <c r="J29" s="5"/>
      <c r="K29" s="204">
        <f t="shared" si="31"/>
        <v>221059</v>
      </c>
      <c r="L29" s="204">
        <f t="shared" si="32"/>
        <v>232112</v>
      </c>
      <c r="M29" s="200">
        <f>ROUND(VLOOKUP(C29,APUS!H:V,14,0),2)</f>
        <v>9210.7999999999993</v>
      </c>
      <c r="N29" s="200">
        <f>ROUND(VLOOKUP(C29,APUS!I:V,13,0),2)</f>
        <v>9671.34</v>
      </c>
      <c r="O29" s="200">
        <f>ROUND(VLOOKUP(C29,APUS!D:Z,23,0),2)</f>
        <v>6694.76</v>
      </c>
      <c r="P29" s="200">
        <f>ROUND(VLOOKUP(C29,APUS!E:Z,22,0),2)</f>
        <v>72135.8</v>
      </c>
      <c r="Q29" s="200">
        <f>ROUND(VLOOKUP(C29,APUS!F:Z,21,0),2)</f>
        <v>8333.32</v>
      </c>
      <c r="R29" s="200">
        <f>ROUND(VLOOKUP(C29,APUS!G:Z,20,0),2)</f>
        <v>133895.20000000001</v>
      </c>
      <c r="S29" s="201">
        <f t="shared" si="33"/>
        <v>221059.08000000002</v>
      </c>
      <c r="T29" s="5"/>
      <c r="U29" s="12"/>
      <c r="V29" s="35" t="str">
        <f t="shared" si="34"/>
        <v>2.11 - Tee PVC Ø3/4"</v>
      </c>
    </row>
    <row r="30" spans="2:22" x14ac:dyDescent="0.25">
      <c r="C30" s="229">
        <f t="shared" si="29"/>
        <v>2.12</v>
      </c>
      <c r="D30" s="38" t="str">
        <f>+VLOOKUP(C30,'[7]CANTIDADES DE OBRA'!$B:$E,2,FALSE)</f>
        <v>Codo 90° PVC Ø1"</v>
      </c>
      <c r="E30" s="39" t="str">
        <f>+VLOOKUP(C30,'[7]CANTIDADES DE OBRA'!$B:$E,3,FALSE)</f>
        <v>UND</v>
      </c>
      <c r="F30" s="39">
        <f>+VLOOKUP(C30,'[7]CANTIDADES DE OBRA'!$B:$E,4,FALSE)</f>
        <v>27</v>
      </c>
      <c r="G30" s="65">
        <f t="shared" si="24"/>
        <v>9987.7999999999993</v>
      </c>
      <c r="H30" s="43">
        <f t="shared" si="25"/>
        <v>269671</v>
      </c>
      <c r="I30" s="5"/>
      <c r="J30" s="5"/>
      <c r="K30" s="204">
        <f t="shared" si="31"/>
        <v>269671</v>
      </c>
      <c r="L30" s="204">
        <f t="shared" si="32"/>
        <v>283154</v>
      </c>
      <c r="M30" s="200">
        <f>ROUND(VLOOKUP(C30,APUS!H:V,14,0),2)</f>
        <v>9987.7999999999993</v>
      </c>
      <c r="N30" s="200">
        <f>ROUND(VLOOKUP(C30,APUS!I:V,13,0),2)</f>
        <v>10487.19</v>
      </c>
      <c r="O30" s="200">
        <f>ROUND(VLOOKUP(C30,APUS!D:Z,23,0),2)</f>
        <v>7531.61</v>
      </c>
      <c r="P30" s="200">
        <f>ROUND(VLOOKUP(C30,APUS!E:Z,22,0),2)</f>
        <v>102131.77</v>
      </c>
      <c r="Q30" s="200">
        <f>ROUND(VLOOKUP(C30,APUS!F:Z,21,0),2)</f>
        <v>9374.99</v>
      </c>
      <c r="R30" s="200">
        <f>ROUND(VLOOKUP(C30,APUS!G:Z,20,0),2)</f>
        <v>150632.1</v>
      </c>
      <c r="S30" s="201">
        <f t="shared" si="33"/>
        <v>269670.47000000003</v>
      </c>
      <c r="T30" s="5"/>
      <c r="U30" s="12"/>
      <c r="V30" s="35" t="str">
        <f t="shared" si="34"/>
        <v>2.12 - Codo 90° PVC Ø1"</v>
      </c>
    </row>
    <row r="31" spans="2:22" x14ac:dyDescent="0.25">
      <c r="C31" s="229">
        <f t="shared" si="29"/>
        <v>2.13</v>
      </c>
      <c r="D31" s="38" t="str">
        <f>+VLOOKUP(C31,'[7]CANTIDADES DE OBRA'!$B:$E,2,FALSE)</f>
        <v>Codo 90° PVC Ø1_1/4"</v>
      </c>
      <c r="E31" s="39" t="str">
        <f>+VLOOKUP(C31,'[7]CANTIDADES DE OBRA'!$B:$E,3,FALSE)</f>
        <v>UND</v>
      </c>
      <c r="F31" s="39">
        <f>+VLOOKUP(C31,'[7]CANTIDADES DE OBRA'!$B:$E,4,FALSE)</f>
        <v>28</v>
      </c>
      <c r="G31" s="65">
        <f t="shared" si="24"/>
        <v>12472.8</v>
      </c>
      <c r="H31" s="43">
        <f t="shared" si="25"/>
        <v>349238</v>
      </c>
      <c r="I31" s="5"/>
      <c r="J31" s="5"/>
      <c r="K31" s="204">
        <f t="shared" si="31"/>
        <v>349238</v>
      </c>
      <c r="L31" s="204">
        <f t="shared" si="32"/>
        <v>366700</v>
      </c>
      <c r="M31" s="200">
        <f>ROUND(VLOOKUP(C31,APUS!H:V,14,0),2)</f>
        <v>12472.8</v>
      </c>
      <c r="N31" s="200">
        <f>ROUND(VLOOKUP(C31,APUS!I:V,13,0),2)</f>
        <v>13096.44</v>
      </c>
      <c r="O31" s="200">
        <f>ROUND(VLOOKUP(C31,APUS!D:Z,23,0),2)</f>
        <v>7810.56</v>
      </c>
      <c r="P31" s="200">
        <f>ROUND(VLOOKUP(C31,APUS!E:Z,22,0),2)</f>
        <v>175494.43</v>
      </c>
      <c r="Q31" s="200">
        <f>ROUND(VLOOKUP(C31,APUS!F:Z,21,0),2)</f>
        <v>9722.2099999999991</v>
      </c>
      <c r="R31" s="200">
        <f>ROUND(VLOOKUP(C31,APUS!G:Z,20,0),2)</f>
        <v>156211.07</v>
      </c>
      <c r="S31" s="201">
        <f t="shared" si="33"/>
        <v>349238.27</v>
      </c>
      <c r="T31" s="5"/>
      <c r="U31" s="12"/>
      <c r="V31" s="35" t="str">
        <f t="shared" si="34"/>
        <v>2.13 - Codo 90° PVC Ø1_1/4"</v>
      </c>
    </row>
    <row r="32" spans="2:22" x14ac:dyDescent="0.25">
      <c r="C32" s="229">
        <f t="shared" si="29"/>
        <v>2.14</v>
      </c>
      <c r="D32" s="38" t="str">
        <f>+VLOOKUP(C32,'[7]CANTIDADES DE OBRA'!$B:$E,2,FALSE)</f>
        <v>Tee PVC Ø1_1/4"</v>
      </c>
      <c r="E32" s="39" t="str">
        <f>+VLOOKUP(C32,'[7]CANTIDADES DE OBRA'!$B:$E,3,FALSE)</f>
        <v>UND</v>
      </c>
      <c r="F32" s="39">
        <f>+VLOOKUP(C32,'[7]CANTIDADES DE OBRA'!$B:$E,4,FALSE)</f>
        <v>7</v>
      </c>
      <c r="G32" s="65">
        <f t="shared" si="24"/>
        <v>12472.8</v>
      </c>
      <c r="H32" s="43">
        <f t="shared" si="25"/>
        <v>87310</v>
      </c>
      <c r="I32" s="5"/>
      <c r="J32" s="5"/>
      <c r="K32" s="204">
        <f t="shared" si="31"/>
        <v>87310</v>
      </c>
      <c r="L32" s="204">
        <f t="shared" si="32"/>
        <v>91675</v>
      </c>
      <c r="M32" s="200">
        <f>ROUND(VLOOKUP(C32,APUS!H:V,14,0),2)</f>
        <v>12472.8</v>
      </c>
      <c r="N32" s="200">
        <f>ROUND(VLOOKUP(C32,APUS!I:V,13,0),2)</f>
        <v>13096.44</v>
      </c>
      <c r="O32" s="200">
        <f>ROUND(VLOOKUP(C32,APUS!D:Z,23,0),2)</f>
        <v>1952.64</v>
      </c>
      <c r="P32" s="200">
        <f>ROUND(VLOOKUP(C32,APUS!E:Z,22,0),2)</f>
        <v>43873.61</v>
      </c>
      <c r="Q32" s="200">
        <f>ROUND(VLOOKUP(C32,APUS!F:Z,21,0),2)</f>
        <v>2430.5500000000002</v>
      </c>
      <c r="R32" s="200">
        <f>ROUND(VLOOKUP(C32,APUS!G:Z,20,0),2)</f>
        <v>39052.769999999997</v>
      </c>
      <c r="S32" s="201">
        <f t="shared" si="33"/>
        <v>87309.57</v>
      </c>
      <c r="T32" s="5"/>
      <c r="U32" s="12"/>
      <c r="V32" s="35" t="str">
        <f t="shared" si="34"/>
        <v>2.14 - Tee PVC Ø1_1/4"</v>
      </c>
    </row>
    <row r="33" spans="3:22" x14ac:dyDescent="0.25">
      <c r="C33" s="229">
        <f t="shared" si="29"/>
        <v>2.15</v>
      </c>
      <c r="D33" s="38" t="str">
        <f>+VLOOKUP(C33,'[7]CANTIDADES DE OBRA'!$B:$E,2,FALSE)</f>
        <v>Codo 90° PVC Ø1_1/2"</v>
      </c>
      <c r="E33" s="39" t="str">
        <f>+VLOOKUP(C33,'[7]CANTIDADES DE OBRA'!$B:$E,3,FALSE)</f>
        <v>UND</v>
      </c>
      <c r="F33" s="39">
        <f>+VLOOKUP(C33,'[7]CANTIDADES DE OBRA'!$B:$E,4,FALSE)</f>
        <v>36</v>
      </c>
      <c r="G33" s="65">
        <f t="shared" si="24"/>
        <v>18051.46</v>
      </c>
      <c r="H33" s="43">
        <f t="shared" si="25"/>
        <v>649853</v>
      </c>
      <c r="I33" s="5"/>
      <c r="J33" s="5"/>
      <c r="K33" s="204">
        <f t="shared" ref="K33:K42" si="35">ROUND(F33*M33,$Q$2)</f>
        <v>649853</v>
      </c>
      <c r="L33" s="204">
        <f t="shared" ref="L33:L42" si="36">ROUND(F33*N33,$Q$2)</f>
        <v>682345</v>
      </c>
      <c r="M33" s="200">
        <f>ROUND(VLOOKUP(C33,APUS!H:V,14,0),2)</f>
        <v>18051.46</v>
      </c>
      <c r="N33" s="200">
        <f>ROUND(VLOOKUP(C33,APUS!I:V,13,0),2)</f>
        <v>18954.03</v>
      </c>
      <c r="O33" s="200">
        <f>ROUND(VLOOKUP(C33,APUS!D:Z,23,0),2)</f>
        <v>10042.15</v>
      </c>
      <c r="P33" s="200">
        <f>ROUND(VLOOKUP(C33,APUS!E:Z,22,0),2)</f>
        <v>426467.39</v>
      </c>
      <c r="Q33" s="200">
        <f>ROUND(VLOOKUP(C33,APUS!F:Z,21,0),2)</f>
        <v>12499.98</v>
      </c>
      <c r="R33" s="200">
        <f>ROUND(VLOOKUP(C33,APUS!G:Z,20,0),2)</f>
        <v>200842.8</v>
      </c>
      <c r="S33" s="201">
        <f t="shared" ref="S33:S42" si="37">SUM(O33:R33)</f>
        <v>649852.32000000007</v>
      </c>
      <c r="T33" s="5"/>
      <c r="U33" s="12"/>
      <c r="V33" s="35" t="str">
        <f t="shared" si="34"/>
        <v>2.15 - Codo 90° PVC Ø1_1/2"</v>
      </c>
    </row>
    <row r="34" spans="3:22" x14ac:dyDescent="0.25">
      <c r="C34" s="229">
        <f t="shared" si="29"/>
        <v>2.16</v>
      </c>
      <c r="D34" s="38" t="str">
        <f>+VLOOKUP(C34,'[7]CANTIDADES DE OBRA'!$B:$E,2,FALSE)</f>
        <v>Tee PVC Ø1_1/2"</v>
      </c>
      <c r="E34" s="39" t="str">
        <f>+VLOOKUP(C34,'[7]CANTIDADES DE OBRA'!$B:$E,3,FALSE)</f>
        <v>UND</v>
      </c>
      <c r="F34" s="39">
        <f>+VLOOKUP(C34,'[7]CANTIDADES DE OBRA'!$B:$E,4,FALSE)</f>
        <v>32</v>
      </c>
      <c r="G34" s="65">
        <f t="shared" si="24"/>
        <v>21099.46</v>
      </c>
      <c r="H34" s="43">
        <f t="shared" si="25"/>
        <v>675183</v>
      </c>
      <c r="I34" s="5"/>
      <c r="J34" s="5"/>
      <c r="K34" s="204">
        <f t="shared" si="35"/>
        <v>675183</v>
      </c>
      <c r="L34" s="204">
        <f t="shared" si="36"/>
        <v>708942</v>
      </c>
      <c r="M34" s="200">
        <f>ROUND(VLOOKUP(C34,APUS!H:V,14,0),2)</f>
        <v>21099.46</v>
      </c>
      <c r="N34" s="200">
        <f>ROUND(VLOOKUP(C34,APUS!I:V,13,0),2)</f>
        <v>22154.43</v>
      </c>
      <c r="O34" s="200">
        <f>ROUND(VLOOKUP(C34,APUS!D:Z,23,0),2)</f>
        <v>8926.35</v>
      </c>
      <c r="P34" s="200">
        <f>ROUND(VLOOKUP(C34,APUS!E:Z,22,0),2)</f>
        <v>476618.12</v>
      </c>
      <c r="Q34" s="200">
        <f>ROUND(VLOOKUP(C34,APUS!F:Z,21,0),2)</f>
        <v>11111.1</v>
      </c>
      <c r="R34" s="200">
        <f>ROUND(VLOOKUP(C34,APUS!G:Z,20,0),2)</f>
        <v>178526.93</v>
      </c>
      <c r="S34" s="201">
        <f t="shared" si="37"/>
        <v>675182.5</v>
      </c>
      <c r="T34" s="5"/>
      <c r="U34" s="12"/>
      <c r="V34" s="35" t="str">
        <f t="shared" si="34"/>
        <v>2.16 - Tee PVC Ø1_1/2"</v>
      </c>
    </row>
    <row r="35" spans="3:22" x14ac:dyDescent="0.25">
      <c r="C35" s="229">
        <f t="shared" si="29"/>
        <v>2.17</v>
      </c>
      <c r="D35" s="38" t="str">
        <f>+VLOOKUP(C35,'[7]CANTIDADES DE OBRA'!$B:$E,2,FALSE)</f>
        <v>Tee PVC Ø2"</v>
      </c>
      <c r="E35" s="39" t="str">
        <f>+VLOOKUP(C35,'[7]CANTIDADES DE OBRA'!$B:$E,3,FALSE)</f>
        <v>UND</v>
      </c>
      <c r="F35" s="39">
        <f>+VLOOKUP(C35,'[7]CANTIDADES DE OBRA'!$B:$E,4,FALSE)</f>
        <v>3</v>
      </c>
      <c r="G35" s="65">
        <f t="shared" si="24"/>
        <v>28639.46</v>
      </c>
      <c r="H35" s="43">
        <f t="shared" si="25"/>
        <v>85918</v>
      </c>
      <c r="I35" s="5"/>
      <c r="J35" s="5"/>
      <c r="K35" s="204">
        <f t="shared" si="35"/>
        <v>85918</v>
      </c>
      <c r="L35" s="204">
        <f t="shared" si="36"/>
        <v>90214</v>
      </c>
      <c r="M35" s="200">
        <f>ROUND(VLOOKUP(C35,APUS!H:V,14,0),2)</f>
        <v>28639.46</v>
      </c>
      <c r="N35" s="200">
        <f>ROUND(VLOOKUP(C35,APUS!I:V,13,0),2)</f>
        <v>30071.43</v>
      </c>
      <c r="O35" s="200">
        <f>ROUND(VLOOKUP(C35,APUS!D:Z,23,0),2)</f>
        <v>836.85</v>
      </c>
      <c r="P35" s="200">
        <f>ROUND(VLOOKUP(C35,APUS!E:Z,22,0),2)</f>
        <v>67302.95</v>
      </c>
      <c r="Q35" s="200">
        <f>ROUND(VLOOKUP(C35,APUS!F:Z,21,0),2)</f>
        <v>1041.67</v>
      </c>
      <c r="R35" s="200">
        <f>ROUND(VLOOKUP(C35,APUS!G:Z,20,0),2)</f>
        <v>16736.900000000001</v>
      </c>
      <c r="S35" s="201">
        <f t="shared" si="37"/>
        <v>85918.37</v>
      </c>
      <c r="T35" s="5"/>
      <c r="U35" s="12"/>
      <c r="V35" s="35" t="str">
        <f t="shared" si="34"/>
        <v>2.17 - Tee PVC Ø2"</v>
      </c>
    </row>
    <row r="36" spans="3:22" x14ac:dyDescent="0.25">
      <c r="C36" s="229">
        <f t="shared" si="29"/>
        <v>2.1800000000000002</v>
      </c>
      <c r="D36" s="38" t="str">
        <f>+VLOOKUP(C36,'[7]CANTIDADES DE OBRA'!$B:$E,2,FALSE)</f>
        <v>Codo 90° PVC Ø2_1/2"</v>
      </c>
      <c r="E36" s="39" t="str">
        <f>+VLOOKUP(C36,'[7]CANTIDADES DE OBRA'!$B:$E,3,FALSE)</f>
        <v>UND</v>
      </c>
      <c r="F36" s="39">
        <f>+VLOOKUP(C36,'[7]CANTIDADES DE OBRA'!$B:$E,4,FALSE)</f>
        <v>2</v>
      </c>
      <c r="G36" s="65">
        <f t="shared" si="24"/>
        <v>54052.46</v>
      </c>
      <c r="H36" s="43">
        <f t="shared" si="25"/>
        <v>108105</v>
      </c>
      <c r="I36" s="5"/>
      <c r="J36" s="5"/>
      <c r="K36" s="204">
        <f t="shared" si="35"/>
        <v>108105</v>
      </c>
      <c r="L36" s="204">
        <f t="shared" si="36"/>
        <v>113510</v>
      </c>
      <c r="M36" s="200">
        <f>ROUND(VLOOKUP(C36,APUS!H:V,14,0),2)</f>
        <v>54052.46</v>
      </c>
      <c r="N36" s="200">
        <f>ROUND(VLOOKUP(C36,APUS!I:V,13,0),2)</f>
        <v>56755.08</v>
      </c>
      <c r="O36" s="200">
        <f>ROUND(VLOOKUP(C36,APUS!D:Z,23,0),2)</f>
        <v>557.9</v>
      </c>
      <c r="P36" s="200">
        <f>ROUND(VLOOKUP(C36,APUS!E:Z,22,0),2)</f>
        <v>95694.63</v>
      </c>
      <c r="Q36" s="200">
        <f>ROUND(VLOOKUP(C36,APUS!F:Z,21,0),2)</f>
        <v>694.44</v>
      </c>
      <c r="R36" s="200">
        <f>ROUND(VLOOKUP(C36,APUS!G:Z,20,0),2)</f>
        <v>11157.93</v>
      </c>
      <c r="S36" s="201">
        <f t="shared" si="37"/>
        <v>108104.9</v>
      </c>
      <c r="T36" s="5"/>
      <c r="U36" s="12"/>
      <c r="V36" s="35" t="str">
        <f t="shared" ref="V36:V45" si="38">CONCATENATE(C36," ","-"," ",D36)</f>
        <v>2.18 - Codo 90° PVC Ø2_1/2"</v>
      </c>
    </row>
    <row r="37" spans="3:22" x14ac:dyDescent="0.25">
      <c r="C37" s="229">
        <f t="shared" si="29"/>
        <v>2.19</v>
      </c>
      <c r="D37" s="38" t="str">
        <f>+VLOOKUP(C37,'[7]CANTIDADES DE OBRA'!$B:$E,2,FALSE)</f>
        <v>Tee PVC Ø2_1/2"</v>
      </c>
      <c r="E37" s="39" t="str">
        <f>+VLOOKUP(C37,'[7]CANTIDADES DE OBRA'!$B:$E,3,FALSE)</f>
        <v>UND</v>
      </c>
      <c r="F37" s="39">
        <f>+VLOOKUP(C37,'[7]CANTIDADES DE OBRA'!$B:$E,4,FALSE)</f>
        <v>10</v>
      </c>
      <c r="G37" s="65">
        <f t="shared" si="24"/>
        <v>56444.46</v>
      </c>
      <c r="H37" s="43">
        <f t="shared" si="25"/>
        <v>564445</v>
      </c>
      <c r="I37" s="5"/>
      <c r="J37" s="5"/>
      <c r="K37" s="204">
        <f t="shared" si="35"/>
        <v>564445</v>
      </c>
      <c r="L37" s="204">
        <f t="shared" si="36"/>
        <v>592667</v>
      </c>
      <c r="M37" s="200">
        <f>ROUND(VLOOKUP(C37,APUS!H:V,14,0),2)</f>
        <v>56444.46</v>
      </c>
      <c r="N37" s="200">
        <f>ROUND(VLOOKUP(C37,APUS!I:V,13,0),2)</f>
        <v>59266.68</v>
      </c>
      <c r="O37" s="200">
        <f>ROUND(VLOOKUP(C37,APUS!D:Z,23,0),2)</f>
        <v>2789.49</v>
      </c>
      <c r="P37" s="200">
        <f>ROUND(VLOOKUP(C37,APUS!E:Z,22,0),2)</f>
        <v>502393.16</v>
      </c>
      <c r="Q37" s="200">
        <f>ROUND(VLOOKUP(C37,APUS!F:Z,21,0),2)</f>
        <v>3472.22</v>
      </c>
      <c r="R37" s="200">
        <f>ROUND(VLOOKUP(C37,APUS!G:Z,20,0),2)</f>
        <v>55789.67</v>
      </c>
      <c r="S37" s="201">
        <f t="shared" si="37"/>
        <v>564444.53999999992</v>
      </c>
      <c r="T37" s="5"/>
      <c r="U37" s="12"/>
      <c r="V37" s="35" t="str">
        <f t="shared" si="38"/>
        <v>2.19 - Tee PVC Ø2_1/2"</v>
      </c>
    </row>
    <row r="38" spans="3:22" x14ac:dyDescent="0.25">
      <c r="C38" s="229">
        <f t="shared" si="29"/>
        <v>2.2000000000000002</v>
      </c>
      <c r="D38" s="38" t="str">
        <f>+VLOOKUP(C38,'[7]CANTIDADES DE OBRA'!$B:$E,2,FALSE)</f>
        <v>Valvula de corte Ø1/2"</v>
      </c>
      <c r="E38" s="39" t="str">
        <f>+VLOOKUP(C38,'[7]CANTIDADES DE OBRA'!$B:$E,3,FALSE)</f>
        <v>UND</v>
      </c>
      <c r="F38" s="39">
        <f>+VLOOKUP(C38,'[7]CANTIDADES DE OBRA'!$B:$E,4,FALSE)</f>
        <v>3</v>
      </c>
      <c r="G38" s="65">
        <f t="shared" si="24"/>
        <v>23115.040000000001</v>
      </c>
      <c r="H38" s="43">
        <f t="shared" si="25"/>
        <v>69345</v>
      </c>
      <c r="I38" s="5"/>
      <c r="J38" s="5"/>
      <c r="K38" s="204">
        <f t="shared" si="35"/>
        <v>69345</v>
      </c>
      <c r="L38" s="204">
        <f t="shared" si="36"/>
        <v>72812</v>
      </c>
      <c r="M38" s="200">
        <f>ROUND(VLOOKUP(C38,APUS!H:V,14,0),2)</f>
        <v>23115.040000000001</v>
      </c>
      <c r="N38" s="200">
        <f>ROUND(VLOOKUP(C38,APUS!I:V,13,0),2)</f>
        <v>24270.79</v>
      </c>
      <c r="O38" s="200">
        <f>ROUND(VLOOKUP(C38,APUS!D:Z,23,0),2)</f>
        <v>1004.21</v>
      </c>
      <c r="P38" s="200">
        <f>ROUND(VLOOKUP(C38,APUS!E:Z,22,0),2)</f>
        <v>47214.95</v>
      </c>
      <c r="Q38" s="200">
        <f>ROUND(VLOOKUP(C38,APUS!F:Z,21,0),2)</f>
        <v>1041.67</v>
      </c>
      <c r="R38" s="200">
        <f>ROUND(VLOOKUP(C38,APUS!G:Z,20,0),2)</f>
        <v>20084.28</v>
      </c>
      <c r="S38" s="201">
        <f t="shared" si="37"/>
        <v>69345.109999999986</v>
      </c>
      <c r="T38" s="5"/>
      <c r="U38" s="12"/>
      <c r="V38" s="35" t="str">
        <f t="shared" si="38"/>
        <v>2.2 - Valvula de corte Ø1/2"</v>
      </c>
    </row>
    <row r="39" spans="3:22" x14ac:dyDescent="0.25">
      <c r="C39" s="229">
        <f t="shared" si="29"/>
        <v>2.21</v>
      </c>
      <c r="D39" s="38" t="str">
        <f>+VLOOKUP(C39,'[7]CANTIDADES DE OBRA'!$B:$E,2,FALSE)</f>
        <v>Valvula de corte Ø3/4"</v>
      </c>
      <c r="E39" s="39" t="str">
        <f>+VLOOKUP(C39,'[7]CANTIDADES DE OBRA'!$B:$E,3,FALSE)</f>
        <v>UND</v>
      </c>
      <c r="F39" s="39">
        <f>+VLOOKUP(C39,'[7]CANTIDADES DE OBRA'!$B:$E,4,FALSE)</f>
        <v>4</v>
      </c>
      <c r="G39" s="65">
        <f t="shared" si="24"/>
        <v>27780.04</v>
      </c>
      <c r="H39" s="43">
        <f t="shared" si="25"/>
        <v>111120</v>
      </c>
      <c r="I39" s="5"/>
      <c r="J39" s="5"/>
      <c r="K39" s="204">
        <f t="shared" si="35"/>
        <v>111120</v>
      </c>
      <c r="L39" s="204">
        <f t="shared" si="36"/>
        <v>116676</v>
      </c>
      <c r="M39" s="200">
        <f>ROUND(VLOOKUP(C39,APUS!H:V,14,0),2)</f>
        <v>27780.04</v>
      </c>
      <c r="N39" s="200">
        <f>ROUND(VLOOKUP(C39,APUS!I:V,13,0),2)</f>
        <v>29169.040000000001</v>
      </c>
      <c r="O39" s="200">
        <f>ROUND(VLOOKUP(C39,APUS!D:Z,23,0),2)</f>
        <v>1338.95</v>
      </c>
      <c r="P39" s="200">
        <f>ROUND(VLOOKUP(C39,APUS!E:Z,22,0),2)</f>
        <v>81613.27</v>
      </c>
      <c r="Q39" s="200">
        <f>ROUND(VLOOKUP(C39,APUS!F:Z,21,0),2)</f>
        <v>1388.89</v>
      </c>
      <c r="R39" s="200">
        <f>ROUND(VLOOKUP(C39,APUS!G:Z,20,0),2)</f>
        <v>26779.040000000001</v>
      </c>
      <c r="S39" s="201">
        <f t="shared" si="37"/>
        <v>111120.15</v>
      </c>
      <c r="T39" s="5"/>
      <c r="U39" s="12"/>
      <c r="V39" s="35" t="str">
        <f t="shared" si="38"/>
        <v>2.21 - Valvula de corte Ø3/4"</v>
      </c>
    </row>
    <row r="40" spans="3:22" x14ac:dyDescent="0.25">
      <c r="C40" s="229">
        <f t="shared" si="29"/>
        <v>2.2200000000000002</v>
      </c>
      <c r="D40" s="38" t="str">
        <f>+VLOOKUP(C40,'[7]CANTIDADES DE OBRA'!$B:$E,2,FALSE)</f>
        <v>Valvula de corte Ø1_1/4"</v>
      </c>
      <c r="E40" s="39" t="str">
        <f>+VLOOKUP(C40,'[7]CANTIDADES DE OBRA'!$B:$E,3,FALSE)</f>
        <v>UND</v>
      </c>
      <c r="F40" s="39">
        <f>+VLOOKUP(C40,'[7]CANTIDADES DE OBRA'!$B:$E,4,FALSE)</f>
        <v>7</v>
      </c>
      <c r="G40" s="65">
        <f t="shared" si="24"/>
        <v>43145.04</v>
      </c>
      <c r="H40" s="43">
        <f t="shared" si="25"/>
        <v>302015</v>
      </c>
      <c r="I40" s="5"/>
      <c r="J40" s="5"/>
      <c r="K40" s="204">
        <f t="shared" si="35"/>
        <v>302015</v>
      </c>
      <c r="L40" s="204">
        <f t="shared" si="36"/>
        <v>317116</v>
      </c>
      <c r="M40" s="200">
        <f>ROUND(VLOOKUP(C40,APUS!H:V,14,0),2)</f>
        <v>43145.04</v>
      </c>
      <c r="N40" s="200">
        <f>ROUND(VLOOKUP(C40,APUS!I:V,13,0),2)</f>
        <v>45302.29</v>
      </c>
      <c r="O40" s="200">
        <f>ROUND(VLOOKUP(C40,APUS!D:Z,23,0),2)</f>
        <v>2343.17</v>
      </c>
      <c r="P40" s="200">
        <f>ROUND(VLOOKUP(C40,APUS!E:Z,22,0),2)</f>
        <v>250378.21</v>
      </c>
      <c r="Q40" s="200">
        <f>ROUND(VLOOKUP(C40,APUS!F:Z,21,0),2)</f>
        <v>2430.5500000000002</v>
      </c>
      <c r="R40" s="200">
        <f>ROUND(VLOOKUP(C40,APUS!G:Z,20,0),2)</f>
        <v>46863.32</v>
      </c>
      <c r="S40" s="201">
        <f t="shared" si="37"/>
        <v>302015.25</v>
      </c>
      <c r="T40" s="5"/>
      <c r="U40" s="12"/>
      <c r="V40" s="35" t="str">
        <f t="shared" si="38"/>
        <v>2.22 - Valvula de corte Ø1_1/4"</v>
      </c>
    </row>
    <row r="41" spans="3:22" x14ac:dyDescent="0.25">
      <c r="C41" s="229">
        <f t="shared" si="29"/>
        <v>2.23</v>
      </c>
      <c r="D41" s="38" t="str">
        <f>+VLOOKUP(C41,'[7]CANTIDADES DE OBRA'!$B:$E,2,FALSE)</f>
        <v>Valvula de corte Ø1_1/2"</v>
      </c>
      <c r="E41" s="39" t="str">
        <f>+VLOOKUP(C41,'[7]CANTIDADES DE OBRA'!$B:$E,3,FALSE)</f>
        <v>UND</v>
      </c>
      <c r="F41" s="39">
        <f>+VLOOKUP(C41,'[7]CANTIDADES DE OBRA'!$B:$E,4,FALSE)</f>
        <v>8</v>
      </c>
      <c r="G41" s="65">
        <f t="shared" si="24"/>
        <v>53627.040000000001</v>
      </c>
      <c r="H41" s="43">
        <f t="shared" si="25"/>
        <v>429016</v>
      </c>
      <c r="I41" s="5"/>
      <c r="J41" s="5"/>
      <c r="K41" s="204">
        <f t="shared" si="35"/>
        <v>429016</v>
      </c>
      <c r="L41" s="204">
        <f t="shared" si="36"/>
        <v>450467</v>
      </c>
      <c r="M41" s="200">
        <f>ROUND(VLOOKUP(C41,APUS!H:V,14,0),2)</f>
        <v>53627.040000000001</v>
      </c>
      <c r="N41" s="200">
        <f>ROUND(VLOOKUP(C41,APUS!I:V,13,0),2)</f>
        <v>56308.39</v>
      </c>
      <c r="O41" s="200">
        <f>ROUND(VLOOKUP(C41,APUS!D:Z,23,0),2)</f>
        <v>2677.9</v>
      </c>
      <c r="P41" s="200">
        <f>ROUND(VLOOKUP(C41,APUS!E:Z,22,0),2)</f>
        <v>370002.53</v>
      </c>
      <c r="Q41" s="200">
        <f>ROUND(VLOOKUP(C41,APUS!F:Z,21,0),2)</f>
        <v>2777.77</v>
      </c>
      <c r="R41" s="200">
        <f>ROUND(VLOOKUP(C41,APUS!G:Z,20,0),2)</f>
        <v>53558.080000000002</v>
      </c>
      <c r="S41" s="201">
        <f t="shared" si="37"/>
        <v>429016.28000000009</v>
      </c>
      <c r="T41" s="5"/>
      <c r="U41" s="12"/>
      <c r="V41" s="35" t="str">
        <f t="shared" si="38"/>
        <v>2.23 - Valvula de corte Ø1_1/2"</v>
      </c>
    </row>
    <row r="42" spans="3:22" x14ac:dyDescent="0.25">
      <c r="C42" s="229">
        <f t="shared" si="29"/>
        <v>2.2400000000000002</v>
      </c>
      <c r="D42" s="38" t="str">
        <f>+VLOOKUP(C42,'[7]CANTIDADES DE OBRA'!$B:$E,2,FALSE)</f>
        <v>Valvula antirretorno Ø2"</v>
      </c>
      <c r="E42" s="39" t="str">
        <f>+VLOOKUP(C42,'[7]CANTIDADES DE OBRA'!$B:$E,3,FALSE)</f>
        <v>UND</v>
      </c>
      <c r="F42" s="39">
        <f>+VLOOKUP(C42,'[7]CANTIDADES DE OBRA'!$B:$E,4,FALSE)</f>
        <v>3</v>
      </c>
      <c r="G42" s="65">
        <f t="shared" si="24"/>
        <v>106301.41</v>
      </c>
      <c r="H42" s="43">
        <f t="shared" si="25"/>
        <v>318904</v>
      </c>
      <c r="I42" s="5"/>
      <c r="J42" s="5"/>
      <c r="K42" s="204">
        <f t="shared" si="35"/>
        <v>318904</v>
      </c>
      <c r="L42" s="204">
        <f t="shared" si="36"/>
        <v>334849</v>
      </c>
      <c r="M42" s="200">
        <f>ROUND(VLOOKUP(C42,APUS!H:V,14,0),2)</f>
        <v>106301.41</v>
      </c>
      <c r="N42" s="200">
        <f>ROUND(VLOOKUP(C42,APUS!I:V,13,0),2)</f>
        <v>111616.48</v>
      </c>
      <c r="O42" s="200">
        <f>ROUND(VLOOKUP(C42,APUS!D:Z,23,0),2)</f>
        <v>1255.27</v>
      </c>
      <c r="P42" s="200">
        <f>ROUND(VLOOKUP(C42,APUS!E:Z,22,0),2)</f>
        <v>291501.95</v>
      </c>
      <c r="Q42" s="200">
        <f>ROUND(VLOOKUP(C42,APUS!F:Z,21,0),2)</f>
        <v>1041.67</v>
      </c>
      <c r="R42" s="200">
        <f>ROUND(VLOOKUP(C42,APUS!G:Z,20,0),2)</f>
        <v>25105.35</v>
      </c>
      <c r="S42" s="201">
        <f t="shared" si="37"/>
        <v>318904.24</v>
      </c>
      <c r="T42" s="5"/>
      <c r="U42" s="12"/>
      <c r="V42" s="35" t="str">
        <f t="shared" si="38"/>
        <v>2.24 - Valvula antirretorno Ø2"</v>
      </c>
    </row>
    <row r="43" spans="3:22" x14ac:dyDescent="0.25">
      <c r="C43" s="229">
        <f t="shared" si="29"/>
        <v>2.25</v>
      </c>
      <c r="D43" s="38" t="str">
        <f>+VLOOKUP(C43,'[7]CANTIDADES DE OBRA'!$B:$E,2,FALSE)</f>
        <v>Valvula antirretorno Ø2_1/2"</v>
      </c>
      <c r="E43" s="39" t="str">
        <f>+VLOOKUP(C43,'[7]CANTIDADES DE OBRA'!$B:$E,3,FALSE)</f>
        <v>UND</v>
      </c>
      <c r="F43" s="39">
        <f>+VLOOKUP(C43,'[7]CANTIDADES DE OBRA'!$B:$E,4,FALSE)</f>
        <v>2</v>
      </c>
      <c r="G43" s="65">
        <f t="shared" si="24"/>
        <v>150301.41</v>
      </c>
      <c r="H43" s="43">
        <f t="shared" si="25"/>
        <v>300603</v>
      </c>
      <c r="I43" s="5"/>
      <c r="J43" s="5"/>
      <c r="K43" s="204">
        <f t="shared" ref="K43:K51" si="39">ROUND(F43*M43,$Q$2)</f>
        <v>300603</v>
      </c>
      <c r="L43" s="204">
        <f t="shared" ref="L43:L51" si="40">ROUND(F43*N43,$Q$2)</f>
        <v>315633</v>
      </c>
      <c r="M43" s="200">
        <f>ROUND(VLOOKUP(C43,APUS!H:V,14,0),2)</f>
        <v>150301.41</v>
      </c>
      <c r="N43" s="200">
        <f>ROUND(VLOOKUP(C43,APUS!I:V,13,0),2)</f>
        <v>157816.48000000001</v>
      </c>
      <c r="O43" s="200">
        <f>ROUND(VLOOKUP(C43,APUS!D:Z,23,0),2)</f>
        <v>836.85</v>
      </c>
      <c r="P43" s="200">
        <f>ROUND(VLOOKUP(C43,APUS!E:Z,22,0),2)</f>
        <v>282334.63</v>
      </c>
      <c r="Q43" s="200">
        <f>ROUND(VLOOKUP(C43,APUS!F:Z,21,0),2)</f>
        <v>694.44</v>
      </c>
      <c r="R43" s="200">
        <f>ROUND(VLOOKUP(C43,APUS!G:Z,20,0),2)</f>
        <v>16736.900000000001</v>
      </c>
      <c r="S43" s="201">
        <f t="shared" ref="S43:S51" si="41">SUM(O43:R43)</f>
        <v>300602.82</v>
      </c>
      <c r="T43" s="5"/>
      <c r="U43" s="12"/>
      <c r="V43" s="35" t="str">
        <f t="shared" si="38"/>
        <v>2.25 - Valvula antirretorno Ø2_1/2"</v>
      </c>
    </row>
    <row r="44" spans="3:22" x14ac:dyDescent="0.25">
      <c r="C44" s="229">
        <f t="shared" si="29"/>
        <v>2.2599999999999998</v>
      </c>
      <c r="D44" s="38" t="str">
        <f>+VLOOKUP(C44,'[7]CANTIDADES DE OBRA'!$B:$E,2,FALSE)</f>
        <v>VRP Ø3/4"</v>
      </c>
      <c r="E44" s="39" t="str">
        <f>+VLOOKUP(C44,'[7]CANTIDADES DE OBRA'!$B:$E,3,FALSE)</f>
        <v>UND</v>
      </c>
      <c r="F44" s="39">
        <f>+VLOOKUP(C44,'[7]CANTIDADES DE OBRA'!$B:$E,4,FALSE)</f>
        <v>12</v>
      </c>
      <c r="G44" s="65">
        <f t="shared" si="24"/>
        <v>528618.41</v>
      </c>
      <c r="H44" s="43">
        <f t="shared" si="25"/>
        <v>6343421</v>
      </c>
      <c r="I44" s="5"/>
      <c r="J44" s="5"/>
      <c r="K44" s="204">
        <f t="shared" si="39"/>
        <v>6343421</v>
      </c>
      <c r="L44" s="204">
        <f t="shared" si="40"/>
        <v>6660592</v>
      </c>
      <c r="M44" s="200">
        <f>ROUND(VLOOKUP(C44,APUS!H:V,14,0),2)</f>
        <v>528618.41</v>
      </c>
      <c r="N44" s="200">
        <f>ROUND(VLOOKUP(C44,APUS!I:V,13,0),2)</f>
        <v>555049.32999999996</v>
      </c>
      <c r="O44" s="200">
        <f>ROUND(VLOOKUP(C44,APUS!D:Z,23,0),2)</f>
        <v>5021.07</v>
      </c>
      <c r="P44" s="200">
        <f>ROUND(VLOOKUP(C44,APUS!E:Z,22,0),2)</f>
        <v>6233811.7999999998</v>
      </c>
      <c r="Q44" s="200">
        <f>ROUND(VLOOKUP(C44,APUS!F:Z,21,0),2)</f>
        <v>4166.66</v>
      </c>
      <c r="R44" s="200">
        <f>ROUND(VLOOKUP(C44,APUS!G:Z,20,0),2)</f>
        <v>100421.4</v>
      </c>
      <c r="S44" s="201">
        <f t="shared" si="41"/>
        <v>6343420.9300000006</v>
      </c>
      <c r="T44" s="5"/>
      <c r="U44" s="12"/>
      <c r="V44" s="35" t="str">
        <f t="shared" si="38"/>
        <v>2.26 - VRP Ø3/4"</v>
      </c>
    </row>
    <row r="45" spans="3:22" x14ac:dyDescent="0.25">
      <c r="C45" s="229">
        <f t="shared" si="29"/>
        <v>2.27</v>
      </c>
      <c r="D45" s="38" t="str">
        <f>+VLOOKUP(C45,'[7]CANTIDADES DE OBRA'!$B:$E,2,FALSE)</f>
        <v>VRP Ø1_1/4"</v>
      </c>
      <c r="E45" s="39" t="str">
        <f>+VLOOKUP(C45,'[7]CANTIDADES DE OBRA'!$B:$E,3,FALSE)</f>
        <v>UND</v>
      </c>
      <c r="F45" s="39">
        <f>+VLOOKUP(C45,'[7]CANTIDADES DE OBRA'!$B:$E,4,FALSE)</f>
        <v>7</v>
      </c>
      <c r="G45" s="65">
        <f t="shared" si="24"/>
        <v>767798.41</v>
      </c>
      <c r="H45" s="43">
        <f t="shared" si="25"/>
        <v>5374589</v>
      </c>
      <c r="I45" s="5"/>
      <c r="J45" s="5"/>
      <c r="K45" s="204">
        <f t="shared" si="39"/>
        <v>5374589</v>
      </c>
      <c r="L45" s="204">
        <f t="shared" si="40"/>
        <v>5643318</v>
      </c>
      <c r="M45" s="200">
        <f>ROUND(VLOOKUP(C45,APUS!H:V,14,0),2)</f>
        <v>767798.41</v>
      </c>
      <c r="N45" s="200">
        <f>ROUND(VLOOKUP(C45,APUS!I:V,13,0),2)</f>
        <v>806188.33</v>
      </c>
      <c r="O45" s="200">
        <f>ROUND(VLOOKUP(C45,APUS!D:Z,23,0),2)</f>
        <v>2928.96</v>
      </c>
      <c r="P45" s="200">
        <f>ROUND(VLOOKUP(C45,APUS!E:Z,22,0),2)</f>
        <v>5310650.21</v>
      </c>
      <c r="Q45" s="200">
        <f>ROUND(VLOOKUP(C45,APUS!F:Z,21,0),2)</f>
        <v>2430.5500000000002</v>
      </c>
      <c r="R45" s="200">
        <f>ROUND(VLOOKUP(C45,APUS!G:Z,20,0),2)</f>
        <v>58579.15</v>
      </c>
      <c r="S45" s="201">
        <f t="shared" si="41"/>
        <v>5374588.8700000001</v>
      </c>
      <c r="T45" s="5"/>
      <c r="U45" s="12"/>
      <c r="V45" s="35" t="str">
        <f t="shared" si="38"/>
        <v>2.27 - VRP Ø1_1/4"</v>
      </c>
    </row>
    <row r="46" spans="3:22" x14ac:dyDescent="0.25">
      <c r="C46" s="229">
        <f t="shared" si="29"/>
        <v>2.2799999999999998</v>
      </c>
      <c r="D46" s="38" t="str">
        <f>+VLOOKUP(C46,'[7]CANTIDADES DE OBRA'!$B:$E,2,FALSE)</f>
        <v>VRP Ø1_1/2"</v>
      </c>
      <c r="E46" s="39" t="str">
        <f>+VLOOKUP(C46,'[7]CANTIDADES DE OBRA'!$B:$E,3,FALSE)</f>
        <v>UND</v>
      </c>
      <c r="F46" s="39">
        <f>+VLOOKUP(C46,'[7]CANTIDADES DE OBRA'!$B:$E,4,FALSE)</f>
        <v>8</v>
      </c>
      <c r="G46" s="65">
        <f t="shared" si="24"/>
        <v>1937940.41</v>
      </c>
      <c r="H46" s="43">
        <f t="shared" si="25"/>
        <v>15503523</v>
      </c>
      <c r="I46" s="5"/>
      <c r="J46" s="5"/>
      <c r="K46" s="204">
        <f t="shared" si="39"/>
        <v>15503523</v>
      </c>
      <c r="L46" s="204">
        <f t="shared" si="40"/>
        <v>16278699</v>
      </c>
      <c r="M46" s="200">
        <f>ROUND(VLOOKUP(C46,APUS!H:V,14,0),2)</f>
        <v>1937940.41</v>
      </c>
      <c r="N46" s="200">
        <f>ROUND(VLOOKUP(C46,APUS!I:V,13,0),2)</f>
        <v>2034837.43</v>
      </c>
      <c r="O46" s="200">
        <f>ROUND(VLOOKUP(C46,APUS!D:Z,23,0),2)</f>
        <v>3347.38</v>
      </c>
      <c r="P46" s="200">
        <f>ROUND(VLOOKUP(C46,APUS!E:Z,22,0),2)</f>
        <v>15430450.529999999</v>
      </c>
      <c r="Q46" s="200">
        <f>ROUND(VLOOKUP(C46,APUS!F:Z,21,0),2)</f>
        <v>2777.77</v>
      </c>
      <c r="R46" s="200">
        <f>ROUND(VLOOKUP(C46,APUS!G:Z,20,0),2)</f>
        <v>66947.600000000006</v>
      </c>
      <c r="S46" s="201">
        <f t="shared" si="41"/>
        <v>15503523.279999999</v>
      </c>
      <c r="T46" s="5"/>
      <c r="U46" s="12"/>
      <c r="V46" s="35" t="str">
        <f t="shared" ref="V46:V54" si="42">CONCATENATE(C46," ","-"," ",D46)</f>
        <v>2.28 - VRP Ø1_1/2"</v>
      </c>
    </row>
    <row r="47" spans="3:22" x14ac:dyDescent="0.25">
      <c r="C47" s="229">
        <f t="shared" si="29"/>
        <v>2.29</v>
      </c>
      <c r="D47" s="38" t="str">
        <f>+VLOOKUP(C47,'[7]CANTIDADES DE OBRA'!$B:$E,2,FALSE)</f>
        <v>Fijacion tuberia descolgada</v>
      </c>
      <c r="E47" s="39" t="str">
        <f>+VLOOKUP(C47,'[7]CANTIDADES DE OBRA'!$B:$E,3,FALSE)</f>
        <v>UND</v>
      </c>
      <c r="F47" s="39">
        <f>+VLOOKUP(C47,'[7]CANTIDADES DE OBRA'!$B:$E,4,FALSE)</f>
        <v>163</v>
      </c>
      <c r="G47" s="65">
        <f t="shared" si="24"/>
        <v>33738.19</v>
      </c>
      <c r="H47" s="43">
        <f t="shared" si="25"/>
        <v>5499325</v>
      </c>
      <c r="I47" s="5"/>
      <c r="J47" s="5"/>
      <c r="K47" s="204">
        <f t="shared" si="39"/>
        <v>5499325</v>
      </c>
      <c r="L47" s="204">
        <f t="shared" si="40"/>
        <v>5774291</v>
      </c>
      <c r="M47" s="200">
        <f>ROUND(VLOOKUP(C47,APUS!H:V,14,0),2)</f>
        <v>33738.19</v>
      </c>
      <c r="N47" s="200">
        <f>ROUND(VLOOKUP(C47,APUS!I:V,13,0),2)</f>
        <v>35425.1</v>
      </c>
      <c r="O47" s="200">
        <f>ROUND(VLOOKUP(C47,APUS!D:Z,23,0),2)</f>
        <v>87213.8</v>
      </c>
      <c r="P47" s="200">
        <f>ROUND(VLOOKUP(C47,APUS!E:Z,22,0),2)</f>
        <v>3611238.11</v>
      </c>
      <c r="Q47" s="200">
        <f>ROUND(VLOOKUP(C47,APUS!F:Z,21,0),2)</f>
        <v>56597.14</v>
      </c>
      <c r="R47" s="200">
        <f>ROUND(VLOOKUP(C47,APUS!G:Z,20,0),2)</f>
        <v>1744276.04</v>
      </c>
      <c r="S47" s="201">
        <f t="shared" si="41"/>
        <v>5499325.0899999999</v>
      </c>
      <c r="T47" s="5"/>
      <c r="U47" s="12"/>
      <c r="V47" s="35" t="str">
        <f t="shared" si="42"/>
        <v>2.29 - Fijacion tuberia descolgada</v>
      </c>
    </row>
    <row r="48" spans="3:22" x14ac:dyDescent="0.25">
      <c r="C48" s="229">
        <f t="shared" si="29"/>
        <v>2.2999999999999998</v>
      </c>
      <c r="D48" s="38" t="str">
        <f>+VLOOKUP(C48,'[7]CANTIDADES DE OBRA'!$B:$E,2,FALSE)</f>
        <v>Reduccion PVC Ø2_1/2" A Ø2"</v>
      </c>
      <c r="E48" s="39" t="str">
        <f>+VLOOKUP(C48,'[7]CANTIDADES DE OBRA'!$B:$E,3,FALSE)</f>
        <v>UND</v>
      </c>
      <c r="F48" s="39">
        <f>+VLOOKUP(C48,'[7]CANTIDADES DE OBRA'!$B:$E,4,FALSE)</f>
        <v>1</v>
      </c>
      <c r="G48" s="65">
        <f t="shared" si="24"/>
        <v>26121.46</v>
      </c>
      <c r="H48" s="43">
        <f t="shared" si="25"/>
        <v>26121</v>
      </c>
      <c r="I48" s="5"/>
      <c r="J48" s="5"/>
      <c r="K48" s="204">
        <f t="shared" si="39"/>
        <v>26121</v>
      </c>
      <c r="L48" s="204">
        <f t="shared" si="40"/>
        <v>27428</v>
      </c>
      <c r="M48" s="200">
        <f>ROUND(VLOOKUP(C48,APUS!H:V,14,0),2)</f>
        <v>26121.46</v>
      </c>
      <c r="N48" s="200">
        <f>ROUND(VLOOKUP(C48,APUS!I:V,13,0),2)</f>
        <v>27427.53</v>
      </c>
      <c r="O48" s="200">
        <f>ROUND(VLOOKUP(C48,APUS!D:Z,23,0),2)</f>
        <v>278.95</v>
      </c>
      <c r="P48" s="200">
        <f>ROUND(VLOOKUP(C48,APUS!E:Z,22,0),2)</f>
        <v>19916.32</v>
      </c>
      <c r="Q48" s="200">
        <f>ROUND(VLOOKUP(C48,APUS!F:Z,21,0),2)</f>
        <v>347.22</v>
      </c>
      <c r="R48" s="200">
        <f>ROUND(VLOOKUP(C48,APUS!G:Z,20,0),2)</f>
        <v>5578.97</v>
      </c>
      <c r="S48" s="201">
        <f t="shared" si="41"/>
        <v>26121.460000000003</v>
      </c>
      <c r="T48" s="5"/>
      <c r="U48" s="12"/>
      <c r="V48" s="35" t="str">
        <f t="shared" si="42"/>
        <v>2.3 - Reduccion PVC Ø2_1/2" A Ø2"</v>
      </c>
    </row>
    <row r="49" spans="2:22" x14ac:dyDescent="0.25">
      <c r="C49" s="229">
        <f t="shared" si="29"/>
        <v>2.31</v>
      </c>
      <c r="D49" s="38" t="str">
        <f>+VLOOKUP(C49,'[7]CANTIDADES DE OBRA'!$B:$E,2,FALSE)</f>
        <v>Reduccion PVC Ø2_1/2" A Ø1_1/2"</v>
      </c>
      <c r="E49" s="39" t="str">
        <f>+VLOOKUP(C49,'[7]CANTIDADES DE OBRA'!$B:$E,3,FALSE)</f>
        <v>UND</v>
      </c>
      <c r="F49" s="39">
        <f>+VLOOKUP(C49,'[7]CANTIDADES DE OBRA'!$B:$E,4,FALSE)</f>
        <v>10</v>
      </c>
      <c r="G49" s="65">
        <f t="shared" si="24"/>
        <v>27270.46</v>
      </c>
      <c r="H49" s="43">
        <f t="shared" si="25"/>
        <v>272705</v>
      </c>
      <c r="I49" s="5"/>
      <c r="J49" s="5"/>
      <c r="K49" s="204">
        <f t="shared" si="39"/>
        <v>272705</v>
      </c>
      <c r="L49" s="204">
        <f t="shared" si="40"/>
        <v>286340</v>
      </c>
      <c r="M49" s="200">
        <f>ROUND(VLOOKUP(C49,APUS!H:V,14,0),2)</f>
        <v>27270.46</v>
      </c>
      <c r="N49" s="200">
        <f>ROUND(VLOOKUP(C49,APUS!I:V,13,0),2)</f>
        <v>28633.98</v>
      </c>
      <c r="O49" s="200">
        <f>ROUND(VLOOKUP(C49,APUS!D:Z,23,0),2)</f>
        <v>2789.49</v>
      </c>
      <c r="P49" s="200">
        <f>ROUND(VLOOKUP(C49,APUS!E:Z,22,0),2)</f>
        <v>210653.16</v>
      </c>
      <c r="Q49" s="200">
        <f>ROUND(VLOOKUP(C49,APUS!F:Z,21,0),2)</f>
        <v>3472.22</v>
      </c>
      <c r="R49" s="200">
        <f>ROUND(VLOOKUP(C49,APUS!G:Z,20,0),2)</f>
        <v>55789.67</v>
      </c>
      <c r="S49" s="201">
        <f t="shared" si="41"/>
        <v>272704.53999999998</v>
      </c>
      <c r="T49" s="5"/>
      <c r="U49" s="12"/>
      <c r="V49" s="35" t="str">
        <f t="shared" si="42"/>
        <v>2.31 - Reduccion PVC Ø2_1/2" A Ø1_1/2"</v>
      </c>
    </row>
    <row r="50" spans="2:22" x14ac:dyDescent="0.25">
      <c r="C50" s="229">
        <f t="shared" si="29"/>
        <v>2.3199999999999998</v>
      </c>
      <c r="D50" s="38" t="str">
        <f>+VLOOKUP(C50,'[7]CANTIDADES DE OBRA'!$B:$E,2,FALSE)</f>
        <v>Reduccion PVC Ø2" A Ø1_1/2"</v>
      </c>
      <c r="E50" s="39" t="str">
        <f>+VLOOKUP(C50,'[7]CANTIDADES DE OBRA'!$B:$E,3,FALSE)</f>
        <v>UND</v>
      </c>
      <c r="F50" s="39">
        <f>+VLOOKUP(C50,'[7]CANTIDADES DE OBRA'!$B:$E,4,FALSE)</f>
        <v>3</v>
      </c>
      <c r="G50" s="65">
        <f t="shared" si="24"/>
        <v>15907.46</v>
      </c>
      <c r="H50" s="43">
        <f t="shared" si="25"/>
        <v>47722</v>
      </c>
      <c r="I50" s="5"/>
      <c r="J50" s="5"/>
      <c r="K50" s="204">
        <f t="shared" si="39"/>
        <v>47722</v>
      </c>
      <c r="L50" s="204">
        <f t="shared" si="40"/>
        <v>50108</v>
      </c>
      <c r="M50" s="200">
        <f>ROUND(VLOOKUP(C50,APUS!H:V,14,0),2)</f>
        <v>15907.46</v>
      </c>
      <c r="N50" s="200">
        <f>ROUND(VLOOKUP(C50,APUS!I:V,13,0),2)</f>
        <v>16702.830000000002</v>
      </c>
      <c r="O50" s="200">
        <f>ROUND(VLOOKUP(C50,APUS!D:Z,23,0),2)</f>
        <v>836.85</v>
      </c>
      <c r="P50" s="200">
        <f>ROUND(VLOOKUP(C50,APUS!E:Z,22,0),2)</f>
        <v>29106.95</v>
      </c>
      <c r="Q50" s="200">
        <f>ROUND(VLOOKUP(C50,APUS!F:Z,21,0),2)</f>
        <v>1041.67</v>
      </c>
      <c r="R50" s="200">
        <f>ROUND(VLOOKUP(C50,APUS!G:Z,20,0),2)</f>
        <v>16736.900000000001</v>
      </c>
      <c r="S50" s="201">
        <f t="shared" si="41"/>
        <v>47722.37</v>
      </c>
      <c r="T50" s="5"/>
      <c r="U50" s="12"/>
      <c r="V50" s="35" t="str">
        <f t="shared" si="42"/>
        <v>2.32 - Reduccion PVC Ø2" A Ø1_1/2"</v>
      </c>
    </row>
    <row r="51" spans="2:22" x14ac:dyDescent="0.25">
      <c r="C51" s="229">
        <f t="shared" si="29"/>
        <v>2.33</v>
      </c>
      <c r="D51" s="38" t="str">
        <f>+VLOOKUP(C51,'[7]CANTIDADES DE OBRA'!$B:$E,2,FALSE)</f>
        <v>Reduccion PVC Ø1_1/2" A Ø1_1/4"</v>
      </c>
      <c r="E51" s="39" t="str">
        <f>+VLOOKUP(C51,'[7]CANTIDADES DE OBRA'!$B:$E,3,FALSE)</f>
        <v>UND</v>
      </c>
      <c r="F51" s="39">
        <f>+VLOOKUP(C51,'[7]CANTIDADES DE OBRA'!$B:$E,4,FALSE)</f>
        <v>7</v>
      </c>
      <c r="G51" s="65">
        <f t="shared" si="24"/>
        <v>13300.46</v>
      </c>
      <c r="H51" s="43">
        <f t="shared" si="25"/>
        <v>93103</v>
      </c>
      <c r="I51" s="5"/>
      <c r="J51" s="5"/>
      <c r="K51" s="204">
        <f t="shared" si="39"/>
        <v>93103</v>
      </c>
      <c r="L51" s="204">
        <f t="shared" si="40"/>
        <v>97758</v>
      </c>
      <c r="M51" s="200">
        <f>ROUND(VLOOKUP(C51,APUS!H:V,14,0),2)</f>
        <v>13300.46</v>
      </c>
      <c r="N51" s="200">
        <f>ROUND(VLOOKUP(C51,APUS!I:V,13,0),2)</f>
        <v>13965.48</v>
      </c>
      <c r="O51" s="200">
        <f>ROUND(VLOOKUP(C51,APUS!D:Z,23,0),2)</f>
        <v>1952.64</v>
      </c>
      <c r="P51" s="200">
        <f>ROUND(VLOOKUP(C51,APUS!E:Z,22,0),2)</f>
        <v>49667.21</v>
      </c>
      <c r="Q51" s="200">
        <f>ROUND(VLOOKUP(C51,APUS!F:Z,21,0),2)</f>
        <v>2430.5500000000002</v>
      </c>
      <c r="R51" s="200">
        <f>ROUND(VLOOKUP(C51,APUS!G:Z,20,0),2)</f>
        <v>39052.769999999997</v>
      </c>
      <c r="S51" s="201">
        <f t="shared" si="41"/>
        <v>93103.17</v>
      </c>
      <c r="T51" s="5"/>
      <c r="U51" s="12"/>
      <c r="V51" s="35" t="str">
        <f t="shared" si="42"/>
        <v>2.33 - Reduccion PVC Ø1_1/2" A Ø1_1/4"</v>
      </c>
    </row>
    <row r="52" spans="2:22" x14ac:dyDescent="0.25">
      <c r="C52" s="229">
        <f t="shared" si="29"/>
        <v>2.34</v>
      </c>
      <c r="D52" s="38" t="str">
        <f>+VLOOKUP(C52,'[7]CANTIDADES DE OBRA'!$B:$E,2,FALSE)</f>
        <v>Reduccion PVC Ø1_1/2" A Ø1"</v>
      </c>
      <c r="E52" s="39" t="str">
        <f>+VLOOKUP(C52,'[7]CANTIDADES DE OBRA'!$B:$E,3,FALSE)</f>
        <v>UND</v>
      </c>
      <c r="F52" s="39">
        <f>+VLOOKUP(C52,'[7]CANTIDADES DE OBRA'!$B:$E,4,FALSE)</f>
        <v>24</v>
      </c>
      <c r="G52" s="65">
        <f t="shared" si="24"/>
        <v>13300.46</v>
      </c>
      <c r="H52" s="43">
        <f t="shared" si="25"/>
        <v>319211</v>
      </c>
      <c r="I52" s="5"/>
      <c r="J52" s="5"/>
      <c r="K52" s="204">
        <f t="shared" ref="K52:K55" si="43">ROUND(F52*M52,$Q$2)</f>
        <v>319211</v>
      </c>
      <c r="L52" s="204">
        <f t="shared" ref="L52:L55" si="44">ROUND(F52*N52,$Q$2)</f>
        <v>335172</v>
      </c>
      <c r="M52" s="200">
        <f>ROUND(VLOOKUP(C52,APUS!H:V,14,0),2)</f>
        <v>13300.46</v>
      </c>
      <c r="N52" s="200">
        <f>ROUND(VLOOKUP(C52,APUS!I:V,13,0),2)</f>
        <v>13965.48</v>
      </c>
      <c r="O52" s="200">
        <f>ROUND(VLOOKUP(C52,APUS!D:Z,23,0),2)</f>
        <v>6694.76</v>
      </c>
      <c r="P52" s="200">
        <f>ROUND(VLOOKUP(C52,APUS!E:Z,22,0),2)</f>
        <v>170287.59</v>
      </c>
      <c r="Q52" s="200">
        <f>ROUND(VLOOKUP(C52,APUS!F:Z,21,0),2)</f>
        <v>8333.32</v>
      </c>
      <c r="R52" s="200">
        <f>ROUND(VLOOKUP(C52,APUS!G:Z,20,0),2)</f>
        <v>133895.20000000001</v>
      </c>
      <c r="S52" s="201">
        <f t="shared" ref="S52:S55" si="45">SUM(O52:R52)</f>
        <v>319210.87</v>
      </c>
      <c r="T52" s="5"/>
      <c r="U52" s="12"/>
      <c r="V52" s="35" t="str">
        <f t="shared" si="42"/>
        <v>2.34 - Reduccion PVC Ø1_1/2" A Ø1"</v>
      </c>
    </row>
    <row r="53" spans="2:22" x14ac:dyDescent="0.25">
      <c r="C53" s="229">
        <f t="shared" si="29"/>
        <v>2.35</v>
      </c>
      <c r="D53" s="38" t="str">
        <f>+VLOOKUP(C53,'[7]CANTIDADES DE OBRA'!$B:$E,2,FALSE)</f>
        <v>Reduccion PVC Ø1_1/2" A Ø3/4"</v>
      </c>
      <c r="E53" s="39" t="str">
        <f>+VLOOKUP(C53,'[7]CANTIDADES DE OBRA'!$B:$E,3,FALSE)</f>
        <v>UND</v>
      </c>
      <c r="F53" s="39">
        <f>+VLOOKUP(C53,'[7]CANTIDADES DE OBRA'!$B:$E,4,FALSE)</f>
        <v>12</v>
      </c>
      <c r="G53" s="65">
        <f t="shared" si="24"/>
        <v>13300.46</v>
      </c>
      <c r="H53" s="43">
        <f t="shared" si="25"/>
        <v>159606</v>
      </c>
      <c r="I53" s="5"/>
      <c r="J53" s="5"/>
      <c r="K53" s="204">
        <f t="shared" si="43"/>
        <v>159606</v>
      </c>
      <c r="L53" s="204">
        <f t="shared" si="44"/>
        <v>167586</v>
      </c>
      <c r="M53" s="200">
        <f>ROUND(VLOOKUP(C53,APUS!H:V,14,0),2)</f>
        <v>13300.46</v>
      </c>
      <c r="N53" s="200">
        <f>ROUND(VLOOKUP(C53,APUS!I:V,13,0),2)</f>
        <v>13965.48</v>
      </c>
      <c r="O53" s="200">
        <f>ROUND(VLOOKUP(C53,APUS!D:Z,23,0),2)</f>
        <v>3347.38</v>
      </c>
      <c r="P53" s="200">
        <f>ROUND(VLOOKUP(C53,APUS!E:Z,22,0),2)</f>
        <v>85143.8</v>
      </c>
      <c r="Q53" s="200">
        <f>ROUND(VLOOKUP(C53,APUS!F:Z,21,0),2)</f>
        <v>4166.66</v>
      </c>
      <c r="R53" s="200">
        <f>ROUND(VLOOKUP(C53,APUS!G:Z,20,0),2)</f>
        <v>66947.600000000006</v>
      </c>
      <c r="S53" s="201">
        <f t="shared" si="45"/>
        <v>159605.44</v>
      </c>
      <c r="T53" s="5"/>
      <c r="U53" s="12"/>
      <c r="V53" s="35" t="str">
        <f t="shared" si="42"/>
        <v>2.35 - Reduccion PVC Ø1_1/2" A Ø3/4"</v>
      </c>
    </row>
    <row r="54" spans="2:22" x14ac:dyDescent="0.25">
      <c r="C54" s="229">
        <f t="shared" si="29"/>
        <v>2.36</v>
      </c>
      <c r="D54" s="38" t="str">
        <f>+VLOOKUP(C54,'[7]CANTIDADES DE OBRA'!$B:$E,2,FALSE)</f>
        <v>Reduccion PVC Ø1_1/4" A Ø1"</v>
      </c>
      <c r="E54" s="39" t="str">
        <f>+VLOOKUP(C54,'[7]CANTIDADES DE OBRA'!$B:$E,3,FALSE)</f>
        <v>UND</v>
      </c>
      <c r="F54" s="39">
        <f>+VLOOKUP(C54,'[7]CANTIDADES DE OBRA'!$B:$E,4,FALSE)</f>
        <v>7</v>
      </c>
      <c r="G54" s="65">
        <f t="shared" si="24"/>
        <v>11565.46</v>
      </c>
      <c r="H54" s="43">
        <f t="shared" si="25"/>
        <v>80958</v>
      </c>
      <c r="I54" s="5"/>
      <c r="J54" s="5"/>
      <c r="K54" s="204">
        <f t="shared" si="43"/>
        <v>80958</v>
      </c>
      <c r="L54" s="204">
        <f t="shared" si="44"/>
        <v>85006</v>
      </c>
      <c r="M54" s="200">
        <f>ROUND(VLOOKUP(C54,APUS!H:V,14,0),2)</f>
        <v>11565.46</v>
      </c>
      <c r="N54" s="200">
        <f>ROUND(VLOOKUP(C54,APUS!I:V,13,0),2)</f>
        <v>12143.73</v>
      </c>
      <c r="O54" s="200">
        <f>ROUND(VLOOKUP(C54,APUS!D:Z,23,0),2)</f>
        <v>1952.64</v>
      </c>
      <c r="P54" s="200">
        <f>ROUND(VLOOKUP(C54,APUS!E:Z,22,0),2)</f>
        <v>37522.21</v>
      </c>
      <c r="Q54" s="200">
        <f>ROUND(VLOOKUP(C54,APUS!F:Z,21,0),2)</f>
        <v>2430.5500000000002</v>
      </c>
      <c r="R54" s="200">
        <f>ROUND(VLOOKUP(C54,APUS!G:Z,20,0),2)</f>
        <v>39052.769999999997</v>
      </c>
      <c r="S54" s="201">
        <f t="shared" si="45"/>
        <v>80958.17</v>
      </c>
      <c r="T54" s="5"/>
      <c r="U54" s="12"/>
      <c r="V54" s="35" t="str">
        <f t="shared" si="42"/>
        <v>2.36 - Reduccion PVC Ø1_1/4" A Ø1"</v>
      </c>
    </row>
    <row r="55" spans="2:22" x14ac:dyDescent="0.25">
      <c r="C55" s="229">
        <f t="shared" si="29"/>
        <v>2.37</v>
      </c>
      <c r="D55" s="38" t="str">
        <f>+VLOOKUP(C55,'[7]CANTIDADES DE OBRA'!$B:$E,2,FALSE)</f>
        <v>Reduccion PVC Ø1_1/4" A Ø1/2"</v>
      </c>
      <c r="E55" s="39" t="str">
        <f>+VLOOKUP(C55,'[7]CANTIDADES DE OBRA'!$B:$E,3,FALSE)</f>
        <v>UND</v>
      </c>
      <c r="F55" s="39">
        <f>+VLOOKUP(C55,'[7]CANTIDADES DE OBRA'!$B:$E,4,FALSE)</f>
        <v>7</v>
      </c>
      <c r="G55" s="65">
        <f t="shared" si="24"/>
        <v>11565.46</v>
      </c>
      <c r="H55" s="43">
        <f t="shared" si="25"/>
        <v>80958</v>
      </c>
      <c r="I55" s="5"/>
      <c r="J55" s="5"/>
      <c r="K55" s="204">
        <f t="shared" si="43"/>
        <v>80958</v>
      </c>
      <c r="L55" s="204">
        <f t="shared" si="44"/>
        <v>85006</v>
      </c>
      <c r="M55" s="200">
        <f>ROUND(VLOOKUP(C55,APUS!H:V,14,0),2)</f>
        <v>11565.46</v>
      </c>
      <c r="N55" s="200">
        <f>ROUND(VLOOKUP(C55,APUS!I:V,13,0),2)</f>
        <v>12143.73</v>
      </c>
      <c r="O55" s="200">
        <f>ROUND(VLOOKUP(C55,APUS!D:Z,23,0),2)</f>
        <v>1952.64</v>
      </c>
      <c r="P55" s="200">
        <f>ROUND(VLOOKUP(C55,APUS!E:Z,22,0),2)</f>
        <v>37522.21</v>
      </c>
      <c r="Q55" s="200">
        <f>ROUND(VLOOKUP(C55,APUS!F:Z,21,0),2)</f>
        <v>2430.5500000000002</v>
      </c>
      <c r="R55" s="200">
        <f>ROUND(VLOOKUP(C55,APUS!G:Z,20,0),2)</f>
        <v>39052.769999999997</v>
      </c>
      <c r="S55" s="201">
        <f t="shared" si="45"/>
        <v>80958.17</v>
      </c>
      <c r="T55" s="5"/>
      <c r="U55" s="12"/>
      <c r="V55" s="35" t="str">
        <f t="shared" ref="V55:V56" si="46">CONCATENATE(C55," ","-"," ",D55)</f>
        <v>2.37 - Reduccion PVC Ø1_1/4" A Ø1/2"</v>
      </c>
    </row>
    <row r="56" spans="2:22" x14ac:dyDescent="0.25">
      <c r="C56" s="229">
        <f t="shared" si="29"/>
        <v>2.38</v>
      </c>
      <c r="D56" s="38" t="str">
        <f>+VLOOKUP(C56,'[7]CANTIDADES DE OBRA'!$B:$E,2,FALSE)</f>
        <v>Reduccion PVC Ø3/4" A Ø1/2"</v>
      </c>
      <c r="E56" s="39" t="str">
        <f>+VLOOKUP(C56,'[7]CANTIDADES DE OBRA'!$B:$E,3,FALSE)</f>
        <v>UND</v>
      </c>
      <c r="F56" s="39">
        <f>+VLOOKUP(C56,'[7]CANTIDADES DE OBRA'!$B:$E,4,FALSE)</f>
        <v>35</v>
      </c>
      <c r="G56" s="65">
        <f t="shared" si="24"/>
        <v>8370.61</v>
      </c>
      <c r="H56" s="43">
        <f t="shared" si="25"/>
        <v>292971</v>
      </c>
      <c r="I56" s="5"/>
      <c r="J56" s="5"/>
      <c r="K56" s="204">
        <f t="shared" ref="K56:K57" si="47">ROUND(F56*M56,$Q$2)</f>
        <v>292971</v>
      </c>
      <c r="L56" s="204">
        <f t="shared" ref="L56:L57" si="48">ROUND(F56*N56,$Q$2)</f>
        <v>307620</v>
      </c>
      <c r="M56" s="200">
        <f>ROUND(VLOOKUP(C56,APUS!H:V,14,0),2)</f>
        <v>8370.61</v>
      </c>
      <c r="N56" s="200">
        <f>ROUND(VLOOKUP(C56,APUS!I:V,13,0),2)</f>
        <v>8789.14</v>
      </c>
      <c r="O56" s="200">
        <f>ROUND(VLOOKUP(C56,APUS!D:Z,23,0),2)</f>
        <v>8368.4500000000007</v>
      </c>
      <c r="P56" s="200">
        <f>ROUND(VLOOKUP(C56,APUS!E:Z,22,0),2)</f>
        <v>105081.07</v>
      </c>
      <c r="Q56" s="200">
        <f>ROUND(VLOOKUP(C56,APUS!F:Z,21,0),2)</f>
        <v>12152.76</v>
      </c>
      <c r="R56" s="200">
        <f>ROUND(VLOOKUP(C56,APUS!G:Z,20,0),2)</f>
        <v>167369</v>
      </c>
      <c r="S56" s="201">
        <f t="shared" ref="S56:S57" si="49">SUM(O56:R56)</f>
        <v>292971.28000000003</v>
      </c>
      <c r="T56" s="5"/>
      <c r="U56" s="12"/>
      <c r="V56" s="35" t="str">
        <f t="shared" si="46"/>
        <v>2.38 - Reduccion PVC Ø3/4" A Ø1/2"</v>
      </c>
    </row>
    <row r="57" spans="2:22" ht="45" x14ac:dyDescent="0.25">
      <c r="C57" s="229">
        <f t="shared" si="29"/>
        <v>2.39</v>
      </c>
      <c r="D57" s="38" t="str">
        <f>+VLOOKUP(C57,'[7]CANTIDADES DE OBRA'!$B:$E,2,FALSE)</f>
        <v>Suministro e instalacion de equipo de bombeo (bombas de alta presión con motor eléctrico 7,5 HP y hidroacumulador HI PRESS 750 Litros)</v>
      </c>
      <c r="E57" s="39" t="str">
        <f>+VLOOKUP(C57,'[7]CANTIDADES DE OBRA'!$B:$E,3,FALSE)</f>
        <v>UND</v>
      </c>
      <c r="F57" s="39">
        <f>+VLOOKUP(C57,'[7]CANTIDADES DE OBRA'!$B:$E,4,FALSE)</f>
        <v>1</v>
      </c>
      <c r="G57" s="65">
        <f t="shared" si="24"/>
        <v>32278888.850000001</v>
      </c>
      <c r="H57" s="43">
        <f t="shared" si="25"/>
        <v>32278889</v>
      </c>
      <c r="I57" s="5"/>
      <c r="J57" s="5"/>
      <c r="K57" s="204">
        <f t="shared" si="47"/>
        <v>32278889</v>
      </c>
      <c r="L57" s="204">
        <f t="shared" si="48"/>
        <v>33892833</v>
      </c>
      <c r="M57" s="200">
        <f>ROUND(VLOOKUP(C57,APUS!H:V,14,0),2)</f>
        <v>32278888.850000001</v>
      </c>
      <c r="N57" s="200">
        <f>ROUND(VLOOKUP(C57,APUS!I:V,13,0),2)</f>
        <v>33892833.289999999</v>
      </c>
      <c r="O57" s="200">
        <f>ROUND(VLOOKUP(C57,APUS!D:Z,23,0),2)</f>
        <v>43786.080000000002</v>
      </c>
      <c r="P57" s="200">
        <f>ROUND(VLOOKUP(C57,APUS!E:Z,22,0),2)</f>
        <v>31355908.98</v>
      </c>
      <c r="Q57" s="200">
        <f>ROUND(VLOOKUP(C57,APUS!F:Z,21,0),2)</f>
        <v>3472.22</v>
      </c>
      <c r="R57" s="200">
        <f>ROUND(VLOOKUP(C57,APUS!G:Z,20,0),2)</f>
        <v>875721.57</v>
      </c>
      <c r="S57" s="201">
        <f t="shared" si="49"/>
        <v>32278888.849999998</v>
      </c>
      <c r="T57" s="5"/>
      <c r="U57" s="12"/>
      <c r="V57" s="35" t="str">
        <f t="shared" ref="V57" si="50">CONCATENATE(C57," ","-"," ",D57)</f>
        <v>2.39 - Suministro e instalacion de equipo de bombeo (bombas de alta presión con motor eléctrico 7,5 HP y hidroacumulador HI PRESS 750 Litros)</v>
      </c>
    </row>
    <row r="58" spans="2:22" x14ac:dyDescent="0.25">
      <c r="C58" s="229"/>
      <c r="D58" s="339"/>
      <c r="E58" s="340"/>
      <c r="F58" s="340"/>
      <c r="G58" s="341"/>
      <c r="H58" s="342"/>
      <c r="I58" s="5"/>
      <c r="J58" s="5"/>
      <c r="K58" s="204"/>
      <c r="L58" s="204"/>
      <c r="M58" s="200"/>
      <c r="N58" s="200"/>
      <c r="O58" s="200"/>
      <c r="P58" s="200"/>
      <c r="Q58" s="200"/>
      <c r="R58" s="200"/>
      <c r="S58" s="201"/>
      <c r="T58" s="5"/>
      <c r="U58" s="12"/>
    </row>
    <row r="59" spans="2:22" x14ac:dyDescent="0.25">
      <c r="B59" s="235">
        <f>+ROUNDUP(C57,0)</f>
        <v>3</v>
      </c>
      <c r="C59" s="40" t="str">
        <f>+CONCATENATE("CAP.",B59)</f>
        <v>CAP.3</v>
      </c>
      <c r="D59" s="231" t="str">
        <f>+VLOOKUP(B59,'[7]CANTIDADES DE OBRA'!$B:$E,2,FALSE)</f>
        <v>RED CONTRAINCENDIOS</v>
      </c>
      <c r="E59" s="230"/>
      <c r="F59" s="230"/>
      <c r="G59" s="230"/>
      <c r="H59" s="232">
        <f>+SUM(H60:H88)</f>
        <v>419020032</v>
      </c>
      <c r="I59" s="5"/>
      <c r="J59" s="5"/>
      <c r="K59" s="234">
        <f>+SUM(K60:K88)</f>
        <v>419020032</v>
      </c>
      <c r="L59" s="234">
        <f>+SUM(L60:L88)</f>
        <v>439971022</v>
      </c>
      <c r="M59" s="234"/>
      <c r="N59" s="234"/>
      <c r="O59" s="234">
        <f>+SUM(O60:O88)</f>
        <v>2833946.1400000006</v>
      </c>
      <c r="P59" s="234">
        <f>+SUM(P60:P88)</f>
        <v>357716512.54000008</v>
      </c>
      <c r="Q59" s="234">
        <f>+SUM(Q60:Q88)</f>
        <v>1790650.2699999998</v>
      </c>
      <c r="R59" s="234">
        <f>+SUM(R60:R88)</f>
        <v>56678921.459999993</v>
      </c>
      <c r="S59" s="234">
        <f>+SUM(S60:S88)</f>
        <v>419020030.40999997</v>
      </c>
      <c r="T59" s="5"/>
      <c r="U59" s="12"/>
      <c r="V59" s="35" t="str">
        <f t="shared" si="0"/>
        <v>CAP.3 - RED CONTRAINCENDIOS</v>
      </c>
    </row>
    <row r="60" spans="2:22" x14ac:dyDescent="0.25">
      <c r="C60" s="229">
        <f>+B59+0.01</f>
        <v>3.01</v>
      </c>
      <c r="D60" s="38" t="str">
        <f>+VLOOKUP(C60,'[7]CANTIDADES DE OBRA'!$B:$E,2,FALSE)</f>
        <v>Tuberia C-PVC BLAZEMASTER Ø3"</v>
      </c>
      <c r="E60" s="39" t="str">
        <f>+VLOOKUP(C60,'[7]CANTIDADES DE OBRA'!$B:$E,3,FALSE)</f>
        <v>ML</v>
      </c>
      <c r="F60" s="39">
        <f>+VLOOKUP(C60,'[7]CANTIDADES DE OBRA'!$B:$E,4,FALSE)</f>
        <v>105.5</v>
      </c>
      <c r="G60" s="65">
        <f t="shared" ref="G60:G87" si="51">+IFERROR(IF($Q$1="UNITARIOS",VLOOKUP(C60,C:Y,11,FALSE),VLOOKUP(C60,C:Y,12,FALSE)),0)</f>
        <v>427061.38</v>
      </c>
      <c r="H60" s="43">
        <f t="shared" ref="H60:H87" si="52">+ROUND(F60*G60,$Q$2)</f>
        <v>45054976</v>
      </c>
      <c r="I60" s="5"/>
      <c r="J60" s="5"/>
      <c r="K60" s="204">
        <f t="shared" ref="K60:K80" si="53">ROUND(F60*M60,$Q$2)</f>
        <v>45054976</v>
      </c>
      <c r="L60" s="204">
        <f t="shared" ref="L60:L80" si="54">ROUND(F60*N60,$Q$2)</f>
        <v>47307724</v>
      </c>
      <c r="M60" s="200">
        <f>ROUND(VLOOKUP(C60,APUS!H:V,14,0),2)</f>
        <v>427061.38</v>
      </c>
      <c r="N60" s="200">
        <f>ROUND(VLOOKUP(C60,APUS!I:V,13,0),2)</f>
        <v>448414.45</v>
      </c>
      <c r="O60" s="200">
        <f>ROUND(VLOOKUP(C60,APUS!D:Z,23,0),2)</f>
        <v>61586.26</v>
      </c>
      <c r="P60" s="200">
        <f>ROUND(VLOOKUP(C60,APUS!E:Z,22,0),2)</f>
        <v>43725032.189999998</v>
      </c>
      <c r="Q60" s="200">
        <f>ROUND(VLOOKUP(C60,APUS!F:Z,21,0),2)</f>
        <v>36631.89</v>
      </c>
      <c r="R60" s="200">
        <f>ROUND(VLOOKUP(C60,APUS!G:Z,20,0),2)</f>
        <v>1231725.1599999999</v>
      </c>
      <c r="S60" s="201">
        <f t="shared" ref="S60:S80" si="55">SUM(O60:R60)</f>
        <v>45054975.499999993</v>
      </c>
      <c r="T60" s="5"/>
      <c r="U60" s="12"/>
      <c r="V60" s="35" t="str">
        <f t="shared" si="0"/>
        <v>3.01 - Tuberia C-PVC BLAZEMASTER Ø3"</v>
      </c>
    </row>
    <row r="61" spans="2:22" x14ac:dyDescent="0.25">
      <c r="C61" s="229">
        <f t="shared" ref="C61:C87" si="56">+ROUNDUP(C60+0.01,2)</f>
        <v>3.02</v>
      </c>
      <c r="D61" s="38" t="str">
        <f>+VLOOKUP(C61,'[7]CANTIDADES DE OBRA'!$B:$E,2,FALSE)</f>
        <v>Tuberia C-PVC BLAZEMASTER Ø1"</v>
      </c>
      <c r="E61" s="39" t="str">
        <f>+VLOOKUP(C61,'[7]CANTIDADES DE OBRA'!$B:$E,3,FALSE)</f>
        <v>ML</v>
      </c>
      <c r="F61" s="39">
        <f>+VLOOKUP(C61,'[7]CANTIDADES DE OBRA'!$B:$E,4,FALSE)</f>
        <v>75.040000000000006</v>
      </c>
      <c r="G61" s="65">
        <f t="shared" si="51"/>
        <v>69178.23</v>
      </c>
      <c r="H61" s="43">
        <f t="shared" si="52"/>
        <v>5191134</v>
      </c>
      <c r="I61" s="5"/>
      <c r="J61" s="5"/>
      <c r="K61" s="204">
        <f t="shared" si="53"/>
        <v>5191134</v>
      </c>
      <c r="L61" s="204">
        <f t="shared" si="54"/>
        <v>5450691</v>
      </c>
      <c r="M61" s="200">
        <f>ROUND(VLOOKUP(C61,APUS!H:V,14,0),2)</f>
        <v>69178.23</v>
      </c>
      <c r="N61" s="200">
        <f>ROUND(VLOOKUP(C61,APUS!I:V,13,0),2)</f>
        <v>72637.14</v>
      </c>
      <c r="O61" s="200">
        <f>ROUND(VLOOKUP(C61,APUS!D:Z,23,0),2)</f>
        <v>43805.05</v>
      </c>
      <c r="P61" s="200">
        <f>ROUND(VLOOKUP(C61,APUS!E:Z,22,0),2)</f>
        <v>4245172.67</v>
      </c>
      <c r="Q61" s="200">
        <f>ROUND(VLOOKUP(C61,APUS!F:Z,21,0),2)</f>
        <v>26055.52</v>
      </c>
      <c r="R61" s="200">
        <f>ROUND(VLOOKUP(C61,APUS!G:Z,20,0),2)</f>
        <v>876101</v>
      </c>
      <c r="S61" s="201">
        <f t="shared" si="55"/>
        <v>5191134.2399999993</v>
      </c>
      <c r="T61" s="5"/>
      <c r="U61" s="12"/>
      <c r="V61" s="35" t="str">
        <f t="shared" ref="V61:V90" si="57">CONCATENATE(C61," ","-"," ",D61)</f>
        <v>3.02 - Tuberia C-PVC BLAZEMASTER Ø1"</v>
      </c>
    </row>
    <row r="62" spans="2:22" x14ac:dyDescent="0.25">
      <c r="C62" s="229">
        <f t="shared" si="56"/>
        <v>3.03</v>
      </c>
      <c r="D62" s="38" t="str">
        <f>+VLOOKUP(C62,'[7]CANTIDADES DE OBRA'!$B:$E,2,FALSE)</f>
        <v>Tuberia Acero Galvanizado Ø3"</v>
      </c>
      <c r="E62" s="39" t="str">
        <f>+VLOOKUP(C62,'[7]CANTIDADES DE OBRA'!$B:$E,3,FALSE)</f>
        <v>ML</v>
      </c>
      <c r="F62" s="39">
        <f>+VLOOKUP(C62,'[7]CANTIDADES DE OBRA'!$B:$E,4,FALSE)</f>
        <v>411.42</v>
      </c>
      <c r="G62" s="65">
        <f t="shared" si="51"/>
        <v>232598.68</v>
      </c>
      <c r="H62" s="43">
        <f t="shared" si="52"/>
        <v>95695749</v>
      </c>
      <c r="I62" s="5"/>
      <c r="J62" s="5"/>
      <c r="K62" s="204">
        <f t="shared" si="53"/>
        <v>95695749</v>
      </c>
      <c r="L62" s="204">
        <f t="shared" si="54"/>
        <v>100480535</v>
      </c>
      <c r="M62" s="200">
        <f>ROUND(VLOOKUP(C62,APUS!H:V,14,0),2)</f>
        <v>232598.68</v>
      </c>
      <c r="N62" s="200">
        <f>ROUND(VLOOKUP(C62,APUS!I:V,13,0),2)</f>
        <v>244228.61</v>
      </c>
      <c r="O62" s="200">
        <f>ROUND(VLOOKUP(C62,APUS!D:Z,23,0),2)</f>
        <v>400281.42</v>
      </c>
      <c r="P62" s="200">
        <f>ROUND(VLOOKUP(C62,APUS!E:Z,22,0),2)</f>
        <v>87146984.400000006</v>
      </c>
      <c r="Q62" s="200">
        <f>ROUND(VLOOKUP(C62,APUS!F:Z,21,0),2)</f>
        <v>142853.97</v>
      </c>
      <c r="R62" s="200">
        <f>ROUND(VLOOKUP(C62,APUS!G:Z,20,0),2)</f>
        <v>8005629.7800000003</v>
      </c>
      <c r="S62" s="201">
        <f t="shared" si="55"/>
        <v>95695749.570000008</v>
      </c>
      <c r="T62" s="5"/>
      <c r="U62" s="12"/>
      <c r="V62" s="35" t="str">
        <f t="shared" ref="V62" si="58">CONCATENATE(C62," ","-"," ",D62)</f>
        <v>3.03 - Tuberia Acero Galvanizado Ø3"</v>
      </c>
    </row>
    <row r="63" spans="2:22" x14ac:dyDescent="0.25">
      <c r="C63" s="229">
        <f t="shared" si="56"/>
        <v>3.04</v>
      </c>
      <c r="D63" s="38" t="str">
        <f>+VLOOKUP(C63,'[7]CANTIDADES DE OBRA'!$B:$E,2,FALSE)</f>
        <v>Tuberia Acero Galvanizado Ø1"</v>
      </c>
      <c r="E63" s="39" t="str">
        <f>+VLOOKUP(C63,'[7]CANTIDADES DE OBRA'!$B:$E,3,FALSE)</f>
        <v>ML</v>
      </c>
      <c r="F63" s="39">
        <f>+VLOOKUP(C63,'[7]CANTIDADES DE OBRA'!$B:$E,4,FALSE)</f>
        <v>344.82</v>
      </c>
      <c r="G63" s="65">
        <f t="shared" si="51"/>
        <v>68907.179999999993</v>
      </c>
      <c r="H63" s="43">
        <f t="shared" si="52"/>
        <v>23760574</v>
      </c>
      <c r="I63" s="5"/>
      <c r="J63" s="5"/>
      <c r="K63" s="204">
        <f t="shared" si="53"/>
        <v>23760574</v>
      </c>
      <c r="L63" s="204">
        <f t="shared" si="54"/>
        <v>24948603</v>
      </c>
      <c r="M63" s="200">
        <f>ROUND(VLOOKUP(C63,APUS!H:V,14,0),2)</f>
        <v>68907.179999999993</v>
      </c>
      <c r="N63" s="200">
        <f>ROUND(VLOOKUP(C63,APUS!I:V,13,0),2)</f>
        <v>72352.539999999994</v>
      </c>
      <c r="O63" s="200">
        <f>ROUND(VLOOKUP(C63,APUS!D:Z,23,0),2)</f>
        <v>335484.52</v>
      </c>
      <c r="P63" s="200">
        <f>ROUND(VLOOKUP(C63,APUS!E:Z,22,0),2)</f>
        <v>16595669.369999999</v>
      </c>
      <c r="Q63" s="200">
        <f>ROUND(VLOOKUP(C63,APUS!F:Z,21,0),2)</f>
        <v>119729</v>
      </c>
      <c r="R63" s="200">
        <f>ROUND(VLOOKUP(C63,APUS!G:Z,20,0),2)</f>
        <v>6709691.46</v>
      </c>
      <c r="S63" s="201">
        <f t="shared" si="55"/>
        <v>23760574.350000001</v>
      </c>
      <c r="T63" s="5"/>
      <c r="U63" s="12"/>
      <c r="V63" s="35" t="str">
        <f t="shared" ref="V63:V65" si="59">CONCATENATE(C63," ","-"," ",D63)</f>
        <v>3.04 - Tuberia Acero Galvanizado Ø1"</v>
      </c>
    </row>
    <row r="64" spans="2:22" x14ac:dyDescent="0.25">
      <c r="C64" s="229">
        <f t="shared" si="56"/>
        <v>3.05</v>
      </c>
      <c r="D64" s="38" t="str">
        <f>+VLOOKUP(C64,'[7]CANTIDADES DE OBRA'!$B:$E,2,FALSE)</f>
        <v>Codo 90° C-PVC Ø3"</v>
      </c>
      <c r="E64" s="39" t="str">
        <f>+VLOOKUP(C64,'[7]CANTIDADES DE OBRA'!$B:$E,3,FALSE)</f>
        <v>UND</v>
      </c>
      <c r="F64" s="39">
        <f>+VLOOKUP(C64,'[7]CANTIDADES DE OBRA'!$B:$E,4,FALSE)</f>
        <v>12</v>
      </c>
      <c r="G64" s="65">
        <f t="shared" si="51"/>
        <v>160305</v>
      </c>
      <c r="H64" s="43">
        <f t="shared" si="52"/>
        <v>1923660</v>
      </c>
      <c r="I64" s="5"/>
      <c r="J64" s="5"/>
      <c r="K64" s="204">
        <f t="shared" si="53"/>
        <v>1923660</v>
      </c>
      <c r="L64" s="204">
        <f t="shared" si="54"/>
        <v>2019843</v>
      </c>
      <c r="M64" s="200">
        <f>ROUND(VLOOKUP(C64,APUS!H:V,14,0),2)</f>
        <v>160305</v>
      </c>
      <c r="N64" s="200">
        <f>ROUND(VLOOKUP(C64,APUS!I:V,13,0),2)</f>
        <v>168320.25</v>
      </c>
      <c r="O64" s="200">
        <f>ROUND(VLOOKUP(C64,APUS!D:Z,23,0),2)</f>
        <v>11675.12</v>
      </c>
      <c r="P64" s="200">
        <f>ROUND(VLOOKUP(C64,APUS!E:Z,22,0),2)</f>
        <v>1674315.8</v>
      </c>
      <c r="Q64" s="200">
        <f>ROUND(VLOOKUP(C64,APUS!F:Z,21,0),2)</f>
        <v>4166.66</v>
      </c>
      <c r="R64" s="200">
        <f>ROUND(VLOOKUP(C64,APUS!G:Z,20,0),2)</f>
        <v>233502.4</v>
      </c>
      <c r="S64" s="201">
        <f t="shared" si="55"/>
        <v>1923659.98</v>
      </c>
      <c r="T64" s="5"/>
      <c r="U64" s="12"/>
      <c r="V64" s="35" t="str">
        <f t="shared" si="59"/>
        <v>3.05 - Codo 90° C-PVC Ø3"</v>
      </c>
    </row>
    <row r="65" spans="3:22" x14ac:dyDescent="0.25">
      <c r="C65" s="229">
        <f t="shared" si="56"/>
        <v>3.06</v>
      </c>
      <c r="D65" s="38" t="str">
        <f>+VLOOKUP(C65,'[7]CANTIDADES DE OBRA'!$B:$E,2,FALSE)</f>
        <v>Tee C-PVC Ø3"</v>
      </c>
      <c r="E65" s="39" t="str">
        <f>+VLOOKUP(C65,'[7]CANTIDADES DE OBRA'!$B:$E,3,FALSE)</f>
        <v>UND</v>
      </c>
      <c r="F65" s="39">
        <f>+VLOOKUP(C65,'[7]CANTIDADES DE OBRA'!$B:$E,4,FALSE)</f>
        <v>37</v>
      </c>
      <c r="G65" s="65">
        <f t="shared" si="51"/>
        <v>611963</v>
      </c>
      <c r="H65" s="43">
        <f t="shared" si="52"/>
        <v>22642631</v>
      </c>
      <c r="I65" s="5"/>
      <c r="J65" s="5"/>
      <c r="K65" s="204">
        <f t="shared" si="53"/>
        <v>22642631</v>
      </c>
      <c r="L65" s="204">
        <f t="shared" si="54"/>
        <v>23774763</v>
      </c>
      <c r="M65" s="200">
        <f>ROUND(VLOOKUP(C65,APUS!H:V,14,0),2)</f>
        <v>611963</v>
      </c>
      <c r="N65" s="200">
        <f>ROUND(VLOOKUP(C65,APUS!I:V,13,0),2)</f>
        <v>642561.15</v>
      </c>
      <c r="O65" s="200">
        <f>ROUND(VLOOKUP(C65,APUS!D:Z,23,0),2)</f>
        <v>35998.28</v>
      </c>
      <c r="P65" s="200">
        <f>ROUND(VLOOKUP(C65,APUS!E:Z,22,0),2)</f>
        <v>21873819.710000001</v>
      </c>
      <c r="Q65" s="200">
        <f>ROUND(VLOOKUP(C65,APUS!F:Z,21,0),2)</f>
        <v>12847.2</v>
      </c>
      <c r="R65" s="200">
        <f>ROUND(VLOOKUP(C65,APUS!G:Z,20,0),2)</f>
        <v>719965.73</v>
      </c>
      <c r="S65" s="201">
        <f t="shared" si="55"/>
        <v>22642630.920000002</v>
      </c>
      <c r="T65" s="5"/>
      <c r="U65" s="12"/>
      <c r="V65" s="35" t="str">
        <f t="shared" si="59"/>
        <v>3.06 - Tee C-PVC Ø3"</v>
      </c>
    </row>
    <row r="66" spans="3:22" x14ac:dyDescent="0.25">
      <c r="C66" s="229">
        <f t="shared" si="56"/>
        <v>3.07</v>
      </c>
      <c r="D66" s="38" t="str">
        <f>+VLOOKUP(C66,'[7]CANTIDADES DE OBRA'!$B:$E,2,FALSE)</f>
        <v>Reduccion C-PVC Ø3" a Ø1"</v>
      </c>
      <c r="E66" s="39" t="str">
        <f>+VLOOKUP(C66,'[7]CANTIDADES DE OBRA'!$B:$E,3,FALSE)</f>
        <v>UND</v>
      </c>
      <c r="F66" s="39">
        <f>+VLOOKUP(C66,'[7]CANTIDADES DE OBRA'!$B:$E,4,FALSE)</f>
        <v>24</v>
      </c>
      <c r="G66" s="65">
        <f t="shared" si="51"/>
        <v>182042</v>
      </c>
      <c r="H66" s="43">
        <f t="shared" si="52"/>
        <v>4369008</v>
      </c>
      <c r="I66" s="5"/>
      <c r="J66" s="5"/>
      <c r="K66" s="204">
        <f t="shared" si="53"/>
        <v>4369008</v>
      </c>
      <c r="L66" s="204">
        <f t="shared" si="54"/>
        <v>4587458</v>
      </c>
      <c r="M66" s="200">
        <f>ROUND(VLOOKUP(C66,APUS!H:V,14,0),2)</f>
        <v>182042</v>
      </c>
      <c r="N66" s="200">
        <f>ROUND(VLOOKUP(C66,APUS!I:V,13,0),2)</f>
        <v>191144.1</v>
      </c>
      <c r="O66" s="200">
        <f>ROUND(VLOOKUP(C66,APUS!D:Z,23,0),2)</f>
        <v>23350.240000000002</v>
      </c>
      <c r="P66" s="200">
        <f>ROUND(VLOOKUP(C66,APUS!E:Z,22,0),2)</f>
        <v>3870319.59</v>
      </c>
      <c r="Q66" s="200">
        <f>ROUND(VLOOKUP(C66,APUS!F:Z,21,0),2)</f>
        <v>8333.32</v>
      </c>
      <c r="R66" s="200">
        <f>ROUND(VLOOKUP(C66,APUS!G:Z,20,0),2)</f>
        <v>467004.8</v>
      </c>
      <c r="S66" s="201">
        <f t="shared" si="55"/>
        <v>4369007.95</v>
      </c>
      <c r="T66" s="5"/>
      <c r="U66" s="12"/>
      <c r="V66" s="35" t="str">
        <f t="shared" ref="V66:V71" si="60">CONCATENATE(C66," ","-"," ",D66)</f>
        <v>3.07 - Reduccion C-PVC Ø3" a Ø1"</v>
      </c>
    </row>
    <row r="67" spans="3:22" x14ac:dyDescent="0.25">
      <c r="C67" s="229">
        <f t="shared" si="56"/>
        <v>3.08</v>
      </c>
      <c r="D67" s="38" t="str">
        <f>+VLOOKUP(C67,'[7]CANTIDADES DE OBRA'!$B:$E,2,FALSE)</f>
        <v>Codo 90° C-PVC Ø1"</v>
      </c>
      <c r="E67" s="39" t="str">
        <f>+VLOOKUP(C67,'[7]CANTIDADES DE OBRA'!$B:$E,3,FALSE)</f>
        <v>UND</v>
      </c>
      <c r="F67" s="39">
        <f>+VLOOKUP(C67,'[7]CANTIDADES DE OBRA'!$B:$E,4,FALSE)</f>
        <v>24</v>
      </c>
      <c r="G67" s="65">
        <f t="shared" si="51"/>
        <v>44551</v>
      </c>
      <c r="H67" s="43">
        <f t="shared" si="52"/>
        <v>1069224</v>
      </c>
      <c r="I67" s="5"/>
      <c r="J67" s="5"/>
      <c r="K67" s="204">
        <f t="shared" si="53"/>
        <v>1069224</v>
      </c>
      <c r="L67" s="204">
        <f t="shared" si="54"/>
        <v>1122685</v>
      </c>
      <c r="M67" s="200">
        <f>ROUND(VLOOKUP(C67,APUS!H:V,14,0),2)</f>
        <v>44551</v>
      </c>
      <c r="N67" s="200">
        <f>ROUND(VLOOKUP(C67,APUS!I:V,13,0),2)</f>
        <v>46778.55</v>
      </c>
      <c r="O67" s="200">
        <f>ROUND(VLOOKUP(C67,APUS!D:Z,23,0),2)</f>
        <v>23350.240000000002</v>
      </c>
      <c r="P67" s="200">
        <f>ROUND(VLOOKUP(C67,APUS!E:Z,22,0),2)</f>
        <v>570535.59</v>
      </c>
      <c r="Q67" s="200">
        <f>ROUND(VLOOKUP(C67,APUS!F:Z,21,0),2)</f>
        <v>8333.32</v>
      </c>
      <c r="R67" s="200">
        <f>ROUND(VLOOKUP(C67,APUS!G:Z,20,0),2)</f>
        <v>467004.8</v>
      </c>
      <c r="S67" s="201">
        <f t="shared" si="55"/>
        <v>1069223.95</v>
      </c>
      <c r="T67" s="5"/>
      <c r="U67" s="12"/>
      <c r="V67" s="35" t="str">
        <f t="shared" si="60"/>
        <v>3.08 - Codo 90° C-PVC Ø1"</v>
      </c>
    </row>
    <row r="68" spans="3:22" x14ac:dyDescent="0.25">
      <c r="C68" s="229">
        <f t="shared" si="56"/>
        <v>3.09</v>
      </c>
      <c r="D68" s="38" t="str">
        <f>+VLOOKUP(C68,'[7]CANTIDADES DE OBRA'!$B:$E,2,FALSE)</f>
        <v>Tee C-PVC Ø1"</v>
      </c>
      <c r="E68" s="39" t="str">
        <f>+VLOOKUP(C68,'[7]CANTIDADES DE OBRA'!$B:$E,3,FALSE)</f>
        <v>UND</v>
      </c>
      <c r="F68" s="39">
        <f>+VLOOKUP(C68,'[7]CANTIDADES DE OBRA'!$B:$E,4,FALSE)</f>
        <v>14</v>
      </c>
      <c r="G68" s="65">
        <f t="shared" si="51"/>
        <v>48422</v>
      </c>
      <c r="H68" s="43">
        <f t="shared" si="52"/>
        <v>677908</v>
      </c>
      <c r="I68" s="5"/>
      <c r="J68" s="5"/>
      <c r="K68" s="204">
        <f t="shared" si="53"/>
        <v>677908</v>
      </c>
      <c r="L68" s="204">
        <f t="shared" si="54"/>
        <v>711803</v>
      </c>
      <c r="M68" s="200">
        <f>ROUND(VLOOKUP(C68,APUS!H:V,14,0),2)</f>
        <v>48422</v>
      </c>
      <c r="N68" s="200">
        <f>ROUND(VLOOKUP(C68,APUS!I:V,13,0),2)</f>
        <v>50843.1</v>
      </c>
      <c r="O68" s="200">
        <f>ROUND(VLOOKUP(C68,APUS!D:Z,23,0),2)</f>
        <v>13620.97</v>
      </c>
      <c r="P68" s="200">
        <f>ROUND(VLOOKUP(C68,APUS!E:Z,22,0),2)</f>
        <v>387006.43</v>
      </c>
      <c r="Q68" s="200">
        <f>ROUND(VLOOKUP(C68,APUS!F:Z,21,0),2)</f>
        <v>4861.1000000000004</v>
      </c>
      <c r="R68" s="200">
        <f>ROUND(VLOOKUP(C68,APUS!G:Z,20,0),2)</f>
        <v>272419.46999999997</v>
      </c>
      <c r="S68" s="201">
        <f t="shared" si="55"/>
        <v>677907.97</v>
      </c>
      <c r="T68" s="5"/>
      <c r="U68" s="12"/>
      <c r="V68" s="35" t="str">
        <f t="shared" si="60"/>
        <v>3.09 - Tee C-PVC Ø1"</v>
      </c>
    </row>
    <row r="69" spans="3:22" x14ac:dyDescent="0.25">
      <c r="C69" s="229">
        <f t="shared" si="56"/>
        <v>3.1</v>
      </c>
      <c r="D69" s="38" t="str">
        <f>+VLOOKUP(C69,'[7]CANTIDADES DE OBRA'!$B:$E,2,FALSE)</f>
        <v>Codo 90° ranurado AG Ø3"</v>
      </c>
      <c r="E69" s="39" t="str">
        <f>+VLOOKUP(C69,'[7]CANTIDADES DE OBRA'!$B:$E,3,FALSE)</f>
        <v>UND</v>
      </c>
      <c r="F69" s="39">
        <f>+VLOOKUP(C69,'[7]CANTIDADES DE OBRA'!$B:$E,4,FALSE)</f>
        <v>28</v>
      </c>
      <c r="G69" s="65">
        <f t="shared" si="51"/>
        <v>42778.68</v>
      </c>
      <c r="H69" s="43">
        <f t="shared" si="52"/>
        <v>1197803</v>
      </c>
      <c r="I69" s="5"/>
      <c r="J69" s="5"/>
      <c r="K69" s="204">
        <f t="shared" si="53"/>
        <v>1197803</v>
      </c>
      <c r="L69" s="204">
        <f t="shared" si="54"/>
        <v>1257693</v>
      </c>
      <c r="M69" s="200">
        <f>ROUND(VLOOKUP(C69,APUS!H:V,14,0),2)</f>
        <v>42778.68</v>
      </c>
      <c r="N69" s="200">
        <f>ROUND(VLOOKUP(C69,APUS!I:V,13,0),2)</f>
        <v>44917.61</v>
      </c>
      <c r="O69" s="200">
        <f>ROUND(VLOOKUP(C69,APUS!D:Z,23,0),2)</f>
        <v>27241.94</v>
      </c>
      <c r="P69" s="200">
        <f>ROUND(VLOOKUP(C69,APUS!E:Z,22,0),2)</f>
        <v>616000</v>
      </c>
      <c r="Q69" s="200">
        <f>ROUND(VLOOKUP(C69,APUS!F:Z,21,0),2)</f>
        <v>9722.2099999999991</v>
      </c>
      <c r="R69" s="200">
        <f>ROUND(VLOOKUP(C69,APUS!G:Z,20,0),2)</f>
        <v>544838.93000000005</v>
      </c>
      <c r="S69" s="201">
        <f t="shared" si="55"/>
        <v>1197803.08</v>
      </c>
      <c r="T69" s="5"/>
      <c r="U69" s="12"/>
      <c r="V69" s="35" t="str">
        <f t="shared" si="60"/>
        <v>3.1 - Codo 90° ranurado AG Ø3"</v>
      </c>
    </row>
    <row r="70" spans="3:22" x14ac:dyDescent="0.25">
      <c r="C70" s="229">
        <f t="shared" si="56"/>
        <v>3.11</v>
      </c>
      <c r="D70" s="38" t="str">
        <f>+VLOOKUP(C70,'[7]CANTIDADES DE OBRA'!$B:$E,2,FALSE)</f>
        <v>Tee ranurada AG Ø3"</v>
      </c>
      <c r="E70" s="39" t="str">
        <f>+VLOOKUP(C70,'[7]CANTIDADES DE OBRA'!$B:$E,3,FALSE)</f>
        <v>UND</v>
      </c>
      <c r="F70" s="39">
        <f>+VLOOKUP(C70,'[7]CANTIDADES DE OBRA'!$B:$E,4,FALSE)</f>
        <v>186</v>
      </c>
      <c r="G70" s="65">
        <f t="shared" si="51"/>
        <v>56778.68</v>
      </c>
      <c r="H70" s="43">
        <f t="shared" si="52"/>
        <v>10560834</v>
      </c>
      <c r="I70" s="5"/>
      <c r="J70" s="5"/>
      <c r="K70" s="204">
        <f t="shared" si="53"/>
        <v>10560834</v>
      </c>
      <c r="L70" s="204">
        <f t="shared" si="54"/>
        <v>11088875</v>
      </c>
      <c r="M70" s="200">
        <f>ROUND(VLOOKUP(C70,APUS!H:V,14,0),2)</f>
        <v>56778.68</v>
      </c>
      <c r="N70" s="200">
        <f>ROUND(VLOOKUP(C70,APUS!I:V,13,0),2)</f>
        <v>59617.61</v>
      </c>
      <c r="O70" s="200">
        <f>ROUND(VLOOKUP(C70,APUS!D:Z,23,0),2)</f>
        <v>180964.33</v>
      </c>
      <c r="P70" s="200">
        <f>ROUND(VLOOKUP(C70,APUS!E:Z,22,0),2)</f>
        <v>6696000</v>
      </c>
      <c r="Q70" s="200">
        <f>ROUND(VLOOKUP(C70,APUS!F:Z,21,0),2)</f>
        <v>64583.24</v>
      </c>
      <c r="R70" s="200">
        <f>ROUND(VLOOKUP(C70,APUS!G:Z,20,0),2)</f>
        <v>3619287.2</v>
      </c>
      <c r="S70" s="201">
        <f t="shared" si="55"/>
        <v>10560834.77</v>
      </c>
      <c r="T70" s="5"/>
      <c r="U70" s="12"/>
      <c r="V70" s="35" t="str">
        <f t="shared" si="60"/>
        <v>3.11 - Tee ranurada AG Ø3"</v>
      </c>
    </row>
    <row r="71" spans="3:22" x14ac:dyDescent="0.25">
      <c r="C71" s="229">
        <f t="shared" si="56"/>
        <v>3.12</v>
      </c>
      <c r="D71" s="38" t="str">
        <f>+VLOOKUP(C71,'[7]CANTIDADES DE OBRA'!$B:$E,2,FALSE)</f>
        <v>Reduccion concéntrica ranurada Ø3" a Ø1"</v>
      </c>
      <c r="E71" s="39" t="str">
        <f>+VLOOKUP(C71,'[7]CANTIDADES DE OBRA'!$B:$E,3,FALSE)</f>
        <v>UND</v>
      </c>
      <c r="F71" s="39">
        <f>+VLOOKUP(C71,'[7]CANTIDADES DE OBRA'!$B:$E,4,FALSE)</f>
        <v>120</v>
      </c>
      <c r="G71" s="65">
        <f t="shared" si="51"/>
        <v>35978.68</v>
      </c>
      <c r="H71" s="43">
        <f t="shared" si="52"/>
        <v>4317442</v>
      </c>
      <c r="I71" s="5"/>
      <c r="J71" s="5"/>
      <c r="K71" s="204">
        <f t="shared" si="53"/>
        <v>4317442</v>
      </c>
      <c r="L71" s="204">
        <f t="shared" si="54"/>
        <v>4533313</v>
      </c>
      <c r="M71" s="200">
        <f>ROUND(VLOOKUP(C71,APUS!H:V,14,0),2)</f>
        <v>35978.68</v>
      </c>
      <c r="N71" s="200">
        <f>ROUND(VLOOKUP(C71,APUS!I:V,13,0),2)</f>
        <v>37777.61</v>
      </c>
      <c r="O71" s="200">
        <f>ROUND(VLOOKUP(C71,APUS!D:Z,23,0),2)</f>
        <v>116751.18</v>
      </c>
      <c r="P71" s="200">
        <f>ROUND(VLOOKUP(C71,APUS!E:Z,22,0),2)</f>
        <v>1824000</v>
      </c>
      <c r="Q71" s="200">
        <f>ROUND(VLOOKUP(C71,APUS!F:Z,21,0),2)</f>
        <v>41666.61</v>
      </c>
      <c r="R71" s="200">
        <f>ROUND(VLOOKUP(C71,APUS!G:Z,20,0),2)</f>
        <v>2335024</v>
      </c>
      <c r="S71" s="201">
        <f t="shared" si="55"/>
        <v>4317441.79</v>
      </c>
      <c r="T71" s="5"/>
      <c r="U71" s="12"/>
      <c r="V71" s="35" t="str">
        <f t="shared" si="60"/>
        <v>3.12 - Reduccion concéntrica ranurada Ø3" a Ø1"</v>
      </c>
    </row>
    <row r="72" spans="3:22" x14ac:dyDescent="0.25">
      <c r="C72" s="229">
        <f t="shared" si="56"/>
        <v>3.13</v>
      </c>
      <c r="D72" s="38" t="str">
        <f>+VLOOKUP(C72,'[7]CANTIDADES DE OBRA'!$B:$E,2,FALSE)</f>
        <v>Codo 90° ranurado AG Ø1"</v>
      </c>
      <c r="E72" s="39" t="str">
        <f>+VLOOKUP(C72,'[7]CANTIDADES DE OBRA'!$B:$E,3,FALSE)</f>
        <v>UND</v>
      </c>
      <c r="F72" s="39">
        <f>+VLOOKUP(C72,'[7]CANTIDADES DE OBRA'!$B:$E,4,FALSE)</f>
        <v>126</v>
      </c>
      <c r="G72" s="65">
        <f t="shared" si="51"/>
        <v>30878.68</v>
      </c>
      <c r="H72" s="43">
        <f t="shared" si="52"/>
        <v>3890714</v>
      </c>
      <c r="I72" s="5"/>
      <c r="J72" s="5"/>
      <c r="K72" s="204">
        <f t="shared" si="53"/>
        <v>3890714</v>
      </c>
      <c r="L72" s="204">
        <f t="shared" si="54"/>
        <v>4085249</v>
      </c>
      <c r="M72" s="200">
        <f>ROUND(VLOOKUP(C72,APUS!H:V,14,0),2)</f>
        <v>30878.68</v>
      </c>
      <c r="N72" s="200">
        <f>ROUND(VLOOKUP(C72,APUS!I:V,13,0),2)</f>
        <v>32422.61</v>
      </c>
      <c r="O72" s="200">
        <f>ROUND(VLOOKUP(C72,APUS!D:Z,23,0),2)</f>
        <v>122588.74</v>
      </c>
      <c r="P72" s="200">
        <f>ROUND(VLOOKUP(C72,APUS!E:Z,22,0),2)</f>
        <v>1272600</v>
      </c>
      <c r="Q72" s="200">
        <f>ROUND(VLOOKUP(C72,APUS!F:Z,21,0),2)</f>
        <v>43749.94</v>
      </c>
      <c r="R72" s="200">
        <f>ROUND(VLOOKUP(C72,APUS!G:Z,20,0),2)</f>
        <v>2451775.2000000002</v>
      </c>
      <c r="S72" s="201">
        <f t="shared" si="55"/>
        <v>3890713.88</v>
      </c>
      <c r="T72" s="5"/>
      <c r="U72" s="12"/>
      <c r="V72" s="35" t="str">
        <f t="shared" ref="V72:V79" si="61">CONCATENATE(C72," ","-"," ",D72)</f>
        <v>3.13 - Codo 90° ranurado AG Ø1"</v>
      </c>
    </row>
    <row r="73" spans="3:22" x14ac:dyDescent="0.25">
      <c r="C73" s="229">
        <f t="shared" si="56"/>
        <v>3.14</v>
      </c>
      <c r="D73" s="38" t="str">
        <f>+VLOOKUP(C73,'[7]CANTIDADES DE OBRA'!$B:$E,2,FALSE)</f>
        <v>Tee ranurada AG Ø1"</v>
      </c>
      <c r="E73" s="39" t="str">
        <f>+VLOOKUP(C73,'[7]CANTIDADES DE OBRA'!$B:$E,3,FALSE)</f>
        <v>UND</v>
      </c>
      <c r="F73" s="39">
        <f>+VLOOKUP(C73,'[7]CANTIDADES DE OBRA'!$B:$E,4,FALSE)</f>
        <v>40</v>
      </c>
      <c r="G73" s="65">
        <f t="shared" si="51"/>
        <v>35178.68</v>
      </c>
      <c r="H73" s="43">
        <f t="shared" si="52"/>
        <v>1407147</v>
      </c>
      <c r="I73" s="5"/>
      <c r="J73" s="5"/>
      <c r="K73" s="204">
        <f t="shared" si="53"/>
        <v>1407147</v>
      </c>
      <c r="L73" s="204">
        <f t="shared" si="54"/>
        <v>1477504</v>
      </c>
      <c r="M73" s="200">
        <f>ROUND(VLOOKUP(C73,APUS!H:V,14,0),2)</f>
        <v>35178.68</v>
      </c>
      <c r="N73" s="200">
        <f>ROUND(VLOOKUP(C73,APUS!I:V,13,0),2)</f>
        <v>36937.61</v>
      </c>
      <c r="O73" s="200">
        <f>ROUND(VLOOKUP(C73,APUS!D:Z,23,0),2)</f>
        <v>38917.06</v>
      </c>
      <c r="P73" s="200">
        <f>ROUND(VLOOKUP(C73,APUS!E:Z,22,0),2)</f>
        <v>576000</v>
      </c>
      <c r="Q73" s="200">
        <f>ROUND(VLOOKUP(C73,APUS!F:Z,21,0),2)</f>
        <v>13888.87</v>
      </c>
      <c r="R73" s="200">
        <f>ROUND(VLOOKUP(C73,APUS!G:Z,20,0),2)</f>
        <v>778341.33</v>
      </c>
      <c r="S73" s="201">
        <f t="shared" si="55"/>
        <v>1407147.26</v>
      </c>
      <c r="T73" s="5"/>
      <c r="U73" s="12"/>
      <c r="V73" s="35" t="str">
        <f t="shared" si="61"/>
        <v>3.14 - Tee ranurada AG Ø1"</v>
      </c>
    </row>
    <row r="74" spans="3:22" x14ac:dyDescent="0.25">
      <c r="C74" s="229">
        <f t="shared" si="56"/>
        <v>3.15</v>
      </c>
      <c r="D74" s="38" t="str">
        <f>+VLOOKUP(C74,'[7]CANTIDADES DE OBRA'!$B:$E,2,FALSE)</f>
        <v>Kit de transición de Acero a C-PVC</v>
      </c>
      <c r="E74" s="39" t="str">
        <f>+VLOOKUP(C74,'[7]CANTIDADES DE OBRA'!$B:$E,3,FALSE)</f>
        <v>UND</v>
      </c>
      <c r="F74" s="39">
        <f>+VLOOKUP(C74,'[7]CANTIDADES DE OBRA'!$B:$E,4,FALSE)</f>
        <v>1</v>
      </c>
      <c r="G74" s="65">
        <f t="shared" si="51"/>
        <v>1158656.21</v>
      </c>
      <c r="H74" s="43">
        <f t="shared" si="52"/>
        <v>1158656</v>
      </c>
      <c r="I74" s="5"/>
      <c r="J74" s="5"/>
      <c r="K74" s="204">
        <f t="shared" si="53"/>
        <v>1158656</v>
      </c>
      <c r="L74" s="204">
        <f t="shared" si="54"/>
        <v>1216589</v>
      </c>
      <c r="M74" s="200">
        <f>ROUND(VLOOKUP(C74,APUS!H:V,14,0),2)</f>
        <v>1158656.21</v>
      </c>
      <c r="N74" s="200">
        <f>ROUND(VLOOKUP(C74,APUS!I:V,13,0),2)</f>
        <v>1216589.02</v>
      </c>
      <c r="O74" s="200">
        <f>ROUND(VLOOKUP(C74,APUS!D:Z,23,0),2)</f>
        <v>1824.24</v>
      </c>
      <c r="P74" s="200">
        <f>ROUND(VLOOKUP(C74,APUS!E:Z,22,0),2)</f>
        <v>1120000</v>
      </c>
      <c r="Q74" s="200">
        <f>ROUND(VLOOKUP(C74,APUS!F:Z,21,0),2)</f>
        <v>347.22</v>
      </c>
      <c r="R74" s="200">
        <f>ROUND(VLOOKUP(C74,APUS!G:Z,20,0),2)</f>
        <v>36484.75</v>
      </c>
      <c r="S74" s="201">
        <f t="shared" si="55"/>
        <v>1158656.21</v>
      </c>
      <c r="T74" s="5"/>
      <c r="U74" s="12"/>
      <c r="V74" s="35" t="str">
        <f t="shared" si="61"/>
        <v>3.15 - Kit de transición de Acero a C-PVC</v>
      </c>
    </row>
    <row r="75" spans="3:22" ht="30" x14ac:dyDescent="0.25">
      <c r="C75" s="229">
        <f t="shared" si="56"/>
        <v>3.16</v>
      </c>
      <c r="D75" s="38" t="str">
        <f>+VLOOKUP(C75,'[7]CANTIDADES DE OBRA'!$B:$E,2,FALSE)</f>
        <v>Rociadores sprinkers tipo pendent 1/2" k=5.6 con escudo y accesorios</v>
      </c>
      <c r="E75" s="39" t="str">
        <f>+VLOOKUP(C75,'[7]CANTIDADES DE OBRA'!$B:$E,3,FALSE)</f>
        <v>UND</v>
      </c>
      <c r="F75" s="39">
        <f>+VLOOKUP(C75,'[7]CANTIDADES DE OBRA'!$B:$E,4,FALSE)</f>
        <v>272</v>
      </c>
      <c r="G75" s="65">
        <f t="shared" si="51"/>
        <v>117793.05</v>
      </c>
      <c r="H75" s="43">
        <f t="shared" si="52"/>
        <v>32039710</v>
      </c>
      <c r="I75" s="5"/>
      <c r="J75" s="5"/>
      <c r="K75" s="204">
        <f t="shared" si="53"/>
        <v>32039710</v>
      </c>
      <c r="L75" s="204">
        <f t="shared" si="54"/>
        <v>33641694</v>
      </c>
      <c r="M75" s="200">
        <f>ROUND(VLOOKUP(C75,APUS!H:V,14,0),2)</f>
        <v>117793.05</v>
      </c>
      <c r="N75" s="200">
        <f>ROUND(VLOOKUP(C75,APUS!I:V,13,0),2)</f>
        <v>123682.7</v>
      </c>
      <c r="O75" s="200">
        <f>ROUND(VLOOKUP(C75,APUS!D:Z,23,0),2)</f>
        <v>496192.6</v>
      </c>
      <c r="P75" s="200">
        <f>ROUND(VLOOKUP(C75,APUS!E:Z,22,0),2)</f>
        <v>21525219.420000002</v>
      </c>
      <c r="Q75" s="200">
        <f>ROUND(VLOOKUP(C75,APUS!F:Z,21,0),2)</f>
        <v>94444.31</v>
      </c>
      <c r="R75" s="200">
        <f>ROUND(VLOOKUP(C75,APUS!G:Z,20,0),2)</f>
        <v>9923852</v>
      </c>
      <c r="S75" s="201">
        <f t="shared" si="55"/>
        <v>32039708.330000002</v>
      </c>
      <c r="T75" s="5"/>
      <c r="U75" s="12"/>
      <c r="V75" s="35" t="str">
        <f t="shared" si="61"/>
        <v>3.16 - Rociadores sprinkers tipo pendent 1/2" k=5.6 con escudo y accesorios</v>
      </c>
    </row>
    <row r="76" spans="3:22" x14ac:dyDescent="0.25">
      <c r="C76" s="229">
        <f t="shared" si="56"/>
        <v>3.17</v>
      </c>
      <c r="D76" s="38" t="str">
        <f>+VLOOKUP(C76,'[7]CANTIDADES DE OBRA'!$B:$E,2,FALSE)</f>
        <v>Cabezal de prueba Ø4"xØ3"xØ3"</v>
      </c>
      <c r="E76" s="39" t="str">
        <f>+VLOOKUP(C76,'[7]CANTIDADES DE OBRA'!$B:$E,3,FALSE)</f>
        <v>UND</v>
      </c>
      <c r="F76" s="39">
        <f>+VLOOKUP(C76,'[7]CANTIDADES DE OBRA'!$B:$E,4,FALSE)</f>
        <v>1</v>
      </c>
      <c r="G76" s="65">
        <f t="shared" si="51"/>
        <v>1478106.9</v>
      </c>
      <c r="H76" s="43">
        <f t="shared" si="52"/>
        <v>1478107</v>
      </c>
      <c r="I76" s="5"/>
      <c r="J76" s="5"/>
      <c r="K76" s="204">
        <f t="shared" si="53"/>
        <v>1478107</v>
      </c>
      <c r="L76" s="204">
        <f t="shared" si="54"/>
        <v>1552012</v>
      </c>
      <c r="M76" s="200">
        <f>ROUND(VLOOKUP(C76,APUS!H:V,14,0),2)</f>
        <v>1478106.9</v>
      </c>
      <c r="N76" s="200">
        <f>ROUND(VLOOKUP(C76,APUS!I:V,13,0),2)</f>
        <v>1552012.25</v>
      </c>
      <c r="O76" s="200">
        <f>ROUND(VLOOKUP(C76,APUS!D:Z,23,0),2)</f>
        <v>3648.48</v>
      </c>
      <c r="P76" s="200">
        <f>ROUND(VLOOKUP(C76,APUS!E:Z,22,0),2)</f>
        <v>1401141.7</v>
      </c>
      <c r="Q76" s="200">
        <f>ROUND(VLOOKUP(C76,APUS!F:Z,21,0),2)</f>
        <v>347.22</v>
      </c>
      <c r="R76" s="200">
        <f>ROUND(VLOOKUP(C76,APUS!G:Z,20,0),2)</f>
        <v>72969.5</v>
      </c>
      <c r="S76" s="201">
        <f t="shared" si="55"/>
        <v>1478106.9</v>
      </c>
      <c r="T76" s="5"/>
      <c r="U76" s="12"/>
      <c r="V76" s="35" t="str">
        <f t="shared" si="61"/>
        <v>3.17 - Cabezal de prueba Ø4"xØ3"xØ3"</v>
      </c>
    </row>
    <row r="77" spans="3:22" x14ac:dyDescent="0.25">
      <c r="C77" s="229">
        <f t="shared" si="56"/>
        <v>3.18</v>
      </c>
      <c r="D77" s="38" t="str">
        <f>+VLOOKUP(C77,'[7]CANTIDADES DE OBRA'!$B:$E,2,FALSE)</f>
        <v>Extintor manual clase A</v>
      </c>
      <c r="E77" s="39" t="str">
        <f>+VLOOKUP(C77,'[7]CANTIDADES DE OBRA'!$B:$E,3,FALSE)</f>
        <v>UND</v>
      </c>
      <c r="F77" s="39">
        <f>+VLOOKUP(C77,'[7]CANTIDADES DE OBRA'!$B:$E,4,FALSE)</f>
        <v>37</v>
      </c>
      <c r="G77" s="65">
        <f t="shared" si="51"/>
        <v>96883.94</v>
      </c>
      <c r="H77" s="43">
        <f t="shared" si="52"/>
        <v>3584706</v>
      </c>
      <c r="I77" s="5"/>
      <c r="J77" s="5"/>
      <c r="K77" s="204">
        <f t="shared" si="53"/>
        <v>3584706</v>
      </c>
      <c r="L77" s="204">
        <f t="shared" si="54"/>
        <v>3763941</v>
      </c>
      <c r="M77" s="200">
        <f>ROUND(VLOOKUP(C77,APUS!H:V,14,0),2)</f>
        <v>96883.94</v>
      </c>
      <c r="N77" s="200">
        <f>ROUND(VLOOKUP(C77,APUS!I:V,13,0),2)</f>
        <v>101728.14</v>
      </c>
      <c r="O77" s="200">
        <f>ROUND(VLOOKUP(C77,APUS!D:Z,23,0),2)</f>
        <v>11517.08</v>
      </c>
      <c r="P77" s="200">
        <f>ROUND(VLOOKUP(C77,APUS!E:Z,22,0),2)</f>
        <v>3330000</v>
      </c>
      <c r="Q77" s="200">
        <f>ROUND(VLOOKUP(C77,APUS!F:Z,21,0),2)</f>
        <v>12847.2</v>
      </c>
      <c r="R77" s="200">
        <f>ROUND(VLOOKUP(C77,APUS!G:Z,20,0),2)</f>
        <v>230341.65</v>
      </c>
      <c r="S77" s="201">
        <f t="shared" si="55"/>
        <v>3584705.93</v>
      </c>
      <c r="T77" s="5"/>
      <c r="U77" s="12"/>
      <c r="V77" s="35" t="str">
        <f t="shared" si="61"/>
        <v>3.18 - Extintor manual clase A</v>
      </c>
    </row>
    <row r="78" spans="3:22" x14ac:dyDescent="0.25">
      <c r="C78" s="229">
        <f t="shared" si="56"/>
        <v>3.19</v>
      </c>
      <c r="D78" s="38" t="str">
        <f>+VLOOKUP(C78,'[7]CANTIDADES DE OBRA'!$B:$E,2,FALSE)</f>
        <v>Extintor manual clase C</v>
      </c>
      <c r="E78" s="39" t="str">
        <f>+VLOOKUP(C78,'[7]CANTIDADES DE OBRA'!$B:$E,3,FALSE)</f>
        <v>UND</v>
      </c>
      <c r="F78" s="39">
        <f>+VLOOKUP(C78,'[7]CANTIDADES DE OBRA'!$B:$E,4,FALSE)</f>
        <v>5</v>
      </c>
      <c r="G78" s="65">
        <f t="shared" si="51"/>
        <v>341883.94</v>
      </c>
      <c r="H78" s="43">
        <f t="shared" si="52"/>
        <v>1709420</v>
      </c>
      <c r="I78" s="5"/>
      <c r="J78" s="5"/>
      <c r="K78" s="204">
        <f t="shared" si="53"/>
        <v>1709420</v>
      </c>
      <c r="L78" s="204">
        <f t="shared" si="54"/>
        <v>1794891</v>
      </c>
      <c r="M78" s="200">
        <f>ROUND(VLOOKUP(C78,APUS!H:V,14,0),2)</f>
        <v>341883.94</v>
      </c>
      <c r="N78" s="200">
        <f>ROUND(VLOOKUP(C78,APUS!I:V,13,0),2)</f>
        <v>358978.14</v>
      </c>
      <c r="O78" s="200">
        <f>ROUND(VLOOKUP(C78,APUS!D:Z,23,0),2)</f>
        <v>1556.36</v>
      </c>
      <c r="P78" s="200">
        <f>ROUND(VLOOKUP(C78,APUS!E:Z,22,0),2)</f>
        <v>1675000</v>
      </c>
      <c r="Q78" s="200">
        <f>ROUND(VLOOKUP(C78,APUS!F:Z,21,0),2)</f>
        <v>1736.11</v>
      </c>
      <c r="R78" s="200">
        <f>ROUND(VLOOKUP(C78,APUS!G:Z,20,0),2)</f>
        <v>31127.25</v>
      </c>
      <c r="S78" s="201">
        <f t="shared" si="55"/>
        <v>1709419.7200000002</v>
      </c>
      <c r="T78" s="5"/>
      <c r="U78" s="12"/>
      <c r="V78" s="35" t="str">
        <f t="shared" si="61"/>
        <v>3.19 - Extintor manual clase C</v>
      </c>
    </row>
    <row r="79" spans="3:22" x14ac:dyDescent="0.25">
      <c r="C79" s="229">
        <f t="shared" si="56"/>
        <v>3.2</v>
      </c>
      <c r="D79" s="38" t="str">
        <f>+VLOOKUP(C79,'[7]CANTIDADES DE OBRA'!$B:$E,2,FALSE)</f>
        <v>Estacion de control (incluye accesorios)</v>
      </c>
      <c r="E79" s="39" t="str">
        <f>+VLOOKUP(C79,'[7]CANTIDADES DE OBRA'!$B:$E,3,FALSE)</f>
        <v>UND</v>
      </c>
      <c r="F79" s="39">
        <f>+VLOOKUP(C79,'[7]CANTIDADES DE OBRA'!$B:$E,4,FALSE)</f>
        <v>5</v>
      </c>
      <c r="G79" s="65">
        <f t="shared" si="51"/>
        <v>1565670.82</v>
      </c>
      <c r="H79" s="43">
        <f t="shared" si="52"/>
        <v>7828354</v>
      </c>
      <c r="I79" s="5"/>
      <c r="J79" s="5"/>
      <c r="K79" s="204">
        <f t="shared" si="53"/>
        <v>7828354</v>
      </c>
      <c r="L79" s="204">
        <f t="shared" si="54"/>
        <v>8219772</v>
      </c>
      <c r="M79" s="200">
        <f>ROUND(VLOOKUP(C79,APUS!H:V,14,0),2)</f>
        <v>1565670.82</v>
      </c>
      <c r="N79" s="200">
        <f>ROUND(VLOOKUP(C79,APUS!I:V,13,0),2)</f>
        <v>1643954.36</v>
      </c>
      <c r="O79" s="200">
        <f>ROUND(VLOOKUP(C79,APUS!D:Z,23,0),2)</f>
        <v>3648.48</v>
      </c>
      <c r="P79" s="200">
        <f>ROUND(VLOOKUP(C79,APUS!E:Z,22,0),2)</f>
        <v>7750000</v>
      </c>
      <c r="Q79" s="200">
        <f>ROUND(VLOOKUP(C79,APUS!F:Z,21,0),2)</f>
        <v>1736.11</v>
      </c>
      <c r="R79" s="200">
        <f>ROUND(VLOOKUP(C79,APUS!G:Z,20,0),2)</f>
        <v>72969.5</v>
      </c>
      <c r="S79" s="201">
        <f t="shared" si="55"/>
        <v>7828354.0900000008</v>
      </c>
      <c r="T79" s="5"/>
      <c r="U79" s="12"/>
      <c r="V79" s="35" t="str">
        <f t="shared" si="61"/>
        <v>3.2 - Estacion de control (incluye accesorios)</v>
      </c>
    </row>
    <row r="80" spans="3:22" ht="45" x14ac:dyDescent="0.25">
      <c r="C80" s="229">
        <f t="shared" si="56"/>
        <v>3.21</v>
      </c>
      <c r="D80" s="38" t="str">
        <f>+VLOOKUP(C80,'[7]CANTIDADES DE OBRA'!$B:$E,2,FALSE)</f>
        <v>Suministro e instalacion de equipo de bombeo (bomba Centrifuga uso general "EUROLINEA" Eje libre 20.00 HP y bomba auxilia jockey 2.0 HP)</v>
      </c>
      <c r="E80" s="39" t="str">
        <f>+VLOOKUP(C80,'[7]CANTIDADES DE OBRA'!$B:$E,3,FALSE)</f>
        <v>UND</v>
      </c>
      <c r="F80" s="39">
        <f>+VLOOKUP(C80,'[7]CANTIDADES DE OBRA'!$B:$E,4,FALSE)</f>
        <v>1</v>
      </c>
      <c r="G80" s="65">
        <f t="shared" si="51"/>
        <v>108581939.04000001</v>
      </c>
      <c r="H80" s="43">
        <f t="shared" si="52"/>
        <v>108581939</v>
      </c>
      <c r="I80" s="5"/>
      <c r="J80" s="5"/>
      <c r="K80" s="204">
        <f t="shared" si="53"/>
        <v>108581939</v>
      </c>
      <c r="L80" s="204">
        <f t="shared" si="54"/>
        <v>114011036</v>
      </c>
      <c r="M80" s="200">
        <f>ROUND(VLOOKUP(C80,APUS!H:V,14,0),2)</f>
        <v>108581939.04000001</v>
      </c>
      <c r="N80" s="200">
        <f>ROUND(VLOOKUP(C80,APUS!I:V,13,0),2)</f>
        <v>114011035.98999999</v>
      </c>
      <c r="O80" s="200">
        <f>ROUND(VLOOKUP(C80,APUS!D:Z,23,0),2)</f>
        <v>50717.88</v>
      </c>
      <c r="P80" s="200">
        <f>ROUND(VLOOKUP(C80,APUS!E:Z,22,0),2)</f>
        <v>107513391.36</v>
      </c>
      <c r="Q80" s="200">
        <f>ROUND(VLOOKUP(C80,APUS!F:Z,21,0),2)</f>
        <v>3472.22</v>
      </c>
      <c r="R80" s="200">
        <f>ROUND(VLOOKUP(C80,APUS!G:Z,20,0),2)</f>
        <v>1014357.58</v>
      </c>
      <c r="S80" s="201">
        <f t="shared" si="55"/>
        <v>108581939.03999999</v>
      </c>
      <c r="T80" s="5"/>
      <c r="U80" s="12"/>
      <c r="V80" s="35" t="str">
        <f t="shared" ref="V80:V86" si="62">CONCATENATE(C80," ","-"," ",D80)</f>
        <v>3.21 - Suministro e instalacion de equipo de bombeo (bomba Centrifuga uso general "EUROLINEA" Eje libre 20.00 HP y bomba auxilia jockey 2.0 HP)</v>
      </c>
    </row>
    <row r="81" spans="2:22" x14ac:dyDescent="0.25">
      <c r="C81" s="229">
        <f t="shared" si="56"/>
        <v>3.22</v>
      </c>
      <c r="D81" s="38" t="str">
        <f>+VLOOKUP(C81,'[7]CANTIDADES DE OBRA'!$B:$E,2,FALSE)</f>
        <v>Tuberia Acero Galvanizado Ø1 1/2"</v>
      </c>
      <c r="E81" s="39" t="str">
        <f>+VLOOKUP(C81,'[7]CANTIDADES DE OBRA'!$B:$E,3,FALSE)</f>
        <v>ML</v>
      </c>
      <c r="F81" s="39">
        <f>+VLOOKUP(C81,'[7]CANTIDADES DE OBRA'!$B:$E,4,FALSE)</f>
        <v>30.8</v>
      </c>
      <c r="G81" s="65">
        <f t="shared" si="51"/>
        <v>94823.01</v>
      </c>
      <c r="H81" s="43">
        <f t="shared" si="52"/>
        <v>2920549</v>
      </c>
      <c r="I81" s="5"/>
      <c r="J81" s="5"/>
      <c r="K81" s="204">
        <f t="shared" ref="K81:K87" si="63">ROUND(F81*M81,$Q$2)</f>
        <v>2920549</v>
      </c>
      <c r="L81" s="204">
        <f t="shared" ref="L81:L87" si="64">ROUND(F81*N81,$Q$2)</f>
        <v>3066576</v>
      </c>
      <c r="M81" s="200">
        <f>ROUND(VLOOKUP(C81,APUS!H:V,14,0),2)</f>
        <v>94823.01</v>
      </c>
      <c r="N81" s="200">
        <f>ROUND(VLOOKUP(C81,APUS!I:V,13,0),2)</f>
        <v>99564.160000000003</v>
      </c>
      <c r="O81" s="200">
        <f>ROUND(VLOOKUP(C81,APUS!D:Z,23,0),2)</f>
        <v>29966.14</v>
      </c>
      <c r="P81" s="200">
        <f>ROUND(VLOOKUP(C81,APUS!E:Z,22,0),2)</f>
        <v>2280565.4700000002</v>
      </c>
      <c r="Q81" s="200">
        <f>ROUND(VLOOKUP(C81,APUS!F:Z,21,0),2)</f>
        <v>10694.43</v>
      </c>
      <c r="R81" s="200">
        <f>ROUND(VLOOKUP(C81,APUS!G:Z,20,0),2)</f>
        <v>599322.82999999996</v>
      </c>
      <c r="S81" s="201">
        <f t="shared" ref="S81:S87" si="65">SUM(O81:R81)</f>
        <v>2920548.8700000006</v>
      </c>
      <c r="T81" s="5"/>
      <c r="U81" s="12"/>
      <c r="V81" s="35" t="str">
        <f t="shared" si="62"/>
        <v>3.22 - Tuberia Acero Galvanizado Ø1 1/2"</v>
      </c>
    </row>
    <row r="82" spans="2:22" x14ac:dyDescent="0.25">
      <c r="C82" s="229">
        <f t="shared" si="56"/>
        <v>3.23</v>
      </c>
      <c r="D82" s="38" t="str">
        <f>+VLOOKUP(C82,'[7]CANTIDADES DE OBRA'!$B:$E,2,FALSE)</f>
        <v>Tuberia Acero Galvanizado Ø1 1/4"</v>
      </c>
      <c r="E82" s="39" t="str">
        <f>+VLOOKUP(C82,'[7]CANTIDADES DE OBRA'!$B:$E,3,FALSE)</f>
        <v>ML</v>
      </c>
      <c r="F82" s="39">
        <f>+VLOOKUP(C82,'[7]CANTIDADES DE OBRA'!$B:$E,4,FALSE)</f>
        <v>0.5</v>
      </c>
      <c r="G82" s="65">
        <f t="shared" si="51"/>
        <v>82923.009999999995</v>
      </c>
      <c r="H82" s="43">
        <f t="shared" si="52"/>
        <v>41462</v>
      </c>
      <c r="I82" s="5"/>
      <c r="J82" s="5"/>
      <c r="K82" s="204">
        <f t="shared" si="63"/>
        <v>41462</v>
      </c>
      <c r="L82" s="204">
        <f t="shared" si="64"/>
        <v>43535</v>
      </c>
      <c r="M82" s="200">
        <f>ROUND(VLOOKUP(C82,APUS!H:V,14,0),2)</f>
        <v>82923.009999999995</v>
      </c>
      <c r="N82" s="200">
        <f>ROUND(VLOOKUP(C82,APUS!I:V,13,0),2)</f>
        <v>87069.16</v>
      </c>
      <c r="O82" s="200">
        <f>ROUND(VLOOKUP(C82,APUS!D:Z,23,0),2)</f>
        <v>486.46</v>
      </c>
      <c r="P82" s="200">
        <f>ROUND(VLOOKUP(C82,APUS!E:Z,22,0),2)</f>
        <v>31072.17</v>
      </c>
      <c r="Q82" s="200">
        <f>ROUND(VLOOKUP(C82,APUS!F:Z,21,0),2)</f>
        <v>173.61</v>
      </c>
      <c r="R82" s="200">
        <f>ROUND(VLOOKUP(C82,APUS!G:Z,20,0),2)</f>
        <v>9729.27</v>
      </c>
      <c r="S82" s="201">
        <f t="shared" si="65"/>
        <v>41461.509999999995</v>
      </c>
      <c r="T82" s="5"/>
      <c r="U82" s="12"/>
      <c r="V82" s="35" t="str">
        <f t="shared" si="62"/>
        <v>3.23 - Tuberia Acero Galvanizado Ø1 1/4"</v>
      </c>
    </row>
    <row r="83" spans="2:22" x14ac:dyDescent="0.25">
      <c r="C83" s="229">
        <f t="shared" si="56"/>
        <v>3.24</v>
      </c>
      <c r="D83" s="38" t="str">
        <f>+VLOOKUP(C83,'[7]CANTIDADES DE OBRA'!$B:$E,2,FALSE)</f>
        <v>Soporte antisismico</v>
      </c>
      <c r="E83" s="39" t="str">
        <f>+VLOOKUP(C83,'[7]CANTIDADES DE OBRA'!$B:$E,3,FALSE)</f>
        <v>UND</v>
      </c>
      <c r="F83" s="39">
        <f>+VLOOKUP(C83,'[7]CANTIDADES DE OBRA'!$B:$E,4,FALSE)</f>
        <v>1615</v>
      </c>
      <c r="G83" s="65">
        <f t="shared" si="51"/>
        <v>23126.84</v>
      </c>
      <c r="H83" s="43">
        <f t="shared" si="52"/>
        <v>37349847</v>
      </c>
      <c r="I83" s="5"/>
      <c r="J83" s="5"/>
      <c r="K83" s="204">
        <f t="shared" si="63"/>
        <v>37349847</v>
      </c>
      <c r="L83" s="204">
        <f t="shared" si="64"/>
        <v>39217336</v>
      </c>
      <c r="M83" s="200">
        <f>ROUND(VLOOKUP(C83,APUS!H:V,14,0),2)</f>
        <v>23126.84</v>
      </c>
      <c r="N83" s="200">
        <f>ROUND(VLOOKUP(C83,APUS!I:V,13,0),2)</f>
        <v>24283.18</v>
      </c>
      <c r="O83" s="200">
        <f>ROUND(VLOOKUP(C83,APUS!D:Z,23,0),2)</f>
        <v>785638.55</v>
      </c>
      <c r="P83" s="200">
        <f>ROUND(VLOOKUP(C83,APUS!E:Z,22,0),2)</f>
        <v>19729916.670000002</v>
      </c>
      <c r="Q83" s="200">
        <f>ROUND(VLOOKUP(C83,APUS!F:Z,21,0),2)</f>
        <v>1121526.22</v>
      </c>
      <c r="R83" s="200">
        <f>ROUND(VLOOKUP(C83,APUS!G:Z,20,0),2)</f>
        <v>15712765.67</v>
      </c>
      <c r="S83" s="201">
        <f t="shared" si="65"/>
        <v>37349847.109999999</v>
      </c>
      <c r="T83" s="5"/>
      <c r="U83" s="12"/>
      <c r="V83" s="35" t="str">
        <f t="shared" si="62"/>
        <v>3.24 - Soporte antisismico</v>
      </c>
    </row>
    <row r="84" spans="2:22" x14ac:dyDescent="0.25">
      <c r="C84" s="229">
        <f t="shared" si="56"/>
        <v>3.25</v>
      </c>
      <c r="D84" s="38" t="str">
        <f>+VLOOKUP(C84,'[7]CANTIDADES DE OBRA'!$B:$E,2,FALSE)</f>
        <v>Reduccion concéntrica ranurada Ø3" a Ø1 1/2"</v>
      </c>
      <c r="E84" s="39" t="str">
        <f>+VLOOKUP(C84,'[7]CANTIDADES DE OBRA'!$B:$E,3,FALSE)</f>
        <v>UND</v>
      </c>
      <c r="F84" s="39">
        <f>+VLOOKUP(C84,'[7]CANTIDADES DE OBRA'!$B:$E,4,FALSE)</f>
        <v>6</v>
      </c>
      <c r="G84" s="65">
        <f t="shared" si="51"/>
        <v>30870.82</v>
      </c>
      <c r="H84" s="43">
        <f t="shared" si="52"/>
        <v>185225</v>
      </c>
      <c r="I84" s="5"/>
      <c r="J84" s="5"/>
      <c r="K84" s="204">
        <f t="shared" si="63"/>
        <v>185225</v>
      </c>
      <c r="L84" s="204">
        <f t="shared" si="64"/>
        <v>194486</v>
      </c>
      <c r="M84" s="200">
        <f>ROUND(VLOOKUP(C84,APUS!H:V,14,0),2)</f>
        <v>30870.82</v>
      </c>
      <c r="N84" s="200">
        <f>ROUND(VLOOKUP(C84,APUS!I:V,13,0),2)</f>
        <v>32414.36</v>
      </c>
      <c r="O84" s="200">
        <f>ROUND(VLOOKUP(C84,APUS!D:Z,23,0),2)</f>
        <v>4378.17</v>
      </c>
      <c r="P84" s="200">
        <f>ROUND(VLOOKUP(C84,APUS!E:Z,22,0),2)</f>
        <v>91200</v>
      </c>
      <c r="Q84" s="200">
        <f>ROUND(VLOOKUP(C84,APUS!F:Z,21,0),2)</f>
        <v>2083.33</v>
      </c>
      <c r="R84" s="200">
        <f>ROUND(VLOOKUP(C84,APUS!G:Z,20,0),2)</f>
        <v>87563.4</v>
      </c>
      <c r="S84" s="201">
        <f t="shared" si="65"/>
        <v>185224.9</v>
      </c>
      <c r="T84" s="5"/>
      <c r="U84" s="12"/>
      <c r="V84" s="35" t="str">
        <f t="shared" si="62"/>
        <v>3.25 - Reduccion concéntrica ranurada Ø3" a Ø1 1/2"</v>
      </c>
    </row>
    <row r="85" spans="2:22" x14ac:dyDescent="0.25">
      <c r="C85" s="229">
        <f t="shared" si="56"/>
        <v>3.26</v>
      </c>
      <c r="D85" s="38" t="str">
        <f>+VLOOKUP(C85,'[7]CANTIDADES DE OBRA'!$B:$E,2,FALSE)</f>
        <v>Reduccion concéntrica ranurada Ø1 1/2" a Ø1 1/4"</v>
      </c>
      <c r="E85" s="39" t="str">
        <f>+VLOOKUP(C85,'[7]CANTIDADES DE OBRA'!$B:$E,3,FALSE)</f>
        <v>UND</v>
      </c>
      <c r="F85" s="39">
        <f>+VLOOKUP(C85,'[7]CANTIDADES DE OBRA'!$B:$E,4,FALSE)</f>
        <v>1</v>
      </c>
      <c r="G85" s="65">
        <f t="shared" si="51"/>
        <v>22870.82</v>
      </c>
      <c r="H85" s="43">
        <f t="shared" si="52"/>
        <v>22871</v>
      </c>
      <c r="I85" s="5"/>
      <c r="J85" s="5"/>
      <c r="K85" s="204">
        <f t="shared" si="63"/>
        <v>22871</v>
      </c>
      <c r="L85" s="204">
        <f t="shared" si="64"/>
        <v>24014</v>
      </c>
      <c r="M85" s="200">
        <f>ROUND(VLOOKUP(C85,APUS!H:V,14,0),2)</f>
        <v>22870.82</v>
      </c>
      <c r="N85" s="200">
        <f>ROUND(VLOOKUP(C85,APUS!I:V,13,0),2)</f>
        <v>24014.36</v>
      </c>
      <c r="O85" s="200">
        <f>ROUND(VLOOKUP(C85,APUS!D:Z,23,0),2)</f>
        <v>729.7</v>
      </c>
      <c r="P85" s="200">
        <f>ROUND(VLOOKUP(C85,APUS!E:Z,22,0),2)</f>
        <v>7200</v>
      </c>
      <c r="Q85" s="200">
        <f>ROUND(VLOOKUP(C85,APUS!F:Z,21,0),2)</f>
        <v>347.22</v>
      </c>
      <c r="R85" s="200">
        <f>ROUND(VLOOKUP(C85,APUS!G:Z,20,0),2)</f>
        <v>14593.9</v>
      </c>
      <c r="S85" s="201">
        <f t="shared" si="65"/>
        <v>22870.82</v>
      </c>
      <c r="T85" s="5"/>
      <c r="U85" s="12"/>
      <c r="V85" s="35" t="str">
        <f t="shared" si="62"/>
        <v>3.26 - Reduccion concéntrica ranurada Ø1 1/2" a Ø1 1/4"</v>
      </c>
    </row>
    <row r="86" spans="2:22" x14ac:dyDescent="0.25">
      <c r="C86" s="229">
        <f t="shared" si="56"/>
        <v>3.27</v>
      </c>
      <c r="D86" s="38" t="str">
        <f>+VLOOKUP(C86,'[7]CANTIDADES DE OBRA'!$B:$E,2,FALSE)</f>
        <v>Reduccion concéntrica ranurada Ø1 1/4" a Ø1"</v>
      </c>
      <c r="E86" s="39" t="str">
        <f>+VLOOKUP(C86,'[7]CANTIDADES DE OBRA'!$B:$E,3,FALSE)</f>
        <v>UND</v>
      </c>
      <c r="F86" s="39">
        <f>+VLOOKUP(C86,'[7]CANTIDADES DE OBRA'!$B:$E,4,FALSE)</f>
        <v>1</v>
      </c>
      <c r="G86" s="65">
        <f t="shared" si="51"/>
        <v>24673.599999999999</v>
      </c>
      <c r="H86" s="43">
        <f t="shared" si="52"/>
        <v>24674</v>
      </c>
      <c r="I86" s="5"/>
      <c r="J86" s="5"/>
      <c r="K86" s="204">
        <f t="shared" si="63"/>
        <v>24674</v>
      </c>
      <c r="L86" s="204">
        <f t="shared" si="64"/>
        <v>25907</v>
      </c>
      <c r="M86" s="200">
        <f>ROUND(VLOOKUP(C86,APUS!H:V,14,0),2)</f>
        <v>24673.599999999999</v>
      </c>
      <c r="N86" s="200">
        <f>ROUND(VLOOKUP(C86,APUS!I:V,13,0),2)</f>
        <v>25907.279999999999</v>
      </c>
      <c r="O86" s="200">
        <f>ROUND(VLOOKUP(C86,APUS!D:Z,23,0),2)</f>
        <v>729.7</v>
      </c>
      <c r="P86" s="200">
        <f>ROUND(VLOOKUP(C86,APUS!E:Z,22,0),2)</f>
        <v>9350</v>
      </c>
      <c r="Q86" s="200">
        <f>ROUND(VLOOKUP(C86,APUS!F:Z,21,0),2)</f>
        <v>0</v>
      </c>
      <c r="R86" s="200">
        <f>ROUND(VLOOKUP(C86,APUS!G:Z,20,0),2)</f>
        <v>14593.9</v>
      </c>
      <c r="S86" s="201">
        <f t="shared" si="65"/>
        <v>24673.599999999999</v>
      </c>
      <c r="T86" s="5"/>
      <c r="U86" s="12"/>
      <c r="V86" s="35" t="str">
        <f t="shared" si="62"/>
        <v>3.27 - Reduccion concéntrica ranurada Ø1 1/4" a Ø1"</v>
      </c>
    </row>
    <row r="87" spans="2:22" x14ac:dyDescent="0.25">
      <c r="C87" s="229">
        <f t="shared" si="56"/>
        <v>3.28</v>
      </c>
      <c r="D87" s="38" t="str">
        <f>+VLOOKUP(C87,'[7]CANTIDADES DE OBRA'!$B:$E,2,FALSE)</f>
        <v>Codo 90° ranurado AG Ø1 1/2"</v>
      </c>
      <c r="E87" s="39" t="str">
        <f>+VLOOKUP(C87,'[7]CANTIDADES DE OBRA'!$B:$E,3,FALSE)</f>
        <v>UND</v>
      </c>
      <c r="F87" s="39">
        <f>+VLOOKUP(C87,'[7]CANTIDADES DE OBRA'!$B:$E,4,FALSE)</f>
        <v>10</v>
      </c>
      <c r="G87" s="65">
        <f t="shared" si="51"/>
        <v>33570.82</v>
      </c>
      <c r="H87" s="43">
        <f t="shared" si="52"/>
        <v>335708</v>
      </c>
      <c r="I87" s="5"/>
      <c r="J87" s="5"/>
      <c r="K87" s="204">
        <f t="shared" si="63"/>
        <v>335708</v>
      </c>
      <c r="L87" s="204">
        <f t="shared" si="64"/>
        <v>352494</v>
      </c>
      <c r="M87" s="200">
        <f>ROUND(VLOOKUP(C87,APUS!H:V,14,0),2)</f>
        <v>33570.82</v>
      </c>
      <c r="N87" s="200">
        <f>ROUND(VLOOKUP(C87,APUS!I:V,13,0),2)</f>
        <v>35249.360000000001</v>
      </c>
      <c r="O87" s="200">
        <f>ROUND(VLOOKUP(C87,APUS!D:Z,23,0),2)</f>
        <v>7296.95</v>
      </c>
      <c r="P87" s="200">
        <f>ROUND(VLOOKUP(C87,APUS!E:Z,22,0),2)</f>
        <v>179000</v>
      </c>
      <c r="Q87" s="200">
        <f>ROUND(VLOOKUP(C87,APUS!F:Z,21,0),2)</f>
        <v>3472.22</v>
      </c>
      <c r="R87" s="200">
        <f>ROUND(VLOOKUP(C87,APUS!G:Z,20,0),2)</f>
        <v>145939</v>
      </c>
      <c r="S87" s="201">
        <f t="shared" si="65"/>
        <v>335708.17000000004</v>
      </c>
      <c r="T87" s="5"/>
      <c r="U87" s="12"/>
      <c r="V87" s="35" t="str">
        <f t="shared" ref="V87" si="66">CONCATENATE(C87," ","-"," ",D87)</f>
        <v>3.28 - Codo 90° ranurado AG Ø1 1/2"</v>
      </c>
    </row>
    <row r="88" spans="2:22" x14ac:dyDescent="0.25">
      <c r="C88" s="229"/>
      <c r="D88" s="339"/>
      <c r="E88" s="340"/>
      <c r="F88" s="340"/>
      <c r="G88" s="341"/>
      <c r="H88" s="342"/>
      <c r="I88" s="5"/>
      <c r="J88" s="5"/>
      <c r="K88" s="204"/>
      <c r="L88" s="204"/>
      <c r="M88" s="200"/>
      <c r="N88" s="200"/>
      <c r="O88" s="200"/>
      <c r="P88" s="200"/>
      <c r="Q88" s="200"/>
      <c r="R88" s="200"/>
      <c r="S88" s="201"/>
      <c r="T88" s="5"/>
      <c r="U88" s="12"/>
    </row>
    <row r="89" spans="2:22" x14ac:dyDescent="0.25">
      <c r="B89" s="235">
        <f>+ROUNDUP(C87,0)</f>
        <v>4</v>
      </c>
      <c r="C89" s="40" t="str">
        <f>+CONCATENATE("CAP.",B89)</f>
        <v>CAP.4</v>
      </c>
      <c r="D89" s="231" t="str">
        <f>+VLOOKUP(B89,'[7]CANTIDADES DE OBRA'!$B:$E,2,FALSE)</f>
        <v>RED SANITARIA</v>
      </c>
      <c r="E89" s="230"/>
      <c r="F89" s="230"/>
      <c r="G89" s="230"/>
      <c r="H89" s="232">
        <f>+SUM(H90:H113)</f>
        <v>86377680</v>
      </c>
      <c r="I89" s="5"/>
      <c r="J89" s="5"/>
      <c r="K89" s="234">
        <f>+SUM(K90:K113)</f>
        <v>86377680</v>
      </c>
      <c r="L89" s="234">
        <f>+SUM(L90:L113)</f>
        <v>90696563</v>
      </c>
      <c r="M89" s="234"/>
      <c r="N89" s="234"/>
      <c r="O89" s="234">
        <f>+SUM(O90:O113)</f>
        <v>361884.18</v>
      </c>
      <c r="P89" s="234">
        <f>+SUM(P90:P113)</f>
        <v>78500546.170000002</v>
      </c>
      <c r="Q89" s="234">
        <f>+SUM(Q90:Q113)</f>
        <v>277562.12</v>
      </c>
      <c r="R89" s="234">
        <f>+SUM(R90:R113)</f>
        <v>7237682.5199999996</v>
      </c>
      <c r="S89" s="234">
        <f>+SUM(S90:S113)</f>
        <v>86377674.989999995</v>
      </c>
      <c r="T89" s="5"/>
      <c r="U89" s="12"/>
      <c r="V89" s="35" t="str">
        <f t="shared" si="57"/>
        <v>CAP.4 - RED SANITARIA</v>
      </c>
    </row>
    <row r="90" spans="2:22" x14ac:dyDescent="0.25">
      <c r="C90" s="229">
        <f>+B89+0.01</f>
        <v>4.01</v>
      </c>
      <c r="D90" s="38" t="str">
        <f>+VLOOKUP(C90,'[7]CANTIDADES DE OBRA'!$B:$E,2,FALSE)</f>
        <v>Tubería Sanitaria PVC Ø4"</v>
      </c>
      <c r="E90" s="39" t="str">
        <f>+VLOOKUP(C90,'[7]CANTIDADES DE OBRA'!$B:$E,3,FALSE)</f>
        <v>ML</v>
      </c>
      <c r="F90" s="39">
        <f>+VLOOKUP(C90,'[7]CANTIDADES DE OBRA'!$B:$E,4,FALSE)</f>
        <v>144.43</v>
      </c>
      <c r="G90" s="65">
        <f t="shared" ref="G90:G112" si="67">+IFERROR(IF($Q$1="UNITARIOS",VLOOKUP(C90,C:Y,11,FALSE),VLOOKUP(C90,C:Y,12,FALSE)),0)</f>
        <v>68677.55</v>
      </c>
      <c r="H90" s="43">
        <f>+ROUND(F90*G90,$Q$2)</f>
        <v>9919099</v>
      </c>
      <c r="I90" s="5"/>
      <c r="J90" s="5"/>
      <c r="K90" s="204">
        <f>ROUND(F90*M90,$Q$2)</f>
        <v>9919099</v>
      </c>
      <c r="L90" s="204">
        <f>ROUND(F90*N90,$Q$2)</f>
        <v>10415054</v>
      </c>
      <c r="M90" s="200">
        <f>ROUND(VLOOKUP(C90,APUS!H:V,14,0),2)</f>
        <v>68677.55</v>
      </c>
      <c r="N90" s="200">
        <f>ROUND(VLOOKUP(C90,APUS!I:V,13,0),2)</f>
        <v>72111.429999999993</v>
      </c>
      <c r="O90" s="200">
        <f>ROUND(VLOOKUP(C90,APUS!D:Z,23,0),2)</f>
        <v>80576.990000000005</v>
      </c>
      <c r="P90" s="200">
        <f>ROUND(VLOOKUP(C90,APUS!E:Z,22,0),2)</f>
        <v>8176831.8499999996</v>
      </c>
      <c r="Q90" s="200">
        <f>ROUND(VLOOKUP(C90,APUS!F:Z,21,0),2)</f>
        <v>50149.24</v>
      </c>
      <c r="R90" s="200">
        <f>ROUND(VLOOKUP(C90,APUS!G:Z,20,0),2)</f>
        <v>1611540.31</v>
      </c>
      <c r="S90" s="201">
        <f>SUM(O90:R90)</f>
        <v>9919098.3900000006</v>
      </c>
      <c r="T90" s="5"/>
      <c r="U90" s="12"/>
      <c r="V90" s="35" t="str">
        <f t="shared" si="57"/>
        <v>4.01 - Tubería Sanitaria PVC Ø4"</v>
      </c>
    </row>
    <row r="91" spans="2:22" x14ac:dyDescent="0.25">
      <c r="C91" s="229">
        <f>+ROUNDUP(C90+0.01,2)</f>
        <v>4.0199999999999996</v>
      </c>
      <c r="D91" s="38" t="str">
        <f>+VLOOKUP(C91,'[7]CANTIDADES DE OBRA'!$B:$E,2,FALSE)</f>
        <v>Tubería Sanitaria PVC Ø2"</v>
      </c>
      <c r="E91" s="39" t="str">
        <f>+VLOOKUP(C91,'[7]CANTIDADES DE OBRA'!$B:$E,3,FALSE)</f>
        <v>ML</v>
      </c>
      <c r="F91" s="39">
        <f>+VLOOKUP(C91,'[7]CANTIDADES DE OBRA'!$B:$E,4,FALSE)</f>
        <v>64.27</v>
      </c>
      <c r="G91" s="65">
        <f t="shared" si="67"/>
        <v>39533.300000000003</v>
      </c>
      <c r="H91" s="43">
        <f t="shared" ref="H91:H112" si="68">+ROUND(F91*G91,$Q$2)</f>
        <v>2540805</v>
      </c>
      <c r="I91" s="5"/>
      <c r="J91" s="5"/>
      <c r="K91" s="204">
        <f>ROUND(F91*M91,$Q$2)</f>
        <v>2540805</v>
      </c>
      <c r="L91" s="204">
        <f>ROUND(F91*N91,$Q$2)</f>
        <v>2667846</v>
      </c>
      <c r="M91" s="200">
        <f>ROUND(VLOOKUP(C91,APUS!H:V,14,0),2)</f>
        <v>39533.300000000003</v>
      </c>
      <c r="N91" s="200">
        <f>ROUND(VLOOKUP(C91,APUS!I:V,13,0),2)</f>
        <v>41509.97</v>
      </c>
      <c r="O91" s="200">
        <f>ROUND(VLOOKUP(C91,APUS!D:Z,23,0),2)</f>
        <v>35856.01</v>
      </c>
      <c r="P91" s="200">
        <f>ROUND(VLOOKUP(C91,APUS!E:Z,22,0),2)</f>
        <v>1765512.88</v>
      </c>
      <c r="Q91" s="200">
        <f>ROUND(VLOOKUP(C91,APUS!F:Z,21,0),2)</f>
        <v>22315.94</v>
      </c>
      <c r="R91" s="200">
        <f>ROUND(VLOOKUP(C91,APUS!G:Z,20,0),2)</f>
        <v>717120.38</v>
      </c>
      <c r="S91" s="201">
        <f>SUM(O91:R91)</f>
        <v>2540805.21</v>
      </c>
      <c r="T91" s="5"/>
      <c r="U91" s="12"/>
      <c r="V91" s="35" t="str">
        <f t="shared" ref="V91" si="69">CONCATENATE(C91," ","-"," ",D91)</f>
        <v>4.02 - Tubería Sanitaria PVC Ø2"</v>
      </c>
    </row>
    <row r="92" spans="2:22" x14ac:dyDescent="0.25">
      <c r="C92" s="229">
        <f t="shared" ref="C92:C95" si="70">+ROUNDUP(C91+0.01,2)</f>
        <v>4.03</v>
      </c>
      <c r="D92" s="38" t="str">
        <f>+VLOOKUP(C92,'[7]CANTIDADES DE OBRA'!$B:$E,2,FALSE)</f>
        <v>Tubería Sanitaria HD Ø3"</v>
      </c>
      <c r="E92" s="39" t="str">
        <f>+VLOOKUP(C92,'[7]CANTIDADES DE OBRA'!$B:$E,3,FALSE)</f>
        <v>ML</v>
      </c>
      <c r="F92" s="39">
        <f>+VLOOKUP(C92,'[7]CANTIDADES DE OBRA'!$B:$E,4,FALSE)</f>
        <v>3.6</v>
      </c>
      <c r="G92" s="65">
        <f t="shared" si="67"/>
        <v>52078.93</v>
      </c>
      <c r="H92" s="43">
        <f t="shared" si="68"/>
        <v>187484</v>
      </c>
      <c r="I92" s="5"/>
      <c r="J92" s="5"/>
      <c r="K92" s="204">
        <f t="shared" ref="K92:K95" si="71">ROUND(F92*M92,$Q$2)</f>
        <v>187484</v>
      </c>
      <c r="L92" s="204">
        <f t="shared" ref="L92:L95" si="72">ROUND(F92*N92,$Q$2)</f>
        <v>196858</v>
      </c>
      <c r="M92" s="200">
        <f>ROUND(VLOOKUP(C92,APUS!H:V,14,0),2)</f>
        <v>52078.93</v>
      </c>
      <c r="N92" s="200">
        <f>ROUND(VLOOKUP(C92,APUS!I:V,13,0),2)</f>
        <v>54682.879999999997</v>
      </c>
      <c r="O92" s="200">
        <f>ROUND(VLOOKUP(C92,APUS!D:Z,23,0),2)</f>
        <v>2008.43</v>
      </c>
      <c r="P92" s="200">
        <f>ROUND(VLOOKUP(C92,APUS!E:Z,22,0),2)</f>
        <v>144057.17000000001</v>
      </c>
      <c r="Q92" s="200">
        <f>ROUND(VLOOKUP(C92,APUS!F:Z,21,0),2)</f>
        <v>1250</v>
      </c>
      <c r="R92" s="200">
        <f>ROUND(VLOOKUP(C92,APUS!G:Z,20,0),2)</f>
        <v>40168.559999999998</v>
      </c>
      <c r="S92" s="201">
        <f t="shared" ref="S92:S95" si="73">SUM(O92:R92)</f>
        <v>187484.16</v>
      </c>
      <c r="T92" s="5"/>
      <c r="U92" s="12"/>
      <c r="V92" s="35" t="str">
        <f t="shared" ref="V92:V95" si="74">CONCATENATE(C92," ","-"," ",D92)</f>
        <v>4.03 - Tubería Sanitaria HD Ø3"</v>
      </c>
    </row>
    <row r="93" spans="2:22" x14ac:dyDescent="0.25">
      <c r="C93" s="229">
        <f t="shared" si="70"/>
        <v>4.04</v>
      </c>
      <c r="D93" s="38" t="str">
        <f>+VLOOKUP(C93,'[7]CANTIDADES DE OBRA'!$B:$E,2,FALSE)</f>
        <v>Tubería ventilacion PVC Ø2"</v>
      </c>
      <c r="E93" s="39" t="str">
        <f>+VLOOKUP(C93,'[7]CANTIDADES DE OBRA'!$B:$E,3,FALSE)</f>
        <v>ML</v>
      </c>
      <c r="F93" s="39">
        <f>+VLOOKUP(C93,'[7]CANTIDADES DE OBRA'!$B:$E,4,FALSE)</f>
        <v>86.08</v>
      </c>
      <c r="G93" s="65">
        <f t="shared" si="67"/>
        <v>36604.339999999997</v>
      </c>
      <c r="H93" s="43">
        <f t="shared" si="68"/>
        <v>3150902</v>
      </c>
      <c r="I93" s="5"/>
      <c r="J93" s="5"/>
      <c r="K93" s="204">
        <f t="shared" si="71"/>
        <v>3150902</v>
      </c>
      <c r="L93" s="204">
        <f t="shared" si="72"/>
        <v>3308447</v>
      </c>
      <c r="M93" s="200">
        <f>ROUND(VLOOKUP(C93,APUS!H:V,14,0),2)</f>
        <v>36604.339999999997</v>
      </c>
      <c r="N93" s="200">
        <f>ROUND(VLOOKUP(C93,APUS!I:V,13,0),2)</f>
        <v>38434.559999999998</v>
      </c>
      <c r="O93" s="200">
        <f>ROUND(VLOOKUP(C93,APUS!D:Z,23,0),2)</f>
        <v>36017.81</v>
      </c>
      <c r="P93" s="200">
        <f>ROUND(VLOOKUP(C93,APUS!E:Z,22,0),2)</f>
        <v>2364639.0099999998</v>
      </c>
      <c r="Q93" s="200">
        <f>ROUND(VLOOKUP(C93,APUS!F:Z,21,0),2)</f>
        <v>29888.85</v>
      </c>
      <c r="R93" s="200">
        <f>ROUND(VLOOKUP(C93,APUS!G:Z,20,0),2)</f>
        <v>720356.18</v>
      </c>
      <c r="S93" s="201">
        <f t="shared" si="73"/>
        <v>3150901.85</v>
      </c>
      <c r="T93" s="5"/>
      <c r="U93" s="12"/>
      <c r="V93" s="35" t="str">
        <f t="shared" si="74"/>
        <v>4.04 - Tubería ventilacion PVC Ø2"</v>
      </c>
    </row>
    <row r="94" spans="2:22" x14ac:dyDescent="0.25">
      <c r="C94" s="229">
        <f t="shared" si="70"/>
        <v>4.05</v>
      </c>
      <c r="D94" s="38" t="str">
        <f>+VLOOKUP(C94,'[7]CANTIDADES DE OBRA'!$B:$E,2,FALSE)</f>
        <v>Codo 45° Sanitario PVC Ø4"</v>
      </c>
      <c r="E94" s="39" t="str">
        <f>+VLOOKUP(C94,'[7]CANTIDADES DE OBRA'!$B:$E,3,FALSE)</f>
        <v>UND</v>
      </c>
      <c r="F94" s="39">
        <f>+VLOOKUP(C94,'[7]CANTIDADES DE OBRA'!$B:$E,4,FALSE)</f>
        <v>9</v>
      </c>
      <c r="G94" s="65">
        <f t="shared" si="67"/>
        <v>26999.98</v>
      </c>
      <c r="H94" s="43">
        <f t="shared" si="68"/>
        <v>243000</v>
      </c>
      <c r="I94" s="5"/>
      <c r="J94" s="5"/>
      <c r="K94" s="204">
        <f t="shared" si="71"/>
        <v>243000</v>
      </c>
      <c r="L94" s="204">
        <f t="shared" si="72"/>
        <v>255150</v>
      </c>
      <c r="M94" s="200">
        <f>ROUND(VLOOKUP(C94,APUS!H:V,14,0),2)</f>
        <v>26999.98</v>
      </c>
      <c r="N94" s="200">
        <f>ROUND(VLOOKUP(C94,APUS!I:V,13,0),2)</f>
        <v>28349.98</v>
      </c>
      <c r="O94" s="200">
        <f>ROUND(VLOOKUP(C94,APUS!D:Z,23,0),2)</f>
        <v>1882.9</v>
      </c>
      <c r="P94" s="200">
        <f>ROUND(VLOOKUP(C94,APUS!E:Z,22,0),2)</f>
        <v>200333.85</v>
      </c>
      <c r="Q94" s="200">
        <f>ROUND(VLOOKUP(C94,APUS!F:Z,21,0),2)</f>
        <v>3125</v>
      </c>
      <c r="R94" s="200">
        <f>ROUND(VLOOKUP(C94,APUS!G:Z,20,0),2)</f>
        <v>37658.03</v>
      </c>
      <c r="S94" s="201">
        <f t="shared" si="73"/>
        <v>242999.78</v>
      </c>
      <c r="T94" s="5"/>
      <c r="U94" s="12"/>
      <c r="V94" s="35" t="str">
        <f t="shared" si="74"/>
        <v>4.05 - Codo 45° Sanitario PVC Ø4"</v>
      </c>
    </row>
    <row r="95" spans="2:22" x14ac:dyDescent="0.25">
      <c r="C95" s="229">
        <f t="shared" si="70"/>
        <v>4.0599999999999996</v>
      </c>
      <c r="D95" s="38" t="str">
        <f>+VLOOKUP(C95,'[7]CANTIDADES DE OBRA'!$B:$E,2,FALSE)</f>
        <v>Codo 90° Sanitario PVC Ø4"</v>
      </c>
      <c r="E95" s="39" t="str">
        <f>+VLOOKUP(C95,'[7]CANTIDADES DE OBRA'!$B:$E,3,FALSE)</f>
        <v>UND</v>
      </c>
      <c r="F95" s="39">
        <f>+VLOOKUP(C95,'[7]CANTIDADES DE OBRA'!$B:$E,4,FALSE)</f>
        <v>31</v>
      </c>
      <c r="G95" s="65">
        <f t="shared" si="67"/>
        <v>24766.98</v>
      </c>
      <c r="H95" s="43">
        <f t="shared" si="68"/>
        <v>767776</v>
      </c>
      <c r="I95" s="5"/>
      <c r="J95" s="5"/>
      <c r="K95" s="204">
        <f t="shared" si="71"/>
        <v>767776</v>
      </c>
      <c r="L95" s="204">
        <f t="shared" si="72"/>
        <v>806165</v>
      </c>
      <c r="M95" s="200">
        <f>ROUND(VLOOKUP(C95,APUS!H:V,14,0),2)</f>
        <v>24766.98</v>
      </c>
      <c r="N95" s="200">
        <f>ROUND(VLOOKUP(C95,APUS!I:V,13,0),2)</f>
        <v>26005.33</v>
      </c>
      <c r="O95" s="200">
        <f>ROUND(VLOOKUP(C95,APUS!D:Z,23,0),2)</f>
        <v>6485.56</v>
      </c>
      <c r="P95" s="200">
        <f>ROUND(VLOOKUP(C95,APUS!E:Z,22,0),2)</f>
        <v>620815.81000000006</v>
      </c>
      <c r="Q95" s="200">
        <f>ROUND(VLOOKUP(C95,APUS!F:Z,21,0),2)</f>
        <v>10763.87</v>
      </c>
      <c r="R95" s="200">
        <f>ROUND(VLOOKUP(C95,APUS!G:Z,20,0),2)</f>
        <v>129710.98</v>
      </c>
      <c r="S95" s="201">
        <f t="shared" si="73"/>
        <v>767776.22000000009</v>
      </c>
      <c r="T95" s="5"/>
      <c r="U95" s="12"/>
      <c r="V95" s="35" t="str">
        <f t="shared" si="74"/>
        <v>4.06 - Codo 90° Sanitario PVC Ø4"</v>
      </c>
    </row>
    <row r="96" spans="2:22" x14ac:dyDescent="0.25">
      <c r="C96" s="229">
        <f t="shared" ref="C96:C97" si="75">+ROUNDUP(C95+0.01,2)</f>
        <v>4.07</v>
      </c>
      <c r="D96" s="38" t="str">
        <f>+VLOOKUP(C96,'[7]CANTIDADES DE OBRA'!$B:$E,2,FALSE)</f>
        <v>Codo 90° Sanitario PVC Ø2"</v>
      </c>
      <c r="E96" s="39" t="str">
        <f>+VLOOKUP(C96,'[7]CANTIDADES DE OBRA'!$B:$E,3,FALSE)</f>
        <v>UND</v>
      </c>
      <c r="F96" s="39">
        <f>+VLOOKUP(C96,'[7]CANTIDADES DE OBRA'!$B:$E,4,FALSE)</f>
        <v>113</v>
      </c>
      <c r="G96" s="65">
        <f t="shared" si="67"/>
        <v>11341.98</v>
      </c>
      <c r="H96" s="43">
        <f t="shared" si="68"/>
        <v>1281644</v>
      </c>
      <c r="I96" s="5"/>
      <c r="J96" s="5"/>
      <c r="K96" s="204">
        <f t="shared" ref="K96" si="76">ROUND(F96*M96,$Q$2)</f>
        <v>1281644</v>
      </c>
      <c r="L96" s="204">
        <f t="shared" ref="L96" si="77">ROUND(F96*N96,$Q$2)</f>
        <v>1345726</v>
      </c>
      <c r="M96" s="200">
        <f>ROUND(VLOOKUP(C96,APUS!H:V,14,0),2)</f>
        <v>11341.98</v>
      </c>
      <c r="N96" s="200">
        <f>ROUND(VLOOKUP(C96,APUS!I:V,13,0),2)</f>
        <v>11909.08</v>
      </c>
      <c r="O96" s="200">
        <f>ROUND(VLOOKUP(C96,APUS!D:Z,23,0),2)</f>
        <v>23640.9</v>
      </c>
      <c r="P96" s="200">
        <f>ROUND(VLOOKUP(C96,APUS!E:Z,22,0),2)</f>
        <v>745948.75</v>
      </c>
      <c r="Q96" s="200">
        <f>ROUND(VLOOKUP(C96,APUS!F:Z,21,0),2)</f>
        <v>39236.06</v>
      </c>
      <c r="R96" s="200">
        <f>ROUND(VLOOKUP(C96,APUS!G:Z,20,0),2)</f>
        <v>472817.43</v>
      </c>
      <c r="S96" s="201">
        <f t="shared" ref="S96" si="78">SUM(O96:R96)</f>
        <v>1281643.1399999999</v>
      </c>
      <c r="T96" s="5"/>
      <c r="U96" s="12"/>
      <c r="V96" s="35" t="str">
        <f t="shared" ref="V96" si="79">CONCATENATE(C96," ","-"," ",D96)</f>
        <v>4.07 - Codo 90° Sanitario PVC Ø2"</v>
      </c>
    </row>
    <row r="97" spans="3:22" x14ac:dyDescent="0.25">
      <c r="C97" s="229">
        <f t="shared" si="75"/>
        <v>4.08</v>
      </c>
      <c r="D97" s="38" t="str">
        <f>+VLOOKUP(C97,'[7]CANTIDADES DE OBRA'!$B:$E,2,FALSE)</f>
        <v>Codo 45° Sanitario PVC Ø2"</v>
      </c>
      <c r="E97" s="39" t="str">
        <f>+VLOOKUP(C97,'[7]CANTIDADES DE OBRA'!$B:$E,3,FALSE)</f>
        <v>UND</v>
      </c>
      <c r="F97" s="39">
        <f>+VLOOKUP(C97,'[7]CANTIDADES DE OBRA'!$B:$E,4,FALSE)</f>
        <v>30</v>
      </c>
      <c r="G97" s="65">
        <f t="shared" si="67"/>
        <v>12215.98</v>
      </c>
      <c r="H97" s="43">
        <f t="shared" si="68"/>
        <v>366479</v>
      </c>
      <c r="I97" s="5"/>
      <c r="J97" s="5"/>
      <c r="K97" s="204">
        <f t="shared" ref="K97" si="80">ROUND(F97*M97,$Q$2)</f>
        <v>366479</v>
      </c>
      <c r="L97" s="204">
        <f t="shared" ref="L97" si="81">ROUND(F97*N97,$Q$2)</f>
        <v>384803</v>
      </c>
      <c r="M97" s="200">
        <f>ROUND(VLOOKUP(C97,APUS!H:V,14,0),2)</f>
        <v>12215.98</v>
      </c>
      <c r="N97" s="200">
        <f>ROUND(VLOOKUP(C97,APUS!I:V,13,0),2)</f>
        <v>12826.78</v>
      </c>
      <c r="O97" s="200">
        <f>ROUND(VLOOKUP(C97,APUS!D:Z,23,0),2)</f>
        <v>6276.35</v>
      </c>
      <c r="P97" s="200">
        <f>ROUND(VLOOKUP(C97,APUS!E:Z,22,0),2)</f>
        <v>224259.49</v>
      </c>
      <c r="Q97" s="200">
        <f>ROUND(VLOOKUP(C97,APUS!F:Z,21,0),2)</f>
        <v>10416.65</v>
      </c>
      <c r="R97" s="200">
        <f>ROUND(VLOOKUP(C97,APUS!G:Z,20,0),2)</f>
        <v>125526.75</v>
      </c>
      <c r="S97" s="201">
        <f t="shared" ref="S97" si="82">SUM(O97:R97)</f>
        <v>366479.24</v>
      </c>
      <c r="T97" s="5"/>
      <c r="U97" s="12"/>
      <c r="V97" s="35" t="str">
        <f t="shared" ref="V97:V117" si="83">CONCATENATE(C97," ","-"," ",D97)</f>
        <v>4.08 - Codo 45° Sanitario PVC Ø2"</v>
      </c>
    </row>
    <row r="98" spans="3:22" x14ac:dyDescent="0.25">
      <c r="C98" s="229">
        <f>+ROUNDUP(C97+0.01,2)</f>
        <v>4.09</v>
      </c>
      <c r="D98" s="38" t="str">
        <f>+VLOOKUP(C98,'[7]CANTIDADES DE OBRA'!$B:$E,2,FALSE)</f>
        <v>Yee Sanitaria PVC Ø4"</v>
      </c>
      <c r="E98" s="39" t="str">
        <f>+VLOOKUP(C98,'[7]CANTIDADES DE OBRA'!$B:$E,3,FALSE)</f>
        <v>UND</v>
      </c>
      <c r="F98" s="39">
        <f>+VLOOKUP(C98,'[7]CANTIDADES DE OBRA'!$B:$E,4,FALSE)</f>
        <v>15</v>
      </c>
      <c r="G98" s="65">
        <f t="shared" si="67"/>
        <v>43264.98</v>
      </c>
      <c r="H98" s="43">
        <f t="shared" si="68"/>
        <v>648975</v>
      </c>
      <c r="I98" s="5"/>
      <c r="J98" s="5"/>
      <c r="K98" s="204">
        <f>ROUND(F98*M98,$Q$2)</f>
        <v>648975</v>
      </c>
      <c r="L98" s="204">
        <f>ROUND(F98*N98,$Q$2)</f>
        <v>681423</v>
      </c>
      <c r="M98" s="200">
        <f>ROUND(VLOOKUP(C98,APUS!H:V,14,0),2)</f>
        <v>43264.98</v>
      </c>
      <c r="N98" s="200">
        <f>ROUND(VLOOKUP(C98,APUS!I:V,13,0),2)</f>
        <v>45428.23</v>
      </c>
      <c r="O98" s="200">
        <f>ROUND(VLOOKUP(C98,APUS!D:Z,23,0),2)</f>
        <v>3138.17</v>
      </c>
      <c r="P98" s="200">
        <f>ROUND(VLOOKUP(C98,APUS!E:Z,22,0),2)</f>
        <v>577864.75</v>
      </c>
      <c r="Q98" s="200">
        <f>ROUND(VLOOKUP(C98,APUS!F:Z,21,0),2)</f>
        <v>5208.33</v>
      </c>
      <c r="R98" s="200">
        <f>ROUND(VLOOKUP(C98,APUS!G:Z,20,0),2)</f>
        <v>62763.38</v>
      </c>
      <c r="S98" s="201">
        <f>SUM(O98:R98)</f>
        <v>648974.63</v>
      </c>
      <c r="T98" s="5"/>
      <c r="U98" s="12"/>
      <c r="V98" s="35" t="str">
        <f t="shared" si="83"/>
        <v>4.09 - Yee Sanitaria PVC Ø4"</v>
      </c>
    </row>
    <row r="99" spans="3:22" x14ac:dyDescent="0.25">
      <c r="C99" s="229">
        <f t="shared" ref="C99:C112" si="84">+ROUNDUP(C98+0.01,2)</f>
        <v>4.0999999999999996</v>
      </c>
      <c r="D99" s="38" t="str">
        <f>+VLOOKUP(C99,'[7]CANTIDADES DE OBRA'!$B:$E,2,FALSE)</f>
        <v>Yee Sanitaria PVC Ø2"</v>
      </c>
      <c r="E99" s="39" t="str">
        <f>+VLOOKUP(C99,'[7]CANTIDADES DE OBRA'!$B:$E,3,FALSE)</f>
        <v>UND</v>
      </c>
      <c r="F99" s="39">
        <f>+VLOOKUP(C99,'[7]CANTIDADES DE OBRA'!$B:$E,4,FALSE)</f>
        <v>24</v>
      </c>
      <c r="G99" s="65">
        <f t="shared" si="67"/>
        <v>17079.98</v>
      </c>
      <c r="H99" s="43">
        <f t="shared" si="68"/>
        <v>409920</v>
      </c>
      <c r="I99" s="5"/>
      <c r="J99" s="5"/>
      <c r="K99" s="204">
        <f t="shared" ref="K99:K104" si="85">ROUND(F99*M99,$Q$2)</f>
        <v>409920</v>
      </c>
      <c r="L99" s="204">
        <f t="shared" ref="L99:L104" si="86">ROUND(F99*N99,$Q$2)</f>
        <v>430416</v>
      </c>
      <c r="M99" s="200">
        <f>ROUND(VLOOKUP(C99,APUS!H:V,14,0),2)</f>
        <v>17079.98</v>
      </c>
      <c r="N99" s="200">
        <f>ROUND(VLOOKUP(C99,APUS!I:V,13,0),2)</f>
        <v>17933.98</v>
      </c>
      <c r="O99" s="200">
        <f>ROUND(VLOOKUP(C99,APUS!D:Z,23,0),2)</f>
        <v>5021.08</v>
      </c>
      <c r="P99" s="200">
        <f>ROUND(VLOOKUP(C99,APUS!E:Z,22,0),2)</f>
        <v>296143.59000000003</v>
      </c>
      <c r="Q99" s="200">
        <f>ROUND(VLOOKUP(C99,APUS!F:Z,21,0),2)</f>
        <v>8333.32</v>
      </c>
      <c r="R99" s="200">
        <f>ROUND(VLOOKUP(C99,APUS!G:Z,20,0),2)</f>
        <v>100421.4</v>
      </c>
      <c r="S99" s="201">
        <f t="shared" ref="S99:S104" si="87">SUM(O99:R99)</f>
        <v>409919.39</v>
      </c>
      <c r="T99" s="5"/>
      <c r="U99" s="12"/>
      <c r="V99" s="35" t="str">
        <f t="shared" si="83"/>
        <v>4.1 - Yee Sanitaria PVC Ø2"</v>
      </c>
    </row>
    <row r="100" spans="3:22" x14ac:dyDescent="0.25">
      <c r="C100" s="229">
        <f t="shared" si="84"/>
        <v>4.1100000000000003</v>
      </c>
      <c r="D100" s="38" t="str">
        <f>+VLOOKUP(C100,'[7]CANTIDADES DE OBRA'!$B:$E,2,FALSE)</f>
        <v>Yee Sanitaria reducida PVC Ø4" a Ø2"</v>
      </c>
      <c r="E100" s="39" t="str">
        <f>+VLOOKUP(C100,'[7]CANTIDADES DE OBRA'!$B:$E,3,FALSE)</f>
        <v>UND</v>
      </c>
      <c r="F100" s="39">
        <f>+VLOOKUP(C100,'[7]CANTIDADES DE OBRA'!$B:$E,4,FALSE)</f>
        <v>38</v>
      </c>
      <c r="G100" s="65">
        <f t="shared" si="67"/>
        <v>38116.980000000003</v>
      </c>
      <c r="H100" s="43">
        <f t="shared" si="68"/>
        <v>1448445</v>
      </c>
      <c r="I100" s="5"/>
      <c r="J100" s="5"/>
      <c r="K100" s="204">
        <f t="shared" si="85"/>
        <v>1448445</v>
      </c>
      <c r="L100" s="204">
        <f t="shared" si="86"/>
        <v>1520868</v>
      </c>
      <c r="M100" s="200">
        <f>ROUND(VLOOKUP(C100,APUS!H:V,14,0),2)</f>
        <v>38116.980000000003</v>
      </c>
      <c r="N100" s="200">
        <f>ROUND(VLOOKUP(C100,APUS!I:V,13,0),2)</f>
        <v>40022.83</v>
      </c>
      <c r="O100" s="200">
        <f>ROUND(VLOOKUP(C100,APUS!D:Z,23,0),2)</f>
        <v>7950.04</v>
      </c>
      <c r="P100" s="200">
        <f>ROUND(VLOOKUP(C100,APUS!E:Z,22,0),2)</f>
        <v>1268300.02</v>
      </c>
      <c r="Q100" s="200">
        <f>ROUND(VLOOKUP(C100,APUS!F:Z,21,0),2)</f>
        <v>13194.43</v>
      </c>
      <c r="R100" s="200">
        <f>ROUND(VLOOKUP(C100,APUS!G:Z,20,0),2)</f>
        <v>159000.54999999999</v>
      </c>
      <c r="S100" s="201">
        <f t="shared" si="87"/>
        <v>1448445.04</v>
      </c>
      <c r="T100" s="5"/>
      <c r="U100" s="12"/>
      <c r="V100" s="35" t="str">
        <f t="shared" si="83"/>
        <v>4.11 - Yee Sanitaria reducida PVC Ø4" a Ø2"</v>
      </c>
    </row>
    <row r="101" spans="3:22" x14ac:dyDescent="0.25">
      <c r="C101" s="229">
        <f t="shared" si="84"/>
        <v>4.12</v>
      </c>
      <c r="D101" s="38" t="str">
        <f>+VLOOKUP(C101,'[7]CANTIDADES DE OBRA'!$B:$E,2,FALSE)</f>
        <v>Sifon Sanitario Ø2"</v>
      </c>
      <c r="E101" s="39" t="str">
        <f>+VLOOKUP(C101,'[7]CANTIDADES DE OBRA'!$B:$E,3,FALSE)</f>
        <v>UND</v>
      </c>
      <c r="F101" s="39">
        <f>+VLOOKUP(C101,'[7]CANTIDADES DE OBRA'!$B:$E,4,FALSE)</f>
        <v>19</v>
      </c>
      <c r="G101" s="65">
        <f t="shared" si="67"/>
        <v>23955.45</v>
      </c>
      <c r="H101" s="43">
        <f t="shared" si="68"/>
        <v>455154</v>
      </c>
      <c r="I101" s="5"/>
      <c r="J101" s="5"/>
      <c r="K101" s="204">
        <f t="shared" si="85"/>
        <v>455154</v>
      </c>
      <c r="L101" s="204">
        <f t="shared" si="86"/>
        <v>477911</v>
      </c>
      <c r="M101" s="200">
        <f>ROUND(VLOOKUP(C101,APUS!H:V,14,0),2)</f>
        <v>23955.45</v>
      </c>
      <c r="N101" s="200">
        <f>ROUND(VLOOKUP(C101,APUS!I:V,13,0),2)</f>
        <v>25153.22</v>
      </c>
      <c r="O101" s="200">
        <f>ROUND(VLOOKUP(C101,APUS!D:Z,23,0),2)</f>
        <v>5300.02</v>
      </c>
      <c r="P101" s="200">
        <f>ROUND(VLOOKUP(C101,APUS!E:Z,22,0),2)</f>
        <v>337255.94</v>
      </c>
      <c r="Q101" s="200">
        <f>ROUND(VLOOKUP(C101,APUS!F:Z,21,0),2)</f>
        <v>6597.21</v>
      </c>
      <c r="R101" s="200">
        <f>ROUND(VLOOKUP(C101,APUS!G:Z,20,0),2)</f>
        <v>106000.37</v>
      </c>
      <c r="S101" s="201">
        <f t="shared" si="87"/>
        <v>455153.54000000004</v>
      </c>
      <c r="T101" s="5"/>
      <c r="U101" s="12"/>
      <c r="V101" s="35" t="str">
        <f t="shared" si="83"/>
        <v>4.12 - Sifon Sanitario Ø2"</v>
      </c>
    </row>
    <row r="102" spans="3:22" x14ac:dyDescent="0.25">
      <c r="C102" s="229">
        <f t="shared" si="84"/>
        <v>4.13</v>
      </c>
      <c r="D102" s="38" t="str">
        <f>+VLOOKUP(C102,'[7]CANTIDADES DE OBRA'!$B:$E,2,FALSE)</f>
        <v>Tapón PVC Ø4"</v>
      </c>
      <c r="E102" s="39" t="str">
        <f>+VLOOKUP(C102,'[7]CANTIDADES DE OBRA'!$B:$E,3,FALSE)</f>
        <v>UND</v>
      </c>
      <c r="F102" s="39">
        <f>+VLOOKUP(C102,'[7]CANTIDADES DE OBRA'!$B:$E,4,FALSE)</f>
        <v>9</v>
      </c>
      <c r="G102" s="65">
        <f t="shared" si="67"/>
        <v>11043.98</v>
      </c>
      <c r="H102" s="43">
        <f t="shared" si="68"/>
        <v>99396</v>
      </c>
      <c r="I102" s="5"/>
      <c r="J102" s="5"/>
      <c r="K102" s="204">
        <f t="shared" si="85"/>
        <v>99396</v>
      </c>
      <c r="L102" s="204">
        <f t="shared" si="86"/>
        <v>104366</v>
      </c>
      <c r="M102" s="200">
        <f>ROUND(VLOOKUP(C102,APUS!H:V,14,0),2)</f>
        <v>11043.98</v>
      </c>
      <c r="N102" s="200">
        <f>ROUND(VLOOKUP(C102,APUS!I:V,13,0),2)</f>
        <v>11596.18</v>
      </c>
      <c r="O102" s="200">
        <f>ROUND(VLOOKUP(C102,APUS!D:Z,23,0),2)</f>
        <v>1882.9</v>
      </c>
      <c r="P102" s="200">
        <f>ROUND(VLOOKUP(C102,APUS!E:Z,22,0),2)</f>
        <v>56729.85</v>
      </c>
      <c r="Q102" s="200">
        <f>ROUND(VLOOKUP(C102,APUS!F:Z,21,0),2)</f>
        <v>3125</v>
      </c>
      <c r="R102" s="200">
        <f>ROUND(VLOOKUP(C102,APUS!G:Z,20,0),2)</f>
        <v>37658.03</v>
      </c>
      <c r="S102" s="201">
        <f t="shared" si="87"/>
        <v>99395.78</v>
      </c>
      <c r="T102" s="5"/>
      <c r="U102" s="12"/>
      <c r="V102" s="35" t="str">
        <f t="shared" si="83"/>
        <v>4.13 - Tapón PVC Ø4"</v>
      </c>
    </row>
    <row r="103" spans="3:22" x14ac:dyDescent="0.25">
      <c r="C103" s="229">
        <f t="shared" si="84"/>
        <v>4.1399999999999997</v>
      </c>
      <c r="D103" s="38" t="str">
        <f>+VLOOKUP(C103,'[7]CANTIDADES DE OBRA'!$B:$E,2,FALSE)</f>
        <v>Tapón PVC Ø2"</v>
      </c>
      <c r="E103" s="39" t="str">
        <f>+VLOOKUP(C103,'[7]CANTIDADES DE OBRA'!$B:$E,3,FALSE)</f>
        <v>UND</v>
      </c>
      <c r="F103" s="39">
        <f>+VLOOKUP(C103,'[7]CANTIDADES DE OBRA'!$B:$E,4,FALSE)</f>
        <v>2</v>
      </c>
      <c r="G103" s="65">
        <f t="shared" si="67"/>
        <v>8548.98</v>
      </c>
      <c r="H103" s="43">
        <f t="shared" si="68"/>
        <v>17098</v>
      </c>
      <c r="I103" s="5"/>
      <c r="J103" s="5"/>
      <c r="K103" s="204">
        <f t="shared" si="85"/>
        <v>17098</v>
      </c>
      <c r="L103" s="204">
        <f t="shared" si="86"/>
        <v>17953</v>
      </c>
      <c r="M103" s="200">
        <f>ROUND(VLOOKUP(C103,APUS!H:V,14,0),2)</f>
        <v>8548.98</v>
      </c>
      <c r="N103" s="200">
        <f>ROUND(VLOOKUP(C103,APUS!I:V,13,0),2)</f>
        <v>8976.43</v>
      </c>
      <c r="O103" s="200">
        <f>ROUND(VLOOKUP(C103,APUS!D:Z,23,0),2)</f>
        <v>418.42</v>
      </c>
      <c r="P103" s="200">
        <f>ROUND(VLOOKUP(C103,APUS!E:Z,22,0),2)</f>
        <v>7616.63</v>
      </c>
      <c r="Q103" s="200">
        <f>ROUND(VLOOKUP(C103,APUS!F:Z,21,0),2)</f>
        <v>694.44</v>
      </c>
      <c r="R103" s="200">
        <f>ROUND(VLOOKUP(C103,APUS!G:Z,20,0),2)</f>
        <v>8368.4500000000007</v>
      </c>
      <c r="S103" s="201">
        <f t="shared" si="87"/>
        <v>17097.940000000002</v>
      </c>
      <c r="T103" s="5"/>
      <c r="U103" s="12"/>
      <c r="V103" s="35" t="str">
        <f t="shared" si="83"/>
        <v>4.14 - Tapón PVC Ø2"</v>
      </c>
    </row>
    <row r="104" spans="3:22" x14ac:dyDescent="0.25">
      <c r="C104" s="229">
        <f t="shared" si="84"/>
        <v>4.1500000000000004</v>
      </c>
      <c r="D104" s="38" t="str">
        <f>+VLOOKUP(C104,'[7]CANTIDADES DE OBRA'!$B:$E,2,FALSE)</f>
        <v>Yee Ventilacion PVC Ø2"</v>
      </c>
      <c r="E104" s="39" t="str">
        <f>+VLOOKUP(C104,'[7]CANTIDADES DE OBRA'!$B:$E,3,FALSE)</f>
        <v>UND</v>
      </c>
      <c r="F104" s="39">
        <f>+VLOOKUP(C104,'[7]CANTIDADES DE OBRA'!$B:$E,4,FALSE)</f>
        <v>12</v>
      </c>
      <c r="G104" s="65">
        <f t="shared" si="67"/>
        <v>17079.98</v>
      </c>
      <c r="H104" s="43">
        <f t="shared" si="68"/>
        <v>204960</v>
      </c>
      <c r="I104" s="5"/>
      <c r="J104" s="5"/>
      <c r="K104" s="204">
        <f t="shared" si="85"/>
        <v>204960</v>
      </c>
      <c r="L104" s="204">
        <f t="shared" si="86"/>
        <v>215208</v>
      </c>
      <c r="M104" s="200">
        <f>ROUND(VLOOKUP(C104,APUS!H:V,14,0),2)</f>
        <v>17079.98</v>
      </c>
      <c r="N104" s="200">
        <f>ROUND(VLOOKUP(C104,APUS!I:V,13,0),2)</f>
        <v>17933.98</v>
      </c>
      <c r="O104" s="200">
        <f>ROUND(VLOOKUP(C104,APUS!D:Z,23,0),2)</f>
        <v>2510.54</v>
      </c>
      <c r="P104" s="200">
        <f>ROUND(VLOOKUP(C104,APUS!E:Z,22,0),2)</f>
        <v>148071.79999999999</v>
      </c>
      <c r="Q104" s="200">
        <f>ROUND(VLOOKUP(C104,APUS!F:Z,21,0),2)</f>
        <v>4166.66</v>
      </c>
      <c r="R104" s="200">
        <f>ROUND(VLOOKUP(C104,APUS!G:Z,20,0),2)</f>
        <v>50210.7</v>
      </c>
      <c r="S104" s="201">
        <f t="shared" si="87"/>
        <v>204959.7</v>
      </c>
      <c r="T104" s="5"/>
      <c r="U104" s="12"/>
      <c r="V104" s="35" t="str">
        <f t="shared" ref="V104:V109" si="88">CONCATENATE(C104," ","-"," ",D104)</f>
        <v>4.15 - Yee Ventilacion PVC Ø2"</v>
      </c>
    </row>
    <row r="105" spans="3:22" x14ac:dyDescent="0.25">
      <c r="C105" s="229">
        <f>+ROUNDUP(C104+0.01,2)</f>
        <v>4.16</v>
      </c>
      <c r="D105" s="38" t="str">
        <f>+VLOOKUP(C105,'[7]CANTIDADES DE OBRA'!$B:$E,2,FALSE)</f>
        <v>Tee Ventilacion PVC Ø2"</v>
      </c>
      <c r="E105" s="39" t="str">
        <f>+VLOOKUP(C105,'[7]CANTIDADES DE OBRA'!$B:$E,3,FALSE)</f>
        <v>UND</v>
      </c>
      <c r="F105" s="39">
        <f>+VLOOKUP(C105,'[7]CANTIDADES DE OBRA'!$B:$E,4,FALSE)</f>
        <v>11</v>
      </c>
      <c r="G105" s="65">
        <f t="shared" si="67"/>
        <v>15952.98</v>
      </c>
      <c r="H105" s="43">
        <f t="shared" si="68"/>
        <v>175483</v>
      </c>
      <c r="I105" s="5"/>
      <c r="J105" s="5"/>
      <c r="K105" s="204">
        <f>ROUND(F105*M105,$Q$2)</f>
        <v>175483</v>
      </c>
      <c r="L105" s="204">
        <f>ROUND(F105*N105,$Q$2)</f>
        <v>184257</v>
      </c>
      <c r="M105" s="200">
        <f>ROUND(VLOOKUP(C105,APUS!H:V,14,0),2)</f>
        <v>15952.98</v>
      </c>
      <c r="N105" s="200">
        <f>ROUND(VLOOKUP(C105,APUS!I:V,13,0),2)</f>
        <v>16750.63</v>
      </c>
      <c r="O105" s="200">
        <f>ROUND(VLOOKUP(C105,APUS!D:Z,23,0),2)</f>
        <v>2301.33</v>
      </c>
      <c r="P105" s="200">
        <f>ROUND(VLOOKUP(C105,APUS!E:Z,22,0),2)</f>
        <v>123335.48</v>
      </c>
      <c r="Q105" s="200">
        <f>ROUND(VLOOKUP(C105,APUS!F:Z,21,0),2)</f>
        <v>3819.44</v>
      </c>
      <c r="R105" s="200">
        <f>ROUND(VLOOKUP(C105,APUS!G:Z,20,0),2)</f>
        <v>46026.48</v>
      </c>
      <c r="S105" s="201">
        <f>SUM(O105:R105)</f>
        <v>175482.73</v>
      </c>
      <c r="T105" s="5"/>
      <c r="U105" s="12"/>
      <c r="V105" s="35" t="str">
        <f t="shared" si="88"/>
        <v>4.16 - Tee Ventilacion PVC Ø2"</v>
      </c>
    </row>
    <row r="106" spans="3:22" x14ac:dyDescent="0.25">
      <c r="C106" s="229">
        <f t="shared" si="84"/>
        <v>4.17</v>
      </c>
      <c r="D106" s="38" t="str">
        <f>+VLOOKUP(C106,'[7]CANTIDADES DE OBRA'!$B:$E,2,FALSE)</f>
        <v>Codo 90° Ventilacion PVC Ø2"</v>
      </c>
      <c r="E106" s="39" t="str">
        <f>+VLOOKUP(C106,'[7]CANTIDADES DE OBRA'!$B:$E,3,FALSE)</f>
        <v>UND</v>
      </c>
      <c r="F106" s="39">
        <f>+VLOOKUP(C106,'[7]CANTIDADES DE OBRA'!$B:$E,4,FALSE)</f>
        <v>13</v>
      </c>
      <c r="G106" s="65">
        <f t="shared" si="67"/>
        <v>11341.98</v>
      </c>
      <c r="H106" s="43">
        <f t="shared" si="68"/>
        <v>147446</v>
      </c>
      <c r="I106" s="5"/>
      <c r="J106" s="5"/>
      <c r="K106" s="204">
        <f t="shared" ref="K106:K109" si="89">ROUND(F106*M106,$Q$2)</f>
        <v>147446</v>
      </c>
      <c r="L106" s="204">
        <f t="shared" ref="L106:L109" si="90">ROUND(F106*N106,$Q$2)</f>
        <v>154818</v>
      </c>
      <c r="M106" s="200">
        <f>ROUND(VLOOKUP(C106,APUS!H:V,14,0),2)</f>
        <v>11341.98</v>
      </c>
      <c r="N106" s="200">
        <f>ROUND(VLOOKUP(C106,APUS!I:V,13,0),2)</f>
        <v>11909.08</v>
      </c>
      <c r="O106" s="200">
        <f>ROUND(VLOOKUP(C106,APUS!D:Z,23,0),2)</f>
        <v>2719.75</v>
      </c>
      <c r="P106" s="200">
        <f>ROUND(VLOOKUP(C106,APUS!E:Z,22,0),2)</f>
        <v>85817.11</v>
      </c>
      <c r="Q106" s="200">
        <f>ROUND(VLOOKUP(C106,APUS!F:Z,21,0),2)</f>
        <v>4513.88</v>
      </c>
      <c r="R106" s="200">
        <f>ROUND(VLOOKUP(C106,APUS!G:Z,20,0),2)</f>
        <v>54394.93</v>
      </c>
      <c r="S106" s="201">
        <f t="shared" ref="S106:S109" si="91">SUM(O106:R106)</f>
        <v>147445.67000000001</v>
      </c>
      <c r="T106" s="5"/>
      <c r="U106" s="12"/>
      <c r="V106" s="35" t="str">
        <f t="shared" si="88"/>
        <v>4.17 - Codo 90° Ventilacion PVC Ø2"</v>
      </c>
    </row>
    <row r="107" spans="3:22" x14ac:dyDescent="0.25">
      <c r="C107" s="229">
        <f t="shared" si="84"/>
        <v>4.18</v>
      </c>
      <c r="D107" s="38" t="str">
        <f>+VLOOKUP(C107,'[7]CANTIDADES DE OBRA'!$B:$E,2,FALSE)</f>
        <v>Codo 45° Ventilacion PVC Ø2"</v>
      </c>
      <c r="E107" s="39" t="str">
        <f>+VLOOKUP(C107,'[7]CANTIDADES DE OBRA'!$B:$E,3,FALSE)</f>
        <v>UND</v>
      </c>
      <c r="F107" s="39">
        <f>+VLOOKUP(C107,'[7]CANTIDADES DE OBRA'!$B:$E,4,FALSE)</f>
        <v>13</v>
      </c>
      <c r="G107" s="65">
        <f t="shared" si="67"/>
        <v>12215.98</v>
      </c>
      <c r="H107" s="43">
        <f t="shared" si="68"/>
        <v>158808</v>
      </c>
      <c r="I107" s="5"/>
      <c r="J107" s="5"/>
      <c r="K107" s="204">
        <f t="shared" si="89"/>
        <v>158808</v>
      </c>
      <c r="L107" s="204">
        <f t="shared" si="90"/>
        <v>166748</v>
      </c>
      <c r="M107" s="200">
        <f>ROUND(VLOOKUP(C107,APUS!H:V,14,0),2)</f>
        <v>12215.98</v>
      </c>
      <c r="N107" s="200">
        <f>ROUND(VLOOKUP(C107,APUS!I:V,13,0),2)</f>
        <v>12826.78</v>
      </c>
      <c r="O107" s="200">
        <f>ROUND(VLOOKUP(C107,APUS!D:Z,23,0),2)</f>
        <v>2719.75</v>
      </c>
      <c r="P107" s="200">
        <f>ROUND(VLOOKUP(C107,APUS!E:Z,22,0),2)</f>
        <v>97179.11</v>
      </c>
      <c r="Q107" s="200">
        <f>ROUND(VLOOKUP(C107,APUS!F:Z,21,0),2)</f>
        <v>4513.88</v>
      </c>
      <c r="R107" s="200">
        <f>ROUND(VLOOKUP(C107,APUS!G:Z,20,0),2)</f>
        <v>54394.93</v>
      </c>
      <c r="S107" s="201">
        <f t="shared" si="91"/>
        <v>158807.67000000001</v>
      </c>
      <c r="T107" s="5"/>
      <c r="U107" s="12"/>
      <c r="V107" s="35" t="str">
        <f t="shared" si="88"/>
        <v>4.18 - Codo 45° Ventilacion PVC Ø2"</v>
      </c>
    </row>
    <row r="108" spans="3:22" x14ac:dyDescent="0.25">
      <c r="C108" s="229">
        <f t="shared" si="84"/>
        <v>4.1900000000000004</v>
      </c>
      <c r="D108" s="38" t="str">
        <f>+VLOOKUP(C108,'[7]CANTIDADES DE OBRA'!$B:$E,2,FALSE)</f>
        <v>Fluxometros para aparatos sanitarios</v>
      </c>
      <c r="E108" s="39" t="str">
        <f>+VLOOKUP(C108,'[7]CANTIDADES DE OBRA'!$B:$E,3,FALSE)</f>
        <v>UND</v>
      </c>
      <c r="F108" s="39">
        <f>+VLOOKUP(C108,'[7]CANTIDADES DE OBRA'!$B:$E,4,FALSE)</f>
        <v>31</v>
      </c>
      <c r="G108" s="65">
        <f t="shared" si="67"/>
        <v>1182063.05</v>
      </c>
      <c r="H108" s="43">
        <f t="shared" si="68"/>
        <v>36643955</v>
      </c>
      <c r="I108" s="5"/>
      <c r="J108" s="5"/>
      <c r="K108" s="204">
        <f t="shared" si="89"/>
        <v>36643955</v>
      </c>
      <c r="L108" s="204">
        <f t="shared" si="90"/>
        <v>38476152</v>
      </c>
      <c r="M108" s="200">
        <f>ROUND(VLOOKUP(C108,APUS!H:V,14,0),2)</f>
        <v>1182063.05</v>
      </c>
      <c r="N108" s="200">
        <f>ROUND(VLOOKUP(C108,APUS!I:V,13,0),2)</f>
        <v>1241166.2</v>
      </c>
      <c r="O108" s="200">
        <f>ROUND(VLOOKUP(C108,APUS!D:Z,23,0),2)</f>
        <v>17294.79</v>
      </c>
      <c r="P108" s="200">
        <f>ROUND(VLOOKUP(C108,APUS!E:Z,22,0),2)</f>
        <v>36270000</v>
      </c>
      <c r="Q108" s="200">
        <f>ROUND(VLOOKUP(C108,APUS!F:Z,21,0),2)</f>
        <v>10763.87</v>
      </c>
      <c r="R108" s="200">
        <f>ROUND(VLOOKUP(C108,APUS!G:Z,20,0),2)</f>
        <v>345895.93</v>
      </c>
      <c r="S108" s="201">
        <f t="shared" si="91"/>
        <v>36643954.589999996</v>
      </c>
      <c r="T108" s="5"/>
      <c r="U108" s="12"/>
      <c r="V108" s="35" t="str">
        <f t="shared" si="88"/>
        <v>4.19 - Fluxometros para aparatos sanitarios</v>
      </c>
    </row>
    <row r="109" spans="3:22" ht="30" x14ac:dyDescent="0.25">
      <c r="C109" s="229">
        <f t="shared" si="84"/>
        <v>4.2</v>
      </c>
      <c r="D109" s="38" t="str">
        <f>+VLOOKUP(C109,'[7]CANTIDADES DE OBRA'!$B:$E,2,FALSE)</f>
        <v>suministro e instalacion de equipos de bombeo para agua residual 3HP (incluye accesorios)</v>
      </c>
      <c r="E109" s="39" t="str">
        <f>+VLOOKUP(C109,'[7]CANTIDADES DE OBRA'!$B:$E,3,FALSE)</f>
        <v>UND</v>
      </c>
      <c r="F109" s="39">
        <f>+VLOOKUP(C109,'[7]CANTIDADES DE OBRA'!$B:$E,4,FALSE)</f>
        <v>1</v>
      </c>
      <c r="G109" s="65">
        <f t="shared" si="67"/>
        <v>20769749.02</v>
      </c>
      <c r="H109" s="43">
        <f t="shared" si="68"/>
        <v>20769749</v>
      </c>
      <c r="I109" s="5"/>
      <c r="J109" s="5"/>
      <c r="K109" s="204">
        <f t="shared" si="89"/>
        <v>20769749</v>
      </c>
      <c r="L109" s="204">
        <f t="shared" si="90"/>
        <v>21808236</v>
      </c>
      <c r="M109" s="200">
        <f>ROUND(VLOOKUP(C109,APUS!H:V,14,0),2)</f>
        <v>20769749.02</v>
      </c>
      <c r="N109" s="200">
        <f>ROUND(VLOOKUP(C109,APUS!I:V,13,0),2)</f>
        <v>21808236.469999999</v>
      </c>
      <c r="O109" s="200">
        <f>ROUND(VLOOKUP(C109,APUS!D:Z,23,0),2)</f>
        <v>29187.8</v>
      </c>
      <c r="P109" s="200">
        <f>ROUND(VLOOKUP(C109,APUS!E:Z,22,0),2)</f>
        <v>20156458</v>
      </c>
      <c r="Q109" s="200">
        <f>ROUND(VLOOKUP(C109,APUS!F:Z,21,0),2)</f>
        <v>347.22</v>
      </c>
      <c r="R109" s="200">
        <f>ROUND(VLOOKUP(C109,APUS!G:Z,20,0),2)</f>
        <v>583756</v>
      </c>
      <c r="S109" s="201">
        <f t="shared" si="91"/>
        <v>20769749.02</v>
      </c>
      <c r="T109" s="5"/>
      <c r="U109" s="12"/>
      <c r="V109" s="35" t="str">
        <f t="shared" si="88"/>
        <v>4.2 - suministro e instalacion de equipos de bombeo para agua residual 3HP (incluye accesorios)</v>
      </c>
    </row>
    <row r="110" spans="3:22" x14ac:dyDescent="0.25">
      <c r="C110" s="229">
        <f t="shared" si="84"/>
        <v>4.21</v>
      </c>
      <c r="D110" s="38" t="str">
        <f>+VLOOKUP(C110,'[7]CANTIDADES DE OBRA'!$B:$E,2,FALSE)</f>
        <v>Fijacion de tuberias horizontales</v>
      </c>
      <c r="E110" s="39" t="str">
        <f>+VLOOKUP(C110,'[7]CANTIDADES DE OBRA'!$B:$E,3,FALSE)</f>
        <v>UND</v>
      </c>
      <c r="F110" s="39">
        <f>+VLOOKUP(C110,'[7]CANTIDADES DE OBRA'!$B:$E,4,FALSE)</f>
        <v>130</v>
      </c>
      <c r="G110" s="65">
        <f t="shared" si="67"/>
        <v>34167.730000000003</v>
      </c>
      <c r="H110" s="43">
        <f t="shared" si="68"/>
        <v>4441805</v>
      </c>
      <c r="I110" s="5"/>
      <c r="J110" s="5"/>
      <c r="K110" s="204">
        <f t="shared" ref="K110:K111" si="92">ROUND(F110*M110,$Q$2)</f>
        <v>4441805</v>
      </c>
      <c r="L110" s="204">
        <f t="shared" ref="L110:L111" si="93">ROUND(F110*N110,$Q$2)</f>
        <v>4663896</v>
      </c>
      <c r="M110" s="200">
        <f>ROUND(VLOOKUP(C110,APUS!H:V,14,0),2)</f>
        <v>34167.730000000003</v>
      </c>
      <c r="N110" s="200">
        <f>ROUND(VLOOKUP(C110,APUS!I:V,13,0),2)</f>
        <v>35876.120000000003</v>
      </c>
      <c r="O110" s="200">
        <f>ROUND(VLOOKUP(C110,APUS!D:Z,23,0),2)</f>
        <v>72216.039999999994</v>
      </c>
      <c r="P110" s="200">
        <f>ROUND(VLOOKUP(C110,APUS!E:Z,22,0),2)</f>
        <v>2880128.55</v>
      </c>
      <c r="Q110" s="200">
        <f>ROUND(VLOOKUP(C110,APUS!F:Z,21,0),2)</f>
        <v>45138.83</v>
      </c>
      <c r="R110" s="200">
        <f>ROUND(VLOOKUP(C110,APUS!G:Z,20,0),2)</f>
        <v>1444320.8</v>
      </c>
      <c r="S110" s="201">
        <f t="shared" ref="S110:S111" si="94">SUM(O110:R110)</f>
        <v>4441804.22</v>
      </c>
      <c r="T110" s="5"/>
      <c r="U110" s="12"/>
      <c r="V110" s="35" t="str">
        <f t="shared" ref="V110:V111" si="95">CONCATENATE(C110," ","-"," ",D110)</f>
        <v>4.21 - Fijacion de tuberias horizontales</v>
      </c>
    </row>
    <row r="111" spans="3:22" x14ac:dyDescent="0.25">
      <c r="C111" s="229">
        <f t="shared" si="84"/>
        <v>4.22</v>
      </c>
      <c r="D111" s="38" t="str">
        <f>+VLOOKUP(C111,'[7]CANTIDADES DE OBRA'!$B:$E,2,FALSE)</f>
        <v>Fijacion de tuberias verticales</v>
      </c>
      <c r="E111" s="39" t="str">
        <f>+VLOOKUP(C111,'[7]CANTIDADES DE OBRA'!$B:$E,3,FALSE)</f>
        <v>UND</v>
      </c>
      <c r="F111" s="39">
        <f>+VLOOKUP(C111,'[7]CANTIDADES DE OBRA'!$B:$E,4,FALSE)</f>
        <v>18</v>
      </c>
      <c r="G111" s="65">
        <f t="shared" si="67"/>
        <v>110047.85</v>
      </c>
      <c r="H111" s="43">
        <f t="shared" si="68"/>
        <v>1980861</v>
      </c>
      <c r="I111" s="5"/>
      <c r="J111" s="5"/>
      <c r="K111" s="204">
        <f t="shared" si="92"/>
        <v>1980861</v>
      </c>
      <c r="L111" s="204">
        <f t="shared" si="93"/>
        <v>2079904</v>
      </c>
      <c r="M111" s="200">
        <f>ROUND(VLOOKUP(C111,APUS!H:V,14,0),2)</f>
        <v>110047.85</v>
      </c>
      <c r="N111" s="200">
        <f>ROUND(VLOOKUP(C111,APUS!I:V,13,0),2)</f>
        <v>115550.24</v>
      </c>
      <c r="O111" s="200">
        <f>ROUND(VLOOKUP(C111,APUS!D:Z,23,0),2)</f>
        <v>13134.51</v>
      </c>
      <c r="P111" s="200">
        <f>ROUND(VLOOKUP(C111,APUS!E:Z,22,0),2)</f>
        <v>1705036.5</v>
      </c>
      <c r="Q111" s="200">
        <f>ROUND(VLOOKUP(C111,APUS!F:Z,21,0),2)</f>
        <v>0</v>
      </c>
      <c r="R111" s="200">
        <f>ROUND(VLOOKUP(C111,APUS!G:Z,20,0),2)</f>
        <v>262690.2</v>
      </c>
      <c r="S111" s="201">
        <f t="shared" si="94"/>
        <v>1980861.21</v>
      </c>
      <c r="T111" s="5"/>
      <c r="U111" s="12"/>
      <c r="V111" s="35" t="str">
        <f t="shared" si="95"/>
        <v>4.22 - Fijacion de tuberias verticales</v>
      </c>
    </row>
    <row r="112" spans="3:22" x14ac:dyDescent="0.25">
      <c r="C112" s="229">
        <f t="shared" si="84"/>
        <v>4.2300000000000004</v>
      </c>
      <c r="D112" s="38" t="str">
        <f>+VLOOKUP(C112,'[7]CANTIDADES DE OBRA'!$B:$E,2,FALSE)</f>
        <v>Cajas de inspeccion de aguas residuales</v>
      </c>
      <c r="E112" s="39" t="str">
        <f>+VLOOKUP(C112,'[7]CANTIDADES DE OBRA'!$B:$E,3,FALSE)</f>
        <v>UND</v>
      </c>
      <c r="F112" s="39">
        <f>+VLOOKUP(C112,'[7]CANTIDADES DE OBRA'!$B:$E,4,FALSE)</f>
        <v>2</v>
      </c>
      <c r="G112" s="65">
        <f t="shared" si="67"/>
        <v>159217.93</v>
      </c>
      <c r="H112" s="43">
        <f t="shared" si="68"/>
        <v>318436</v>
      </c>
      <c r="I112" s="5"/>
      <c r="J112" s="5"/>
      <c r="K112" s="204">
        <f t="shared" ref="K112" si="96">ROUND(F112*M112,$Q$2)</f>
        <v>318436</v>
      </c>
      <c r="L112" s="204">
        <f t="shared" ref="L112" si="97">ROUND(F112*N112,$Q$2)</f>
        <v>334358</v>
      </c>
      <c r="M112" s="200">
        <f>ROUND(VLOOKUP(C112,APUS!H:V,14,0),2)</f>
        <v>159217.93</v>
      </c>
      <c r="N112" s="200">
        <f>ROUND(VLOOKUP(C112,APUS!I:V,13,0),2)</f>
        <v>167178.82999999999</v>
      </c>
      <c r="O112" s="200">
        <f>ROUND(VLOOKUP(C112,APUS!D:Z,23,0),2)</f>
        <v>3344.09</v>
      </c>
      <c r="P112" s="200">
        <f>ROUND(VLOOKUP(C112,APUS!E:Z,22,0),2)</f>
        <v>248210.03</v>
      </c>
      <c r="Q112" s="200">
        <f>ROUND(VLOOKUP(C112,APUS!F:Z,21,0),2)</f>
        <v>0</v>
      </c>
      <c r="R112" s="200">
        <f>ROUND(VLOOKUP(C112,APUS!G:Z,20,0),2)</f>
        <v>66881.75</v>
      </c>
      <c r="S112" s="201">
        <f t="shared" ref="S112" si="98">SUM(O112:R112)</f>
        <v>318435.87</v>
      </c>
      <c r="T112" s="5"/>
      <c r="U112" s="12"/>
      <c r="V112" s="35" t="str">
        <f t="shared" ref="V112" si="99">CONCATENATE(C112," ","-"," ",D112)</f>
        <v>4.23 - Cajas de inspeccion de aguas residuales</v>
      </c>
    </row>
    <row r="113" spans="2:22" x14ac:dyDescent="0.25">
      <c r="C113" s="229"/>
      <c r="D113" s="339"/>
      <c r="E113" s="340"/>
      <c r="F113" s="340"/>
      <c r="G113" s="341"/>
      <c r="H113" s="342"/>
      <c r="I113" s="5"/>
      <c r="J113" s="5"/>
      <c r="K113" s="204"/>
      <c r="L113" s="204"/>
      <c r="M113" s="200"/>
      <c r="N113" s="200"/>
      <c r="O113" s="200"/>
      <c r="P113" s="200"/>
      <c r="Q113" s="200"/>
      <c r="R113" s="200"/>
      <c r="S113" s="201"/>
      <c r="T113" s="5"/>
      <c r="U113" s="12"/>
    </row>
    <row r="114" spans="2:22" x14ac:dyDescent="0.25">
      <c r="B114" s="235">
        <f>+ROUNDUP(C109,0)</f>
        <v>5</v>
      </c>
      <c r="C114" s="40" t="str">
        <f>+CONCATENATE("CAP.",B114)</f>
        <v>CAP.5</v>
      </c>
      <c r="D114" s="231" t="str">
        <f>+VLOOKUP(B114,'[7]CANTIDADES DE OBRA'!$B:$E,2,FALSE)</f>
        <v>RED PLUVIAL</v>
      </c>
      <c r="E114" s="230"/>
      <c r="F114" s="230"/>
      <c r="G114" s="230"/>
      <c r="H114" s="232">
        <f>+SUM(H115:H125)</f>
        <v>20503071</v>
      </c>
      <c r="I114" s="5"/>
      <c r="J114" s="5"/>
      <c r="K114" s="234">
        <f>+SUM(K115:K125)</f>
        <v>20503071</v>
      </c>
      <c r="L114" s="234">
        <f>+SUM(L115:L125)</f>
        <v>21528224</v>
      </c>
      <c r="M114" s="234"/>
      <c r="N114" s="234"/>
      <c r="O114" s="234">
        <f>+SUM(O115:O125)</f>
        <v>154728.41999999998</v>
      </c>
      <c r="P114" s="234">
        <f>+SUM(P115:P125)</f>
        <v>17131683.719999999</v>
      </c>
      <c r="Q114" s="234">
        <f>+SUM(Q115:Q125)</f>
        <v>122090.10000000002</v>
      </c>
      <c r="R114" s="234">
        <f>+SUM(R115:R125)</f>
        <v>3094568.18</v>
      </c>
      <c r="S114" s="234">
        <f>+SUM(S115:S125)</f>
        <v>20503070.419999998</v>
      </c>
      <c r="T114" s="5"/>
      <c r="U114" s="12"/>
      <c r="V114" s="35" t="str">
        <f t="shared" si="83"/>
        <v>CAP.5 - RED PLUVIAL</v>
      </c>
    </row>
    <row r="115" spans="2:22" x14ac:dyDescent="0.25">
      <c r="C115" s="229">
        <f>+B114+0.01</f>
        <v>5.01</v>
      </c>
      <c r="D115" s="38" t="str">
        <f>+VLOOKUP(C115,'[7]CANTIDADES DE OBRA'!$B:$E,2,FALSE)</f>
        <v>Tubería PVC Ø4"</v>
      </c>
      <c r="E115" s="39" t="str">
        <f>+VLOOKUP(C115,'[7]CANTIDADES DE OBRA'!$B:$E,3,FALSE)</f>
        <v>ML</v>
      </c>
      <c r="F115" s="39">
        <f>+VLOOKUP(C115,'[7]CANTIDADES DE OBRA'!$B:$E,4,FALSE)</f>
        <v>83.36</v>
      </c>
      <c r="G115" s="65">
        <f t="shared" ref="G115:G124" si="100">+IFERROR(IF($Q$1="UNITARIOS",VLOOKUP(C115,C:Y,11,FALSE),VLOOKUP(C115,C:Y,12,FALSE)),0)</f>
        <v>46941.57</v>
      </c>
      <c r="H115" s="43">
        <f>+ROUND(F115*G115,$Q$2)</f>
        <v>3913049</v>
      </c>
      <c r="I115" s="5"/>
      <c r="J115" s="5"/>
      <c r="K115" s="204">
        <f>ROUND(F115*M115,$Q$2)</f>
        <v>3913049</v>
      </c>
      <c r="L115" s="204">
        <f>ROUND(F115*N115,$Q$2)</f>
        <v>4108702</v>
      </c>
      <c r="M115" s="200">
        <f>ROUND(VLOOKUP(C115,APUS!H:V,14,0),2)</f>
        <v>46941.57</v>
      </c>
      <c r="N115" s="200">
        <f>ROUND(VLOOKUP(C115,APUS!I:V,13,0),2)</f>
        <v>49288.65</v>
      </c>
      <c r="O115" s="200">
        <f>ROUND(VLOOKUP(C115,APUS!D:Z,23,0),2)</f>
        <v>34879.699999999997</v>
      </c>
      <c r="P115" s="200">
        <f>ROUND(VLOOKUP(C115,APUS!E:Z,22,0),2)</f>
        <v>3151631.23</v>
      </c>
      <c r="Q115" s="200">
        <f>ROUND(VLOOKUP(C115,APUS!F:Z,21,0),2)</f>
        <v>28944.400000000001</v>
      </c>
      <c r="R115" s="200">
        <f>ROUND(VLOOKUP(C115,APUS!G:Z,20,0),2)</f>
        <v>697593.99</v>
      </c>
      <c r="S115" s="201">
        <f>SUM(O115:R115)</f>
        <v>3913049.3200000003</v>
      </c>
      <c r="T115" s="5"/>
      <c r="U115" s="12"/>
      <c r="V115" s="35" t="str">
        <f t="shared" si="83"/>
        <v>5.01 - Tubería PVC Ø4"</v>
      </c>
    </row>
    <row r="116" spans="2:22" x14ac:dyDescent="0.25">
      <c r="C116" s="229">
        <f>+ROUNDUP(C115+0.01,2)</f>
        <v>5.0199999999999996</v>
      </c>
      <c r="D116" s="38" t="str">
        <f>+VLOOKUP(C116,'[7]CANTIDADES DE OBRA'!$B:$E,2,FALSE)</f>
        <v>Tubería PVC Ø6"</v>
      </c>
      <c r="E116" s="39" t="str">
        <f>+VLOOKUP(C116,'[7]CANTIDADES DE OBRA'!$B:$E,3,FALSE)</f>
        <v>ML</v>
      </c>
      <c r="F116" s="39">
        <f>+VLOOKUP(C116,'[7]CANTIDADES DE OBRA'!$B:$E,4,FALSE)</f>
        <v>112.26</v>
      </c>
      <c r="G116" s="65">
        <f t="shared" si="100"/>
        <v>86088.83</v>
      </c>
      <c r="H116" s="43">
        <f t="shared" ref="H116:H124" si="101">+ROUND(F116*G116,$Q$2)</f>
        <v>9664332</v>
      </c>
      <c r="I116" s="5"/>
      <c r="J116" s="5"/>
      <c r="K116" s="204">
        <f>ROUND(F116*M116,$Q$2)</f>
        <v>9664332</v>
      </c>
      <c r="L116" s="204">
        <f>ROUND(F116*N116,$Q$2)</f>
        <v>10147548</v>
      </c>
      <c r="M116" s="200">
        <f>ROUND(VLOOKUP(C116,APUS!H:V,14,0),2)</f>
        <v>86088.83</v>
      </c>
      <c r="N116" s="200">
        <f>ROUND(VLOOKUP(C116,APUS!I:V,13,0),2)</f>
        <v>90393.27</v>
      </c>
      <c r="O116" s="200">
        <f>ROUND(VLOOKUP(C116,APUS!D:Z,23,0),2)</f>
        <v>46972.11</v>
      </c>
      <c r="P116" s="200">
        <f>ROUND(VLOOKUP(C116,APUS!E:Z,22,0),2)</f>
        <v>8638938.7100000009</v>
      </c>
      <c r="Q116" s="200">
        <f>ROUND(VLOOKUP(C116,APUS!F:Z,21,0),2)</f>
        <v>38979.11</v>
      </c>
      <c r="R116" s="200">
        <f>ROUND(VLOOKUP(C116,APUS!G:Z,20,0),2)</f>
        <v>939442.2</v>
      </c>
      <c r="S116" s="201">
        <f>SUM(O116:R116)</f>
        <v>9664332.129999999</v>
      </c>
      <c r="T116" s="5"/>
      <c r="U116" s="12"/>
      <c r="V116" s="35" t="str">
        <f t="shared" si="83"/>
        <v>5.02 - Tubería PVC Ø6"</v>
      </c>
    </row>
    <row r="117" spans="2:22" x14ac:dyDescent="0.25">
      <c r="C117" s="229">
        <f t="shared" ref="C117:C123" si="102">+ROUNDUP(C116+0.01,2)</f>
        <v>5.03</v>
      </c>
      <c r="D117" s="38" t="str">
        <f>+VLOOKUP(C117,'[7]CANTIDADES DE OBRA'!$B:$E,2,FALSE)</f>
        <v>Tragantes de aguas lluvias</v>
      </c>
      <c r="E117" s="39" t="str">
        <f>+VLOOKUP(C117,'[7]CANTIDADES DE OBRA'!$B:$E,3,FALSE)</f>
        <v>UND</v>
      </c>
      <c r="F117" s="39">
        <f>+VLOOKUP(C117,'[7]CANTIDADES DE OBRA'!$B:$E,4,FALSE)</f>
        <v>24</v>
      </c>
      <c r="G117" s="65">
        <f t="shared" si="100"/>
        <v>29272.46</v>
      </c>
      <c r="H117" s="43">
        <f t="shared" si="101"/>
        <v>702539</v>
      </c>
      <c r="I117" s="5"/>
      <c r="J117" s="5"/>
      <c r="K117" s="204">
        <f t="shared" ref="K117" si="103">ROUND(F117*M117,$Q$2)</f>
        <v>702539</v>
      </c>
      <c r="L117" s="204">
        <f t="shared" ref="L117" si="104">ROUND(F117*N117,$Q$2)</f>
        <v>737666</v>
      </c>
      <c r="M117" s="200">
        <f>ROUND(VLOOKUP(C117,APUS!H:V,14,0),2)</f>
        <v>29272.46</v>
      </c>
      <c r="N117" s="200">
        <f>ROUND(VLOOKUP(C117,APUS!I:V,13,0),2)</f>
        <v>30736.080000000002</v>
      </c>
      <c r="O117" s="200">
        <f>ROUND(VLOOKUP(C117,APUS!D:Z,23,0),2)</f>
        <v>6694.76</v>
      </c>
      <c r="P117" s="200">
        <f>ROUND(VLOOKUP(C117,APUS!E:Z,22,0),2)</f>
        <v>553615.59</v>
      </c>
      <c r="Q117" s="200">
        <f>ROUND(VLOOKUP(C117,APUS!F:Z,21,0),2)</f>
        <v>8333.32</v>
      </c>
      <c r="R117" s="200">
        <f>ROUND(VLOOKUP(C117,APUS!G:Z,20,0),2)</f>
        <v>133895.20000000001</v>
      </c>
      <c r="S117" s="201">
        <f t="shared" ref="S117" si="105">SUM(O117:R117)</f>
        <v>702538.86999999988</v>
      </c>
      <c r="T117" s="5"/>
      <c r="U117" s="12"/>
      <c r="V117" s="35" t="str">
        <f t="shared" si="83"/>
        <v>5.03 - Tragantes de aguas lluvias</v>
      </c>
    </row>
    <row r="118" spans="2:22" x14ac:dyDescent="0.25">
      <c r="C118" s="229">
        <f>+ROUNDUP(C117+0.01,2)</f>
        <v>5.04</v>
      </c>
      <c r="D118" s="38" t="str">
        <f>+VLOOKUP(C118,'[7]CANTIDADES DE OBRA'!$B:$E,2,FALSE)</f>
        <v>Codo 45° PVC Ø4"</v>
      </c>
      <c r="E118" s="39" t="str">
        <f>+VLOOKUP(C118,'[7]CANTIDADES DE OBRA'!$B:$E,3,FALSE)</f>
        <v>UND</v>
      </c>
      <c r="F118" s="39">
        <f>+VLOOKUP(C118,'[7]CANTIDADES DE OBRA'!$B:$E,4,FALSE)</f>
        <v>18</v>
      </c>
      <c r="G118" s="65">
        <f t="shared" si="100"/>
        <v>28464.46</v>
      </c>
      <c r="H118" s="43">
        <f t="shared" si="101"/>
        <v>512360</v>
      </c>
      <c r="I118" s="5"/>
      <c r="J118" s="5"/>
      <c r="K118" s="204">
        <f>ROUND(F118*M118,$Q$2)</f>
        <v>512360</v>
      </c>
      <c r="L118" s="204">
        <f>ROUND(F118*N118,$Q$2)</f>
        <v>537978</v>
      </c>
      <c r="M118" s="200">
        <f>ROUND(VLOOKUP(C118,APUS!H:V,14,0),2)</f>
        <v>28464.46</v>
      </c>
      <c r="N118" s="200">
        <f>ROUND(VLOOKUP(C118,APUS!I:V,13,0),2)</f>
        <v>29887.68</v>
      </c>
      <c r="O118" s="200">
        <f>ROUND(VLOOKUP(C118,APUS!D:Z,23,0),2)</f>
        <v>5021.07</v>
      </c>
      <c r="P118" s="200">
        <f>ROUND(VLOOKUP(C118,APUS!E:Z,22,0),2)</f>
        <v>400667.7</v>
      </c>
      <c r="Q118" s="200">
        <f>ROUND(VLOOKUP(C118,APUS!F:Z,21,0),2)</f>
        <v>6249.99</v>
      </c>
      <c r="R118" s="200">
        <f>ROUND(VLOOKUP(C118,APUS!G:Z,20,0),2)</f>
        <v>100421.4</v>
      </c>
      <c r="S118" s="201">
        <f>SUM(O118:R118)</f>
        <v>512360.16000000003</v>
      </c>
      <c r="T118" s="5"/>
      <c r="U118" s="12"/>
      <c r="V118" s="35" t="str">
        <f t="shared" ref="V118:V119" si="106">CONCATENATE(C118," ","-"," ",D118)</f>
        <v>5.04 - Codo 45° PVC Ø4"</v>
      </c>
    </row>
    <row r="119" spans="2:22" x14ac:dyDescent="0.25">
      <c r="C119" s="229">
        <f t="shared" si="102"/>
        <v>5.05</v>
      </c>
      <c r="D119" s="38" t="str">
        <f>+VLOOKUP(C119,'[7]CANTIDADES DE OBRA'!$B:$E,2,FALSE)</f>
        <v>Codo 90° PVC Ø4"</v>
      </c>
      <c r="E119" s="39" t="str">
        <f>+VLOOKUP(C119,'[7]CANTIDADES DE OBRA'!$B:$E,3,FALSE)</f>
        <v>UND</v>
      </c>
      <c r="F119" s="39">
        <f>+VLOOKUP(C119,'[7]CANTIDADES DE OBRA'!$B:$E,4,FALSE)</f>
        <v>4</v>
      </c>
      <c r="G119" s="65">
        <f t="shared" si="100"/>
        <v>26231.46</v>
      </c>
      <c r="H119" s="43">
        <f t="shared" si="101"/>
        <v>104926</v>
      </c>
      <c r="I119" s="5"/>
      <c r="J119" s="5"/>
      <c r="K119" s="204">
        <f t="shared" ref="K119" si="107">ROUND(F119*M119,$Q$2)</f>
        <v>104926</v>
      </c>
      <c r="L119" s="204">
        <f t="shared" ref="L119" si="108">ROUND(F119*N119,$Q$2)</f>
        <v>110172</v>
      </c>
      <c r="M119" s="200">
        <f>ROUND(VLOOKUP(C119,APUS!H:V,14,0),2)</f>
        <v>26231.46</v>
      </c>
      <c r="N119" s="200">
        <f>ROUND(VLOOKUP(C119,APUS!I:V,13,0),2)</f>
        <v>27543.03</v>
      </c>
      <c r="O119" s="200">
        <f>ROUND(VLOOKUP(C119,APUS!D:Z,23,0),2)</f>
        <v>1115.79</v>
      </c>
      <c r="P119" s="200">
        <f>ROUND(VLOOKUP(C119,APUS!E:Z,22,0),2)</f>
        <v>80105.27</v>
      </c>
      <c r="Q119" s="200">
        <f>ROUND(VLOOKUP(C119,APUS!F:Z,21,0),2)</f>
        <v>1388.89</v>
      </c>
      <c r="R119" s="200">
        <f>ROUND(VLOOKUP(C119,APUS!G:Z,20,0),2)</f>
        <v>22315.87</v>
      </c>
      <c r="S119" s="201">
        <f t="shared" ref="S119" si="109">SUM(O119:R119)</f>
        <v>104925.81999999999</v>
      </c>
      <c r="T119" s="5"/>
      <c r="U119" s="12"/>
      <c r="V119" s="35" t="str">
        <f t="shared" si="106"/>
        <v>5.05 - Codo 90° PVC Ø4"</v>
      </c>
    </row>
    <row r="120" spans="2:22" x14ac:dyDescent="0.25">
      <c r="C120" s="229">
        <f>+ROUNDUP(C119+0.01,2)</f>
        <v>5.0599999999999996</v>
      </c>
      <c r="D120" s="38" t="str">
        <f>+VLOOKUP(C120,'[7]CANTIDADES DE OBRA'!$B:$E,2,FALSE)</f>
        <v>Yee PVC Ø4"</v>
      </c>
      <c r="E120" s="39" t="str">
        <f>+VLOOKUP(C120,'[7]CANTIDADES DE OBRA'!$B:$E,3,FALSE)</f>
        <v>UND</v>
      </c>
      <c r="F120" s="39">
        <f>+VLOOKUP(C120,'[7]CANTIDADES DE OBRA'!$B:$E,4,FALSE)</f>
        <v>12</v>
      </c>
      <c r="G120" s="65">
        <f t="shared" si="100"/>
        <v>44729.46</v>
      </c>
      <c r="H120" s="43">
        <f t="shared" si="101"/>
        <v>536754</v>
      </c>
      <c r="I120" s="5"/>
      <c r="J120" s="5"/>
      <c r="K120" s="204">
        <f>ROUND(F120*M120,$Q$2)</f>
        <v>536754</v>
      </c>
      <c r="L120" s="204">
        <f>ROUND(F120*N120,$Q$2)</f>
        <v>563591</v>
      </c>
      <c r="M120" s="200">
        <f>ROUND(VLOOKUP(C120,APUS!H:V,14,0),2)</f>
        <v>44729.46</v>
      </c>
      <c r="N120" s="200">
        <f>ROUND(VLOOKUP(C120,APUS!I:V,13,0),2)</f>
        <v>46965.93</v>
      </c>
      <c r="O120" s="200">
        <f>ROUND(VLOOKUP(C120,APUS!D:Z,23,0),2)</f>
        <v>3347.38</v>
      </c>
      <c r="P120" s="200">
        <f>ROUND(VLOOKUP(C120,APUS!E:Z,22,0),2)</f>
        <v>462291.8</v>
      </c>
      <c r="Q120" s="200">
        <f>ROUND(VLOOKUP(C120,APUS!F:Z,21,0),2)</f>
        <v>4166.66</v>
      </c>
      <c r="R120" s="200">
        <f>ROUND(VLOOKUP(C120,APUS!G:Z,20,0),2)</f>
        <v>66947.600000000006</v>
      </c>
      <c r="S120" s="201">
        <f>SUM(O120:R120)</f>
        <v>536753.43999999994</v>
      </c>
      <c r="T120" s="5"/>
      <c r="U120" s="12"/>
      <c r="V120" s="35" t="str">
        <f t="shared" ref="V120:V121" si="110">CONCATENATE(C120," ","-"," ",D120)</f>
        <v>5.06 - Yee PVC Ø4"</v>
      </c>
    </row>
    <row r="121" spans="2:22" x14ac:dyDescent="0.25">
      <c r="C121" s="229">
        <f t="shared" si="102"/>
        <v>5.07</v>
      </c>
      <c r="D121" s="38" t="str">
        <f>+VLOOKUP(C121,'[7]CANTIDADES DE OBRA'!$B:$E,2,FALSE)</f>
        <v>Yee reducida PVC Ø4" a Ø3"</v>
      </c>
      <c r="E121" s="39" t="str">
        <f>+VLOOKUP(C121,'[7]CANTIDADES DE OBRA'!$B:$E,3,FALSE)</f>
        <v>UND</v>
      </c>
      <c r="F121" s="39">
        <f>+VLOOKUP(C121,'[7]CANTIDADES DE OBRA'!$B:$E,4,FALSE)</f>
        <v>3</v>
      </c>
      <c r="G121" s="65">
        <f t="shared" si="100"/>
        <v>39581.46</v>
      </c>
      <c r="H121" s="43">
        <f t="shared" si="101"/>
        <v>118744</v>
      </c>
      <c r="I121" s="5"/>
      <c r="J121" s="5"/>
      <c r="K121" s="204">
        <f t="shared" ref="K121" si="111">ROUND(F121*M121,$Q$2)</f>
        <v>118744</v>
      </c>
      <c r="L121" s="204">
        <f t="shared" ref="L121" si="112">ROUND(F121*N121,$Q$2)</f>
        <v>124682</v>
      </c>
      <c r="M121" s="200">
        <f>ROUND(VLOOKUP(C121,APUS!H:V,14,0),2)</f>
        <v>39581.46</v>
      </c>
      <c r="N121" s="200">
        <f>ROUND(VLOOKUP(C121,APUS!I:V,13,0),2)</f>
        <v>41560.53</v>
      </c>
      <c r="O121" s="200">
        <f>ROUND(VLOOKUP(C121,APUS!D:Z,23,0),2)</f>
        <v>836.85</v>
      </c>
      <c r="P121" s="200">
        <f>ROUND(VLOOKUP(C121,APUS!E:Z,22,0),2)</f>
        <v>100128.95</v>
      </c>
      <c r="Q121" s="200">
        <f>ROUND(VLOOKUP(C121,APUS!F:Z,21,0),2)</f>
        <v>1041.67</v>
      </c>
      <c r="R121" s="200">
        <f>ROUND(VLOOKUP(C121,APUS!G:Z,20,0),2)</f>
        <v>16736.900000000001</v>
      </c>
      <c r="S121" s="201">
        <f t="shared" ref="S121" si="113">SUM(O121:R121)</f>
        <v>118744.37</v>
      </c>
      <c r="T121" s="5"/>
      <c r="U121" s="12"/>
      <c r="V121" s="35" t="str">
        <f t="shared" si="110"/>
        <v>5.07 - Yee reducida PVC Ø4" a Ø3"</v>
      </c>
    </row>
    <row r="122" spans="2:22" x14ac:dyDescent="0.25">
      <c r="C122" s="229">
        <f>+ROUNDUP(C121+0.01,2)</f>
        <v>5.08</v>
      </c>
      <c r="D122" s="38" t="str">
        <f>+VLOOKUP(C122,'[7]CANTIDADES DE OBRA'!$B:$E,2,FALSE)</f>
        <v>Codo 90° PVC Ø6"</v>
      </c>
      <c r="E122" s="39" t="str">
        <f>+VLOOKUP(C122,'[7]CANTIDADES DE OBRA'!$B:$E,3,FALSE)</f>
        <v>UND</v>
      </c>
      <c r="F122" s="39">
        <f>+VLOOKUP(C122,'[7]CANTIDADES DE OBRA'!$B:$E,4,FALSE)</f>
        <v>6</v>
      </c>
      <c r="G122" s="65">
        <f t="shared" si="100"/>
        <v>159539.46</v>
      </c>
      <c r="H122" s="43">
        <f t="shared" si="101"/>
        <v>957237</v>
      </c>
      <c r="I122" s="5"/>
      <c r="J122" s="5"/>
      <c r="K122" s="204">
        <f>ROUND(F122*M122,$Q$2)</f>
        <v>957237</v>
      </c>
      <c r="L122" s="204">
        <f>ROUND(F122*N122,$Q$2)</f>
        <v>1005099</v>
      </c>
      <c r="M122" s="200">
        <f>ROUND(VLOOKUP(C122,APUS!H:V,14,0),2)</f>
        <v>159539.46</v>
      </c>
      <c r="N122" s="200">
        <f>ROUND(VLOOKUP(C122,APUS!I:V,13,0),2)</f>
        <v>167516.43</v>
      </c>
      <c r="O122" s="200">
        <f>ROUND(VLOOKUP(C122,APUS!D:Z,23,0),2)</f>
        <v>1673.69</v>
      </c>
      <c r="P122" s="200">
        <f>ROUND(VLOOKUP(C122,APUS!E:Z,22,0),2)</f>
        <v>920005.9</v>
      </c>
      <c r="Q122" s="200">
        <f>ROUND(VLOOKUP(C122,APUS!F:Z,21,0),2)</f>
        <v>2083.33</v>
      </c>
      <c r="R122" s="200">
        <f>ROUND(VLOOKUP(C122,APUS!G:Z,20,0),2)</f>
        <v>33473.800000000003</v>
      </c>
      <c r="S122" s="201">
        <f>SUM(O122:R122)</f>
        <v>957236.72</v>
      </c>
      <c r="T122" s="5"/>
      <c r="U122" s="12"/>
      <c r="V122" s="35" t="str">
        <f t="shared" ref="V122:V127" si="114">CONCATENATE(C122," ","-"," ",D122)</f>
        <v>5.08 - Codo 90° PVC Ø6"</v>
      </c>
    </row>
    <row r="123" spans="2:22" x14ac:dyDescent="0.25">
      <c r="C123" s="229">
        <f t="shared" si="102"/>
        <v>5.09</v>
      </c>
      <c r="D123" s="38" t="str">
        <f>+VLOOKUP(C123,'[7]CANTIDADES DE OBRA'!$B:$E,2,FALSE)</f>
        <v>Fijacion de tuberias horizontales</v>
      </c>
      <c r="E123" s="39" t="str">
        <f>+VLOOKUP(C123,'[7]CANTIDADES DE OBRA'!$B:$E,3,FALSE)</f>
        <v>UND</v>
      </c>
      <c r="F123" s="39">
        <f>+VLOOKUP(C123,'[7]CANTIDADES DE OBRA'!$B:$E,4,FALSE)</f>
        <v>89</v>
      </c>
      <c r="G123" s="65">
        <f t="shared" si="100"/>
        <v>33738.19</v>
      </c>
      <c r="H123" s="43">
        <f t="shared" si="101"/>
        <v>3002699</v>
      </c>
      <c r="I123" s="5"/>
      <c r="J123" s="5"/>
      <c r="K123" s="204">
        <f t="shared" ref="K123" si="115">ROUND(F123*M123,$Q$2)</f>
        <v>3002699</v>
      </c>
      <c r="L123" s="204">
        <f t="shared" ref="L123" si="116">ROUND(F123*N123,$Q$2)</f>
        <v>3152834</v>
      </c>
      <c r="M123" s="200">
        <f>ROUND(VLOOKUP(C123,APUS!H:V,14,0),2)</f>
        <v>33738.19</v>
      </c>
      <c r="N123" s="200">
        <f>ROUND(VLOOKUP(C123,APUS!I:V,13,0),2)</f>
        <v>35425.1</v>
      </c>
      <c r="O123" s="200">
        <f>ROUND(VLOOKUP(C123,APUS!D:Z,23,0),2)</f>
        <v>47619.81</v>
      </c>
      <c r="P123" s="200">
        <f>ROUND(VLOOKUP(C123,APUS!E:Z,22,0),2)</f>
        <v>1971780.32</v>
      </c>
      <c r="Q123" s="200">
        <f>ROUND(VLOOKUP(C123,APUS!F:Z,21,0),2)</f>
        <v>30902.73</v>
      </c>
      <c r="R123" s="200">
        <f>ROUND(VLOOKUP(C123,APUS!G:Z,20,0),2)</f>
        <v>952396.12</v>
      </c>
      <c r="S123" s="201">
        <f t="shared" ref="S123" si="117">SUM(O123:R123)</f>
        <v>3002698.98</v>
      </c>
      <c r="T123" s="5"/>
      <c r="U123" s="12"/>
      <c r="V123" s="35" t="str">
        <f t="shared" si="114"/>
        <v>5.09 - Fijacion de tuberias horizontales</v>
      </c>
    </row>
    <row r="124" spans="2:22" x14ac:dyDescent="0.25">
      <c r="C124" s="229">
        <f>+ROUNDUP(C123+0.01,2)</f>
        <v>5.0999999999999996</v>
      </c>
      <c r="D124" s="38" t="str">
        <f>+VLOOKUP(C124,'[7]CANTIDADES DE OBRA'!$B:$E,2,FALSE)</f>
        <v>Fijacion de tuberias verticales</v>
      </c>
      <c r="E124" s="39" t="str">
        <f>+VLOOKUP(C124,'[7]CANTIDADES DE OBRA'!$B:$E,3,FALSE)</f>
        <v>UND</v>
      </c>
      <c r="F124" s="39">
        <f>+VLOOKUP(C124,'[7]CANTIDADES DE OBRA'!$B:$E,4,FALSE)</f>
        <v>9</v>
      </c>
      <c r="G124" s="65">
        <f t="shared" si="100"/>
        <v>110047.85</v>
      </c>
      <c r="H124" s="43">
        <f t="shared" si="101"/>
        <v>990431</v>
      </c>
      <c r="I124" s="5"/>
      <c r="J124" s="5"/>
      <c r="K124" s="204">
        <f>ROUND(F124*M124,$Q$2)</f>
        <v>990431</v>
      </c>
      <c r="L124" s="204">
        <f>ROUND(F124*N124,$Q$2)</f>
        <v>1039952</v>
      </c>
      <c r="M124" s="200">
        <f>ROUND(VLOOKUP(C124,APUS!H:V,14,0),2)</f>
        <v>110047.85</v>
      </c>
      <c r="N124" s="200">
        <f>ROUND(VLOOKUP(C124,APUS!I:V,13,0),2)</f>
        <v>115550.24</v>
      </c>
      <c r="O124" s="200">
        <f>ROUND(VLOOKUP(C124,APUS!D:Z,23,0),2)</f>
        <v>6567.26</v>
      </c>
      <c r="P124" s="200">
        <f>ROUND(VLOOKUP(C124,APUS!E:Z,22,0),2)</f>
        <v>852518.25</v>
      </c>
      <c r="Q124" s="200">
        <f>ROUND(VLOOKUP(C124,APUS!F:Z,21,0),2)</f>
        <v>0</v>
      </c>
      <c r="R124" s="200">
        <f>ROUND(VLOOKUP(C124,APUS!G:Z,20,0),2)</f>
        <v>131345.1</v>
      </c>
      <c r="S124" s="201">
        <f>SUM(O124:R124)</f>
        <v>990430.61</v>
      </c>
      <c r="T124" s="5"/>
      <c r="U124" s="12"/>
      <c r="V124" s="35" t="str">
        <f t="shared" ref="V124" si="118">CONCATENATE(C124," ","-"," ",D124)</f>
        <v>5.1 - Fijacion de tuberias verticales</v>
      </c>
    </row>
    <row r="125" spans="2:22" x14ac:dyDescent="0.25">
      <c r="C125" s="229"/>
      <c r="D125" s="38"/>
      <c r="E125" s="39"/>
      <c r="F125" s="39"/>
      <c r="G125" s="65"/>
      <c r="H125" s="43"/>
      <c r="I125" s="5"/>
      <c r="J125" s="5"/>
      <c r="K125" s="204"/>
      <c r="L125" s="204"/>
      <c r="M125" s="200"/>
      <c r="N125" s="200"/>
      <c r="O125" s="200"/>
      <c r="P125" s="200"/>
      <c r="Q125" s="200"/>
      <c r="R125" s="200"/>
      <c r="S125" s="201"/>
      <c r="T125" s="5"/>
      <c r="U125" s="12"/>
    </row>
    <row r="126" spans="2:22" x14ac:dyDescent="0.25">
      <c r="B126" s="235">
        <f>+ROUNDUP(C122,0)</f>
        <v>6</v>
      </c>
      <c r="C126" s="40" t="str">
        <f>+CONCATENATE("CAP.",B126)</f>
        <v>CAP.6</v>
      </c>
      <c r="D126" s="231" t="str">
        <f>+VLOOKUP(B126,'[7]CANTIDADES DE OBRA'!$B:$E,2,FALSE)</f>
        <v>RED DE DRENAJE</v>
      </c>
      <c r="E126" s="230"/>
      <c r="F126" s="230"/>
      <c r="G126" s="230"/>
      <c r="H126" s="232">
        <f>+SUM(H127:H138)</f>
        <v>123015787</v>
      </c>
      <c r="I126" s="5"/>
      <c r="J126" s="5"/>
      <c r="K126" s="234">
        <f>+SUM(K127:K138)</f>
        <v>123015787</v>
      </c>
      <c r="L126" s="234">
        <f>+SUM(L127:L138)</f>
        <v>129166569</v>
      </c>
      <c r="M126" s="234"/>
      <c r="N126" s="234"/>
      <c r="O126" s="234">
        <f>+SUM(O127:O138)</f>
        <v>1666469.79</v>
      </c>
      <c r="P126" s="234">
        <f>+SUM(P127:P138)</f>
        <v>91340984.840000004</v>
      </c>
      <c r="Q126" s="234">
        <f>+SUM(Q127:Q138)</f>
        <v>1570830.55</v>
      </c>
      <c r="R126" s="234">
        <f>+SUM(R127:R138)</f>
        <v>28437510.460000001</v>
      </c>
      <c r="S126" s="234">
        <f>+SUM(S127:S138)</f>
        <v>123015795.63999999</v>
      </c>
      <c r="T126" s="5"/>
      <c r="U126" s="12"/>
      <c r="V126" s="35" t="str">
        <f t="shared" ref="V126" si="119">CONCATENATE(C126," ","-"," ",D126)</f>
        <v>CAP.6 - RED DE DRENAJE</v>
      </c>
    </row>
    <row r="127" spans="2:22" x14ac:dyDescent="0.25">
      <c r="C127" s="229">
        <f>+B126+0.01</f>
        <v>6.01</v>
      </c>
      <c r="D127" s="38" t="str">
        <f>+VLOOKUP(C127,'[7]CANTIDADES DE OBRA'!$B:$E,2,FALSE)</f>
        <v>Cajas de inspeccion</v>
      </c>
      <c r="E127" s="39" t="str">
        <f>+VLOOKUP(C127,'[7]CANTIDADES DE OBRA'!$B:$E,3,FALSE)</f>
        <v>UND</v>
      </c>
      <c r="F127" s="39">
        <f>+VLOOKUP(C127,'[7]CANTIDADES DE OBRA'!$B:$E,4,FALSE)</f>
        <v>6</v>
      </c>
      <c r="G127" s="65">
        <f t="shared" ref="G127:G137" si="120">+IFERROR(IF($Q$1="UNITARIOS",VLOOKUP(C127,C:Y,11,FALSE),VLOOKUP(C127,C:Y,12,FALSE)),0)</f>
        <v>900820.28</v>
      </c>
      <c r="H127" s="43">
        <f t="shared" ref="H127:H137" si="121">+ROUND(F127*G127,$Q$2)</f>
        <v>5404922</v>
      </c>
      <c r="I127" s="5"/>
      <c r="J127" s="5"/>
      <c r="K127" s="204">
        <f t="shared" ref="K127" si="122">ROUND(F127*M127,$Q$2)</f>
        <v>5404922</v>
      </c>
      <c r="L127" s="204">
        <f t="shared" ref="L127" si="123">ROUND(F127*N127,$Q$2)</f>
        <v>5675168</v>
      </c>
      <c r="M127" s="200">
        <f>ROUND(VLOOKUP(C127,APUS!H:V,14,0),2)</f>
        <v>900820.28</v>
      </c>
      <c r="N127" s="200">
        <f>ROUND(VLOOKUP(C127,APUS!I:V,13,0),2)</f>
        <v>945861.29</v>
      </c>
      <c r="O127" s="200">
        <f>ROUND(VLOOKUP(C127,APUS!D:Z,23,0),2)</f>
        <v>26752.7</v>
      </c>
      <c r="P127" s="200">
        <f>ROUND(VLOOKUP(C127,APUS!E:Z,22,0),2)</f>
        <v>4843114.97</v>
      </c>
      <c r="Q127" s="200">
        <f>ROUND(VLOOKUP(C127,APUS!F:Z,21,0),2)</f>
        <v>0</v>
      </c>
      <c r="R127" s="200">
        <f>ROUND(VLOOKUP(C127,APUS!G:Z,20,0),2)</f>
        <v>535054</v>
      </c>
      <c r="S127" s="201">
        <f t="shared" ref="S127" si="124">SUM(O127:R127)</f>
        <v>5404921.6699999999</v>
      </c>
      <c r="T127" s="5"/>
      <c r="U127" s="12"/>
      <c r="V127" s="35" t="str">
        <f t="shared" si="114"/>
        <v>6.01 - Cajas de inspeccion</v>
      </c>
    </row>
    <row r="128" spans="2:22" x14ac:dyDescent="0.25">
      <c r="C128" s="229">
        <f>+ROUNDUP(C127+0.01,2)</f>
        <v>6.02</v>
      </c>
      <c r="D128" s="38" t="str">
        <f>+VLOOKUP(C128,'[7]CANTIDADES DE OBRA'!$B:$E,2,FALSE)</f>
        <v>Estacion de bombeo (incluye accesorios)</v>
      </c>
      <c r="E128" s="39" t="str">
        <f>+VLOOKUP(C128,'[7]CANTIDADES DE OBRA'!$B:$E,3,FALSE)</f>
        <v>UND</v>
      </c>
      <c r="F128" s="39">
        <f>+VLOOKUP(C128,'[7]CANTIDADES DE OBRA'!$B:$E,4,FALSE)</f>
        <v>1</v>
      </c>
      <c r="G128" s="65">
        <f t="shared" si="120"/>
        <v>46279018.149999999</v>
      </c>
      <c r="H128" s="43">
        <f t="shared" si="121"/>
        <v>46279018</v>
      </c>
      <c r="I128" s="5"/>
      <c r="J128" s="5"/>
      <c r="K128" s="204">
        <f>ROUND(F128*M128,$Q$2)</f>
        <v>46279018</v>
      </c>
      <c r="L128" s="204">
        <f>ROUND(F128*N128,$Q$2)</f>
        <v>48592969</v>
      </c>
      <c r="M128" s="200">
        <f>ROUND(VLOOKUP(C128,APUS!H:V,14,0),2)</f>
        <v>46279018.149999999</v>
      </c>
      <c r="N128" s="200">
        <f>ROUND(VLOOKUP(C128,APUS!I:V,13,0),2)</f>
        <v>48592969.060000002</v>
      </c>
      <c r="O128" s="200">
        <f>ROUND(VLOOKUP(C128,APUS!D:Z,23,0),2)</f>
        <v>58375.6</v>
      </c>
      <c r="P128" s="200">
        <f>ROUND(VLOOKUP(C128,APUS!E:Z,22,0),2)</f>
        <v>45050700</v>
      </c>
      <c r="Q128" s="200">
        <f>ROUND(VLOOKUP(C128,APUS!F:Z,21,0),2)</f>
        <v>2430.5500000000002</v>
      </c>
      <c r="R128" s="200">
        <f>ROUND(VLOOKUP(C128,APUS!G:Z,20,0),2)</f>
        <v>1167512</v>
      </c>
      <c r="S128" s="201">
        <f>SUM(O128:R128)</f>
        <v>46279018.149999999</v>
      </c>
      <c r="T128" s="5"/>
      <c r="U128" s="12"/>
      <c r="V128" s="35" t="str">
        <f t="shared" ref="V128:V131" si="125">CONCATENATE(C128," ","-"," ",D128)</f>
        <v>6.02 - Estacion de bombeo (incluye accesorios)</v>
      </c>
    </row>
    <row r="129" spans="3:22" x14ac:dyDescent="0.25">
      <c r="C129" s="229">
        <f>+ROUNDUP(C128+0.01,2)</f>
        <v>6.03</v>
      </c>
      <c r="D129" s="38" t="str">
        <f>+VLOOKUP(C129,'[7]CANTIDADES DE OBRA'!$B:$E,2,FALSE)</f>
        <v>Excavacion en material comun</v>
      </c>
      <c r="E129" s="39" t="str">
        <f>+VLOOKUP(C129,'[7]CANTIDADES DE OBRA'!$B:$E,3,FALSE)</f>
        <v>M3</v>
      </c>
      <c r="F129" s="39">
        <f>+VLOOKUP(C129,'[7]CANTIDADES DE OBRA'!$B:$E,4,FALSE)</f>
        <v>127.35</v>
      </c>
      <c r="G129" s="65">
        <f t="shared" si="120"/>
        <v>59998.05</v>
      </c>
      <c r="H129" s="43">
        <f t="shared" si="121"/>
        <v>7640752</v>
      </c>
      <c r="I129" s="5"/>
      <c r="J129" s="5"/>
      <c r="K129" s="204">
        <f>ROUND(F129*M129,$Q$2)</f>
        <v>7640752</v>
      </c>
      <c r="L129" s="204">
        <f>ROUND(F129*N129,$Q$2)</f>
        <v>8022789</v>
      </c>
      <c r="M129" s="200">
        <f>ROUND(VLOOKUP(C129,APUS!H:V,14,0),2)</f>
        <v>59998.05</v>
      </c>
      <c r="N129" s="200">
        <f>ROUND(VLOOKUP(C129,APUS!I:V,13,0),2)</f>
        <v>62997.95</v>
      </c>
      <c r="O129" s="200">
        <f>ROUND(VLOOKUP(C129,APUS!D:Z,23,0),2)</f>
        <v>363845.32</v>
      </c>
      <c r="P129" s="200">
        <f>ROUND(VLOOKUP(C129,APUS!E:Z,22,0),2)</f>
        <v>0</v>
      </c>
      <c r="Q129" s="200">
        <f>ROUND(VLOOKUP(C129,APUS!F:Z,21,0),2)</f>
        <v>0</v>
      </c>
      <c r="R129" s="200">
        <f>ROUND(VLOOKUP(C129,APUS!G:Z,20,0),2)</f>
        <v>7276906.3499999996</v>
      </c>
      <c r="S129" s="201">
        <f>SUM(O129:R129)</f>
        <v>7640751.6699999999</v>
      </c>
      <c r="T129" s="5"/>
      <c r="U129" s="12"/>
      <c r="V129" s="35" t="str">
        <f t="shared" si="125"/>
        <v>6.03 - Excavacion en material comun</v>
      </c>
    </row>
    <row r="130" spans="3:22" x14ac:dyDescent="0.25">
      <c r="C130" s="229">
        <f>+ROUNDUP(C129+0.01,2)</f>
        <v>6.04</v>
      </c>
      <c r="D130" s="38" t="str">
        <f>+VLOOKUP(C130,'[7]CANTIDADES DE OBRA'!$B:$E,2,FALSE)</f>
        <v>Retiro de material sobrante</v>
      </c>
      <c r="E130" s="39" t="str">
        <f>+VLOOKUP(C130,'[7]CANTIDADES DE OBRA'!$B:$E,3,FALSE)</f>
        <v>M3</v>
      </c>
      <c r="F130" s="39">
        <f>+VLOOKUP(C130,'[7]CANTIDADES DE OBRA'!$B:$E,4,FALSE)</f>
        <v>52.28</v>
      </c>
      <c r="G130" s="65">
        <f t="shared" si="120"/>
        <v>53999.22</v>
      </c>
      <c r="H130" s="43">
        <f t="shared" si="121"/>
        <v>2823079</v>
      </c>
      <c r="I130" s="5"/>
      <c r="J130" s="5"/>
      <c r="K130" s="204">
        <f>ROUND(F130*M130,$Q$2)</f>
        <v>2823079</v>
      </c>
      <c r="L130" s="204">
        <f>ROUND(F130*N130,$Q$2)</f>
        <v>2964233</v>
      </c>
      <c r="M130" s="200">
        <f>ROUND(VLOOKUP(C130,APUS!H:V,14,0),2)</f>
        <v>53999.22</v>
      </c>
      <c r="N130" s="200">
        <f>ROUND(VLOOKUP(C130,APUS!I:V,13,0),2)</f>
        <v>56699.18</v>
      </c>
      <c r="O130" s="200">
        <f>ROUND(VLOOKUP(C130,APUS!D:Z,23,0),2)</f>
        <v>59746.63</v>
      </c>
      <c r="P130" s="200">
        <f>ROUND(VLOOKUP(C130,APUS!E:Z,22,0),2)</f>
        <v>0</v>
      </c>
      <c r="Q130" s="200">
        <f>ROUND(VLOOKUP(C130,APUS!F:Z,21,0),2)</f>
        <v>1568400</v>
      </c>
      <c r="R130" s="200">
        <f>ROUND(VLOOKUP(C130,APUS!G:Z,20,0),2)</f>
        <v>1194932.5900000001</v>
      </c>
      <c r="S130" s="201">
        <f>SUM(O130:R130)</f>
        <v>2823079.2199999997</v>
      </c>
      <c r="T130" s="5"/>
      <c r="U130" s="12"/>
      <c r="V130" s="35" t="str">
        <f t="shared" si="125"/>
        <v>6.04 - Retiro de material sobrante</v>
      </c>
    </row>
    <row r="131" spans="3:22" x14ac:dyDescent="0.25">
      <c r="C131" s="229">
        <f t="shared" ref="C131:C133" si="126">+ROUNDUP(C130+0.01,2)</f>
        <v>6.05</v>
      </c>
      <c r="D131" s="38" t="str">
        <f>+VLOOKUP(C131,'[7]CANTIDADES DE OBRA'!$B:$E,2,FALSE)</f>
        <v>Concreto fc 28 Mpa</v>
      </c>
      <c r="E131" s="39" t="str">
        <f>+VLOOKUP(C131,'[7]CANTIDADES DE OBRA'!$B:$E,3,FALSE)</f>
        <v>M3</v>
      </c>
      <c r="F131" s="39">
        <f>+VLOOKUP(C131,'[7]CANTIDADES DE OBRA'!$B:$E,4,FALSE)</f>
        <v>20.88</v>
      </c>
      <c r="G131" s="65">
        <f t="shared" si="120"/>
        <v>915241.49</v>
      </c>
      <c r="H131" s="43">
        <f t="shared" si="121"/>
        <v>19110242</v>
      </c>
      <c r="I131" s="5"/>
      <c r="J131" s="5"/>
      <c r="K131" s="204">
        <f t="shared" ref="K131" si="127">ROUND(F131*M131,$Q$2)</f>
        <v>19110242</v>
      </c>
      <c r="L131" s="204">
        <f t="shared" ref="L131" si="128">ROUND(F131*N131,$Q$2)</f>
        <v>20065754</v>
      </c>
      <c r="M131" s="200">
        <f>ROUND(VLOOKUP(C131,APUS!H:V,14,0),2)</f>
        <v>915241.49</v>
      </c>
      <c r="N131" s="200">
        <f>ROUND(VLOOKUP(C131,APUS!I:V,13,0),2)</f>
        <v>961003.56</v>
      </c>
      <c r="O131" s="200">
        <f>ROUND(VLOOKUP(C131,APUS!D:Z,23,0),2)</f>
        <v>318582.71000000002</v>
      </c>
      <c r="P131" s="200">
        <f>ROUND(VLOOKUP(C131,APUS!E:Z,22,0),2)</f>
        <v>17311891.100000001</v>
      </c>
      <c r="Q131" s="200">
        <f>ROUND(VLOOKUP(C131,APUS!F:Z,21,0),2)</f>
        <v>0</v>
      </c>
      <c r="R131" s="200">
        <f>ROUND(VLOOKUP(C131,APUS!G:Z,20,0),2)</f>
        <v>1479768.58</v>
      </c>
      <c r="S131" s="201">
        <f t="shared" ref="S131" si="129">SUM(O131:R131)</f>
        <v>19110242.390000001</v>
      </c>
      <c r="T131" s="5"/>
      <c r="U131" s="12"/>
      <c r="V131" s="35" t="str">
        <f t="shared" si="125"/>
        <v>6.05 - Concreto fc 28 Mpa</v>
      </c>
    </row>
    <row r="132" spans="3:22" x14ac:dyDescent="0.25">
      <c r="C132" s="229">
        <f>+ROUNDUP(C131+0.01,2)</f>
        <v>6.06</v>
      </c>
      <c r="D132" s="38" t="str">
        <f>+VLOOKUP(C132,'[7]CANTIDADES DE OBRA'!$B:$E,2,FALSE)</f>
        <v>Acero de refuerzo fy 420 Mpa</v>
      </c>
      <c r="E132" s="39" t="str">
        <f>+VLOOKUP(C132,'[7]CANTIDADES DE OBRA'!$B:$E,3,FALSE)</f>
        <v>Kg</v>
      </c>
      <c r="F132" s="39">
        <f>+VLOOKUP(C132,'[7]CANTIDADES DE OBRA'!$B:$E,4,FALSE)</f>
        <v>2181.4</v>
      </c>
      <c r="G132" s="65">
        <f t="shared" si="120"/>
        <v>7656.07</v>
      </c>
      <c r="H132" s="43">
        <f t="shared" si="121"/>
        <v>16700951</v>
      </c>
      <c r="I132" s="5"/>
      <c r="J132" s="5"/>
      <c r="K132" s="204">
        <f>ROUND(F132*M132,$Q$2)</f>
        <v>16700951</v>
      </c>
      <c r="L132" s="204">
        <f>ROUND(F132*N132,$Q$2)</f>
        <v>17535991</v>
      </c>
      <c r="M132" s="200">
        <f>ROUND(VLOOKUP(C132,APUS!H:V,14,0),2)</f>
        <v>7656.07</v>
      </c>
      <c r="N132" s="200">
        <f>ROUND(VLOOKUP(C132,APUS!I:V,13,0),2)</f>
        <v>8038.87</v>
      </c>
      <c r="O132" s="200">
        <f>ROUND(VLOOKUP(C132,APUS!D:Z,23,0),2)</f>
        <v>291791.7</v>
      </c>
      <c r="P132" s="200">
        <f>ROUND(VLOOKUP(C132,APUS!E:Z,22,0),2)</f>
        <v>10573333.060000001</v>
      </c>
      <c r="Q132" s="200">
        <f>ROUND(VLOOKUP(C132,APUS!F:Z,21,0),2)</f>
        <v>0</v>
      </c>
      <c r="R132" s="200">
        <f>ROUND(VLOOKUP(C132,APUS!G:Z,20,0),2)</f>
        <v>5835833.9800000004</v>
      </c>
      <c r="S132" s="201">
        <f>SUM(O132:R132)</f>
        <v>16700958.74</v>
      </c>
      <c r="T132" s="5"/>
      <c r="U132" s="12"/>
      <c r="V132" s="35" t="str">
        <f t="shared" ref="V132:V133" si="130">CONCATENATE(C132," ","-"," ",D132)</f>
        <v>6.06 - Acero de refuerzo fy 420 Mpa</v>
      </c>
    </row>
    <row r="133" spans="3:22" x14ac:dyDescent="0.25">
      <c r="C133" s="229">
        <f t="shared" si="126"/>
        <v>6.07</v>
      </c>
      <c r="D133" s="38" t="str">
        <f>+VLOOKUP(C133,'[7]CANTIDADES DE OBRA'!$B:$E,2,FALSE)</f>
        <v>Tubería PVC Ø4" perforada para red de drenaje</v>
      </c>
      <c r="E133" s="39" t="str">
        <f>+VLOOKUP(C133,'[7]CANTIDADES DE OBRA'!$B:$E,3,FALSE)</f>
        <v>ML</v>
      </c>
      <c r="F133" s="39">
        <f>+VLOOKUP(C133,'[7]CANTIDADES DE OBRA'!$B:$E,4,FALSE)</f>
        <v>145</v>
      </c>
      <c r="G133" s="65">
        <f t="shared" si="120"/>
        <v>121733.18</v>
      </c>
      <c r="H133" s="43">
        <f t="shared" si="121"/>
        <v>17651311</v>
      </c>
      <c r="I133" s="5"/>
      <c r="J133" s="5"/>
      <c r="K133" s="204">
        <f t="shared" ref="K133" si="131">ROUND(F133*M133,$Q$2)</f>
        <v>17651311</v>
      </c>
      <c r="L133" s="204">
        <f t="shared" ref="L133" si="132">ROUND(F133*N133,$Q$2)</f>
        <v>18533877</v>
      </c>
      <c r="M133" s="200">
        <f>ROUND(VLOOKUP(C133,APUS!H:V,14,0),2)</f>
        <v>121733.18</v>
      </c>
      <c r="N133" s="200">
        <f>ROUND(VLOOKUP(C133,APUS!I:V,13,0),2)</f>
        <v>127819.84</v>
      </c>
      <c r="O133" s="200">
        <f>ROUND(VLOOKUP(C133,APUS!D:Z,23,0),2)</f>
        <v>513808.52</v>
      </c>
      <c r="P133" s="200">
        <f>ROUND(VLOOKUP(C133,APUS!E:Z,22,0),2)</f>
        <v>6861332.21</v>
      </c>
      <c r="Q133" s="200">
        <f>ROUND(VLOOKUP(C133,APUS!F:Z,21,0),2)</f>
        <v>0</v>
      </c>
      <c r="R133" s="200">
        <f>ROUND(VLOOKUP(C133,APUS!G:Z,20,0),2)</f>
        <v>10276170.710000001</v>
      </c>
      <c r="S133" s="201">
        <f t="shared" ref="S133" si="133">SUM(O133:R133)</f>
        <v>17651311.440000001</v>
      </c>
      <c r="T133" s="5"/>
      <c r="U133" s="12"/>
      <c r="V133" s="35" t="str">
        <f t="shared" si="130"/>
        <v>6.07 - Tubería PVC Ø4" perforada para red de drenaje</v>
      </c>
    </row>
    <row r="134" spans="3:22" x14ac:dyDescent="0.25">
      <c r="C134" s="229">
        <f>+ROUNDUP(C133+0.01,2)</f>
        <v>6.08</v>
      </c>
      <c r="D134" s="38" t="str">
        <f>+VLOOKUP(C134,'[7]CANTIDADES DE OBRA'!$B:$E,2,FALSE)</f>
        <v>Tubería PVC Ø6" perforada para red de drenaje</v>
      </c>
      <c r="E134" s="39" t="str">
        <f>+VLOOKUP(C134,'[7]CANTIDADES DE OBRA'!$B:$E,3,FALSE)</f>
        <v>ML</v>
      </c>
      <c r="F134" s="39">
        <f>+VLOOKUP(C134,'[7]CANTIDADES DE OBRA'!$B:$E,4,FALSE)</f>
        <v>46.94</v>
      </c>
      <c r="G134" s="65">
        <f t="shared" si="120"/>
        <v>60136.56</v>
      </c>
      <c r="H134" s="43">
        <f t="shared" si="121"/>
        <v>2822810</v>
      </c>
      <c r="I134" s="5"/>
      <c r="J134" s="5"/>
      <c r="K134" s="204">
        <f>ROUND(F134*M134,$Q$2)</f>
        <v>2822810</v>
      </c>
      <c r="L134" s="204">
        <f>ROUND(F134*N134,$Q$2)</f>
        <v>2963951</v>
      </c>
      <c r="M134" s="200">
        <f>ROUND(VLOOKUP(C134,APUS!H:V,14,0),2)</f>
        <v>60136.56</v>
      </c>
      <c r="N134" s="200">
        <f>ROUND(VLOOKUP(C134,APUS!I:V,13,0),2)</f>
        <v>63143.39</v>
      </c>
      <c r="O134" s="200">
        <f>ROUND(VLOOKUP(C134,APUS!D:Z,23,0),2)</f>
        <v>6278.86</v>
      </c>
      <c r="P134" s="200">
        <f>ROUND(VLOOKUP(C134,APUS!E:Z,22,0),2)</f>
        <v>2690954.37</v>
      </c>
      <c r="Q134" s="200">
        <f>ROUND(VLOOKUP(C134,APUS!F:Z,21,0),2)</f>
        <v>0</v>
      </c>
      <c r="R134" s="200">
        <f>ROUND(VLOOKUP(C134,APUS!G:Z,20,0),2)</f>
        <v>125577.17</v>
      </c>
      <c r="S134" s="201">
        <f>SUM(O134:R134)</f>
        <v>2822810.4</v>
      </c>
      <c r="T134" s="5"/>
      <c r="U134" s="12"/>
      <c r="V134" s="35" t="str">
        <f t="shared" ref="V134:V136" si="134">CONCATENATE(C134," ","-"," ",D134)</f>
        <v>6.08 - Tubería PVC Ø6" perforada para red de drenaje</v>
      </c>
    </row>
    <row r="135" spans="3:22" x14ac:dyDescent="0.25">
      <c r="C135" s="229">
        <f>+ROUNDUP(C134+0.01,2)</f>
        <v>6.09</v>
      </c>
      <c r="D135" s="38" t="str">
        <f>+VLOOKUP(C135,'[7]CANTIDADES DE OBRA'!$B:$E,2,FALSE)</f>
        <v>Codo 45° PVC Ø4"</v>
      </c>
      <c r="E135" s="39" t="str">
        <f>+VLOOKUP(C135,'[7]CANTIDADES DE OBRA'!$B:$E,3,FALSE)</f>
        <v>UND</v>
      </c>
      <c r="F135" s="39">
        <f>+VLOOKUP(C135,'[7]CANTIDADES DE OBRA'!$B:$E,4,FALSE)</f>
        <v>32</v>
      </c>
      <c r="G135" s="65">
        <f t="shared" si="120"/>
        <v>33495.449999999997</v>
      </c>
      <c r="H135" s="43">
        <f t="shared" si="121"/>
        <v>1071854</v>
      </c>
      <c r="I135" s="5"/>
      <c r="J135" s="5"/>
      <c r="K135" s="204">
        <f>ROUND(F135*M135,$Q$2)</f>
        <v>1071854</v>
      </c>
      <c r="L135" s="204">
        <f>ROUND(F135*N135,$Q$2)</f>
        <v>1125447</v>
      </c>
      <c r="M135" s="200">
        <f>ROUND(VLOOKUP(C135,APUS!H:V,14,0),2)</f>
        <v>33495.449999999997</v>
      </c>
      <c r="N135" s="200">
        <f>ROUND(VLOOKUP(C135,APUS!I:V,13,0),2)</f>
        <v>35170.22</v>
      </c>
      <c r="O135" s="200">
        <f>ROUND(VLOOKUP(C135,APUS!D:Z,23,0),2)</f>
        <v>17121.73</v>
      </c>
      <c r="P135" s="200">
        <f>ROUND(VLOOKUP(C135,APUS!E:Z,22,0),2)</f>
        <v>712298.12</v>
      </c>
      <c r="Q135" s="200">
        <f>ROUND(VLOOKUP(C135,APUS!F:Z,21,0),2)</f>
        <v>0</v>
      </c>
      <c r="R135" s="200">
        <f>ROUND(VLOOKUP(C135,APUS!G:Z,20,0),2)</f>
        <v>342434.56</v>
      </c>
      <c r="S135" s="201">
        <f>SUM(O135:R135)</f>
        <v>1071854.4099999999</v>
      </c>
      <c r="T135" s="5"/>
      <c r="U135" s="12"/>
      <c r="V135" s="35" t="str">
        <f t="shared" si="134"/>
        <v>6.09 - Codo 45° PVC Ø4"</v>
      </c>
    </row>
    <row r="136" spans="3:22" x14ac:dyDescent="0.25">
      <c r="C136" s="229">
        <f t="shared" ref="C136" si="135">+ROUNDUP(C135+0.01,2)</f>
        <v>6.1</v>
      </c>
      <c r="D136" s="38" t="str">
        <f>+VLOOKUP(C136,'[7]CANTIDADES DE OBRA'!$B:$E,2,FALSE)</f>
        <v>Silla Yee reducida de Ø6" a Ø4"</v>
      </c>
      <c r="E136" s="39" t="str">
        <f>+VLOOKUP(C136,'[7]CANTIDADES DE OBRA'!$B:$E,3,FALSE)</f>
        <v>UND</v>
      </c>
      <c r="F136" s="39">
        <f>+VLOOKUP(C136,'[7]CANTIDADES DE OBRA'!$B:$E,4,FALSE)</f>
        <v>13</v>
      </c>
      <c r="G136" s="65">
        <f t="shared" si="120"/>
        <v>184781.45</v>
      </c>
      <c r="H136" s="43">
        <f t="shared" si="121"/>
        <v>2402159</v>
      </c>
      <c r="I136" s="5"/>
      <c r="J136" s="5"/>
      <c r="K136" s="204">
        <f t="shared" ref="K136" si="136">ROUND(F136*M136,$Q$2)</f>
        <v>2402159</v>
      </c>
      <c r="L136" s="204">
        <f t="shared" ref="L136" si="137">ROUND(F136*N136,$Q$2)</f>
        <v>2522267</v>
      </c>
      <c r="M136" s="200">
        <f>ROUND(VLOOKUP(C136,APUS!H:V,14,0),2)</f>
        <v>184781.45</v>
      </c>
      <c r="N136" s="200">
        <f>ROUND(VLOOKUP(C136,APUS!I:V,13,0),2)</f>
        <v>194020.52</v>
      </c>
      <c r="O136" s="200">
        <f>ROUND(VLOOKUP(C136,APUS!D:Z,23,0),2)</f>
        <v>6955.7</v>
      </c>
      <c r="P136" s="200">
        <f>ROUND(VLOOKUP(C136,APUS!E:Z,22,0),2)</f>
        <v>2256089.11</v>
      </c>
      <c r="Q136" s="200">
        <f>ROUND(VLOOKUP(C136,APUS!F:Z,21,0),2)</f>
        <v>0</v>
      </c>
      <c r="R136" s="200">
        <f>ROUND(VLOOKUP(C136,APUS!G:Z,20,0),2)</f>
        <v>139114.04</v>
      </c>
      <c r="S136" s="201">
        <f t="shared" ref="S136" si="138">SUM(O136:R136)</f>
        <v>2402158.85</v>
      </c>
      <c r="T136" s="5"/>
      <c r="U136" s="12"/>
      <c r="V136" s="35" t="str">
        <f t="shared" si="134"/>
        <v>6.1 - Silla Yee reducida de Ø6" a Ø4"</v>
      </c>
    </row>
    <row r="137" spans="3:22" x14ac:dyDescent="0.25">
      <c r="C137" s="229">
        <f>+ROUNDUP(C136+0.01,2)</f>
        <v>6.11</v>
      </c>
      <c r="D137" s="38" t="str">
        <f>+VLOOKUP(C137,'[7]CANTIDADES DE OBRA'!$B:$E,2,FALSE)</f>
        <v>Silla Yee Ø4"</v>
      </c>
      <c r="E137" s="39" t="str">
        <f>+VLOOKUP(C137,'[7]CANTIDADES DE OBRA'!$B:$E,3,FALSE)</f>
        <v>UND</v>
      </c>
      <c r="F137" s="39">
        <f>+VLOOKUP(C137,'[7]CANTIDADES DE OBRA'!$B:$E,4,FALSE)</f>
        <v>6</v>
      </c>
      <c r="G137" s="65">
        <f t="shared" si="120"/>
        <v>184781.45</v>
      </c>
      <c r="H137" s="43">
        <f t="shared" si="121"/>
        <v>1108689</v>
      </c>
      <c r="I137" s="5"/>
      <c r="J137" s="5"/>
      <c r="K137" s="204">
        <f>ROUND(F137*M137,$Q$2)</f>
        <v>1108689</v>
      </c>
      <c r="L137" s="204">
        <f>ROUND(F137*N137,$Q$2)</f>
        <v>1164123</v>
      </c>
      <c r="M137" s="200">
        <f>ROUND(VLOOKUP(C137,APUS!H:V,14,0),2)</f>
        <v>184781.45</v>
      </c>
      <c r="N137" s="200">
        <f>ROUND(VLOOKUP(C137,APUS!I:V,13,0),2)</f>
        <v>194020.52</v>
      </c>
      <c r="O137" s="200">
        <f>ROUND(VLOOKUP(C137,APUS!D:Z,23,0),2)</f>
        <v>3210.32</v>
      </c>
      <c r="P137" s="200">
        <f>ROUND(VLOOKUP(C137,APUS!E:Z,22,0),2)</f>
        <v>1041271.9</v>
      </c>
      <c r="Q137" s="200">
        <f>ROUND(VLOOKUP(C137,APUS!F:Z,21,0),2)</f>
        <v>0</v>
      </c>
      <c r="R137" s="200">
        <f>ROUND(VLOOKUP(C137,APUS!G:Z,20,0),2)</f>
        <v>64206.48</v>
      </c>
      <c r="S137" s="201">
        <f>SUM(O137:R137)</f>
        <v>1108688.7</v>
      </c>
      <c r="T137" s="5"/>
      <c r="U137" s="12"/>
      <c r="V137" s="35" t="str">
        <f t="shared" ref="V137" si="139">CONCATENATE(C137," ","-"," ",D137)</f>
        <v>6.11 - Silla Yee Ø4"</v>
      </c>
    </row>
    <row r="138" spans="3:22" ht="15" customHeight="1" thickBot="1" x14ac:dyDescent="0.3">
      <c r="C138" s="337"/>
      <c r="D138" s="4"/>
      <c r="E138" s="16"/>
      <c r="F138" s="16"/>
      <c r="G138" s="204"/>
      <c r="H138" s="338"/>
      <c r="I138" s="5"/>
      <c r="J138" s="5"/>
      <c r="K138" s="204"/>
      <c r="L138" s="204"/>
      <c r="M138" s="200"/>
      <c r="N138" s="200"/>
      <c r="O138" s="200"/>
      <c r="P138" s="200"/>
      <c r="Q138" s="200"/>
      <c r="R138" s="200"/>
      <c r="S138" s="201"/>
      <c r="T138" s="5"/>
      <c r="U138" s="12"/>
    </row>
    <row r="139" spans="3:22" ht="15.75" thickBot="1" x14ac:dyDescent="0.3">
      <c r="C139" s="501" t="s">
        <v>17</v>
      </c>
      <c r="D139" s="502"/>
      <c r="E139" s="502"/>
      <c r="F139" s="502"/>
      <c r="G139" s="502"/>
      <c r="H139" s="239">
        <f>SUM(H9:H138)/2</f>
        <v>770230593</v>
      </c>
      <c r="I139" s="5"/>
      <c r="J139" s="5"/>
      <c r="K139" s="48">
        <f>SUM(K9:K138)/2</f>
        <v>770230593</v>
      </c>
      <c r="L139" s="48">
        <f>SUM(L9:L138)/2</f>
        <v>808742095</v>
      </c>
      <c r="M139" s="48"/>
      <c r="N139" s="48"/>
      <c r="O139" s="48">
        <f>SUM(O9:O138)/2</f>
        <v>7508552.2499999963</v>
      </c>
      <c r="P139" s="48">
        <f>SUM(P9:P138)/2</f>
        <v>633691983.85999978</v>
      </c>
      <c r="Q139" s="48">
        <f>SUM(Q9:Q138)/2</f>
        <v>4068399.9700000016</v>
      </c>
      <c r="R139" s="48">
        <f>SUM(R9:R138)/2</f>
        <v>124961655.54000004</v>
      </c>
      <c r="S139" s="48">
        <f>SUM(S9:S138)/2</f>
        <v>770230591.62000048</v>
      </c>
      <c r="T139" s="48"/>
    </row>
    <row r="140" spans="3:22" s="267" customFormat="1" ht="15" customHeight="1" x14ac:dyDescent="0.25">
      <c r="C140" s="488" t="s">
        <v>18</v>
      </c>
      <c r="D140" s="489"/>
      <c r="E140" s="489"/>
      <c r="F140" s="489"/>
      <c r="G140" s="791">
        <f>+AIU!I58</f>
        <v>0.15189999999999998</v>
      </c>
      <c r="H140" s="350">
        <f>+ROUND($H$139*G140,$Q$2)</f>
        <v>116998027</v>
      </c>
      <c r="I140" s="264"/>
      <c r="J140" s="264"/>
      <c r="K140" s="269"/>
      <c r="L140" s="270"/>
      <c r="M140" s="271"/>
      <c r="N140" s="271"/>
      <c r="O140" s="271"/>
      <c r="P140" s="271"/>
      <c r="Q140" s="271"/>
      <c r="R140" s="271"/>
      <c r="S140" s="272"/>
      <c r="T140" s="264"/>
      <c r="U140" s="266"/>
    </row>
    <row r="141" spans="3:22" s="267" customFormat="1" ht="15" customHeight="1" x14ac:dyDescent="0.25">
      <c r="C141" s="490" t="s">
        <v>19</v>
      </c>
      <c r="D141" s="491"/>
      <c r="E141" s="491"/>
      <c r="F141" s="491"/>
      <c r="G141" s="351">
        <v>0.03</v>
      </c>
      <c r="H141" s="268">
        <f>+ROUND($H$139*G141,$Q$2)</f>
        <v>23106918</v>
      </c>
      <c r="I141" s="264"/>
      <c r="J141" s="264"/>
      <c r="K141" s="269"/>
      <c r="L141" s="270"/>
      <c r="M141" s="271"/>
      <c r="N141" s="271"/>
      <c r="O141" s="271"/>
      <c r="P141" s="271"/>
      <c r="Q141" s="271"/>
      <c r="R141" s="271"/>
      <c r="S141" s="273"/>
      <c r="T141" s="264"/>
      <c r="U141" s="266"/>
    </row>
    <row r="142" spans="3:22" s="267" customFormat="1" ht="15" customHeight="1" x14ac:dyDescent="0.25">
      <c r="C142" s="490" t="s">
        <v>20</v>
      </c>
      <c r="D142" s="491"/>
      <c r="E142" s="491"/>
      <c r="F142" s="491"/>
      <c r="G142" s="351">
        <v>0.05</v>
      </c>
      <c r="H142" s="268">
        <f>+ROUND($H$139*G142,$Q$2)</f>
        <v>38511530</v>
      </c>
      <c r="I142" s="264"/>
      <c r="J142" s="264"/>
      <c r="K142" s="269"/>
      <c r="L142" s="274"/>
      <c r="M142" s="271"/>
      <c r="N142" s="271"/>
      <c r="O142" s="271"/>
      <c r="P142" s="271"/>
      <c r="Q142" s="271"/>
      <c r="R142" s="271"/>
      <c r="S142" s="272"/>
      <c r="T142" s="264"/>
      <c r="U142" s="266"/>
    </row>
    <row r="143" spans="3:22" s="267" customFormat="1" ht="15" customHeight="1" thickBot="1" x14ac:dyDescent="0.3">
      <c r="C143" s="494" t="s">
        <v>897</v>
      </c>
      <c r="D143" s="495"/>
      <c r="E143" s="495"/>
      <c r="F143" s="495"/>
      <c r="G143" s="352"/>
      <c r="H143" s="353">
        <f>+ROUND(H142*0.19,0)</f>
        <v>7317191</v>
      </c>
      <c r="I143" s="264"/>
      <c r="J143" s="264"/>
      <c r="K143" s="445"/>
      <c r="L143" s="274"/>
      <c r="M143" s="271"/>
      <c r="N143" s="271"/>
      <c r="O143" s="271"/>
      <c r="P143" s="271"/>
      <c r="Q143" s="271"/>
      <c r="R143" s="271"/>
      <c r="S143" s="272"/>
      <c r="T143" s="264"/>
      <c r="U143" s="266"/>
    </row>
    <row r="144" spans="3:22" ht="15" customHeight="1" thickBot="1" x14ac:dyDescent="0.3">
      <c r="C144" s="492" t="s">
        <v>22</v>
      </c>
      <c r="D144" s="493"/>
      <c r="E144" s="493"/>
      <c r="F144" s="493"/>
      <c r="G144" s="493"/>
      <c r="H144" s="240">
        <f>+SUM(H140:H143)</f>
        <v>185933666</v>
      </c>
      <c r="I144" s="5"/>
      <c r="J144" s="5"/>
      <c r="K144" s="237"/>
      <c r="L144" s="236"/>
      <c r="M144" s="191"/>
      <c r="N144" s="191"/>
      <c r="O144" s="191"/>
      <c r="P144" s="191"/>
      <c r="Q144" s="191"/>
      <c r="R144" s="191"/>
      <c r="S144" s="198"/>
      <c r="T144" s="5"/>
    </row>
    <row r="145" spans="3:22" s="267" customFormat="1" ht="15" customHeight="1" thickBot="1" x14ac:dyDescent="0.3">
      <c r="C145" s="262"/>
      <c r="D145" s="263"/>
      <c r="E145" s="263"/>
      <c r="F145" s="263"/>
      <c r="G145" s="263"/>
      <c r="H145" s="261"/>
      <c r="I145" s="264"/>
      <c r="J145" s="264"/>
      <c r="K145" s="265"/>
      <c r="L145" s="265"/>
      <c r="M145" s="265"/>
      <c r="N145" s="265"/>
      <c r="O145" s="265"/>
      <c r="P145" s="265"/>
      <c r="Q145" s="265"/>
      <c r="R145" s="265"/>
      <c r="S145" s="265"/>
      <c r="T145" s="265"/>
      <c r="U145" s="266"/>
    </row>
    <row r="146" spans="3:22" ht="15" customHeight="1" thickBot="1" x14ac:dyDescent="0.3">
      <c r="C146" s="492" t="s">
        <v>23</v>
      </c>
      <c r="D146" s="493"/>
      <c r="E146" s="493"/>
      <c r="F146" s="493"/>
      <c r="G146" s="493"/>
      <c r="H146" s="240">
        <f>H139+H144</f>
        <v>956164259</v>
      </c>
      <c r="I146" s="5"/>
      <c r="J146" s="5"/>
      <c r="K146"/>
      <c r="L146"/>
      <c r="M146" s="191"/>
      <c r="N146" s="191"/>
      <c r="O146" s="191"/>
      <c r="P146" s="191"/>
      <c r="Q146" s="191"/>
      <c r="R146" s="191"/>
      <c r="S146" s="198"/>
      <c r="T146" s="5"/>
      <c r="V146" s="52"/>
    </row>
    <row r="147" spans="3:22" x14ac:dyDescent="0.25">
      <c r="C147" s="3"/>
      <c r="D147" s="4"/>
      <c r="E147" s="3"/>
      <c r="F147" s="5"/>
      <c r="G147" s="5"/>
      <c r="H147" s="6"/>
      <c r="I147" s="5"/>
      <c r="J147" s="5"/>
      <c r="K147"/>
      <c r="L147"/>
      <c r="M147" s="191"/>
      <c r="N147" s="191"/>
      <c r="O147" s="191"/>
      <c r="P147" s="191"/>
      <c r="Q147" s="191"/>
      <c r="R147" s="191"/>
      <c r="S147" s="198"/>
      <c r="T147" s="5"/>
    </row>
    <row r="148" spans="3:22" ht="15" customHeight="1" x14ac:dyDescent="0.25">
      <c r="C148" s="2" t="s">
        <v>127</v>
      </c>
      <c r="D148" s="4"/>
      <c r="E148" s="223" t="s">
        <v>631</v>
      </c>
      <c r="F148" s="218"/>
      <c r="G148" s="5"/>
      <c r="H148" s="6"/>
      <c r="I148" s="5"/>
      <c r="J148" s="5"/>
      <c r="K148"/>
      <c r="L148"/>
      <c r="M148" s="233"/>
      <c r="N148" s="191"/>
      <c r="O148" s="191"/>
      <c r="P148" s="191"/>
      <c r="Q148" s="191"/>
      <c r="R148" s="194"/>
      <c r="S148" s="198"/>
      <c r="T148" s="5"/>
    </row>
    <row r="149" spans="3:22" x14ac:dyDescent="0.25">
      <c r="C149" s="3"/>
      <c r="D149" s="4"/>
      <c r="E149" s="3"/>
      <c r="F149" s="5"/>
      <c r="G149" s="5"/>
      <c r="H149" s="6"/>
      <c r="I149" s="5"/>
      <c r="J149" s="5"/>
      <c r="K149"/>
      <c r="L149"/>
      <c r="M149" s="191"/>
      <c r="N149" s="191"/>
      <c r="O149" s="191"/>
      <c r="P149" s="191"/>
      <c r="Q149" s="191"/>
      <c r="R149" s="191"/>
      <c r="S149" s="198"/>
      <c r="T149" s="5"/>
    </row>
    <row r="150" spans="3:22" x14ac:dyDescent="0.25">
      <c r="C150" s="3"/>
      <c r="D150" s="4"/>
      <c r="E150" s="3"/>
      <c r="F150" s="5"/>
      <c r="G150" s="30"/>
      <c r="H150" s="31"/>
      <c r="I150" s="5"/>
      <c r="J150" s="5"/>
      <c r="K150"/>
      <c r="L150"/>
      <c r="M150" s="193"/>
      <c r="N150" s="191"/>
      <c r="O150" s="194"/>
      <c r="P150" s="195"/>
      <c r="Q150" s="195"/>
      <c r="R150" s="191"/>
      <c r="S150" s="191"/>
      <c r="T150" s="5"/>
    </row>
    <row r="151" spans="3:22" x14ac:dyDescent="0.25">
      <c r="C151" s="53"/>
      <c r="D151" s="4"/>
      <c r="E151" s="3"/>
      <c r="F151" s="5"/>
      <c r="G151" s="5"/>
      <c r="H151" s="6"/>
      <c r="I151" s="5"/>
      <c r="J151" s="5"/>
      <c r="K151"/>
      <c r="L151"/>
      <c r="M151" s="193"/>
      <c r="N151" s="191"/>
      <c r="O151" s="194"/>
      <c r="P151" s="195"/>
      <c r="Q151" s="195"/>
      <c r="R151" s="191"/>
      <c r="S151" s="191"/>
      <c r="T151" s="5"/>
    </row>
    <row r="152" spans="3:22" x14ac:dyDescent="0.25">
      <c r="C152" s="219" t="str">
        <f>INFORMACION!C25</f>
        <v>ING. EDGAR VILLEGAS PALLARES</v>
      </c>
      <c r="D152" s="219"/>
      <c r="E152" s="219">
        <f>INFORMACION!C14</f>
        <v>0</v>
      </c>
      <c r="F152" s="219"/>
      <c r="G152" s="219"/>
      <c r="H152" s="219"/>
      <c r="K152"/>
      <c r="L152"/>
    </row>
    <row r="153" spans="3:22" x14ac:dyDescent="0.25">
      <c r="C153" s="220" t="str">
        <f>INFORMACION!C26</f>
        <v>MP 54202136467 NTS</v>
      </c>
      <c r="D153" s="220"/>
      <c r="E153" s="220">
        <f>INFORMACION!$C$15</f>
        <v>0</v>
      </c>
      <c r="F153" s="220"/>
      <c r="G153" s="220"/>
      <c r="H153" s="220"/>
      <c r="K153"/>
      <c r="L153"/>
    </row>
    <row r="154" spans="3:22" x14ac:dyDescent="0.25">
      <c r="C154" s="54"/>
      <c r="E154" s="220" t="str">
        <f>INFORMACION!$C$16</f>
        <v>ARAUCA, ARAUCA</v>
      </c>
      <c r="F154" s="220"/>
      <c r="G154" s="220"/>
      <c r="H154" s="220"/>
      <c r="K154"/>
      <c r="L154"/>
    </row>
    <row r="156" spans="3:22" x14ac:dyDescent="0.25">
      <c r="K156"/>
      <c r="L156"/>
    </row>
    <row r="157" spans="3:22" x14ac:dyDescent="0.25">
      <c r="K157"/>
      <c r="L157"/>
    </row>
    <row r="158" spans="3:22" x14ac:dyDescent="0.25">
      <c r="K158"/>
      <c r="L158"/>
    </row>
    <row r="159" spans="3:22" x14ac:dyDescent="0.25">
      <c r="K159"/>
      <c r="L159"/>
    </row>
    <row r="160" spans="3:22" x14ac:dyDescent="0.25">
      <c r="K160"/>
      <c r="L160"/>
    </row>
    <row r="161" spans="11:12" x14ac:dyDescent="0.25">
      <c r="K161"/>
      <c r="L161"/>
    </row>
    <row r="162" spans="11:12" x14ac:dyDescent="0.25">
      <c r="K162"/>
      <c r="L162"/>
    </row>
    <row r="163" spans="11:12" x14ac:dyDescent="0.25">
      <c r="K163"/>
      <c r="L163"/>
    </row>
    <row r="164" spans="11:12" x14ac:dyDescent="0.25">
      <c r="K164"/>
      <c r="L164"/>
    </row>
    <row r="165" spans="11:12" x14ac:dyDescent="0.25">
      <c r="K165"/>
      <c r="L165"/>
    </row>
    <row r="166" spans="11:12" x14ac:dyDescent="0.25">
      <c r="K166"/>
      <c r="L166"/>
    </row>
    <row r="167" spans="11:12" x14ac:dyDescent="0.25">
      <c r="K167"/>
      <c r="L167"/>
    </row>
  </sheetData>
  <mergeCells count="13">
    <mergeCell ref="C4:E4"/>
    <mergeCell ref="C8:H8"/>
    <mergeCell ref="C139:G139"/>
    <mergeCell ref="H2:H3"/>
    <mergeCell ref="D3:G3"/>
    <mergeCell ref="C2:G2"/>
    <mergeCell ref="F4:G4"/>
    <mergeCell ref="C140:F140"/>
    <mergeCell ref="C141:F141"/>
    <mergeCell ref="C142:F142"/>
    <mergeCell ref="C144:G144"/>
    <mergeCell ref="C146:G146"/>
    <mergeCell ref="C143:F143"/>
  </mergeCells>
  <phoneticPr fontId="20" type="noConversion"/>
  <dataValidations disablePrompts="1" count="1">
    <dataValidation type="list" allowBlank="1" showInputMessage="1" showErrorMessage="1" promptTitle="Seleccione" prompt="Escoja una de las opciones" sqref="Q1" xr:uid="{00000000-0002-0000-0100-000000000000}">
      <formula1>$S$1:$S$2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5" fitToHeight="0" orientation="portrait" r:id="rId1"/>
  <rowBreaks count="1" manualBreakCount="1">
    <brk id="75" min="2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6D8A-40BA-4912-B804-B9B9A110CDDF}">
  <sheetPr>
    <pageSetUpPr fitToPage="1"/>
  </sheetPr>
  <dimension ref="C1:AE5954"/>
  <sheetViews>
    <sheetView view="pageBreakPreview" topLeftCell="K3697" zoomScale="80" zoomScaleNormal="80" zoomScaleSheetLayoutView="80" workbookViewId="0">
      <selection activeCell="N3725" sqref="N3725:U3725"/>
    </sheetView>
  </sheetViews>
  <sheetFormatPr baseColWidth="10" defaultRowHeight="15" x14ac:dyDescent="0.25"/>
  <cols>
    <col min="1" max="2" width="3.42578125" customWidth="1"/>
    <col min="3" max="8" width="6" bestFit="1" customWidth="1"/>
    <col min="9" max="9" width="5.5703125" bestFit="1" customWidth="1"/>
    <col min="10" max="10" width="6" bestFit="1" customWidth="1"/>
    <col min="11" max="11" width="7.85546875" customWidth="1"/>
    <col min="12" max="12" width="2.85546875" customWidth="1"/>
    <col min="14" max="14" width="16.28515625" customWidth="1"/>
    <col min="18" max="18" width="13" bestFit="1" customWidth="1"/>
    <col min="20" max="20" width="13.28515625" customWidth="1"/>
    <col min="21" max="21" width="14.140625" bestFit="1" customWidth="1"/>
    <col min="22" max="22" width="21.140625" customWidth="1"/>
    <col min="23" max="23" width="2.85546875" customWidth="1"/>
    <col min="25" max="25" width="15.140625" bestFit="1" customWidth="1"/>
    <col min="26" max="26" width="21.7109375" bestFit="1" customWidth="1"/>
    <col min="28" max="28" width="21.7109375" bestFit="1" customWidth="1"/>
    <col min="29" max="29" width="20.28515625" customWidth="1"/>
    <col min="30" max="30" width="12.7109375" customWidth="1"/>
  </cols>
  <sheetData>
    <row r="1" spans="3:31" s="260" customFormat="1" ht="15.75" thickBot="1" x14ac:dyDescent="0.3"/>
    <row r="2" spans="3:31" s="260" customFormat="1" ht="20.25" x14ac:dyDescent="0.25">
      <c r="M2" s="612" t="s">
        <v>123</v>
      </c>
      <c r="N2" s="613"/>
      <c r="O2" s="613"/>
      <c r="P2" s="613"/>
      <c r="Q2" s="613"/>
      <c r="R2" s="613"/>
      <c r="S2" s="613"/>
      <c r="T2" s="613"/>
      <c r="U2" s="614"/>
      <c r="V2" s="606"/>
      <c r="Z2" s="188"/>
      <c r="AA2" s="553"/>
      <c r="AB2" s="553"/>
      <c r="AC2" s="553"/>
    </row>
    <row r="3" spans="3:31" s="260" customFormat="1" x14ac:dyDescent="0.25">
      <c r="M3" s="618" t="s">
        <v>126</v>
      </c>
      <c r="N3" s="619"/>
      <c r="O3" s="609">
        <f>+INFORMACION!$A$12</f>
        <v>0</v>
      </c>
      <c r="P3" s="610"/>
      <c r="Q3" s="610"/>
      <c r="R3" s="610"/>
      <c r="S3" s="610"/>
      <c r="T3" s="610"/>
      <c r="U3" s="611"/>
      <c r="V3" s="607"/>
      <c r="AA3" s="86"/>
      <c r="AB3" s="553"/>
      <c r="AC3" s="553"/>
      <c r="AD3" s="553"/>
    </row>
    <row r="4" spans="3:31" s="260" customFormat="1" ht="15.75" thickBot="1" x14ac:dyDescent="0.3">
      <c r="M4" s="599" t="s">
        <v>25</v>
      </c>
      <c r="N4" s="600"/>
      <c r="O4" s="578" t="str">
        <f>+INFORMACION!A3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P4" s="579"/>
      <c r="Q4" s="579"/>
      <c r="R4" s="579"/>
      <c r="S4" s="579"/>
      <c r="T4" s="579"/>
      <c r="U4" s="580"/>
      <c r="V4" s="608"/>
    </row>
    <row r="5" spans="3:31" s="260" customFormat="1" x14ac:dyDescent="0.25">
      <c r="M5" s="599" t="s">
        <v>38</v>
      </c>
      <c r="N5" s="600"/>
      <c r="O5" s="601" t="str">
        <f>+INFORMACION!$C$16</f>
        <v>ARAUCA, ARAUCA</v>
      </c>
      <c r="P5" s="601"/>
      <c r="Q5" s="601"/>
      <c r="R5" s="601"/>
      <c r="S5" s="600" t="s">
        <v>31</v>
      </c>
      <c r="T5" s="600"/>
      <c r="U5" s="562" t="str">
        <f>+INFORMACION!A9</f>
        <v>MARZO DE 2025</v>
      </c>
      <c r="V5" s="617"/>
      <c r="AA5" s="120">
        <v>2</v>
      </c>
      <c r="AB5" s="615" t="s">
        <v>3</v>
      </c>
      <c r="AC5" s="616"/>
      <c r="AD5" s="577"/>
    </row>
    <row r="6" spans="3:31" s="260" customFormat="1" x14ac:dyDescent="0.25">
      <c r="M6" s="620" t="s">
        <v>124</v>
      </c>
      <c r="N6" s="595"/>
      <c r="O6" s="595"/>
      <c r="P6" s="595"/>
      <c r="Q6" s="595"/>
      <c r="R6" s="596" t="s">
        <v>125</v>
      </c>
      <c r="S6" s="595"/>
      <c r="T6" s="595"/>
      <c r="U6" s="595"/>
      <c r="V6" s="598"/>
      <c r="AA6" s="360">
        <f>+AIU!D9</f>
        <v>0.15189999999999998</v>
      </c>
      <c r="AB6" s="590" t="s">
        <v>138</v>
      </c>
      <c r="AC6" s="591"/>
      <c r="AD6" s="592"/>
    </row>
    <row r="7" spans="3:31" s="260" customFormat="1" x14ac:dyDescent="0.25">
      <c r="M7" s="620"/>
      <c r="N7" s="602"/>
      <c r="O7" s="602"/>
      <c r="P7" s="602"/>
      <c r="Q7" s="602"/>
      <c r="R7" s="596"/>
      <c r="S7" s="602"/>
      <c r="T7" s="602"/>
      <c r="U7" s="602"/>
      <c r="V7" s="603"/>
      <c r="AA7" s="360">
        <f>+AIU!D10</f>
        <v>0.03</v>
      </c>
      <c r="AB7" s="590" t="s">
        <v>19</v>
      </c>
      <c r="AC7" s="591"/>
      <c r="AD7" s="592"/>
    </row>
    <row r="8" spans="3:31" s="260" customFormat="1" ht="15.75" thickBot="1" x14ac:dyDescent="0.3">
      <c r="M8" s="621"/>
      <c r="N8" s="604"/>
      <c r="O8" s="604"/>
      <c r="P8" s="604"/>
      <c r="Q8" s="604"/>
      <c r="R8" s="597"/>
      <c r="S8" s="604"/>
      <c r="T8" s="604"/>
      <c r="U8" s="604"/>
      <c r="V8" s="605"/>
      <c r="AA8" s="360">
        <f>+AIU!D11</f>
        <v>0.05</v>
      </c>
      <c r="AB8" s="590" t="s">
        <v>139</v>
      </c>
      <c r="AC8" s="591"/>
      <c r="AD8" s="592"/>
    </row>
    <row r="9" spans="3:31" s="260" customFormat="1" ht="15.75" thickBot="1" x14ac:dyDescent="0.3">
      <c r="AA9" s="360">
        <v>0</v>
      </c>
      <c r="AB9" s="590" t="s">
        <v>137</v>
      </c>
      <c r="AC9" s="591"/>
      <c r="AD9" s="592"/>
    </row>
    <row r="10" spans="3:31" s="260" customFormat="1" ht="15.75" thickBot="1" x14ac:dyDescent="0.3">
      <c r="M10" s="622" t="s">
        <v>87</v>
      </c>
      <c r="N10" s="623"/>
      <c r="O10" s="623"/>
      <c r="P10" s="623"/>
      <c r="Q10" s="623"/>
      <c r="R10" s="623"/>
      <c r="S10" s="623"/>
      <c r="T10" s="623"/>
      <c r="U10" s="623"/>
      <c r="V10" s="624"/>
      <c r="AA10" s="360">
        <v>0.05</v>
      </c>
      <c r="AB10" s="590" t="s">
        <v>99</v>
      </c>
      <c r="AC10" s="591"/>
      <c r="AD10" s="592"/>
    </row>
    <row r="11" spans="3:31" s="260" customFormat="1" ht="15.75" thickBot="1" x14ac:dyDescent="0.3">
      <c r="M11" s="71"/>
      <c r="N11" s="72"/>
      <c r="O11" s="72"/>
      <c r="P11" s="72"/>
      <c r="Q11" s="71"/>
      <c r="R11" s="71"/>
      <c r="S11" s="71"/>
      <c r="T11" s="73"/>
      <c r="U11" s="73"/>
      <c r="V11" s="361"/>
      <c r="AA11" s="362">
        <v>11.2</v>
      </c>
      <c r="AB11" s="590" t="s">
        <v>632</v>
      </c>
      <c r="AC11" s="591"/>
      <c r="AD11" s="592"/>
    </row>
    <row r="12" spans="3:31" s="260" customFormat="1" ht="15.75" thickBot="1" x14ac:dyDescent="0.3">
      <c r="M12" s="363" t="s">
        <v>88</v>
      </c>
      <c r="N12" s="364" t="s">
        <v>89</v>
      </c>
      <c r="O12" s="550" t="s">
        <v>90</v>
      </c>
      <c r="P12" s="551"/>
      <c r="Q12" s="551"/>
      <c r="R12" s="551"/>
      <c r="S12" s="551"/>
      <c r="T12" s="551"/>
      <c r="U12" s="552"/>
      <c r="V12" s="74" t="s">
        <v>91</v>
      </c>
      <c r="Y12" s="365" t="s">
        <v>104</v>
      </c>
      <c r="Z12" s="94"/>
      <c r="AA12" s="366">
        <v>23.1</v>
      </c>
      <c r="AB12" s="593" t="s">
        <v>141</v>
      </c>
      <c r="AC12" s="593"/>
      <c r="AD12" s="594"/>
      <c r="AE12" s="94"/>
    </row>
    <row r="13" spans="3:31" s="260" customFormat="1" ht="15.75" thickBot="1" x14ac:dyDescent="0.3">
      <c r="C13" s="369" t="str">
        <f>+N13</f>
        <v>C3000</v>
      </c>
      <c r="D13" s="86"/>
      <c r="E13" s="86"/>
      <c r="F13" s="86"/>
      <c r="G13" s="86"/>
      <c r="H13" s="86"/>
      <c r="I13" s="86"/>
      <c r="J13" s="86"/>
      <c r="K13" s="370"/>
      <c r="M13" s="75" t="s">
        <v>92</v>
      </c>
      <c r="N13" s="371" t="s">
        <v>563</v>
      </c>
      <c r="O13" s="554" t="str">
        <f>IFERROR(VLOOKUP(N13,INSUMOS!$C$8:$K$928,2,0),"-----")</f>
        <v>CONCRETO DE 3.000 PSI</v>
      </c>
      <c r="P13" s="555"/>
      <c r="Q13" s="555"/>
      <c r="R13" s="555"/>
      <c r="S13" s="555"/>
      <c r="T13" s="555"/>
      <c r="U13" s="556"/>
      <c r="V13" s="76" t="str">
        <f>IFERROR(VLOOKUP(N13,INSUMOS!$C$8:$K$928,6,0),"-----")</f>
        <v>m3</v>
      </c>
      <c r="W13" s="372">
        <f>+U52</f>
        <v>789152.76</v>
      </c>
      <c r="Y13" s="373">
        <f>SUMIFS($Y$183:$Y$5714,$M$183:$M$5714,N13)</f>
        <v>3.9874999999999998</v>
      </c>
      <c r="Z13" s="94"/>
      <c r="AA13" s="86"/>
      <c r="AB13" s="94"/>
      <c r="AC13" s="94"/>
      <c r="AD13" s="94"/>
      <c r="AE13" s="94"/>
    </row>
    <row r="14" spans="3:31" s="260" customFormat="1" ht="15.75" thickBot="1" x14ac:dyDescent="0.3">
      <c r="C14" s="84"/>
      <c r="D14" s="86"/>
      <c r="E14" s="86"/>
      <c r="F14" s="86"/>
      <c r="G14" s="86"/>
      <c r="H14" s="86"/>
      <c r="I14" s="86"/>
      <c r="J14" s="86"/>
      <c r="K14" s="88"/>
      <c r="M14" s="557"/>
      <c r="N14" s="557"/>
      <c r="O14" s="557"/>
      <c r="P14" s="557"/>
      <c r="Q14" s="557"/>
      <c r="R14" s="557"/>
      <c r="S14" s="557"/>
      <c r="T14" s="557"/>
      <c r="U14" s="557"/>
      <c r="V14" s="557"/>
      <c r="Y14" s="374"/>
      <c r="Z14" s="94"/>
      <c r="AA14" s="86"/>
      <c r="AB14" s="94"/>
      <c r="AC14" s="94"/>
      <c r="AD14" s="94"/>
      <c r="AE14" s="94"/>
    </row>
    <row r="15" spans="3:31" s="260" customFormat="1" ht="15.75" thickBot="1" x14ac:dyDescent="0.3">
      <c r="C15" s="84"/>
      <c r="D15" s="375" t="s">
        <v>128</v>
      </c>
      <c r="E15" s="376" t="s">
        <v>129</v>
      </c>
      <c r="F15" s="376" t="s">
        <v>130</v>
      </c>
      <c r="G15" s="376" t="s">
        <v>131</v>
      </c>
      <c r="H15" s="376" t="s">
        <v>132</v>
      </c>
      <c r="I15" s="376" t="s">
        <v>133</v>
      </c>
      <c r="J15" s="377" t="s">
        <v>134</v>
      </c>
      <c r="K15" s="88"/>
      <c r="M15" s="558" t="s">
        <v>93</v>
      </c>
      <c r="N15" s="559"/>
      <c r="O15" s="559"/>
      <c r="P15" s="559"/>
      <c r="Q15" s="559"/>
      <c r="R15" s="559"/>
      <c r="S15" s="559"/>
      <c r="T15" s="559"/>
      <c r="U15" s="559"/>
      <c r="V15" s="560"/>
      <c r="Y15" s="378"/>
      <c r="Z15" s="121"/>
      <c r="AA15" s="86"/>
      <c r="AB15" s="513"/>
      <c r="AC15" s="514"/>
      <c r="AD15" s="94"/>
      <c r="AE15" s="379"/>
    </row>
    <row r="16" spans="3:31" s="260" customFormat="1" x14ac:dyDescent="0.25">
      <c r="C16" s="84"/>
      <c r="D16" s="380"/>
      <c r="E16" s="381"/>
      <c r="F16" s="381"/>
      <c r="G16" s="381"/>
      <c r="H16" s="381"/>
      <c r="I16" s="381"/>
      <c r="J16" s="382"/>
      <c r="K16" s="88"/>
      <c r="M16" s="99" t="s">
        <v>94</v>
      </c>
      <c r="N16" s="561" t="s">
        <v>95</v>
      </c>
      <c r="O16" s="561"/>
      <c r="P16" s="561"/>
      <c r="Q16" s="561"/>
      <c r="R16" s="95" t="s">
        <v>96</v>
      </c>
      <c r="S16" s="95" t="s">
        <v>97</v>
      </c>
      <c r="T16" s="562" t="s">
        <v>8</v>
      </c>
      <c r="U16" s="562"/>
      <c r="V16" s="100" t="s">
        <v>98</v>
      </c>
      <c r="Y16" s="383" t="s">
        <v>104</v>
      </c>
      <c r="Z16" s="119" t="s">
        <v>9</v>
      </c>
      <c r="AA16" s="86"/>
      <c r="AB16" s="384"/>
      <c r="AC16" s="385"/>
      <c r="AD16" s="94"/>
      <c r="AE16" s="386"/>
    </row>
    <row r="17" spans="3:31" s="260" customFormat="1" x14ac:dyDescent="0.25">
      <c r="C17" s="84"/>
      <c r="D17" s="85"/>
      <c r="E17" s="86"/>
      <c r="F17" s="86"/>
      <c r="G17" s="86"/>
      <c r="H17" s="86"/>
      <c r="I17" s="86"/>
      <c r="J17" s="87"/>
      <c r="K17" s="88"/>
      <c r="M17" s="102"/>
      <c r="N17" s="533" t="s">
        <v>99</v>
      </c>
      <c r="O17" s="533"/>
      <c r="P17" s="533"/>
      <c r="Q17" s="533"/>
      <c r="R17" s="78" t="s">
        <v>100</v>
      </c>
      <c r="S17" s="387">
        <f>+$AA$10</f>
        <v>0.05</v>
      </c>
      <c r="T17" s="563">
        <f>V50</f>
        <v>91425.600000000006</v>
      </c>
      <c r="U17" s="563"/>
      <c r="V17" s="389">
        <f>+IFERROR(T17*S17,0)</f>
        <v>4571.2800000000007</v>
      </c>
      <c r="Y17" s="390"/>
      <c r="Z17" s="391">
        <f>Y13*V17</f>
        <v>18227.979000000003</v>
      </c>
      <c r="AA17" s="86"/>
      <c r="AB17" s="384"/>
      <c r="AC17" s="385"/>
      <c r="AD17" s="94"/>
      <c r="AE17" s="386" t="str">
        <f>+IF(V17=0,"CERO","NO")</f>
        <v>NO</v>
      </c>
    </row>
    <row r="18" spans="3:31" s="260" customFormat="1" x14ac:dyDescent="0.25">
      <c r="C18" s="84"/>
      <c r="D18" s="85"/>
      <c r="E18" s="86"/>
      <c r="F18" s="86"/>
      <c r="G18" s="86"/>
      <c r="H18" s="86"/>
      <c r="I18" s="86"/>
      <c r="J18" s="87"/>
      <c r="K18" s="88"/>
      <c r="M18" s="106">
        <v>8</v>
      </c>
      <c r="N18" s="533" t="str">
        <f>IFERROR(VLOOKUP(M18,INSUMOS!$C$8:$K$928,2,0),"-----")</f>
        <v>MEZCLADORA DE CONCRETO</v>
      </c>
      <c r="O18" s="533"/>
      <c r="P18" s="533"/>
      <c r="Q18" s="533"/>
      <c r="R18" s="78" t="str">
        <f>IFERROR(VLOOKUP(M18,INSUMOS!$C$8:$K$928,6,0),"-----")</f>
        <v>dia</v>
      </c>
      <c r="S18" s="392">
        <v>0.1</v>
      </c>
      <c r="T18" s="529">
        <f>IFERROR(VLOOKUP(M18,INSUMOS!$C$8:$K$928,7,0),"0")</f>
        <v>85000</v>
      </c>
      <c r="U18" s="529"/>
      <c r="V18" s="389">
        <f>+IFERROR(T18*S18,0)</f>
        <v>8500</v>
      </c>
      <c r="Y18" s="393">
        <f>+IFERROR(Y13*S18,0)</f>
        <v>0.39874999999999999</v>
      </c>
      <c r="Z18" s="391">
        <f>Y13*V18</f>
        <v>33893.75</v>
      </c>
      <c r="AA18" s="394"/>
      <c r="AB18" s="395">
        <f>+Y18*T18</f>
        <v>33893.75</v>
      </c>
      <c r="AC18" s="93">
        <f>+AB18-Z18</f>
        <v>0</v>
      </c>
      <c r="AD18" s="94"/>
      <c r="AE18" s="386" t="str">
        <f>+IF(V18=0,"CERO","NO")</f>
        <v>NO</v>
      </c>
    </row>
    <row r="19" spans="3:31" s="260" customFormat="1" x14ac:dyDescent="0.25">
      <c r="C19" s="84"/>
      <c r="D19" s="85"/>
      <c r="E19" s="86"/>
      <c r="F19" s="86"/>
      <c r="G19" s="86"/>
      <c r="H19" s="86"/>
      <c r="I19" s="86"/>
      <c r="J19" s="87"/>
      <c r="K19" s="88"/>
      <c r="M19" s="102">
        <v>0</v>
      </c>
      <c r="N19" s="533"/>
      <c r="O19" s="533"/>
      <c r="P19" s="533"/>
      <c r="Q19" s="533"/>
      <c r="R19" s="78"/>
      <c r="S19" s="396"/>
      <c r="T19" s="529"/>
      <c r="U19" s="529"/>
      <c r="V19" s="397"/>
      <c r="Y19" s="393">
        <f>+IFERROR(Y13*S19,0)</f>
        <v>0</v>
      </c>
      <c r="Z19" s="391">
        <f>Y13*V19</f>
        <v>0</v>
      </c>
      <c r="AA19" s="394"/>
      <c r="AB19" s="395">
        <f>+Y19*T19</f>
        <v>0</v>
      </c>
      <c r="AC19" s="93">
        <f>+AB19-Z19</f>
        <v>0</v>
      </c>
      <c r="AD19" s="94"/>
      <c r="AE19" s="386" t="str">
        <f>+IF(V19=0,"CERO","NO")</f>
        <v>CERO</v>
      </c>
    </row>
    <row r="20" spans="3:31" s="260" customFormat="1" x14ac:dyDescent="0.25">
      <c r="C20" s="84"/>
      <c r="D20" s="85"/>
      <c r="E20" s="86"/>
      <c r="F20" s="86"/>
      <c r="G20" s="86"/>
      <c r="H20" s="86"/>
      <c r="I20" s="86"/>
      <c r="J20" s="87"/>
      <c r="K20" s="88"/>
      <c r="M20" s="102">
        <v>0</v>
      </c>
      <c r="N20" s="533"/>
      <c r="O20" s="533"/>
      <c r="P20" s="533"/>
      <c r="Q20" s="533"/>
      <c r="R20" s="78"/>
      <c r="S20" s="396"/>
      <c r="T20" s="529"/>
      <c r="U20" s="529"/>
      <c r="V20" s="397"/>
      <c r="Y20" s="393">
        <f>+IFERROR(Y13*S20,0)</f>
        <v>0</v>
      </c>
      <c r="Z20" s="391">
        <f>Y13*V20</f>
        <v>0</v>
      </c>
      <c r="AA20" s="394"/>
      <c r="AB20" s="395">
        <f>+Y20*T20</f>
        <v>0</v>
      </c>
      <c r="AC20" s="93">
        <f>+AB20-Z20</f>
        <v>0</v>
      </c>
      <c r="AD20" s="94"/>
      <c r="AE20" s="386" t="str">
        <f>+IF(V20=0,"CERO","NO")</f>
        <v>CERO</v>
      </c>
    </row>
    <row r="21" spans="3:31" s="260" customFormat="1" ht="15.75" thickBot="1" x14ac:dyDescent="0.3">
      <c r="C21" s="84"/>
      <c r="D21" s="85"/>
      <c r="E21" s="86"/>
      <c r="F21" s="86"/>
      <c r="G21" s="86"/>
      <c r="H21" s="86"/>
      <c r="I21" s="86"/>
      <c r="J21" s="87"/>
      <c r="K21" s="88"/>
      <c r="M21" s="102">
        <v>0</v>
      </c>
      <c r="N21" s="564"/>
      <c r="O21" s="564"/>
      <c r="P21" s="564"/>
      <c r="Q21" s="564"/>
      <c r="R21" s="96"/>
      <c r="S21" s="96"/>
      <c r="T21" s="565"/>
      <c r="U21" s="565"/>
      <c r="V21" s="101"/>
      <c r="Y21" s="393">
        <f>+IFERROR(Y13*S21,0)</f>
        <v>0</v>
      </c>
      <c r="Z21" s="391">
        <f>Y13*V21</f>
        <v>0</v>
      </c>
      <c r="AA21" s="394"/>
      <c r="AB21" s="395">
        <f>+Y21*T21</f>
        <v>0</v>
      </c>
      <c r="AC21" s="93">
        <f>+AB21-Z21</f>
        <v>0</v>
      </c>
      <c r="AD21" s="94"/>
      <c r="AE21" s="386" t="str">
        <f>+IF(V21=0,"CERO","NO")</f>
        <v>CERO</v>
      </c>
    </row>
    <row r="22" spans="3:31" s="260" customFormat="1" ht="15.75" thickBot="1" x14ac:dyDescent="0.3">
      <c r="C22" s="84"/>
      <c r="D22" s="375" t="s">
        <v>128</v>
      </c>
      <c r="E22" s="376" t="s">
        <v>129</v>
      </c>
      <c r="F22" s="376" t="s">
        <v>130</v>
      </c>
      <c r="G22" s="376" t="s">
        <v>131</v>
      </c>
      <c r="H22" s="376" t="s">
        <v>132</v>
      </c>
      <c r="I22" s="376" t="s">
        <v>133</v>
      </c>
      <c r="J22" s="377" t="s">
        <v>134</v>
      </c>
      <c r="K22" s="88"/>
      <c r="M22" s="534"/>
      <c r="N22" s="536" t="s">
        <v>101</v>
      </c>
      <c r="O22" s="536"/>
      <c r="P22" s="536"/>
      <c r="Q22" s="536"/>
      <c r="R22" s="536"/>
      <c r="S22" s="536"/>
      <c r="T22" s="536"/>
      <c r="U22" s="536"/>
      <c r="V22" s="389">
        <f>+SUM(V17:V21)</f>
        <v>13071.28</v>
      </c>
      <c r="Y22" s="398" t="s">
        <v>135</v>
      </c>
      <c r="Z22" s="397">
        <f>+SUM(Z17:Z21)</f>
        <v>52121.729000000007</v>
      </c>
      <c r="AA22" s="86"/>
      <c r="AB22" s="384"/>
      <c r="AC22" s="385"/>
      <c r="AD22" s="94"/>
      <c r="AE22" s="399"/>
    </row>
    <row r="23" spans="3:31" s="260" customFormat="1" ht="15.75" thickBot="1" x14ac:dyDescent="0.3">
      <c r="C23" s="84"/>
      <c r="D23" s="375" t="str">
        <f>C13</f>
        <v>C3000</v>
      </c>
      <c r="E23" s="376"/>
      <c r="F23" s="376"/>
      <c r="G23" s="376"/>
      <c r="H23" s="376"/>
      <c r="I23" s="376"/>
      <c r="J23" s="377"/>
      <c r="K23" s="88"/>
      <c r="M23" s="566"/>
      <c r="N23" s="567" t="s">
        <v>102</v>
      </c>
      <c r="O23" s="567"/>
      <c r="P23" s="567"/>
      <c r="Q23" s="567"/>
      <c r="R23" s="567"/>
      <c r="S23" s="567"/>
      <c r="T23" s="567"/>
      <c r="U23" s="567"/>
      <c r="V23" s="400">
        <f>+ROUND(V22,$AA$5)</f>
        <v>13071.28</v>
      </c>
      <c r="Y23" s="401" t="s">
        <v>136</v>
      </c>
      <c r="Z23" s="402">
        <f>+ROUND(Z22,$AA$5)</f>
        <v>52121.73</v>
      </c>
      <c r="AA23" s="86"/>
      <c r="AB23" s="403">
        <f>+V23*Y13</f>
        <v>52121.728999999999</v>
      </c>
      <c r="AC23" s="404">
        <f>+AB23-Z23</f>
        <v>-1.0000000038417056E-3</v>
      </c>
      <c r="AD23" s="94"/>
      <c r="AE23" s="405"/>
    </row>
    <row r="24" spans="3:31" s="260" customFormat="1" x14ac:dyDescent="0.25">
      <c r="C24" s="84"/>
      <c r="D24" s="380"/>
      <c r="E24" s="381"/>
      <c r="F24" s="381"/>
      <c r="G24" s="381"/>
      <c r="H24" s="381"/>
      <c r="I24" s="381"/>
      <c r="J24" s="382"/>
      <c r="K24" s="88"/>
      <c r="M24" s="510" t="s">
        <v>103</v>
      </c>
      <c r="N24" s="511"/>
      <c r="O24" s="511"/>
      <c r="P24" s="511"/>
      <c r="Q24" s="511"/>
      <c r="R24" s="511"/>
      <c r="S24" s="511"/>
      <c r="T24" s="511"/>
      <c r="U24" s="511"/>
      <c r="V24" s="512"/>
      <c r="Y24" s="378"/>
      <c r="Z24" s="121"/>
      <c r="AA24" s="86"/>
      <c r="AB24" s="513"/>
      <c r="AC24" s="514"/>
      <c r="AD24" s="94"/>
      <c r="AE24" s="126"/>
    </row>
    <row r="25" spans="3:31" s="260" customFormat="1" x14ac:dyDescent="0.25">
      <c r="C25" s="84"/>
      <c r="D25" s="85"/>
      <c r="E25" s="86"/>
      <c r="F25" s="86"/>
      <c r="G25" s="86"/>
      <c r="H25" s="86"/>
      <c r="I25" s="86"/>
      <c r="J25" s="87"/>
      <c r="K25" s="88"/>
      <c r="M25" s="99" t="s">
        <v>94</v>
      </c>
      <c r="N25" s="561" t="s">
        <v>95</v>
      </c>
      <c r="O25" s="561"/>
      <c r="P25" s="561"/>
      <c r="Q25" s="561"/>
      <c r="R25" s="95" t="s">
        <v>96</v>
      </c>
      <c r="S25" s="95" t="s">
        <v>104</v>
      </c>
      <c r="T25" s="356" t="s">
        <v>105</v>
      </c>
      <c r="U25" s="356" t="s">
        <v>8</v>
      </c>
      <c r="V25" s="100" t="s">
        <v>98</v>
      </c>
      <c r="Y25" s="383" t="s">
        <v>104</v>
      </c>
      <c r="Z25" s="119" t="s">
        <v>9</v>
      </c>
      <c r="AA25" s="86"/>
      <c r="AB25" s="384"/>
      <c r="AC25" s="385"/>
      <c r="AD25" s="94"/>
      <c r="AE25" s="406"/>
    </row>
    <row r="26" spans="3:31" s="260" customFormat="1" x14ac:dyDescent="0.25">
      <c r="C26" s="84"/>
      <c r="D26" s="85"/>
      <c r="E26" s="86"/>
      <c r="F26" s="86"/>
      <c r="G26" s="86"/>
      <c r="H26" s="86"/>
      <c r="I26" s="86"/>
      <c r="J26" s="87"/>
      <c r="K26" s="88"/>
      <c r="M26" s="102">
        <v>400</v>
      </c>
      <c r="N26" s="533" t="str">
        <f>IFERROR(VLOOKUP(M26,INSUMOS!$C$8:$K$928,2,0),"-----")</f>
        <v>CEMENTO GRIS</v>
      </c>
      <c r="O26" s="533"/>
      <c r="P26" s="533"/>
      <c r="Q26" s="533"/>
      <c r="R26" s="78" t="str">
        <f>IFERROR(VLOOKUP(M26,INSUMOS!$C$8:$K$928,6,0),"-----")</f>
        <v>kg</v>
      </c>
      <c r="S26" s="396">
        <v>350</v>
      </c>
      <c r="T26" s="387">
        <v>0.02</v>
      </c>
      <c r="U26" s="388">
        <f>IFERROR(VLOOKUP(M26,INSUMOS!$C$8:$K$928,7,0),"0")</f>
        <v>600</v>
      </c>
      <c r="V26" s="389">
        <f>+IFERROR(U26*(S26*(1+T26)),0)</f>
        <v>214200</v>
      </c>
      <c r="Y26" s="393">
        <f>+IFERROR(Y13*(S26*(1+T26)),0)</f>
        <v>1423.5374999999999</v>
      </c>
      <c r="Z26" s="391">
        <f>Y13*V26</f>
        <v>854122.5</v>
      </c>
      <c r="AA26" s="394"/>
      <c r="AB26" s="395">
        <f>+Y26*U26</f>
        <v>854122.5</v>
      </c>
      <c r="AC26" s="93">
        <f>+AB26-Z26</f>
        <v>0</v>
      </c>
      <c r="AD26" s="94"/>
      <c r="AE26" s="406" t="str">
        <f t="shared" ref="AE26:AE32" si="0">+IF(V26=0,"CERO","NO")</f>
        <v>NO</v>
      </c>
    </row>
    <row r="27" spans="3:31" s="260" customFormat="1" x14ac:dyDescent="0.25">
      <c r="C27" s="84"/>
      <c r="D27" s="85"/>
      <c r="E27" s="86"/>
      <c r="F27" s="86"/>
      <c r="G27" s="86"/>
      <c r="H27" s="86"/>
      <c r="I27" s="86"/>
      <c r="J27" s="87"/>
      <c r="K27" s="88"/>
      <c r="M27" s="102">
        <v>401</v>
      </c>
      <c r="N27" s="533" t="str">
        <f>IFERROR(VLOOKUP(M27,INSUMOS!$C$8:$K$928,2,0),"-----")</f>
        <v>AGUA</v>
      </c>
      <c r="O27" s="533"/>
      <c r="P27" s="533"/>
      <c r="Q27" s="533"/>
      <c r="R27" s="78" t="str">
        <f>IFERROR(VLOOKUP(M27,INSUMOS!$C$8:$K$928,6,0),"-----")</f>
        <v>lt</v>
      </c>
      <c r="S27" s="396">
        <v>180</v>
      </c>
      <c r="T27" s="387">
        <v>0.05</v>
      </c>
      <c r="U27" s="388">
        <f>IFERROR(VLOOKUP(M27,INSUMOS!$C$8:$K$928,7,0),"0")</f>
        <v>75</v>
      </c>
      <c r="V27" s="389">
        <f>+IFERROR(U27*(S27*(1+T27)),0)</f>
        <v>14175</v>
      </c>
      <c r="Y27" s="393">
        <f>+IFERROR(Y13*(S27*(1+T27)),0)</f>
        <v>753.63749999999993</v>
      </c>
      <c r="Z27" s="391">
        <f>Y13*V27</f>
        <v>56522.8125</v>
      </c>
      <c r="AA27" s="394"/>
      <c r="AB27" s="395">
        <f t="shared" ref="AB27:AB32" si="1">+Y27*U27</f>
        <v>56522.812499999993</v>
      </c>
      <c r="AC27" s="93">
        <f t="shared" ref="AC27:AC32" si="2">+AB27-Z27</f>
        <v>0</v>
      </c>
      <c r="AD27" s="94"/>
      <c r="AE27" s="406" t="str">
        <f t="shared" si="0"/>
        <v>NO</v>
      </c>
    </row>
    <row r="28" spans="3:31" s="260" customFormat="1" x14ac:dyDescent="0.25">
      <c r="C28" s="84"/>
      <c r="D28" s="85"/>
      <c r="E28" s="86"/>
      <c r="F28" s="86"/>
      <c r="G28" s="86"/>
      <c r="H28" s="86"/>
      <c r="I28" s="86"/>
      <c r="J28" s="87"/>
      <c r="K28" s="88"/>
      <c r="M28" s="102">
        <v>405</v>
      </c>
      <c r="N28" s="533" t="str">
        <f>IFERROR(VLOOKUP(M28,INSUMOS!$C$8:$K$928,2,0),"-----")</f>
        <v>ARENA GRUESA</v>
      </c>
      <c r="O28" s="533"/>
      <c r="P28" s="533"/>
      <c r="Q28" s="533"/>
      <c r="R28" s="78" t="str">
        <f>IFERROR(VLOOKUP(M28,INSUMOS!$C$8:$K$928,6,0),"-----")</f>
        <v>m3</v>
      </c>
      <c r="S28" s="396">
        <v>0.56000000000000005</v>
      </c>
      <c r="T28" s="387">
        <v>0.03</v>
      </c>
      <c r="U28" s="388">
        <f>IFERROR(VLOOKUP(M28,INSUMOS!$C$8:$K$928,7,0),"0")</f>
        <v>97476</v>
      </c>
      <c r="V28" s="389">
        <f>+IFERROR(U28*(S28*(1+T28)),0)</f>
        <v>56224.156800000012</v>
      </c>
      <c r="Y28" s="393">
        <f>+IFERROR(Y13*(S28*(1+T28)),0)</f>
        <v>2.2999900000000002</v>
      </c>
      <c r="Z28" s="391">
        <f>Y13*V28</f>
        <v>224193.82524000003</v>
      </c>
      <c r="AA28" s="394"/>
      <c r="AB28" s="395">
        <f t="shared" si="1"/>
        <v>224193.82524000001</v>
      </c>
      <c r="AC28" s="93">
        <f t="shared" si="2"/>
        <v>0</v>
      </c>
      <c r="AD28" s="94"/>
      <c r="AE28" s="406" t="str">
        <f t="shared" si="0"/>
        <v>NO</v>
      </c>
    </row>
    <row r="29" spans="3:31" s="260" customFormat="1" x14ac:dyDescent="0.25">
      <c r="C29" s="84"/>
      <c r="D29" s="85"/>
      <c r="E29" s="86"/>
      <c r="F29" s="86"/>
      <c r="G29" s="86"/>
      <c r="H29" s="86"/>
      <c r="I29" s="86"/>
      <c r="J29" s="87"/>
      <c r="K29" s="88"/>
      <c r="M29" s="102">
        <v>411</v>
      </c>
      <c r="N29" s="533" t="str">
        <f>IFERROR(VLOOKUP(M29,INSUMOS!$C$8:$K$928,2,0),"-----")</f>
        <v>TRITURADO DE 3/4"</v>
      </c>
      <c r="O29" s="533"/>
      <c r="P29" s="533"/>
      <c r="Q29" s="533"/>
      <c r="R29" s="78" t="str">
        <f>IFERROR(VLOOKUP(M29,INSUMOS!$C$8:$K$928,6,0),"-----")</f>
        <v>m3</v>
      </c>
      <c r="S29" s="396">
        <v>0.84</v>
      </c>
      <c r="T29" s="387">
        <v>0.03</v>
      </c>
      <c r="U29" s="388">
        <f>IFERROR(VLOOKUP(M29,INSUMOS!$C$8:$K$928,7,0),"0")</f>
        <v>39600</v>
      </c>
      <c r="V29" s="389">
        <f>+IFERROR(U29*(S29*(1+T29)),0)</f>
        <v>34261.919999999998</v>
      </c>
      <c r="Y29" s="393">
        <f>+IFERROR(Y13*(S29*(1+T29)),0)</f>
        <v>3.4499849999999999</v>
      </c>
      <c r="Z29" s="391">
        <f>Y13*V29</f>
        <v>136619.40599999999</v>
      </c>
      <c r="AA29" s="394"/>
      <c r="AB29" s="395">
        <f t="shared" si="1"/>
        <v>136619.40599999999</v>
      </c>
      <c r="AC29" s="93">
        <f t="shared" si="2"/>
        <v>0</v>
      </c>
      <c r="AD29" s="94"/>
      <c r="AE29" s="406" t="str">
        <f t="shared" si="0"/>
        <v>NO</v>
      </c>
    </row>
    <row r="30" spans="3:31" s="260" customFormat="1" x14ac:dyDescent="0.25">
      <c r="C30" s="84"/>
      <c r="D30" s="85"/>
      <c r="E30" s="86"/>
      <c r="F30" s="86"/>
      <c r="G30" s="86"/>
      <c r="H30" s="86"/>
      <c r="I30" s="86"/>
      <c r="J30" s="87"/>
      <c r="K30" s="88"/>
      <c r="M30" s="102">
        <v>0</v>
      </c>
      <c r="N30" s="533"/>
      <c r="O30" s="533"/>
      <c r="P30" s="533"/>
      <c r="Q30" s="533"/>
      <c r="R30" s="78"/>
      <c r="S30" s="396"/>
      <c r="T30" s="387"/>
      <c r="U30" s="388"/>
      <c r="V30" s="397"/>
      <c r="Y30" s="393">
        <f>+IFERROR(Y13*(S30*(1+T30)),0)</f>
        <v>0</v>
      </c>
      <c r="Z30" s="391">
        <f>Y13*V30</f>
        <v>0</v>
      </c>
      <c r="AA30" s="394"/>
      <c r="AB30" s="395">
        <f t="shared" si="1"/>
        <v>0</v>
      </c>
      <c r="AC30" s="93">
        <f t="shared" si="2"/>
        <v>0</v>
      </c>
      <c r="AD30" s="94"/>
      <c r="AE30" s="406" t="str">
        <f t="shared" si="0"/>
        <v>CERO</v>
      </c>
    </row>
    <row r="31" spans="3:31" s="260" customFormat="1" x14ac:dyDescent="0.25">
      <c r="C31" s="84"/>
      <c r="D31" s="85"/>
      <c r="E31" s="86"/>
      <c r="F31" s="86"/>
      <c r="G31" s="86"/>
      <c r="H31" s="86"/>
      <c r="I31" s="86"/>
      <c r="J31" s="87"/>
      <c r="K31" s="88"/>
      <c r="M31" s="102">
        <v>0</v>
      </c>
      <c r="N31" s="533"/>
      <c r="O31" s="533"/>
      <c r="P31" s="533"/>
      <c r="Q31" s="533"/>
      <c r="R31" s="78"/>
      <c r="S31" s="396"/>
      <c r="T31" s="387"/>
      <c r="U31" s="388"/>
      <c r="V31" s="397"/>
      <c r="Y31" s="393">
        <f>+IFERROR(Y13*(S31*(1+T31)),0)</f>
        <v>0</v>
      </c>
      <c r="Z31" s="391">
        <f>Y13*V31</f>
        <v>0</v>
      </c>
      <c r="AA31" s="394"/>
      <c r="AB31" s="395">
        <f t="shared" si="1"/>
        <v>0</v>
      </c>
      <c r="AC31" s="93">
        <f t="shared" si="2"/>
        <v>0</v>
      </c>
      <c r="AD31" s="94"/>
      <c r="AE31" s="406" t="str">
        <f t="shared" si="0"/>
        <v>CERO</v>
      </c>
    </row>
    <row r="32" spans="3:31" s="260" customFormat="1" ht="15.75" thickBot="1" x14ac:dyDescent="0.3">
      <c r="C32" s="84"/>
      <c r="D32" s="85"/>
      <c r="E32" s="86"/>
      <c r="F32" s="86"/>
      <c r="G32" s="86"/>
      <c r="H32" s="86"/>
      <c r="I32" s="86"/>
      <c r="J32" s="87"/>
      <c r="K32" s="88"/>
      <c r="M32" s="102">
        <v>0</v>
      </c>
      <c r="N32" s="564"/>
      <c r="O32" s="564"/>
      <c r="P32" s="564"/>
      <c r="Q32" s="564"/>
      <c r="R32" s="96"/>
      <c r="S32" s="79"/>
      <c r="T32" s="97"/>
      <c r="U32" s="358"/>
      <c r="V32" s="397"/>
      <c r="Y32" s="393">
        <f>+IFERROR(Y13*(S32*(1+T32)),0)</f>
        <v>0</v>
      </c>
      <c r="Z32" s="391">
        <f>Y13*V32</f>
        <v>0</v>
      </c>
      <c r="AA32" s="394"/>
      <c r="AB32" s="395">
        <f t="shared" si="1"/>
        <v>0</v>
      </c>
      <c r="AC32" s="93">
        <f t="shared" si="2"/>
        <v>0</v>
      </c>
      <c r="AD32" s="94"/>
      <c r="AE32" s="406" t="str">
        <f t="shared" si="0"/>
        <v>CERO</v>
      </c>
    </row>
    <row r="33" spans="3:31" s="260" customFormat="1" ht="15.75" thickBot="1" x14ac:dyDescent="0.3">
      <c r="C33" s="84"/>
      <c r="D33" s="375" t="s">
        <v>128</v>
      </c>
      <c r="E33" s="376" t="s">
        <v>129</v>
      </c>
      <c r="F33" s="376" t="s">
        <v>130</v>
      </c>
      <c r="G33" s="376" t="s">
        <v>131</v>
      </c>
      <c r="H33" s="376" t="s">
        <v>132</v>
      </c>
      <c r="I33" s="376" t="s">
        <v>133</v>
      </c>
      <c r="J33" s="377" t="s">
        <v>134</v>
      </c>
      <c r="K33" s="88"/>
      <c r="M33" s="534"/>
      <c r="N33" s="536" t="s">
        <v>106</v>
      </c>
      <c r="O33" s="536"/>
      <c r="P33" s="536"/>
      <c r="Q33" s="536"/>
      <c r="R33" s="536"/>
      <c r="S33" s="536"/>
      <c r="T33" s="536"/>
      <c r="U33" s="536"/>
      <c r="V33" s="389">
        <f>+SUM(V26:V32)</f>
        <v>318861.07679999998</v>
      </c>
      <c r="Y33" s="398" t="s">
        <v>135</v>
      </c>
      <c r="Z33" s="397">
        <f>+SUM(Z26:Z32)</f>
        <v>1271458.5437400001</v>
      </c>
      <c r="AA33" s="86"/>
      <c r="AB33" s="384"/>
      <c r="AC33" s="385"/>
      <c r="AD33" s="94"/>
      <c r="AE33" s="399"/>
    </row>
    <row r="34" spans="3:31" s="260" customFormat="1" ht="15.75" thickBot="1" x14ac:dyDescent="0.3">
      <c r="C34" s="84"/>
      <c r="D34" s="375"/>
      <c r="E34" s="407" t="str">
        <f>+D23</f>
        <v>C3000</v>
      </c>
      <c r="F34" s="376"/>
      <c r="G34" s="376"/>
      <c r="H34" s="376"/>
      <c r="I34" s="376"/>
      <c r="J34" s="377"/>
      <c r="K34" s="88"/>
      <c r="M34" s="535"/>
      <c r="N34" s="537" t="s">
        <v>107</v>
      </c>
      <c r="O34" s="537"/>
      <c r="P34" s="537"/>
      <c r="Q34" s="537"/>
      <c r="R34" s="537"/>
      <c r="S34" s="537"/>
      <c r="T34" s="537"/>
      <c r="U34" s="537"/>
      <c r="V34" s="408">
        <f>+ROUND(V33,$AA$5)</f>
        <v>318861.08</v>
      </c>
      <c r="Y34" s="401" t="s">
        <v>136</v>
      </c>
      <c r="Z34" s="402">
        <f>+ROUND(Z33,$AA$5)</f>
        <v>1271458.54</v>
      </c>
      <c r="AA34" s="86"/>
      <c r="AB34" s="403">
        <f>+V34*Y13</f>
        <v>1271458.5564999999</v>
      </c>
      <c r="AC34" s="404">
        <f>+AB34-Z34</f>
        <v>1.6499999910593033E-2</v>
      </c>
      <c r="AD34" s="94"/>
      <c r="AE34" s="405"/>
    </row>
    <row r="35" spans="3:31" s="260" customFormat="1" x14ac:dyDescent="0.25">
      <c r="C35" s="84"/>
      <c r="D35" s="380"/>
      <c r="E35" s="381"/>
      <c r="F35" s="381"/>
      <c r="G35" s="381"/>
      <c r="H35" s="381"/>
      <c r="I35" s="381"/>
      <c r="J35" s="382"/>
      <c r="K35" s="88"/>
      <c r="M35" s="568" t="s">
        <v>108</v>
      </c>
      <c r="N35" s="569"/>
      <c r="O35" s="569"/>
      <c r="P35" s="569"/>
      <c r="Q35" s="569"/>
      <c r="R35" s="569"/>
      <c r="S35" s="569"/>
      <c r="T35" s="569"/>
      <c r="U35" s="569"/>
      <c r="V35" s="570"/>
      <c r="Y35" s="378"/>
      <c r="Z35" s="121"/>
      <c r="AA35" s="86"/>
      <c r="AB35" s="409"/>
      <c r="AC35" s="121"/>
      <c r="AD35" s="94"/>
      <c r="AE35" s="126"/>
    </row>
    <row r="36" spans="3:31" s="260" customFormat="1" ht="25.5" x14ac:dyDescent="0.25">
      <c r="C36" s="84"/>
      <c r="D36" s="85"/>
      <c r="E36" s="86"/>
      <c r="F36" s="86"/>
      <c r="G36" s="86"/>
      <c r="H36" s="86"/>
      <c r="I36" s="86"/>
      <c r="J36" s="87"/>
      <c r="K36" s="88"/>
      <c r="M36" s="99" t="s">
        <v>94</v>
      </c>
      <c r="N36" s="561" t="s">
        <v>95</v>
      </c>
      <c r="O36" s="561"/>
      <c r="P36" s="561"/>
      <c r="Q36" s="95" t="s">
        <v>109</v>
      </c>
      <c r="R36" s="95" t="s">
        <v>110</v>
      </c>
      <c r="S36" s="95" t="s">
        <v>111</v>
      </c>
      <c r="T36" s="562" t="s">
        <v>112</v>
      </c>
      <c r="U36" s="562"/>
      <c r="V36" s="100" t="s">
        <v>98</v>
      </c>
      <c r="Y36" s="383" t="s">
        <v>104</v>
      </c>
      <c r="Z36" s="119" t="s">
        <v>9</v>
      </c>
      <c r="AA36" s="86"/>
      <c r="AB36" s="384"/>
      <c r="AC36" s="385"/>
      <c r="AD36" s="94"/>
      <c r="AE36" s="410"/>
    </row>
    <row r="37" spans="3:31" s="260" customFormat="1" x14ac:dyDescent="0.25">
      <c r="C37" s="84"/>
      <c r="D37" s="85"/>
      <c r="E37" s="86"/>
      <c r="F37" s="86"/>
      <c r="G37" s="86"/>
      <c r="H37" s="86"/>
      <c r="I37" s="86"/>
      <c r="J37" s="87"/>
      <c r="K37" s="88"/>
      <c r="M37" s="102">
        <v>120</v>
      </c>
      <c r="N37" s="530" t="str">
        <f>IFERROR(VLOOKUP(M37,INSUMOS!$C$8:$K$928,2,0),"-----")</f>
        <v>Transporte Cemento</v>
      </c>
      <c r="O37" s="531"/>
      <c r="P37" s="532"/>
      <c r="Q37" s="78" t="str">
        <f>IFERROR(VLOOKUP(M37,INSUMOS!$C$8:$K$928,5,0),"-----")</f>
        <v>kg/km</v>
      </c>
      <c r="R37" s="80">
        <f>S26*(1+T26)</f>
        <v>357</v>
      </c>
      <c r="S37" s="80">
        <f>IFERROR(VLOOKUP(M37,INSUMOS!$C$8:$K$928,6,0),"0")</f>
        <v>15</v>
      </c>
      <c r="T37" s="529">
        <f>IFERROR(VLOOKUP(M37,INSUMOS!$C$8:$K$928,7,0),"0")</f>
        <v>20</v>
      </c>
      <c r="U37" s="529"/>
      <c r="V37" s="82">
        <f>+T37*S37*R37</f>
        <v>107100</v>
      </c>
      <c r="Y37" s="393">
        <f>+IFERROR((R37*S37)*Y13,0)</f>
        <v>21353.0625</v>
      </c>
      <c r="Z37" s="391">
        <f>Y13*V37</f>
        <v>427061.25</v>
      </c>
      <c r="AA37" s="86"/>
      <c r="AB37" s="92">
        <f>+Y37*T37</f>
        <v>427061.25</v>
      </c>
      <c r="AC37" s="93">
        <f>+AB37-Z37</f>
        <v>0</v>
      </c>
      <c r="AD37" s="94"/>
      <c r="AE37" s="406" t="str">
        <f>+IF(V37=0,"CERO","NO")</f>
        <v>NO</v>
      </c>
    </row>
    <row r="38" spans="3:31" s="260" customFormat="1" x14ac:dyDescent="0.25">
      <c r="C38" s="84"/>
      <c r="D38" s="85"/>
      <c r="E38" s="86"/>
      <c r="F38" s="86"/>
      <c r="G38" s="86"/>
      <c r="H38" s="86"/>
      <c r="I38" s="86"/>
      <c r="J38" s="87"/>
      <c r="K38" s="88"/>
      <c r="M38" s="102">
        <v>100</v>
      </c>
      <c r="N38" s="530" t="str">
        <f>IFERROR(VLOOKUP(M38,INSUMOS!$C$8:$K$928,2,0),"-----")</f>
        <v xml:space="preserve">Transporte Arena </v>
      </c>
      <c r="O38" s="531"/>
      <c r="P38" s="532"/>
      <c r="Q38" s="78" t="str">
        <f>IFERROR(VLOOKUP(M38,INSUMOS!$C$8:$K$928,5,0),"-----")</f>
        <v>m3/km</v>
      </c>
      <c r="R38" s="80">
        <f>S28*(1+T28)</f>
        <v>0.57680000000000009</v>
      </c>
      <c r="S38" s="80">
        <f>IFERROR(VLOOKUP(M38,INSUMOS!$C$8:$K$928,6,0),"0")</f>
        <v>15</v>
      </c>
      <c r="T38" s="529">
        <f>IFERROR(VLOOKUP(M38,INSUMOS!$C$8:$K$928,7,0),"0")</f>
        <v>2000</v>
      </c>
      <c r="U38" s="529"/>
      <c r="V38" s="82">
        <f>+T38*S38*R38</f>
        <v>17304.000000000004</v>
      </c>
      <c r="Y38" s="393">
        <f>+IFERROR((R38*S38)*Y13,0)</f>
        <v>34.499850000000002</v>
      </c>
      <c r="Z38" s="391">
        <f>Y13*V38</f>
        <v>68999.700000000012</v>
      </c>
      <c r="AA38" s="86"/>
      <c r="AB38" s="92">
        <f>+Y38*T38</f>
        <v>68999.7</v>
      </c>
      <c r="AC38" s="93">
        <f>+AB38-Z38</f>
        <v>0</v>
      </c>
      <c r="AD38" s="94"/>
      <c r="AE38" s="406" t="str">
        <f>+IF(V38=0,"CERO","NO")</f>
        <v>NO</v>
      </c>
    </row>
    <row r="39" spans="3:31" s="260" customFormat="1" x14ac:dyDescent="0.25">
      <c r="C39" s="84"/>
      <c r="D39" s="85"/>
      <c r="E39" s="86"/>
      <c r="F39" s="86"/>
      <c r="G39" s="86"/>
      <c r="H39" s="86"/>
      <c r="I39" s="86"/>
      <c r="J39" s="87"/>
      <c r="K39" s="88"/>
      <c r="M39" s="102">
        <v>101</v>
      </c>
      <c r="N39" s="530" t="str">
        <f>IFERROR(VLOOKUP(M39,INSUMOS!$C$8:$K$928,2,0),"-----")</f>
        <v>Transporte Triturado</v>
      </c>
      <c r="O39" s="531"/>
      <c r="P39" s="532"/>
      <c r="Q39" s="78" t="str">
        <f>IFERROR(VLOOKUP(M39,INSUMOS!$C$8:$K$928,5,0),"-----")</f>
        <v>m3/km</v>
      </c>
      <c r="R39" s="80">
        <f>S29*(1+T29)</f>
        <v>0.86519999999999997</v>
      </c>
      <c r="S39" s="80">
        <f>IFERROR(VLOOKUP(M39,INSUMOS!$C$8:$K$928,6,0),"0")</f>
        <v>186</v>
      </c>
      <c r="T39" s="529">
        <f>IFERROR(VLOOKUP(M39,INSUMOS!$C$8:$K$928,7,0),"0")</f>
        <v>1500</v>
      </c>
      <c r="U39" s="529"/>
      <c r="V39" s="82">
        <f>+T39*S39*R39</f>
        <v>241390.8</v>
      </c>
      <c r="Y39" s="393">
        <f>+IFERROR((R39*S39)*Y13,0)</f>
        <v>641.69720999999993</v>
      </c>
      <c r="Z39" s="391">
        <f>Y13*V39</f>
        <v>962545.81499999994</v>
      </c>
      <c r="AA39" s="86"/>
      <c r="AB39" s="92">
        <f>+Y39*T39</f>
        <v>962545.81499999994</v>
      </c>
      <c r="AC39" s="93">
        <f>+AB39-Z39</f>
        <v>0</v>
      </c>
      <c r="AD39" s="94"/>
      <c r="AE39" s="406" t="str">
        <f>+IF(V39=0,"CERO","NO")</f>
        <v>NO</v>
      </c>
    </row>
    <row r="40" spans="3:31" s="260" customFormat="1" x14ac:dyDescent="0.25">
      <c r="C40" s="84"/>
      <c r="D40" s="85"/>
      <c r="E40" s="86"/>
      <c r="F40" s="86"/>
      <c r="G40" s="86"/>
      <c r="H40" s="86"/>
      <c r="I40" s="86"/>
      <c r="J40" s="87"/>
      <c r="K40" s="88"/>
      <c r="M40" s="102"/>
      <c r="N40" s="530"/>
      <c r="O40" s="531"/>
      <c r="P40" s="532"/>
      <c r="Q40" s="79"/>
      <c r="R40" s="80"/>
      <c r="S40" s="81"/>
      <c r="T40" s="585"/>
      <c r="U40" s="586"/>
      <c r="V40" s="82"/>
      <c r="Y40" s="393">
        <f>+IFERROR((R40*S40)*Y13,0)</f>
        <v>0</v>
      </c>
      <c r="Z40" s="391">
        <f>Y13*V40</f>
        <v>0</v>
      </c>
      <c r="AA40" s="86"/>
      <c r="AB40" s="92">
        <f>+Y40*T40</f>
        <v>0</v>
      </c>
      <c r="AC40" s="93">
        <f>+AB40-Z40</f>
        <v>0</v>
      </c>
      <c r="AD40" s="94"/>
      <c r="AE40" s="406" t="str">
        <f>+IF(V40=0,"CERO","NO")</f>
        <v>CERO</v>
      </c>
    </row>
    <row r="41" spans="3:31" s="260" customFormat="1" ht="15.75" thickBot="1" x14ac:dyDescent="0.3">
      <c r="C41" s="84"/>
      <c r="D41" s="89"/>
      <c r="E41" s="90"/>
      <c r="F41" s="90"/>
      <c r="G41" s="90"/>
      <c r="H41" s="90"/>
      <c r="I41" s="90"/>
      <c r="J41" s="91"/>
      <c r="K41" s="88"/>
      <c r="M41" s="102">
        <v>0</v>
      </c>
      <c r="N41" s="533"/>
      <c r="O41" s="533"/>
      <c r="P41" s="533"/>
      <c r="Q41" s="79"/>
      <c r="R41" s="78"/>
      <c r="S41" s="81"/>
      <c r="T41" s="529"/>
      <c r="U41" s="529"/>
      <c r="V41" s="82"/>
      <c r="Y41" s="393">
        <f>+IFERROR((R41*S41)*Y13,0)</f>
        <v>0</v>
      </c>
      <c r="Z41" s="391">
        <f>Y13*V41</f>
        <v>0</v>
      </c>
      <c r="AA41" s="86"/>
      <c r="AB41" s="92">
        <f>+Y41*T41</f>
        <v>0</v>
      </c>
      <c r="AC41" s="93">
        <f>+AB41-Z41</f>
        <v>0</v>
      </c>
      <c r="AD41" s="94"/>
      <c r="AE41" s="406" t="str">
        <f>+IF(V41=0,"CERO","NO")</f>
        <v>CERO</v>
      </c>
    </row>
    <row r="42" spans="3:31" s="260" customFormat="1" ht="15.75" thickBot="1" x14ac:dyDescent="0.3">
      <c r="C42" s="84"/>
      <c r="D42" s="375" t="s">
        <v>128</v>
      </c>
      <c r="E42" s="376" t="s">
        <v>129</v>
      </c>
      <c r="F42" s="376" t="s">
        <v>130</v>
      </c>
      <c r="G42" s="376" t="s">
        <v>131</v>
      </c>
      <c r="H42" s="376" t="s">
        <v>132</v>
      </c>
      <c r="I42" s="376" t="s">
        <v>133</v>
      </c>
      <c r="J42" s="377" t="s">
        <v>134</v>
      </c>
      <c r="K42" s="88"/>
      <c r="M42" s="534"/>
      <c r="N42" s="536" t="s">
        <v>113</v>
      </c>
      <c r="O42" s="536"/>
      <c r="P42" s="536"/>
      <c r="Q42" s="536"/>
      <c r="R42" s="536"/>
      <c r="S42" s="536"/>
      <c r="T42" s="536"/>
      <c r="U42" s="536"/>
      <c r="V42" s="411">
        <f>+SUM(V37:V41)</f>
        <v>365794.8</v>
      </c>
      <c r="Y42" s="398" t="s">
        <v>135</v>
      </c>
      <c r="Z42" s="397">
        <f>+SUM(Z37:Z41)</f>
        <v>1458606.7649999999</v>
      </c>
      <c r="AA42" s="86"/>
      <c r="AB42" s="384"/>
      <c r="AC42" s="385"/>
      <c r="AD42" s="94"/>
      <c r="AE42" s="399"/>
    </row>
    <row r="43" spans="3:31" s="260" customFormat="1" ht="15.75" thickBot="1" x14ac:dyDescent="0.3">
      <c r="C43" s="84"/>
      <c r="D43" s="355"/>
      <c r="E43" s="367"/>
      <c r="F43" s="412" t="str">
        <f>+E34</f>
        <v>C3000</v>
      </c>
      <c r="G43" s="367"/>
      <c r="H43" s="367"/>
      <c r="I43" s="367"/>
      <c r="J43" s="368"/>
      <c r="K43" s="88"/>
      <c r="M43" s="535"/>
      <c r="N43" s="537" t="s">
        <v>114</v>
      </c>
      <c r="O43" s="537"/>
      <c r="P43" s="537"/>
      <c r="Q43" s="537"/>
      <c r="R43" s="537"/>
      <c r="S43" s="537"/>
      <c r="T43" s="537"/>
      <c r="U43" s="537"/>
      <c r="V43" s="413">
        <f>+ROUND(V42,$AA$5)</f>
        <v>365794.8</v>
      </c>
      <c r="Y43" s="401" t="s">
        <v>136</v>
      </c>
      <c r="Z43" s="402">
        <f>+ROUND(Z42,$AA$5)</f>
        <v>1458606.77</v>
      </c>
      <c r="AA43" s="86"/>
      <c r="AB43" s="403">
        <f>+V43*Y13</f>
        <v>1458606.7649999999</v>
      </c>
      <c r="AC43" s="414"/>
      <c r="AD43" s="94"/>
      <c r="AE43" s="405"/>
    </row>
    <row r="44" spans="3:31" s="260" customFormat="1" ht="15.75" thickBot="1" x14ac:dyDescent="0.3">
      <c r="C44" s="84"/>
      <c r="D44" s="415"/>
      <c r="E44" s="416"/>
      <c r="F44" s="416"/>
      <c r="G44" s="416"/>
      <c r="H44" s="416"/>
      <c r="I44" s="416"/>
      <c r="J44" s="417"/>
      <c r="K44" s="88"/>
      <c r="M44" s="538" t="s">
        <v>115</v>
      </c>
      <c r="N44" s="539"/>
      <c r="O44" s="539"/>
      <c r="P44" s="539"/>
      <c r="Q44" s="539"/>
      <c r="R44" s="539"/>
      <c r="S44" s="539"/>
      <c r="T44" s="539"/>
      <c r="U44" s="539"/>
      <c r="V44" s="540"/>
      <c r="Y44" s="378"/>
      <c r="Z44" s="121"/>
      <c r="AA44" s="86"/>
      <c r="AB44" s="409"/>
      <c r="AC44" s="121"/>
      <c r="AD44" s="94"/>
      <c r="AE44" s="126"/>
    </row>
    <row r="45" spans="3:31" s="260" customFormat="1" ht="15.75" thickBot="1" x14ac:dyDescent="0.3">
      <c r="C45" s="84"/>
      <c r="D45" s="375" t="s">
        <v>128</v>
      </c>
      <c r="E45" s="376" t="s">
        <v>129</v>
      </c>
      <c r="F45" s="376" t="s">
        <v>130</v>
      </c>
      <c r="G45" s="376" t="s">
        <v>131</v>
      </c>
      <c r="H45" s="376" t="s">
        <v>132</v>
      </c>
      <c r="I45" s="376" t="s">
        <v>133</v>
      </c>
      <c r="J45" s="377" t="s">
        <v>134</v>
      </c>
      <c r="K45" s="88"/>
      <c r="M45" s="99" t="s">
        <v>94</v>
      </c>
      <c r="N45" s="98" t="s">
        <v>95</v>
      </c>
      <c r="O45" s="95" t="s">
        <v>96</v>
      </c>
      <c r="P45" s="95" t="s">
        <v>104</v>
      </c>
      <c r="Q45" s="95" t="s">
        <v>116</v>
      </c>
      <c r="R45" s="418" t="s">
        <v>117</v>
      </c>
      <c r="S45" s="95" t="s">
        <v>347</v>
      </c>
      <c r="T45" s="419" t="s">
        <v>118</v>
      </c>
      <c r="U45" s="189" t="s">
        <v>119</v>
      </c>
      <c r="V45" s="100" t="s">
        <v>98</v>
      </c>
      <c r="Y45" s="383" t="s">
        <v>104</v>
      </c>
      <c r="Z45" s="119" t="s">
        <v>9</v>
      </c>
      <c r="AA45" s="86"/>
      <c r="AB45" s="384"/>
      <c r="AC45" s="385"/>
      <c r="AD45" s="94"/>
      <c r="AE45" s="410"/>
    </row>
    <row r="46" spans="3:31" s="260" customFormat="1" ht="25.5" x14ac:dyDescent="0.25">
      <c r="C46" s="84"/>
      <c r="D46" s="354"/>
      <c r="E46" s="96"/>
      <c r="F46" s="96"/>
      <c r="G46" s="96"/>
      <c r="H46" s="96"/>
      <c r="I46" s="96"/>
      <c r="J46" s="420" t="str">
        <f>+F43</f>
        <v>C3000</v>
      </c>
      <c r="K46" s="88"/>
      <c r="M46" s="102">
        <v>202</v>
      </c>
      <c r="N46" s="347" t="str">
        <f>IFERROR(VLOOKUP(M46,INSUMOS!$C$8:$K$928,2,0),"-----")</f>
        <v>Ayudante Albañileria</v>
      </c>
      <c r="O46" s="78" t="str">
        <f>IFERROR(VLOOKUP(M46,INSUMOS!$C$8:$K$928,3,0),"-----")</f>
        <v>JORNAL+PS</v>
      </c>
      <c r="P46" s="80">
        <v>4</v>
      </c>
      <c r="Q46" s="79">
        <v>5</v>
      </c>
      <c r="R46" s="190">
        <f>IFERROR(VLOOKUP(M46,INSUMOS!$C$8:$K$928,4,0),"-----")</f>
        <v>63490</v>
      </c>
      <c r="S46" s="190">
        <f>IFERROR(VLOOKUP(M46,INSUMOS!$C$8:$K$928,6,0),"-----")</f>
        <v>50792</v>
      </c>
      <c r="T46" s="190">
        <f>IFERROR(VLOOKUP(M46,INSUMOS!$C$8:$K$928,5,0),"-----")</f>
        <v>0</v>
      </c>
      <c r="U46" s="388">
        <f>SUM(R46:T46)</f>
        <v>114282</v>
      </c>
      <c r="V46" s="82">
        <f>+IFERROR((P46/Q46)*U46,0)</f>
        <v>91425.600000000006</v>
      </c>
      <c r="Y46" s="393">
        <f>+IFERROR((Y13/Q46*P46),0)</f>
        <v>3.19</v>
      </c>
      <c r="Z46" s="391">
        <f>Y13*V46</f>
        <v>364559.58</v>
      </c>
      <c r="AA46" s="86"/>
      <c r="AB46" s="92">
        <f>+(U46)*Y46</f>
        <v>364559.58</v>
      </c>
      <c r="AC46" s="93">
        <f>+AB46-Z46</f>
        <v>0</v>
      </c>
      <c r="AD46" s="421"/>
      <c r="AE46" s="410" t="str">
        <f>+IF(V46=0,"CERO","NO")</f>
        <v>NO</v>
      </c>
    </row>
    <row r="47" spans="3:31" s="260" customFormat="1" ht="15.75" thickBot="1" x14ac:dyDescent="0.3">
      <c r="C47" s="84"/>
      <c r="D47" s="355"/>
      <c r="E47" s="367"/>
      <c r="F47" s="367"/>
      <c r="G47" s="367"/>
      <c r="H47" s="367"/>
      <c r="I47" s="367"/>
      <c r="J47" s="422" t="str">
        <f>+J46</f>
        <v>C3000</v>
      </c>
      <c r="K47" s="88"/>
      <c r="M47" s="102">
        <v>0</v>
      </c>
      <c r="N47" s="347"/>
      <c r="O47" s="79"/>
      <c r="P47" s="423"/>
      <c r="Q47" s="81"/>
      <c r="R47" s="424"/>
      <c r="S47" s="425"/>
      <c r="T47" s="111"/>
      <c r="U47" s="388"/>
      <c r="V47" s="82"/>
      <c r="Y47" s="393">
        <f>+IFERROR((Y13/Q47*P47),0)</f>
        <v>0</v>
      </c>
      <c r="Z47" s="391">
        <f>Y13*V47</f>
        <v>0</v>
      </c>
      <c r="AA47" s="86"/>
      <c r="AB47" s="92">
        <f>+U47*Y47</f>
        <v>0</v>
      </c>
      <c r="AC47" s="93">
        <f>+AB47-Z47</f>
        <v>0</v>
      </c>
      <c r="AD47" s="94"/>
      <c r="AE47" s="410" t="str">
        <f>+IF(V47=0,"CERO","NO")</f>
        <v>CERO</v>
      </c>
    </row>
    <row r="48" spans="3:31" s="260" customFormat="1" ht="15.75" thickBot="1" x14ac:dyDescent="0.3">
      <c r="C48" s="84"/>
      <c r="D48" s="380"/>
      <c r="E48" s="381"/>
      <c r="F48" s="381"/>
      <c r="G48" s="381"/>
      <c r="H48" s="381"/>
      <c r="I48" s="381"/>
      <c r="J48" s="382"/>
      <c r="K48" s="88"/>
      <c r="M48" s="102">
        <v>0</v>
      </c>
      <c r="N48" s="347"/>
      <c r="O48" s="79"/>
      <c r="P48" s="423"/>
      <c r="Q48" s="81"/>
      <c r="R48" s="111"/>
      <c r="S48" s="357"/>
      <c r="T48" s="111"/>
      <c r="U48" s="388"/>
      <c r="V48" s="426"/>
      <c r="Y48" s="393">
        <f>+IFERROR((Y13/Q48*P48),0)</f>
        <v>0</v>
      </c>
      <c r="Z48" s="391">
        <f>Y13*V48</f>
        <v>0</v>
      </c>
      <c r="AA48" s="86"/>
      <c r="AB48" s="92">
        <f>+(U48)*Y48*P48</f>
        <v>0</v>
      </c>
      <c r="AC48" s="93">
        <f>+AB48-Z48</f>
        <v>0</v>
      </c>
      <c r="AD48" s="94"/>
      <c r="AE48" s="410" t="str">
        <f>+IF(V48=0,"CERO","NO")</f>
        <v>CERO</v>
      </c>
    </row>
    <row r="49" spans="3:31" s="260" customFormat="1" ht="15.75" thickBot="1" x14ac:dyDescent="0.3">
      <c r="C49" s="84"/>
      <c r="D49" s="375" t="s">
        <v>128</v>
      </c>
      <c r="E49" s="376" t="s">
        <v>129</v>
      </c>
      <c r="F49" s="376" t="s">
        <v>130</v>
      </c>
      <c r="G49" s="376" t="s">
        <v>131</v>
      </c>
      <c r="H49" s="376" t="s">
        <v>132</v>
      </c>
      <c r="I49" s="376" t="s">
        <v>133</v>
      </c>
      <c r="J49" s="377" t="s">
        <v>134</v>
      </c>
      <c r="K49" s="88"/>
      <c r="M49" s="534"/>
      <c r="N49" s="536" t="s">
        <v>120</v>
      </c>
      <c r="O49" s="536"/>
      <c r="P49" s="536"/>
      <c r="Q49" s="536"/>
      <c r="R49" s="536"/>
      <c r="S49" s="536"/>
      <c r="T49" s="536"/>
      <c r="U49" s="536"/>
      <c r="V49" s="82">
        <f>+SUM(V46:V48)</f>
        <v>91425.600000000006</v>
      </c>
      <c r="Y49" s="398" t="s">
        <v>135</v>
      </c>
      <c r="Z49" s="397">
        <f>+SUM(Z46:Z48)</f>
        <v>364559.58</v>
      </c>
      <c r="AA49" s="86"/>
      <c r="AB49" s="384"/>
      <c r="AC49" s="385"/>
      <c r="AD49" s="94"/>
      <c r="AE49" s="399"/>
    </row>
    <row r="50" spans="3:31" s="260" customFormat="1" ht="15.75" thickBot="1" x14ac:dyDescent="0.3">
      <c r="C50" s="84"/>
      <c r="D50" s="354"/>
      <c r="E50" s="96"/>
      <c r="F50" s="96"/>
      <c r="G50" s="107" t="str">
        <f>+F43</f>
        <v>C3000</v>
      </c>
      <c r="H50" s="96"/>
      <c r="I50" s="96"/>
      <c r="J50" s="427"/>
      <c r="K50" s="88"/>
      <c r="M50" s="535"/>
      <c r="N50" s="537" t="s">
        <v>121</v>
      </c>
      <c r="O50" s="537"/>
      <c r="P50" s="537"/>
      <c r="Q50" s="537"/>
      <c r="R50" s="537"/>
      <c r="S50" s="537"/>
      <c r="T50" s="537"/>
      <c r="U50" s="537"/>
      <c r="V50" s="413">
        <f>+ROUND(V49,$AA$5)</f>
        <v>91425.600000000006</v>
      </c>
      <c r="Y50" s="401" t="s">
        <v>136</v>
      </c>
      <c r="Z50" s="402">
        <f>+ROUND(Z49,$AA$5)</f>
        <v>364559.58</v>
      </c>
      <c r="AA50" s="86"/>
      <c r="AB50" s="403">
        <f>+V50*Y13</f>
        <v>364559.58</v>
      </c>
      <c r="AC50" s="404">
        <f>+AB50-Z50</f>
        <v>0</v>
      </c>
      <c r="AD50" s="94"/>
      <c r="AE50" s="405"/>
    </row>
    <row r="51" spans="3:31" s="260" customFormat="1" ht="15.75" thickBot="1" x14ac:dyDescent="0.3">
      <c r="C51" s="84"/>
      <c r="D51" s="375" t="s">
        <v>128</v>
      </c>
      <c r="E51" s="376" t="s">
        <v>129</v>
      </c>
      <c r="F51" s="376" t="s">
        <v>130</v>
      </c>
      <c r="G51" s="376" t="s">
        <v>131</v>
      </c>
      <c r="H51" s="376" t="s">
        <v>132</v>
      </c>
      <c r="I51" s="376" t="s">
        <v>133</v>
      </c>
      <c r="J51" s="377" t="s">
        <v>134</v>
      </c>
      <c r="K51" s="88"/>
      <c r="M51" s="541"/>
      <c r="N51" s="542"/>
      <c r="O51" s="542"/>
      <c r="P51" s="542"/>
      <c r="Q51" s="542"/>
      <c r="R51" s="542"/>
      <c r="S51" s="542"/>
      <c r="T51" s="542"/>
      <c r="U51" s="542"/>
      <c r="V51" s="543"/>
      <c r="Y51" s="378"/>
      <c r="Z51" s="121"/>
      <c r="AA51" s="86"/>
      <c r="AB51" s="409"/>
      <c r="AC51" s="121"/>
      <c r="AD51" s="94"/>
      <c r="AE51" s="428"/>
    </row>
    <row r="52" spans="3:31" s="260" customFormat="1" ht="15.75" thickBot="1" x14ac:dyDescent="0.3">
      <c r="C52" s="84"/>
      <c r="D52" s="355"/>
      <c r="E52" s="367"/>
      <c r="F52" s="367"/>
      <c r="G52" s="367"/>
      <c r="H52" s="412" t="str">
        <f>G50</f>
        <v>C3000</v>
      </c>
      <c r="I52" s="412"/>
      <c r="J52" s="422"/>
      <c r="K52" s="88"/>
      <c r="M52" s="544" t="s">
        <v>122</v>
      </c>
      <c r="N52" s="537"/>
      <c r="O52" s="537"/>
      <c r="P52" s="537"/>
      <c r="Q52" s="537"/>
      <c r="R52" s="537"/>
      <c r="S52" s="537"/>
      <c r="T52" s="537"/>
      <c r="U52" s="545">
        <f>+V50+V43+V34+V23</f>
        <v>789152.76</v>
      </c>
      <c r="V52" s="546"/>
      <c r="Y52" s="429"/>
      <c r="Z52" s="430">
        <f>+Z50+Z43+Z34+Z23</f>
        <v>3146746.62</v>
      </c>
      <c r="AA52" s="86"/>
      <c r="AB52" s="431">
        <f>+AB50+AB43+AB34+AB23</f>
        <v>3146746.6304999995</v>
      </c>
      <c r="AC52" s="404">
        <f>+AB52-Z52</f>
        <v>1.0499999392777681E-2</v>
      </c>
      <c r="AD52" s="94"/>
      <c r="AE52" s="432"/>
    </row>
    <row r="53" spans="3:31" s="260" customFormat="1" x14ac:dyDescent="0.25">
      <c r="M53" s="71"/>
      <c r="N53" s="72"/>
      <c r="O53" s="72"/>
      <c r="P53" s="72"/>
      <c r="Q53" s="71"/>
      <c r="R53" s="71"/>
      <c r="S53" s="71"/>
      <c r="T53" s="73"/>
      <c r="U53" s="73"/>
      <c r="V53" s="361"/>
      <c r="AA53" s="433"/>
      <c r="AB53" s="434"/>
      <c r="AC53" s="434"/>
      <c r="AD53" s="435"/>
    </row>
    <row r="54" spans="3:31" s="260" customFormat="1" ht="15.75" thickBot="1" x14ac:dyDescent="0.3">
      <c r="M54" s="71"/>
      <c r="N54" s="72"/>
      <c r="O54" s="72"/>
      <c r="P54" s="72"/>
      <c r="Q54" s="71"/>
      <c r="R54" s="71"/>
      <c r="S54" s="71"/>
      <c r="T54" s="73"/>
      <c r="U54" s="73"/>
      <c r="V54" s="361"/>
      <c r="AA54" s="362">
        <v>5</v>
      </c>
      <c r="AB54" s="590" t="s">
        <v>518</v>
      </c>
      <c r="AC54" s="591"/>
      <c r="AD54" s="592"/>
    </row>
    <row r="55" spans="3:31" s="260" customFormat="1" ht="15.75" thickBot="1" x14ac:dyDescent="0.3">
      <c r="M55" s="363" t="s">
        <v>88</v>
      </c>
      <c r="N55" s="364" t="s">
        <v>89</v>
      </c>
      <c r="O55" s="550" t="s">
        <v>90</v>
      </c>
      <c r="P55" s="551"/>
      <c r="Q55" s="551"/>
      <c r="R55" s="551"/>
      <c r="S55" s="551"/>
      <c r="T55" s="551"/>
      <c r="U55" s="552"/>
      <c r="V55" s="74" t="s">
        <v>91</v>
      </c>
      <c r="Y55" s="365" t="s">
        <v>104</v>
      </c>
      <c r="Z55" s="94"/>
      <c r="AA55" s="366">
        <v>5</v>
      </c>
      <c r="AB55" s="593" t="s">
        <v>141</v>
      </c>
      <c r="AC55" s="593"/>
      <c r="AD55" s="594"/>
      <c r="AE55" s="94"/>
    </row>
    <row r="56" spans="3:31" s="260" customFormat="1" ht="15.75" thickBot="1" x14ac:dyDescent="0.3">
      <c r="C56" s="369" t="str">
        <f>+N56</f>
        <v>C1500</v>
      </c>
      <c r="D56" s="86"/>
      <c r="E56" s="86"/>
      <c r="F56" s="86"/>
      <c r="G56" s="86"/>
      <c r="H56" s="86"/>
      <c r="I56" s="86"/>
      <c r="J56" s="86"/>
      <c r="K56" s="370"/>
      <c r="M56" s="75" t="s">
        <v>92</v>
      </c>
      <c r="N56" s="371" t="s">
        <v>459</v>
      </c>
      <c r="O56" s="554" t="str">
        <f>IFERROR(VLOOKUP(N56,INSUMOS!$C$8:$K$928,2,0),"-----")</f>
        <v>CONCRETO DE 1.500 PSI</v>
      </c>
      <c r="P56" s="555"/>
      <c r="Q56" s="555"/>
      <c r="R56" s="555"/>
      <c r="S56" s="555"/>
      <c r="T56" s="555"/>
      <c r="U56" s="556"/>
      <c r="V56" s="76" t="str">
        <f>IFERROR(VLOOKUP(N56,INSUMOS!$C$8:$K$928,6,0),"-----")</f>
        <v>m3</v>
      </c>
      <c r="W56" s="372">
        <f>+U95</f>
        <v>671556.87</v>
      </c>
      <c r="Y56" s="373">
        <f>SUMIFS($Y$183:$Y$5714,$M$183:$M$5714,N56)</f>
        <v>0</v>
      </c>
      <c r="Z56" s="94"/>
      <c r="AA56" s="86"/>
      <c r="AB56" s="94"/>
      <c r="AC56" s="94"/>
      <c r="AD56" s="94"/>
      <c r="AE56" s="94"/>
    </row>
    <row r="57" spans="3:31" s="260" customFormat="1" ht="15.75" thickBot="1" x14ac:dyDescent="0.3">
      <c r="C57" s="84"/>
      <c r="D57" s="86"/>
      <c r="E57" s="86"/>
      <c r="F57" s="86"/>
      <c r="G57" s="86"/>
      <c r="H57" s="86"/>
      <c r="I57" s="86"/>
      <c r="J57" s="86"/>
      <c r="K57" s="88"/>
      <c r="M57" s="557"/>
      <c r="N57" s="557"/>
      <c r="O57" s="557"/>
      <c r="P57" s="557"/>
      <c r="Q57" s="557"/>
      <c r="R57" s="557"/>
      <c r="S57" s="557"/>
      <c r="T57" s="557"/>
      <c r="U57" s="557"/>
      <c r="V57" s="557"/>
      <c r="Y57" s="374"/>
      <c r="Z57" s="94"/>
      <c r="AA57" s="86"/>
      <c r="AB57" s="94"/>
      <c r="AC57" s="94"/>
      <c r="AD57" s="94"/>
      <c r="AE57" s="94"/>
    </row>
    <row r="58" spans="3:31" s="260" customFormat="1" ht="15.75" thickBot="1" x14ac:dyDescent="0.3">
      <c r="C58" s="84"/>
      <c r="D58" s="375" t="s">
        <v>128</v>
      </c>
      <c r="E58" s="376" t="s">
        <v>129</v>
      </c>
      <c r="F58" s="376" t="s">
        <v>130</v>
      </c>
      <c r="G58" s="376" t="s">
        <v>131</v>
      </c>
      <c r="H58" s="376" t="s">
        <v>132</v>
      </c>
      <c r="I58" s="376" t="s">
        <v>133</v>
      </c>
      <c r="J58" s="377" t="s">
        <v>134</v>
      </c>
      <c r="K58" s="88"/>
      <c r="M58" s="558" t="s">
        <v>93</v>
      </c>
      <c r="N58" s="559"/>
      <c r="O58" s="559"/>
      <c r="P58" s="559"/>
      <c r="Q58" s="559"/>
      <c r="R58" s="559"/>
      <c r="S58" s="559"/>
      <c r="T58" s="559"/>
      <c r="U58" s="559"/>
      <c r="V58" s="560"/>
      <c r="Y58" s="378"/>
      <c r="Z58" s="121"/>
      <c r="AA58" s="86"/>
      <c r="AB58" s="513"/>
      <c r="AC58" s="514"/>
      <c r="AD58" s="94"/>
      <c r="AE58" s="379"/>
    </row>
    <row r="59" spans="3:31" s="260" customFormat="1" x14ac:dyDescent="0.25">
      <c r="C59" s="84"/>
      <c r="D59" s="380"/>
      <c r="E59" s="381"/>
      <c r="F59" s="381"/>
      <c r="G59" s="381"/>
      <c r="H59" s="381"/>
      <c r="I59" s="381"/>
      <c r="J59" s="382"/>
      <c r="K59" s="88"/>
      <c r="M59" s="99" t="s">
        <v>94</v>
      </c>
      <c r="N59" s="561" t="s">
        <v>95</v>
      </c>
      <c r="O59" s="561"/>
      <c r="P59" s="561"/>
      <c r="Q59" s="561"/>
      <c r="R59" s="95" t="s">
        <v>96</v>
      </c>
      <c r="S59" s="95" t="s">
        <v>97</v>
      </c>
      <c r="T59" s="562" t="s">
        <v>8</v>
      </c>
      <c r="U59" s="562"/>
      <c r="V59" s="100" t="s">
        <v>98</v>
      </c>
      <c r="Y59" s="383" t="s">
        <v>104</v>
      </c>
      <c r="Z59" s="119" t="s">
        <v>9</v>
      </c>
      <c r="AA59" s="86"/>
      <c r="AB59" s="384"/>
      <c r="AC59" s="385"/>
      <c r="AD59" s="94"/>
      <c r="AE59" s="386"/>
    </row>
    <row r="60" spans="3:31" s="260" customFormat="1" x14ac:dyDescent="0.25">
      <c r="C60" s="84"/>
      <c r="D60" s="85"/>
      <c r="E60" s="86"/>
      <c r="F60" s="86"/>
      <c r="G60" s="86"/>
      <c r="H60" s="86"/>
      <c r="I60" s="86"/>
      <c r="J60" s="87"/>
      <c r="K60" s="88"/>
      <c r="M60" s="102"/>
      <c r="N60" s="533" t="s">
        <v>99</v>
      </c>
      <c r="O60" s="533"/>
      <c r="P60" s="533"/>
      <c r="Q60" s="533"/>
      <c r="R60" s="78" t="s">
        <v>100</v>
      </c>
      <c r="S60" s="387">
        <f>+$AA$10</f>
        <v>0.05</v>
      </c>
      <c r="T60" s="563">
        <f>V93</f>
        <v>91425.600000000006</v>
      </c>
      <c r="U60" s="563"/>
      <c r="V60" s="389">
        <f>+IFERROR(T60*S60,0)</f>
        <v>4571.2800000000007</v>
      </c>
      <c r="Y60" s="390"/>
      <c r="Z60" s="391">
        <f>Y56*V60</f>
        <v>0</v>
      </c>
      <c r="AA60" s="86"/>
      <c r="AB60" s="384"/>
      <c r="AC60" s="385"/>
      <c r="AD60" s="94"/>
      <c r="AE60" s="386" t="str">
        <f>+IF(V60=0,"CERO","NO")</f>
        <v>NO</v>
      </c>
    </row>
    <row r="61" spans="3:31" s="260" customFormat="1" x14ac:dyDescent="0.25">
      <c r="C61" s="84"/>
      <c r="D61" s="85"/>
      <c r="E61" s="86"/>
      <c r="F61" s="86"/>
      <c r="G61" s="86"/>
      <c r="H61" s="86"/>
      <c r="I61" s="86"/>
      <c r="J61" s="87"/>
      <c r="K61" s="88"/>
      <c r="M61" s="106">
        <v>8</v>
      </c>
      <c r="N61" s="533" t="str">
        <f>IFERROR(VLOOKUP(M61,INSUMOS!$C$8:$K$928,2,0),"-----")</f>
        <v>MEZCLADORA DE CONCRETO</v>
      </c>
      <c r="O61" s="533"/>
      <c r="P61" s="533"/>
      <c r="Q61" s="533"/>
      <c r="R61" s="78" t="str">
        <f>IFERROR(VLOOKUP(M61,INSUMOS!$C$8:$K$928,6,0),"-----")</f>
        <v>dia</v>
      </c>
      <c r="S61" s="392">
        <v>0.1</v>
      </c>
      <c r="T61" s="529">
        <f>IFERROR(VLOOKUP(M61,INSUMOS!$C$8:$K$928,7,0),"0")</f>
        <v>85000</v>
      </c>
      <c r="U61" s="529"/>
      <c r="V61" s="389">
        <f>+IFERROR(T61*S61,0)</f>
        <v>8500</v>
      </c>
      <c r="Y61" s="393">
        <f>+IFERROR(Y56*S61,0)</f>
        <v>0</v>
      </c>
      <c r="Z61" s="391">
        <f>Y56*V61</f>
        <v>0</v>
      </c>
      <c r="AA61" s="394"/>
      <c r="AB61" s="395">
        <f>+Y61*T61</f>
        <v>0</v>
      </c>
      <c r="AC61" s="93">
        <f>+AB61-Z61</f>
        <v>0</v>
      </c>
      <c r="AD61" s="94"/>
      <c r="AE61" s="386" t="str">
        <f>+IF(V61=0,"CERO","NO")</f>
        <v>NO</v>
      </c>
    </row>
    <row r="62" spans="3:31" s="260" customFormat="1" x14ac:dyDescent="0.25">
      <c r="C62" s="84"/>
      <c r="D62" s="85"/>
      <c r="E62" s="86"/>
      <c r="F62" s="86"/>
      <c r="G62" s="86"/>
      <c r="H62" s="86"/>
      <c r="I62" s="86"/>
      <c r="J62" s="87"/>
      <c r="K62" s="88"/>
      <c r="M62" s="102">
        <v>0</v>
      </c>
      <c r="N62" s="533"/>
      <c r="O62" s="533"/>
      <c r="P62" s="533"/>
      <c r="Q62" s="533"/>
      <c r="R62" s="78"/>
      <c r="S62" s="396"/>
      <c r="T62" s="529"/>
      <c r="U62" s="529"/>
      <c r="V62" s="397"/>
      <c r="Y62" s="393">
        <f>+IFERROR(Y56*S62,0)</f>
        <v>0</v>
      </c>
      <c r="Z62" s="391">
        <f>Y56*V62</f>
        <v>0</v>
      </c>
      <c r="AA62" s="394"/>
      <c r="AB62" s="395">
        <f>+Y62*T62</f>
        <v>0</v>
      </c>
      <c r="AC62" s="93">
        <f>+AB62-Z62</f>
        <v>0</v>
      </c>
      <c r="AD62" s="94"/>
      <c r="AE62" s="386" t="str">
        <f>+IF(V62=0,"CERO","NO")</f>
        <v>CERO</v>
      </c>
    </row>
    <row r="63" spans="3:31" s="260" customFormat="1" x14ac:dyDescent="0.25">
      <c r="C63" s="84"/>
      <c r="D63" s="85"/>
      <c r="E63" s="86"/>
      <c r="F63" s="86"/>
      <c r="G63" s="86"/>
      <c r="H63" s="86"/>
      <c r="I63" s="86"/>
      <c r="J63" s="87"/>
      <c r="K63" s="88"/>
      <c r="M63" s="102">
        <v>0</v>
      </c>
      <c r="N63" s="533"/>
      <c r="O63" s="533"/>
      <c r="P63" s="533"/>
      <c r="Q63" s="533"/>
      <c r="R63" s="78"/>
      <c r="S63" s="396"/>
      <c r="T63" s="529"/>
      <c r="U63" s="529"/>
      <c r="V63" s="397"/>
      <c r="Y63" s="393">
        <f>+IFERROR(Y56*S63,0)</f>
        <v>0</v>
      </c>
      <c r="Z63" s="391">
        <f>Y56*V63</f>
        <v>0</v>
      </c>
      <c r="AA63" s="394"/>
      <c r="AB63" s="395">
        <f>+Y63*T63</f>
        <v>0</v>
      </c>
      <c r="AC63" s="93">
        <f>+AB63-Z63</f>
        <v>0</v>
      </c>
      <c r="AD63" s="94"/>
      <c r="AE63" s="386" t="str">
        <f>+IF(V63=0,"CERO","NO")</f>
        <v>CERO</v>
      </c>
    </row>
    <row r="64" spans="3:31" s="260" customFormat="1" ht="15.75" thickBot="1" x14ac:dyDescent="0.3">
      <c r="C64" s="84"/>
      <c r="D64" s="85"/>
      <c r="E64" s="86"/>
      <c r="F64" s="86"/>
      <c r="G64" s="86"/>
      <c r="H64" s="86"/>
      <c r="I64" s="86"/>
      <c r="J64" s="87"/>
      <c r="K64" s="88"/>
      <c r="M64" s="102">
        <v>0</v>
      </c>
      <c r="N64" s="564"/>
      <c r="O64" s="564"/>
      <c r="P64" s="564"/>
      <c r="Q64" s="564"/>
      <c r="R64" s="96"/>
      <c r="S64" s="96"/>
      <c r="T64" s="565"/>
      <c r="U64" s="565"/>
      <c r="V64" s="101"/>
      <c r="Y64" s="393">
        <f>+IFERROR(Y56*S64,0)</f>
        <v>0</v>
      </c>
      <c r="Z64" s="391">
        <f>Y56*V64</f>
        <v>0</v>
      </c>
      <c r="AA64" s="394"/>
      <c r="AB64" s="395">
        <f>+Y64*T64</f>
        <v>0</v>
      </c>
      <c r="AC64" s="93">
        <f>+AB64-Z64</f>
        <v>0</v>
      </c>
      <c r="AD64" s="94"/>
      <c r="AE64" s="386" t="str">
        <f>+IF(V64=0,"CERO","NO")</f>
        <v>CERO</v>
      </c>
    </row>
    <row r="65" spans="3:31" s="260" customFormat="1" ht="15.75" thickBot="1" x14ac:dyDescent="0.3">
      <c r="C65" s="84"/>
      <c r="D65" s="375" t="s">
        <v>128</v>
      </c>
      <c r="E65" s="376" t="s">
        <v>129</v>
      </c>
      <c r="F65" s="376" t="s">
        <v>130</v>
      </c>
      <c r="G65" s="376" t="s">
        <v>131</v>
      </c>
      <c r="H65" s="376" t="s">
        <v>132</v>
      </c>
      <c r="I65" s="376" t="s">
        <v>133</v>
      </c>
      <c r="J65" s="377" t="s">
        <v>134</v>
      </c>
      <c r="K65" s="88"/>
      <c r="M65" s="534"/>
      <c r="N65" s="536" t="s">
        <v>101</v>
      </c>
      <c r="O65" s="536"/>
      <c r="P65" s="536"/>
      <c r="Q65" s="536"/>
      <c r="R65" s="536"/>
      <c r="S65" s="536"/>
      <c r="T65" s="536"/>
      <c r="U65" s="536"/>
      <c r="V65" s="389">
        <f>+SUM(V60:V64)</f>
        <v>13071.28</v>
      </c>
      <c r="Y65" s="398" t="s">
        <v>135</v>
      </c>
      <c r="Z65" s="397">
        <f>+SUM(Z60:Z64)</f>
        <v>0</v>
      </c>
      <c r="AA65" s="86"/>
      <c r="AB65" s="384"/>
      <c r="AC65" s="385"/>
      <c r="AD65" s="94"/>
      <c r="AE65" s="399"/>
    </row>
    <row r="66" spans="3:31" s="260" customFormat="1" ht="15.75" thickBot="1" x14ac:dyDescent="0.3">
      <c r="C66" s="84"/>
      <c r="D66" s="375" t="str">
        <f>C56</f>
        <v>C1500</v>
      </c>
      <c r="E66" s="376"/>
      <c r="F66" s="376"/>
      <c r="G66" s="376"/>
      <c r="H66" s="376"/>
      <c r="I66" s="376"/>
      <c r="J66" s="377"/>
      <c r="K66" s="88"/>
      <c r="M66" s="566"/>
      <c r="N66" s="567" t="s">
        <v>102</v>
      </c>
      <c r="O66" s="567"/>
      <c r="P66" s="567"/>
      <c r="Q66" s="567"/>
      <c r="R66" s="567"/>
      <c r="S66" s="567"/>
      <c r="T66" s="567"/>
      <c r="U66" s="567"/>
      <c r="V66" s="400">
        <f>+ROUND(V65,$AA$5)</f>
        <v>13071.28</v>
      </c>
      <c r="Y66" s="401" t="s">
        <v>136</v>
      </c>
      <c r="Z66" s="402">
        <f>+ROUND(Z65,$AA$5)</f>
        <v>0</v>
      </c>
      <c r="AA66" s="86"/>
      <c r="AB66" s="403">
        <f>+V66*Y56</f>
        <v>0</v>
      </c>
      <c r="AC66" s="404">
        <f>+AB66-Z66</f>
        <v>0</v>
      </c>
      <c r="AD66" s="94"/>
      <c r="AE66" s="405"/>
    </row>
    <row r="67" spans="3:31" s="260" customFormat="1" x14ac:dyDescent="0.25">
      <c r="C67" s="84"/>
      <c r="D67" s="380"/>
      <c r="E67" s="381"/>
      <c r="F67" s="381"/>
      <c r="G67" s="381"/>
      <c r="H67" s="381"/>
      <c r="I67" s="381"/>
      <c r="J67" s="382"/>
      <c r="K67" s="88"/>
      <c r="M67" s="510" t="s">
        <v>103</v>
      </c>
      <c r="N67" s="511"/>
      <c r="O67" s="511"/>
      <c r="P67" s="511"/>
      <c r="Q67" s="511"/>
      <c r="R67" s="511"/>
      <c r="S67" s="511"/>
      <c r="T67" s="511"/>
      <c r="U67" s="511"/>
      <c r="V67" s="512"/>
      <c r="Y67" s="378"/>
      <c r="Z67" s="121"/>
      <c r="AA67" s="86"/>
      <c r="AB67" s="513"/>
      <c r="AC67" s="514"/>
      <c r="AD67" s="94"/>
      <c r="AE67" s="126"/>
    </row>
    <row r="68" spans="3:31" s="260" customFormat="1" x14ac:dyDescent="0.25">
      <c r="C68" s="84"/>
      <c r="D68" s="85"/>
      <c r="E68" s="86"/>
      <c r="F68" s="86"/>
      <c r="G68" s="86"/>
      <c r="H68" s="86"/>
      <c r="I68" s="86"/>
      <c r="J68" s="87"/>
      <c r="K68" s="88"/>
      <c r="M68" s="99" t="s">
        <v>94</v>
      </c>
      <c r="N68" s="561" t="s">
        <v>95</v>
      </c>
      <c r="O68" s="561"/>
      <c r="P68" s="561"/>
      <c r="Q68" s="561"/>
      <c r="R68" s="95" t="s">
        <v>96</v>
      </c>
      <c r="S68" s="95" t="s">
        <v>104</v>
      </c>
      <c r="T68" s="356" t="s">
        <v>105</v>
      </c>
      <c r="U68" s="356" t="s">
        <v>8</v>
      </c>
      <c r="V68" s="100" t="s">
        <v>98</v>
      </c>
      <c r="Y68" s="383" t="s">
        <v>104</v>
      </c>
      <c r="Z68" s="119" t="s">
        <v>9</v>
      </c>
      <c r="AA68" s="86"/>
      <c r="AB68" s="384"/>
      <c r="AC68" s="385"/>
      <c r="AD68" s="94"/>
      <c r="AE68" s="406"/>
    </row>
    <row r="69" spans="3:31" s="260" customFormat="1" x14ac:dyDescent="0.25">
      <c r="C69" s="84"/>
      <c r="D69" s="85"/>
      <c r="E69" s="86"/>
      <c r="F69" s="86"/>
      <c r="G69" s="86"/>
      <c r="H69" s="86"/>
      <c r="I69" s="86"/>
      <c r="J69" s="87"/>
      <c r="K69" s="88"/>
      <c r="M69" s="102">
        <v>400</v>
      </c>
      <c r="N69" s="533" t="str">
        <f>IFERROR(VLOOKUP(M69,INSUMOS!$C$8:$K$928,2,0),"-----")</f>
        <v>CEMENTO GRIS</v>
      </c>
      <c r="O69" s="533"/>
      <c r="P69" s="533"/>
      <c r="Q69" s="533"/>
      <c r="R69" s="78" t="str">
        <f>IFERROR(VLOOKUP(M69,INSUMOS!$C$8:$K$928,6,0),"-----")</f>
        <v>kg</v>
      </c>
      <c r="S69" s="396">
        <v>175</v>
      </c>
      <c r="T69" s="387">
        <v>0.02</v>
      </c>
      <c r="U69" s="388">
        <f>IFERROR(VLOOKUP(M69,INSUMOS!$C$8:$K$928,7,0),"0")</f>
        <v>600</v>
      </c>
      <c r="V69" s="389">
        <f>+IFERROR(U69*(S69*(1+T69)),0)</f>
        <v>107100</v>
      </c>
      <c r="Y69" s="393">
        <f>+IFERROR(Y56*(S69*(1+T69)),0)</f>
        <v>0</v>
      </c>
      <c r="Z69" s="391">
        <f>Y56*V69</f>
        <v>0</v>
      </c>
      <c r="AA69" s="394"/>
      <c r="AB69" s="395">
        <f>+Y69*U69</f>
        <v>0</v>
      </c>
      <c r="AC69" s="93">
        <f>+AB69-Z69</f>
        <v>0</v>
      </c>
      <c r="AD69" s="94"/>
      <c r="AE69" s="406" t="str">
        <f t="shared" ref="AE69:AE75" si="3">+IF(V69=0,"CERO","NO")</f>
        <v>NO</v>
      </c>
    </row>
    <row r="70" spans="3:31" s="260" customFormat="1" x14ac:dyDescent="0.25">
      <c r="C70" s="84"/>
      <c r="D70" s="85"/>
      <c r="E70" s="86"/>
      <c r="F70" s="86"/>
      <c r="G70" s="86"/>
      <c r="H70" s="86"/>
      <c r="I70" s="86"/>
      <c r="J70" s="87"/>
      <c r="K70" s="88"/>
      <c r="M70" s="102">
        <v>401</v>
      </c>
      <c r="N70" s="533" t="str">
        <f>IFERROR(VLOOKUP(M70,INSUMOS!$C$8:$K$928,2,0),"-----")</f>
        <v>AGUA</v>
      </c>
      <c r="O70" s="533"/>
      <c r="P70" s="533"/>
      <c r="Q70" s="533"/>
      <c r="R70" s="78" t="str">
        <f>IFERROR(VLOOKUP(M70,INSUMOS!$C$8:$K$928,6,0),"-----")</f>
        <v>lt</v>
      </c>
      <c r="S70" s="396">
        <v>160</v>
      </c>
      <c r="T70" s="387">
        <v>0.05</v>
      </c>
      <c r="U70" s="388">
        <f>IFERROR(VLOOKUP(M70,INSUMOS!$C$8:$K$928,7,0),"0")</f>
        <v>75</v>
      </c>
      <c r="V70" s="389">
        <f>+IFERROR(U70*(S70*(1+T70)),0)</f>
        <v>12600</v>
      </c>
      <c r="Y70" s="393">
        <f>+IFERROR(Y56*(S70*(1+T70)),0)</f>
        <v>0</v>
      </c>
      <c r="Z70" s="391">
        <f>Y56*V70</f>
        <v>0</v>
      </c>
      <c r="AA70" s="394"/>
      <c r="AB70" s="395">
        <f t="shared" ref="AB70:AB75" si="4">+Y70*U70</f>
        <v>0</v>
      </c>
      <c r="AC70" s="93">
        <f t="shared" ref="AC70:AC75" si="5">+AB70-Z70</f>
        <v>0</v>
      </c>
      <c r="AD70" s="94"/>
      <c r="AE70" s="406" t="str">
        <f t="shared" si="3"/>
        <v>NO</v>
      </c>
    </row>
    <row r="71" spans="3:31" s="260" customFormat="1" x14ac:dyDescent="0.25">
      <c r="C71" s="84"/>
      <c r="D71" s="85"/>
      <c r="E71" s="86"/>
      <c r="F71" s="86"/>
      <c r="G71" s="86"/>
      <c r="H71" s="86"/>
      <c r="I71" s="86"/>
      <c r="J71" s="87"/>
      <c r="K71" s="88"/>
      <c r="M71" s="102">
        <v>405</v>
      </c>
      <c r="N71" s="533" t="str">
        <f>IFERROR(VLOOKUP(M71,INSUMOS!$C$8:$K$928,2,0),"-----")</f>
        <v>ARENA GRUESA</v>
      </c>
      <c r="O71" s="533"/>
      <c r="P71" s="533"/>
      <c r="Q71" s="533"/>
      <c r="R71" s="78" t="str">
        <f>IFERROR(VLOOKUP(M71,INSUMOS!$C$8:$K$928,6,0),"-----")</f>
        <v>m3</v>
      </c>
      <c r="S71" s="396">
        <v>0.55000000000000004</v>
      </c>
      <c r="T71" s="387">
        <v>0.03</v>
      </c>
      <c r="U71" s="388">
        <f>IFERROR(VLOOKUP(M71,INSUMOS!$C$8:$K$928,7,0),"0")</f>
        <v>97476</v>
      </c>
      <c r="V71" s="389">
        <f>+IFERROR(U71*(S71*(1+T71)),0)</f>
        <v>55220.15400000001</v>
      </c>
      <c r="Y71" s="393">
        <f>+IFERROR(Y56*(S71*(1+T71)),0)</f>
        <v>0</v>
      </c>
      <c r="Z71" s="391">
        <f>Y56*V71</f>
        <v>0</v>
      </c>
      <c r="AA71" s="394"/>
      <c r="AB71" s="395">
        <f t="shared" si="4"/>
        <v>0</v>
      </c>
      <c r="AC71" s="93">
        <f t="shared" si="5"/>
        <v>0</v>
      </c>
      <c r="AD71" s="94"/>
      <c r="AE71" s="406" t="str">
        <f t="shared" si="3"/>
        <v>NO</v>
      </c>
    </row>
    <row r="72" spans="3:31" s="260" customFormat="1" x14ac:dyDescent="0.25">
      <c r="C72" s="84"/>
      <c r="D72" s="85"/>
      <c r="E72" s="86"/>
      <c r="F72" s="86"/>
      <c r="G72" s="86"/>
      <c r="H72" s="86"/>
      <c r="I72" s="86"/>
      <c r="J72" s="87"/>
      <c r="K72" s="88"/>
      <c r="M72" s="102">
        <v>411</v>
      </c>
      <c r="N72" s="533" t="str">
        <f>IFERROR(VLOOKUP(M72,INSUMOS!$C$8:$K$928,2,0),"-----")</f>
        <v>TRITURADO DE 3/4"</v>
      </c>
      <c r="O72" s="533"/>
      <c r="P72" s="533"/>
      <c r="Q72" s="533"/>
      <c r="R72" s="78" t="str">
        <f>IFERROR(VLOOKUP(M72,INSUMOS!$C$8:$K$928,6,0),"-----")</f>
        <v>m3</v>
      </c>
      <c r="S72" s="396">
        <v>0.98</v>
      </c>
      <c r="T72" s="387">
        <v>0.03</v>
      </c>
      <c r="U72" s="388">
        <f>IFERROR(VLOOKUP(M72,INSUMOS!$C$8:$K$928,7,0),"0")</f>
        <v>39600</v>
      </c>
      <c r="V72" s="389">
        <f>+IFERROR(U72*(S72*(1+T72)),0)</f>
        <v>39972.240000000005</v>
      </c>
      <c r="Y72" s="393">
        <f>+IFERROR(Y56*(S72*(1+T72)),0)</f>
        <v>0</v>
      </c>
      <c r="Z72" s="391">
        <f>Y56*V72</f>
        <v>0</v>
      </c>
      <c r="AA72" s="394"/>
      <c r="AB72" s="395">
        <f t="shared" si="4"/>
        <v>0</v>
      </c>
      <c r="AC72" s="93">
        <f t="shared" si="5"/>
        <v>0</v>
      </c>
      <c r="AD72" s="94"/>
      <c r="AE72" s="406" t="str">
        <f t="shared" si="3"/>
        <v>NO</v>
      </c>
    </row>
    <row r="73" spans="3:31" s="260" customFormat="1" x14ac:dyDescent="0.25">
      <c r="C73" s="84"/>
      <c r="D73" s="85"/>
      <c r="E73" s="86"/>
      <c r="F73" s="86"/>
      <c r="G73" s="86"/>
      <c r="H73" s="86"/>
      <c r="I73" s="86"/>
      <c r="J73" s="87"/>
      <c r="K73" s="88"/>
      <c r="M73" s="102">
        <v>0</v>
      </c>
      <c r="N73" s="533"/>
      <c r="O73" s="533"/>
      <c r="P73" s="533"/>
      <c r="Q73" s="533"/>
      <c r="R73" s="78"/>
      <c r="S73" s="396"/>
      <c r="T73" s="387"/>
      <c r="U73" s="388"/>
      <c r="V73" s="397"/>
      <c r="Y73" s="393">
        <f>+IFERROR(Y56*(S73*(1+T73)),0)</f>
        <v>0</v>
      </c>
      <c r="Z73" s="391">
        <f>Y56*V73</f>
        <v>0</v>
      </c>
      <c r="AA73" s="394"/>
      <c r="AB73" s="395">
        <f t="shared" si="4"/>
        <v>0</v>
      </c>
      <c r="AC73" s="93">
        <f t="shared" si="5"/>
        <v>0</v>
      </c>
      <c r="AD73" s="94"/>
      <c r="AE73" s="406" t="str">
        <f t="shared" si="3"/>
        <v>CERO</v>
      </c>
    </row>
    <row r="74" spans="3:31" s="260" customFormat="1" x14ac:dyDescent="0.25">
      <c r="C74" s="84"/>
      <c r="D74" s="85"/>
      <c r="E74" s="86"/>
      <c r="F74" s="86"/>
      <c r="G74" s="86"/>
      <c r="H74" s="86"/>
      <c r="I74" s="86"/>
      <c r="J74" s="87"/>
      <c r="K74" s="88"/>
      <c r="M74" s="102">
        <v>0</v>
      </c>
      <c r="N74" s="533"/>
      <c r="O74" s="533"/>
      <c r="P74" s="533"/>
      <c r="Q74" s="533"/>
      <c r="R74" s="78"/>
      <c r="S74" s="396"/>
      <c r="T74" s="387"/>
      <c r="U74" s="388"/>
      <c r="V74" s="397"/>
      <c r="Y74" s="393">
        <f>+IFERROR(Y56*(S74*(1+T74)),0)</f>
        <v>0</v>
      </c>
      <c r="Z74" s="391">
        <f>Y56*V74</f>
        <v>0</v>
      </c>
      <c r="AA74" s="394"/>
      <c r="AB74" s="395">
        <f t="shared" si="4"/>
        <v>0</v>
      </c>
      <c r="AC74" s="93">
        <f t="shared" si="5"/>
        <v>0</v>
      </c>
      <c r="AD74" s="94"/>
      <c r="AE74" s="406" t="str">
        <f t="shared" si="3"/>
        <v>CERO</v>
      </c>
    </row>
    <row r="75" spans="3:31" s="260" customFormat="1" ht="15.75" thickBot="1" x14ac:dyDescent="0.3">
      <c r="C75" s="84"/>
      <c r="D75" s="85"/>
      <c r="E75" s="86"/>
      <c r="F75" s="86"/>
      <c r="G75" s="86"/>
      <c r="H75" s="86"/>
      <c r="I75" s="86"/>
      <c r="J75" s="87"/>
      <c r="K75" s="88"/>
      <c r="M75" s="102">
        <v>0</v>
      </c>
      <c r="N75" s="564"/>
      <c r="O75" s="564"/>
      <c r="P75" s="564"/>
      <c r="Q75" s="564"/>
      <c r="R75" s="96"/>
      <c r="S75" s="79"/>
      <c r="T75" s="97"/>
      <c r="U75" s="358"/>
      <c r="V75" s="397"/>
      <c r="Y75" s="393">
        <f>+IFERROR(Y56*(S75*(1+T75)),0)</f>
        <v>0</v>
      </c>
      <c r="Z75" s="391">
        <f>Y56*V75</f>
        <v>0</v>
      </c>
      <c r="AA75" s="394"/>
      <c r="AB75" s="395">
        <f t="shared" si="4"/>
        <v>0</v>
      </c>
      <c r="AC75" s="93">
        <f t="shared" si="5"/>
        <v>0</v>
      </c>
      <c r="AD75" s="94"/>
      <c r="AE75" s="406" t="str">
        <f t="shared" si="3"/>
        <v>CERO</v>
      </c>
    </row>
    <row r="76" spans="3:31" s="260" customFormat="1" ht="15.75" thickBot="1" x14ac:dyDescent="0.3">
      <c r="C76" s="84"/>
      <c r="D76" s="375" t="s">
        <v>128</v>
      </c>
      <c r="E76" s="376" t="s">
        <v>129</v>
      </c>
      <c r="F76" s="376" t="s">
        <v>130</v>
      </c>
      <c r="G76" s="376" t="s">
        <v>131</v>
      </c>
      <c r="H76" s="376" t="s">
        <v>132</v>
      </c>
      <c r="I76" s="376" t="s">
        <v>133</v>
      </c>
      <c r="J76" s="377" t="s">
        <v>134</v>
      </c>
      <c r="K76" s="88"/>
      <c r="M76" s="534"/>
      <c r="N76" s="536" t="s">
        <v>106</v>
      </c>
      <c r="O76" s="536"/>
      <c r="P76" s="536"/>
      <c r="Q76" s="536"/>
      <c r="R76" s="536"/>
      <c r="S76" s="536"/>
      <c r="T76" s="536"/>
      <c r="U76" s="536"/>
      <c r="V76" s="389">
        <f>+SUM(V69:V75)</f>
        <v>214892.39400000003</v>
      </c>
      <c r="Y76" s="398" t="s">
        <v>135</v>
      </c>
      <c r="Z76" s="397">
        <f>+SUM(Z69:Z75)</f>
        <v>0</v>
      </c>
      <c r="AA76" s="86"/>
      <c r="AB76" s="384"/>
      <c r="AC76" s="385"/>
      <c r="AD76" s="94"/>
      <c r="AE76" s="399"/>
    </row>
    <row r="77" spans="3:31" s="260" customFormat="1" ht="15.75" thickBot="1" x14ac:dyDescent="0.3">
      <c r="C77" s="84"/>
      <c r="D77" s="375"/>
      <c r="E77" s="407" t="str">
        <f>+D66</f>
        <v>C1500</v>
      </c>
      <c r="F77" s="376"/>
      <c r="G77" s="376"/>
      <c r="H77" s="376"/>
      <c r="I77" s="376"/>
      <c r="J77" s="377"/>
      <c r="K77" s="88"/>
      <c r="M77" s="535"/>
      <c r="N77" s="537" t="s">
        <v>107</v>
      </c>
      <c r="O77" s="537"/>
      <c r="P77" s="537"/>
      <c r="Q77" s="537"/>
      <c r="R77" s="537"/>
      <c r="S77" s="537"/>
      <c r="T77" s="537"/>
      <c r="U77" s="537"/>
      <c r="V77" s="408">
        <f>+ROUND(V76,$AA$5)</f>
        <v>214892.39</v>
      </c>
      <c r="Y77" s="401" t="s">
        <v>136</v>
      </c>
      <c r="Z77" s="402">
        <f>+ROUND(Z76,$AA$5)</f>
        <v>0</v>
      </c>
      <c r="AA77" s="86"/>
      <c r="AB77" s="403">
        <f>+V77*Y56</f>
        <v>0</v>
      </c>
      <c r="AC77" s="404">
        <f>+AB77-Z77</f>
        <v>0</v>
      </c>
      <c r="AD77" s="94"/>
      <c r="AE77" s="405"/>
    </row>
    <row r="78" spans="3:31" s="260" customFormat="1" x14ac:dyDescent="0.25">
      <c r="C78" s="84"/>
      <c r="D78" s="380"/>
      <c r="E78" s="381"/>
      <c r="F78" s="381"/>
      <c r="G78" s="381"/>
      <c r="H78" s="381"/>
      <c r="I78" s="381"/>
      <c r="J78" s="382"/>
      <c r="K78" s="88"/>
      <c r="M78" s="568" t="s">
        <v>108</v>
      </c>
      <c r="N78" s="569"/>
      <c r="O78" s="569"/>
      <c r="P78" s="569"/>
      <c r="Q78" s="569"/>
      <c r="R78" s="569"/>
      <c r="S78" s="569"/>
      <c r="T78" s="569"/>
      <c r="U78" s="569"/>
      <c r="V78" s="570"/>
      <c r="Y78" s="378"/>
      <c r="Z78" s="121"/>
      <c r="AA78" s="86"/>
      <c r="AB78" s="409"/>
      <c r="AC78" s="121"/>
      <c r="AD78" s="94"/>
      <c r="AE78" s="126"/>
    </row>
    <row r="79" spans="3:31" s="260" customFormat="1" ht="25.5" x14ac:dyDescent="0.25">
      <c r="C79" s="84"/>
      <c r="D79" s="85"/>
      <c r="E79" s="86"/>
      <c r="F79" s="86"/>
      <c r="G79" s="86"/>
      <c r="H79" s="86"/>
      <c r="I79" s="86"/>
      <c r="J79" s="87"/>
      <c r="K79" s="88"/>
      <c r="M79" s="99" t="s">
        <v>94</v>
      </c>
      <c r="N79" s="561" t="s">
        <v>95</v>
      </c>
      <c r="O79" s="561"/>
      <c r="P79" s="561"/>
      <c r="Q79" s="95" t="s">
        <v>109</v>
      </c>
      <c r="R79" s="95" t="s">
        <v>110</v>
      </c>
      <c r="S79" s="95" t="s">
        <v>111</v>
      </c>
      <c r="T79" s="562" t="s">
        <v>112</v>
      </c>
      <c r="U79" s="562"/>
      <c r="V79" s="100" t="s">
        <v>98</v>
      </c>
      <c r="Y79" s="383" t="s">
        <v>104</v>
      </c>
      <c r="Z79" s="119" t="s">
        <v>9</v>
      </c>
      <c r="AA79" s="86"/>
      <c r="AB79" s="384"/>
      <c r="AC79" s="385"/>
      <c r="AD79" s="94"/>
      <c r="AE79" s="410"/>
    </row>
    <row r="80" spans="3:31" s="260" customFormat="1" x14ac:dyDescent="0.25">
      <c r="C80" s="84"/>
      <c r="D80" s="85"/>
      <c r="E80" s="86"/>
      <c r="F80" s="86"/>
      <c r="G80" s="86"/>
      <c r="H80" s="86"/>
      <c r="I80" s="86"/>
      <c r="J80" s="87"/>
      <c r="K80" s="88"/>
      <c r="M80" s="102">
        <v>120</v>
      </c>
      <c r="N80" s="530" t="str">
        <f>IFERROR(VLOOKUP(M80,INSUMOS!$C$8:$K$928,2,0),"-----")</f>
        <v>Transporte Cemento</v>
      </c>
      <c r="O80" s="531"/>
      <c r="P80" s="532"/>
      <c r="Q80" s="78" t="str">
        <f>IFERROR(VLOOKUP(M80,INSUMOS!$C$8:$K$928,5,0),"-----")</f>
        <v>kg/km</v>
      </c>
      <c r="R80" s="80">
        <f>S69*(1+T69)</f>
        <v>178.5</v>
      </c>
      <c r="S80" s="80">
        <f>IFERROR(VLOOKUP(M80,INSUMOS!$C$8:$K$928,6,0),"0")</f>
        <v>15</v>
      </c>
      <c r="T80" s="529">
        <f>IFERROR(VLOOKUP(M80,INSUMOS!$C$8:$K$928,7,0),"0")</f>
        <v>20</v>
      </c>
      <c r="U80" s="529"/>
      <c r="V80" s="82">
        <f>+T80*S80*R80</f>
        <v>53550</v>
      </c>
      <c r="Y80" s="393">
        <f>+IFERROR((R80*S80)*Y56,0)</f>
        <v>0</v>
      </c>
      <c r="Z80" s="391">
        <f>Y56*V80</f>
        <v>0</v>
      </c>
      <c r="AA80" s="86"/>
      <c r="AB80" s="92">
        <f>+Y80*T80</f>
        <v>0</v>
      </c>
      <c r="AC80" s="93">
        <f>+AB80-Z80</f>
        <v>0</v>
      </c>
      <c r="AD80" s="94"/>
      <c r="AE80" s="406" t="str">
        <f>+IF(V80=0,"CERO","NO")</f>
        <v>NO</v>
      </c>
    </row>
    <row r="81" spans="3:31" s="260" customFormat="1" x14ac:dyDescent="0.25">
      <c r="C81" s="84"/>
      <c r="D81" s="85"/>
      <c r="E81" s="86"/>
      <c r="F81" s="86"/>
      <c r="G81" s="86"/>
      <c r="H81" s="86"/>
      <c r="I81" s="86"/>
      <c r="J81" s="87"/>
      <c r="K81" s="88"/>
      <c r="M81" s="102">
        <v>100</v>
      </c>
      <c r="N81" s="530" t="str">
        <f>IFERROR(VLOOKUP(M81,INSUMOS!$C$8:$K$928,2,0),"-----")</f>
        <v xml:space="preserve">Transporte Arena </v>
      </c>
      <c r="O81" s="531"/>
      <c r="P81" s="532"/>
      <c r="Q81" s="78" t="str">
        <f>IFERROR(VLOOKUP(M81,INSUMOS!$C$8:$K$928,5,0),"-----")</f>
        <v>m3/km</v>
      </c>
      <c r="R81" s="80">
        <f>S71*(1+T71)</f>
        <v>0.56650000000000011</v>
      </c>
      <c r="S81" s="80">
        <f>IFERROR(VLOOKUP(M81,INSUMOS!$C$8:$K$928,6,0),"0")</f>
        <v>15</v>
      </c>
      <c r="T81" s="529">
        <f>IFERROR(VLOOKUP(M81,INSUMOS!$C$8:$K$928,7,0),"0")</f>
        <v>2000</v>
      </c>
      <c r="U81" s="529"/>
      <c r="V81" s="82">
        <f>+T81*S81*R81</f>
        <v>16995.000000000004</v>
      </c>
      <c r="Y81" s="393">
        <f>+IFERROR((R81*S81)*Y56,0)</f>
        <v>0</v>
      </c>
      <c r="Z81" s="391">
        <f>Y56*V81</f>
        <v>0</v>
      </c>
      <c r="AA81" s="86"/>
      <c r="AB81" s="92">
        <f>+Y81*T81</f>
        <v>0</v>
      </c>
      <c r="AC81" s="93">
        <f>+AB81-Z81</f>
        <v>0</v>
      </c>
      <c r="AD81" s="94"/>
      <c r="AE81" s="406" t="str">
        <f>+IF(V81=0,"CERO","NO")</f>
        <v>NO</v>
      </c>
    </row>
    <row r="82" spans="3:31" s="260" customFormat="1" x14ac:dyDescent="0.25">
      <c r="C82" s="84"/>
      <c r="D82" s="85"/>
      <c r="E82" s="86"/>
      <c r="F82" s="86"/>
      <c r="G82" s="86"/>
      <c r="H82" s="86"/>
      <c r="I82" s="86"/>
      <c r="J82" s="87"/>
      <c r="K82" s="88"/>
      <c r="M82" s="102">
        <v>101</v>
      </c>
      <c r="N82" s="530" t="str">
        <f>IFERROR(VLOOKUP(M82,INSUMOS!$C$8:$K$928,2,0),"-----")</f>
        <v>Transporte Triturado</v>
      </c>
      <c r="O82" s="531"/>
      <c r="P82" s="532"/>
      <c r="Q82" s="78" t="str">
        <f>IFERROR(VLOOKUP(M82,INSUMOS!$C$8:$K$928,5,0),"-----")</f>
        <v>m3/km</v>
      </c>
      <c r="R82" s="80">
        <f>S72*(1+T72)</f>
        <v>1.0094000000000001</v>
      </c>
      <c r="S82" s="80">
        <f>IFERROR(VLOOKUP(M82,INSUMOS!$C$8:$K$928,6,0),"0")</f>
        <v>186</v>
      </c>
      <c r="T82" s="529">
        <f>IFERROR(VLOOKUP(M82,INSUMOS!$C$8:$K$928,7,0),"0")</f>
        <v>1500</v>
      </c>
      <c r="U82" s="529"/>
      <c r="V82" s="82">
        <f>+T82*S82*R82</f>
        <v>281622.60000000003</v>
      </c>
      <c r="Y82" s="393">
        <f>+IFERROR((R82*S82)*Y56,0)</f>
        <v>0</v>
      </c>
      <c r="Z82" s="391">
        <f>Y56*V82</f>
        <v>0</v>
      </c>
      <c r="AA82" s="86"/>
      <c r="AB82" s="92">
        <f>+Y82*T82</f>
        <v>0</v>
      </c>
      <c r="AC82" s="93">
        <f>+AB82-Z82</f>
        <v>0</v>
      </c>
      <c r="AD82" s="94"/>
      <c r="AE82" s="406" t="str">
        <f>+IF(V82=0,"CERO","NO")</f>
        <v>NO</v>
      </c>
    </row>
    <row r="83" spans="3:31" s="260" customFormat="1" x14ac:dyDescent="0.25">
      <c r="C83" s="84"/>
      <c r="D83" s="85"/>
      <c r="E83" s="86"/>
      <c r="F83" s="86"/>
      <c r="G83" s="86"/>
      <c r="H83" s="86"/>
      <c r="I83" s="86"/>
      <c r="J83" s="87"/>
      <c r="K83" s="88"/>
      <c r="M83" s="102"/>
      <c r="N83" s="530"/>
      <c r="O83" s="531"/>
      <c r="P83" s="532"/>
      <c r="Q83" s="79"/>
      <c r="R83" s="80"/>
      <c r="S83" s="81"/>
      <c r="T83" s="585"/>
      <c r="U83" s="586"/>
      <c r="V83" s="82"/>
      <c r="Y83" s="393">
        <f>+IFERROR((R83*S83)*Y56,0)</f>
        <v>0</v>
      </c>
      <c r="Z83" s="391">
        <f>Y56*V83</f>
        <v>0</v>
      </c>
      <c r="AA83" s="86"/>
      <c r="AB83" s="92">
        <f>+Y83*T83</f>
        <v>0</v>
      </c>
      <c r="AC83" s="93">
        <f>+AB83-Z83</f>
        <v>0</v>
      </c>
      <c r="AD83" s="94"/>
      <c r="AE83" s="406" t="str">
        <f>+IF(V83=0,"CERO","NO")</f>
        <v>CERO</v>
      </c>
    </row>
    <row r="84" spans="3:31" s="260" customFormat="1" ht="15.75" thickBot="1" x14ac:dyDescent="0.3">
      <c r="C84" s="84"/>
      <c r="D84" s="89"/>
      <c r="E84" s="90"/>
      <c r="F84" s="90"/>
      <c r="G84" s="90"/>
      <c r="H84" s="90"/>
      <c r="I84" s="90"/>
      <c r="J84" s="91"/>
      <c r="K84" s="88"/>
      <c r="M84" s="102">
        <v>0</v>
      </c>
      <c r="N84" s="533"/>
      <c r="O84" s="533"/>
      <c r="P84" s="533"/>
      <c r="Q84" s="79"/>
      <c r="R84" s="78"/>
      <c r="S84" s="81"/>
      <c r="T84" s="529"/>
      <c r="U84" s="529"/>
      <c r="V84" s="82"/>
      <c r="Y84" s="393">
        <f>+IFERROR((R84*S84)*Y56,0)</f>
        <v>0</v>
      </c>
      <c r="Z84" s="391">
        <f>Y56*V84</f>
        <v>0</v>
      </c>
      <c r="AA84" s="86"/>
      <c r="AB84" s="92">
        <f>+Y84*T84</f>
        <v>0</v>
      </c>
      <c r="AC84" s="93">
        <f>+AB84-Z84</f>
        <v>0</v>
      </c>
      <c r="AD84" s="94"/>
      <c r="AE84" s="406" t="str">
        <f>+IF(V84=0,"CERO","NO")</f>
        <v>CERO</v>
      </c>
    </row>
    <row r="85" spans="3:31" s="260" customFormat="1" ht="15.75" thickBot="1" x14ac:dyDescent="0.3">
      <c r="C85" s="84"/>
      <c r="D85" s="375" t="s">
        <v>128</v>
      </c>
      <c r="E85" s="376" t="s">
        <v>129</v>
      </c>
      <c r="F85" s="376" t="s">
        <v>130</v>
      </c>
      <c r="G85" s="376" t="s">
        <v>131</v>
      </c>
      <c r="H85" s="376" t="s">
        <v>132</v>
      </c>
      <c r="I85" s="376" t="s">
        <v>133</v>
      </c>
      <c r="J85" s="377" t="s">
        <v>134</v>
      </c>
      <c r="K85" s="88"/>
      <c r="M85" s="534"/>
      <c r="N85" s="536" t="s">
        <v>113</v>
      </c>
      <c r="O85" s="536"/>
      <c r="P85" s="536"/>
      <c r="Q85" s="536"/>
      <c r="R85" s="536"/>
      <c r="S85" s="536"/>
      <c r="T85" s="536"/>
      <c r="U85" s="536"/>
      <c r="V85" s="411">
        <f>+SUM(V80:V84)</f>
        <v>352167.60000000003</v>
      </c>
      <c r="Y85" s="398" t="s">
        <v>135</v>
      </c>
      <c r="Z85" s="397">
        <f>+SUM(Z80:Z84)</f>
        <v>0</v>
      </c>
      <c r="AA85" s="86"/>
      <c r="AB85" s="384"/>
      <c r="AC85" s="385"/>
      <c r="AD85" s="94"/>
      <c r="AE85" s="399"/>
    </row>
    <row r="86" spans="3:31" s="260" customFormat="1" ht="15.75" thickBot="1" x14ac:dyDescent="0.3">
      <c r="C86" s="84"/>
      <c r="D86" s="355"/>
      <c r="E86" s="367"/>
      <c r="F86" s="412" t="str">
        <f>+E77</f>
        <v>C1500</v>
      </c>
      <c r="G86" s="367"/>
      <c r="H86" s="367"/>
      <c r="I86" s="367"/>
      <c r="J86" s="368"/>
      <c r="K86" s="88"/>
      <c r="M86" s="535"/>
      <c r="N86" s="537" t="s">
        <v>114</v>
      </c>
      <c r="O86" s="537"/>
      <c r="P86" s="537"/>
      <c r="Q86" s="537"/>
      <c r="R86" s="537"/>
      <c r="S86" s="537"/>
      <c r="T86" s="537"/>
      <c r="U86" s="537"/>
      <c r="V86" s="413">
        <f>+ROUND(V85,$AA$5)</f>
        <v>352167.6</v>
      </c>
      <c r="Y86" s="401" t="s">
        <v>136</v>
      </c>
      <c r="Z86" s="402">
        <f>+ROUND(Z85,$AA$5)</f>
        <v>0</v>
      </c>
      <c r="AA86" s="86"/>
      <c r="AB86" s="403">
        <f>+V86*Y56</f>
        <v>0</v>
      </c>
      <c r="AC86" s="414"/>
      <c r="AD86" s="94"/>
      <c r="AE86" s="405"/>
    </row>
    <row r="87" spans="3:31" s="260" customFormat="1" ht="15.75" thickBot="1" x14ac:dyDescent="0.3">
      <c r="C87" s="84"/>
      <c r="D87" s="415"/>
      <c r="E87" s="416"/>
      <c r="F87" s="416"/>
      <c r="G87" s="416"/>
      <c r="H87" s="416"/>
      <c r="I87" s="416"/>
      <c r="J87" s="417"/>
      <c r="K87" s="88"/>
      <c r="M87" s="538" t="s">
        <v>115</v>
      </c>
      <c r="N87" s="539"/>
      <c r="O87" s="539"/>
      <c r="P87" s="539"/>
      <c r="Q87" s="539"/>
      <c r="R87" s="539"/>
      <c r="S87" s="539"/>
      <c r="T87" s="539"/>
      <c r="U87" s="539"/>
      <c r="V87" s="540"/>
      <c r="Y87" s="378"/>
      <c r="Z87" s="121"/>
      <c r="AA87" s="86"/>
      <c r="AB87" s="409"/>
      <c r="AC87" s="121"/>
      <c r="AD87" s="94"/>
      <c r="AE87" s="126"/>
    </row>
    <row r="88" spans="3:31" s="260" customFormat="1" ht="15.75" thickBot="1" x14ac:dyDescent="0.3">
      <c r="C88" s="84"/>
      <c r="D88" s="375" t="s">
        <v>128</v>
      </c>
      <c r="E88" s="376" t="s">
        <v>129</v>
      </c>
      <c r="F88" s="376" t="s">
        <v>130</v>
      </c>
      <c r="G88" s="376" t="s">
        <v>131</v>
      </c>
      <c r="H88" s="376" t="s">
        <v>132</v>
      </c>
      <c r="I88" s="376" t="s">
        <v>133</v>
      </c>
      <c r="J88" s="377" t="s">
        <v>134</v>
      </c>
      <c r="K88" s="88"/>
      <c r="M88" s="99" t="s">
        <v>94</v>
      </c>
      <c r="N88" s="98" t="s">
        <v>95</v>
      </c>
      <c r="O88" s="95" t="s">
        <v>96</v>
      </c>
      <c r="P88" s="95" t="s">
        <v>104</v>
      </c>
      <c r="Q88" s="95" t="s">
        <v>116</v>
      </c>
      <c r="R88" s="418" t="s">
        <v>117</v>
      </c>
      <c r="S88" s="95" t="s">
        <v>347</v>
      </c>
      <c r="T88" s="419" t="s">
        <v>118</v>
      </c>
      <c r="U88" s="189" t="s">
        <v>119</v>
      </c>
      <c r="V88" s="100" t="s">
        <v>98</v>
      </c>
      <c r="Y88" s="383" t="s">
        <v>104</v>
      </c>
      <c r="Z88" s="119" t="s">
        <v>9</v>
      </c>
      <c r="AA88" s="86"/>
      <c r="AB88" s="384"/>
      <c r="AC88" s="385"/>
      <c r="AD88" s="94"/>
      <c r="AE88" s="410"/>
    </row>
    <row r="89" spans="3:31" s="260" customFormat="1" ht="25.5" x14ac:dyDescent="0.25">
      <c r="C89" s="84"/>
      <c r="D89" s="354"/>
      <c r="E89" s="96"/>
      <c r="F89" s="96"/>
      <c r="G89" s="96"/>
      <c r="H89" s="96"/>
      <c r="I89" s="96"/>
      <c r="J89" s="420" t="str">
        <f>+F86</f>
        <v>C1500</v>
      </c>
      <c r="K89" s="88"/>
      <c r="M89" s="102">
        <v>202</v>
      </c>
      <c r="N89" s="347" t="str">
        <f>IFERROR(VLOOKUP(M89,INSUMOS!$C$8:$K$928,2,0),"-----")</f>
        <v>Ayudante Albañileria</v>
      </c>
      <c r="O89" s="78" t="str">
        <f>IFERROR(VLOOKUP(M89,INSUMOS!$C$8:$K$928,3,0),"-----")</f>
        <v>JORNAL+PS</v>
      </c>
      <c r="P89" s="80">
        <v>4</v>
      </c>
      <c r="Q89" s="79">
        <v>5</v>
      </c>
      <c r="R89" s="190">
        <f>IFERROR(VLOOKUP(M89,INSUMOS!$C$8:$K$928,4,0),"-----")</f>
        <v>63490</v>
      </c>
      <c r="S89" s="190">
        <f>IFERROR(VLOOKUP(M89,INSUMOS!$C$8:$K$928,6,0),"-----")</f>
        <v>50792</v>
      </c>
      <c r="T89" s="190">
        <f>IFERROR(VLOOKUP(M89,INSUMOS!$C$8:$K$928,5,0),"-----")</f>
        <v>0</v>
      </c>
      <c r="U89" s="388">
        <f>SUM(R89:T89)</f>
        <v>114282</v>
      </c>
      <c r="V89" s="82">
        <f>+IFERROR((P89/Q89)*U89,0)</f>
        <v>91425.600000000006</v>
      </c>
      <c r="Y89" s="393">
        <f>+IFERROR((Y56/Q89*P89),0)</f>
        <v>0</v>
      </c>
      <c r="Z89" s="391">
        <f>Y56*V89</f>
        <v>0</v>
      </c>
      <c r="AA89" s="86"/>
      <c r="AB89" s="92">
        <f>+(U89)*Y89</f>
        <v>0</v>
      </c>
      <c r="AC89" s="93">
        <f>+AB89-Z89</f>
        <v>0</v>
      </c>
      <c r="AD89" s="421"/>
      <c r="AE89" s="410" t="str">
        <f>+IF(V89=0,"CERO","NO")</f>
        <v>NO</v>
      </c>
    </row>
    <row r="90" spans="3:31" s="260" customFormat="1" ht="15.75" thickBot="1" x14ac:dyDescent="0.3">
      <c r="C90" s="84"/>
      <c r="D90" s="355"/>
      <c r="E90" s="367"/>
      <c r="F90" s="367"/>
      <c r="G90" s="367"/>
      <c r="H90" s="367"/>
      <c r="I90" s="367"/>
      <c r="J90" s="422" t="str">
        <f>+J89</f>
        <v>C1500</v>
      </c>
      <c r="K90" s="88"/>
      <c r="M90" s="102">
        <v>0</v>
      </c>
      <c r="N90" s="347"/>
      <c r="O90" s="79"/>
      <c r="P90" s="423"/>
      <c r="Q90" s="81"/>
      <c r="R90" s="424"/>
      <c r="S90" s="425"/>
      <c r="T90" s="111"/>
      <c r="U90" s="388"/>
      <c r="V90" s="82"/>
      <c r="Y90" s="393">
        <f>+IFERROR((Y56/Q90*P90),0)</f>
        <v>0</v>
      </c>
      <c r="Z90" s="391">
        <f>Y56*V90</f>
        <v>0</v>
      </c>
      <c r="AA90" s="86"/>
      <c r="AB90" s="92">
        <f>+U90*Y90</f>
        <v>0</v>
      </c>
      <c r="AC90" s="93">
        <f>+AB90-Z90</f>
        <v>0</v>
      </c>
      <c r="AD90" s="94"/>
      <c r="AE90" s="410" t="str">
        <f>+IF(V90=0,"CERO","NO")</f>
        <v>CERO</v>
      </c>
    </row>
    <row r="91" spans="3:31" s="260" customFormat="1" ht="15.75" thickBot="1" x14ac:dyDescent="0.3">
      <c r="C91" s="84"/>
      <c r="D91" s="380"/>
      <c r="E91" s="381"/>
      <c r="F91" s="381"/>
      <c r="G91" s="381"/>
      <c r="H91" s="381"/>
      <c r="I91" s="381"/>
      <c r="J91" s="382"/>
      <c r="K91" s="88"/>
      <c r="M91" s="102">
        <v>0</v>
      </c>
      <c r="N91" s="347"/>
      <c r="O91" s="79"/>
      <c r="P91" s="423"/>
      <c r="Q91" s="81"/>
      <c r="R91" s="111"/>
      <c r="S91" s="357"/>
      <c r="T91" s="111"/>
      <c r="U91" s="388"/>
      <c r="V91" s="426"/>
      <c r="Y91" s="393">
        <f>+IFERROR((Y56/Q91*P91),0)</f>
        <v>0</v>
      </c>
      <c r="Z91" s="391">
        <f>Y56*V91</f>
        <v>0</v>
      </c>
      <c r="AA91" s="86"/>
      <c r="AB91" s="92">
        <f>+(U91)*Y91*P91</f>
        <v>0</v>
      </c>
      <c r="AC91" s="93">
        <f>+AB91-Z91</f>
        <v>0</v>
      </c>
      <c r="AD91" s="94"/>
      <c r="AE91" s="410" t="str">
        <f>+IF(V91=0,"CERO","NO")</f>
        <v>CERO</v>
      </c>
    </row>
    <row r="92" spans="3:31" s="260" customFormat="1" ht="15.75" thickBot="1" x14ac:dyDescent="0.3">
      <c r="C92" s="84"/>
      <c r="D92" s="375" t="s">
        <v>128</v>
      </c>
      <c r="E92" s="376" t="s">
        <v>129</v>
      </c>
      <c r="F92" s="376" t="s">
        <v>130</v>
      </c>
      <c r="G92" s="376" t="s">
        <v>131</v>
      </c>
      <c r="H92" s="376" t="s">
        <v>132</v>
      </c>
      <c r="I92" s="376" t="s">
        <v>133</v>
      </c>
      <c r="J92" s="377" t="s">
        <v>134</v>
      </c>
      <c r="K92" s="88"/>
      <c r="M92" s="534"/>
      <c r="N92" s="536" t="s">
        <v>120</v>
      </c>
      <c r="O92" s="536"/>
      <c r="P92" s="536"/>
      <c r="Q92" s="536"/>
      <c r="R92" s="536"/>
      <c r="S92" s="536"/>
      <c r="T92" s="536"/>
      <c r="U92" s="536"/>
      <c r="V92" s="82">
        <f>+SUM(V89:V91)</f>
        <v>91425.600000000006</v>
      </c>
      <c r="Y92" s="398" t="s">
        <v>135</v>
      </c>
      <c r="Z92" s="397">
        <f>+SUM(Z89:Z91)</f>
        <v>0</v>
      </c>
      <c r="AA92" s="86"/>
      <c r="AB92" s="384"/>
      <c r="AC92" s="385"/>
      <c r="AD92" s="94"/>
      <c r="AE92" s="399"/>
    </row>
    <row r="93" spans="3:31" s="260" customFormat="1" ht="15.75" thickBot="1" x14ac:dyDescent="0.3">
      <c r="C93" s="84"/>
      <c r="D93" s="354"/>
      <c r="E93" s="96"/>
      <c r="F93" s="96"/>
      <c r="G93" s="107" t="str">
        <f>+F86</f>
        <v>C1500</v>
      </c>
      <c r="H93" s="96"/>
      <c r="I93" s="96"/>
      <c r="J93" s="427"/>
      <c r="K93" s="88"/>
      <c r="M93" s="535"/>
      <c r="N93" s="537" t="s">
        <v>121</v>
      </c>
      <c r="O93" s="537"/>
      <c r="P93" s="537"/>
      <c r="Q93" s="537"/>
      <c r="R93" s="537"/>
      <c r="S93" s="537"/>
      <c r="T93" s="537"/>
      <c r="U93" s="537"/>
      <c r="V93" s="413">
        <f>+ROUND(V92,$AA$5)</f>
        <v>91425.600000000006</v>
      </c>
      <c r="Y93" s="401" t="s">
        <v>136</v>
      </c>
      <c r="Z93" s="402">
        <f>+ROUND(Z92,$AA$5)</f>
        <v>0</v>
      </c>
      <c r="AA93" s="86"/>
      <c r="AB93" s="403">
        <f>+V93*Y56</f>
        <v>0</v>
      </c>
      <c r="AC93" s="404">
        <f>+AB93-Z93</f>
        <v>0</v>
      </c>
      <c r="AD93" s="94"/>
      <c r="AE93" s="405"/>
    </row>
    <row r="94" spans="3:31" s="260" customFormat="1" ht="15.75" thickBot="1" x14ac:dyDescent="0.3">
      <c r="C94" s="84"/>
      <c r="D94" s="375" t="s">
        <v>128</v>
      </c>
      <c r="E94" s="376" t="s">
        <v>129</v>
      </c>
      <c r="F94" s="376" t="s">
        <v>130</v>
      </c>
      <c r="G94" s="376" t="s">
        <v>131</v>
      </c>
      <c r="H94" s="376" t="s">
        <v>132</v>
      </c>
      <c r="I94" s="376" t="s">
        <v>133</v>
      </c>
      <c r="J94" s="377" t="s">
        <v>134</v>
      </c>
      <c r="K94" s="88"/>
      <c r="M94" s="541"/>
      <c r="N94" s="542"/>
      <c r="O94" s="542"/>
      <c r="P94" s="542"/>
      <c r="Q94" s="542"/>
      <c r="R94" s="542"/>
      <c r="S94" s="542"/>
      <c r="T94" s="542"/>
      <c r="U94" s="542"/>
      <c r="V94" s="543"/>
      <c r="Y94" s="378"/>
      <c r="Z94" s="121"/>
      <c r="AA94" s="86"/>
      <c r="AB94" s="409"/>
      <c r="AC94" s="121"/>
      <c r="AD94" s="94"/>
      <c r="AE94" s="428"/>
    </row>
    <row r="95" spans="3:31" s="260" customFormat="1" ht="15.75" thickBot="1" x14ac:dyDescent="0.3">
      <c r="C95" s="84"/>
      <c r="D95" s="355"/>
      <c r="E95" s="367"/>
      <c r="F95" s="367"/>
      <c r="G95" s="367"/>
      <c r="H95" s="412" t="str">
        <f>G93</f>
        <v>C1500</v>
      </c>
      <c r="I95" s="412"/>
      <c r="J95" s="422"/>
      <c r="K95" s="88"/>
      <c r="M95" s="544" t="s">
        <v>122</v>
      </c>
      <c r="N95" s="537"/>
      <c r="O95" s="537"/>
      <c r="P95" s="537"/>
      <c r="Q95" s="537"/>
      <c r="R95" s="537"/>
      <c r="S95" s="537"/>
      <c r="T95" s="537"/>
      <c r="U95" s="545">
        <f>+V93+V86+V77+V66</f>
        <v>671556.87</v>
      </c>
      <c r="V95" s="546"/>
      <c r="Y95" s="429"/>
      <c r="Z95" s="430">
        <f>+Z93+Z86+Z77+Z66</f>
        <v>0</v>
      </c>
      <c r="AA95" s="86"/>
      <c r="AB95" s="431">
        <f>+AB93+AB86+AB77+AB66</f>
        <v>0</v>
      </c>
      <c r="AC95" s="404">
        <f>+AB95-Z95</f>
        <v>0</v>
      </c>
      <c r="AD95" s="94"/>
      <c r="AE95" s="432"/>
    </row>
    <row r="96" spans="3:31" s="260" customFormat="1" x14ac:dyDescent="0.25">
      <c r="M96" s="71"/>
      <c r="N96" s="72"/>
      <c r="O96" s="72"/>
      <c r="P96" s="72"/>
      <c r="Q96" s="71"/>
      <c r="R96" s="71"/>
      <c r="S96" s="71"/>
      <c r="T96" s="73"/>
      <c r="U96" s="73"/>
      <c r="V96" s="361"/>
      <c r="AA96" s="433"/>
      <c r="AB96" s="434"/>
      <c r="AC96" s="434"/>
      <c r="AD96" s="435"/>
    </row>
    <row r="97" spans="3:31" s="260" customFormat="1" ht="15.75" thickBot="1" x14ac:dyDescent="0.3">
      <c r="M97" s="71"/>
      <c r="N97" s="72"/>
      <c r="O97" s="72"/>
      <c r="P97" s="72"/>
      <c r="Q97" s="71"/>
      <c r="R97" s="71"/>
      <c r="S97" s="71"/>
      <c r="T97" s="73"/>
      <c r="U97" s="73"/>
      <c r="V97" s="361"/>
      <c r="AA97" s="362">
        <v>5</v>
      </c>
      <c r="AB97" s="590" t="s">
        <v>518</v>
      </c>
      <c r="AC97" s="591"/>
      <c r="AD97" s="592"/>
    </row>
    <row r="98" spans="3:31" s="260" customFormat="1" ht="15.75" thickBot="1" x14ac:dyDescent="0.3">
      <c r="M98" s="363" t="s">
        <v>88</v>
      </c>
      <c r="N98" s="364" t="s">
        <v>89</v>
      </c>
      <c r="O98" s="550" t="s">
        <v>90</v>
      </c>
      <c r="P98" s="551"/>
      <c r="Q98" s="551"/>
      <c r="R98" s="551"/>
      <c r="S98" s="551"/>
      <c r="T98" s="551"/>
      <c r="U98" s="552"/>
      <c r="V98" s="74" t="s">
        <v>91</v>
      </c>
      <c r="Y98" s="365" t="s">
        <v>104</v>
      </c>
      <c r="Z98" s="94"/>
      <c r="AA98" s="366">
        <v>5</v>
      </c>
      <c r="AB98" s="593" t="s">
        <v>141</v>
      </c>
      <c r="AC98" s="593"/>
      <c r="AD98" s="594"/>
      <c r="AE98" s="94"/>
    </row>
    <row r="99" spans="3:31" s="260" customFormat="1" ht="15.75" thickBot="1" x14ac:dyDescent="0.3">
      <c r="C99" s="369" t="str">
        <f>+N99</f>
        <v>C4000</v>
      </c>
      <c r="D99" s="86"/>
      <c r="E99" s="86"/>
      <c r="F99" s="86"/>
      <c r="G99" s="86"/>
      <c r="H99" s="86"/>
      <c r="I99" s="86"/>
      <c r="J99" s="86"/>
      <c r="K99" s="370"/>
      <c r="M99" s="75" t="s">
        <v>92</v>
      </c>
      <c r="N99" s="371" t="s">
        <v>571</v>
      </c>
      <c r="O99" s="554" t="str">
        <f>IFERROR(VLOOKUP(N99,INSUMOS!$C$8:$K$928,2,0),"-----")</f>
        <v>CONCRETO DE 4.000 PSI</v>
      </c>
      <c r="P99" s="555"/>
      <c r="Q99" s="555"/>
      <c r="R99" s="555"/>
      <c r="S99" s="555"/>
      <c r="T99" s="555"/>
      <c r="U99" s="556"/>
      <c r="V99" s="76" t="str">
        <f>IFERROR(VLOOKUP(N99,INSUMOS!$C$8:$K$928,6,0),"-----")</f>
        <v>m3</v>
      </c>
      <c r="W99" s="372">
        <f>+U138</f>
        <v>812856.43</v>
      </c>
      <c r="Y99" s="373">
        <f>SUMIFS($Y$183:$Y$5714,$M$183:$M$5714,N99)</f>
        <v>34.911540000000002</v>
      </c>
      <c r="Z99" s="94"/>
      <c r="AA99" s="86"/>
      <c r="AB99" s="94"/>
      <c r="AC99" s="94"/>
      <c r="AD99" s="94"/>
      <c r="AE99" s="94"/>
    </row>
    <row r="100" spans="3:31" s="260" customFormat="1" ht="15.75" thickBot="1" x14ac:dyDescent="0.3">
      <c r="C100" s="84"/>
      <c r="D100" s="86"/>
      <c r="E100" s="86"/>
      <c r="F100" s="86"/>
      <c r="G100" s="86"/>
      <c r="H100" s="86"/>
      <c r="I100" s="86"/>
      <c r="J100" s="86"/>
      <c r="K100" s="88"/>
      <c r="M100" s="557"/>
      <c r="N100" s="557"/>
      <c r="O100" s="557"/>
      <c r="P100" s="557"/>
      <c r="Q100" s="557"/>
      <c r="R100" s="557"/>
      <c r="S100" s="557"/>
      <c r="T100" s="557"/>
      <c r="U100" s="557"/>
      <c r="V100" s="557"/>
      <c r="Y100" s="374"/>
      <c r="Z100" s="94"/>
      <c r="AA100" s="86"/>
      <c r="AB100" s="94"/>
      <c r="AC100" s="94"/>
      <c r="AD100" s="94"/>
      <c r="AE100" s="94"/>
    </row>
    <row r="101" spans="3:31" s="260" customFormat="1" ht="15.75" thickBot="1" x14ac:dyDescent="0.3">
      <c r="C101" s="84"/>
      <c r="D101" s="375" t="s">
        <v>128</v>
      </c>
      <c r="E101" s="376" t="s">
        <v>129</v>
      </c>
      <c r="F101" s="376" t="s">
        <v>130</v>
      </c>
      <c r="G101" s="376" t="s">
        <v>131</v>
      </c>
      <c r="H101" s="376" t="s">
        <v>132</v>
      </c>
      <c r="I101" s="376" t="s">
        <v>133</v>
      </c>
      <c r="J101" s="377" t="s">
        <v>134</v>
      </c>
      <c r="K101" s="88"/>
      <c r="M101" s="558" t="s">
        <v>93</v>
      </c>
      <c r="N101" s="559"/>
      <c r="O101" s="559"/>
      <c r="P101" s="559"/>
      <c r="Q101" s="559"/>
      <c r="R101" s="559"/>
      <c r="S101" s="559"/>
      <c r="T101" s="559"/>
      <c r="U101" s="559"/>
      <c r="V101" s="560"/>
      <c r="Y101" s="378"/>
      <c r="Z101" s="121"/>
      <c r="AA101" s="86"/>
      <c r="AB101" s="513"/>
      <c r="AC101" s="514"/>
      <c r="AD101" s="94"/>
      <c r="AE101" s="379"/>
    </row>
    <row r="102" spans="3:31" s="260" customFormat="1" x14ac:dyDescent="0.25">
      <c r="C102" s="84"/>
      <c r="D102" s="380"/>
      <c r="E102" s="381"/>
      <c r="F102" s="381"/>
      <c r="G102" s="381"/>
      <c r="H102" s="381"/>
      <c r="I102" s="381"/>
      <c r="J102" s="382"/>
      <c r="K102" s="88"/>
      <c r="M102" s="99" t="s">
        <v>94</v>
      </c>
      <c r="N102" s="561" t="s">
        <v>95</v>
      </c>
      <c r="O102" s="561"/>
      <c r="P102" s="561"/>
      <c r="Q102" s="561"/>
      <c r="R102" s="95" t="s">
        <v>96</v>
      </c>
      <c r="S102" s="95" t="s">
        <v>97</v>
      </c>
      <c r="T102" s="562" t="s">
        <v>8</v>
      </c>
      <c r="U102" s="562"/>
      <c r="V102" s="100" t="s">
        <v>98</v>
      </c>
      <c r="Y102" s="383" t="s">
        <v>104</v>
      </c>
      <c r="Z102" s="119" t="s">
        <v>9</v>
      </c>
      <c r="AA102" s="86"/>
      <c r="AB102" s="384"/>
      <c r="AC102" s="385"/>
      <c r="AD102" s="94"/>
      <c r="AE102" s="386"/>
    </row>
    <row r="103" spans="3:31" s="260" customFormat="1" x14ac:dyDescent="0.25">
      <c r="C103" s="84"/>
      <c r="D103" s="85"/>
      <c r="E103" s="86"/>
      <c r="F103" s="86"/>
      <c r="G103" s="86"/>
      <c r="H103" s="86"/>
      <c r="I103" s="86"/>
      <c r="J103" s="87"/>
      <c r="K103" s="88"/>
      <c r="M103" s="102"/>
      <c r="N103" s="533" t="s">
        <v>99</v>
      </c>
      <c r="O103" s="533"/>
      <c r="P103" s="533"/>
      <c r="Q103" s="533"/>
      <c r="R103" s="78" t="s">
        <v>100</v>
      </c>
      <c r="S103" s="387">
        <f>+$AA$10</f>
        <v>0.05</v>
      </c>
      <c r="T103" s="563">
        <f>V136</f>
        <v>91425.600000000006</v>
      </c>
      <c r="U103" s="563"/>
      <c r="V103" s="389">
        <f>+IFERROR(T103*S103,0)</f>
        <v>4571.2800000000007</v>
      </c>
      <c r="Y103" s="390"/>
      <c r="Z103" s="391">
        <f>Y99*V103</f>
        <v>159590.42457120004</v>
      </c>
      <c r="AA103" s="86"/>
      <c r="AB103" s="384"/>
      <c r="AC103" s="385"/>
      <c r="AD103" s="94"/>
      <c r="AE103" s="386" t="str">
        <f>+IF(V103=0,"CERO","NO")</f>
        <v>NO</v>
      </c>
    </row>
    <row r="104" spans="3:31" s="260" customFormat="1" x14ac:dyDescent="0.25">
      <c r="C104" s="84"/>
      <c r="D104" s="85"/>
      <c r="E104" s="86"/>
      <c r="F104" s="86"/>
      <c r="G104" s="86"/>
      <c r="H104" s="86"/>
      <c r="I104" s="86"/>
      <c r="J104" s="87"/>
      <c r="K104" s="88"/>
      <c r="M104" s="106">
        <v>8</v>
      </c>
      <c r="N104" s="533" t="str">
        <f>IFERROR(VLOOKUP(M104,INSUMOS!$C$8:$K$928,2,0),"-----")</f>
        <v>MEZCLADORA DE CONCRETO</v>
      </c>
      <c r="O104" s="533"/>
      <c r="P104" s="533"/>
      <c r="Q104" s="533"/>
      <c r="R104" s="78" t="str">
        <f>IFERROR(VLOOKUP(M104,INSUMOS!$C$8:$K$928,6,0),"-----")</f>
        <v>dia</v>
      </c>
      <c r="S104" s="392">
        <v>0.1</v>
      </c>
      <c r="T104" s="529">
        <f>IFERROR(VLOOKUP(M104,INSUMOS!$C$8:$K$928,7,0),"0")</f>
        <v>85000</v>
      </c>
      <c r="U104" s="529"/>
      <c r="V104" s="389">
        <f>+IFERROR(T104*S104,0)</f>
        <v>8500</v>
      </c>
      <c r="Y104" s="393">
        <f>+IFERROR(Y99*S104,0)</f>
        <v>3.4911540000000003</v>
      </c>
      <c r="Z104" s="391">
        <f>Y99*V104</f>
        <v>296748.09000000003</v>
      </c>
      <c r="AA104" s="394"/>
      <c r="AB104" s="395">
        <f>+Y104*T104</f>
        <v>296748.09000000003</v>
      </c>
      <c r="AC104" s="93">
        <f>+AB104-Z104</f>
        <v>0</v>
      </c>
      <c r="AD104" s="94"/>
      <c r="AE104" s="386" t="str">
        <f>+IF(V104=0,"CERO","NO")</f>
        <v>NO</v>
      </c>
    </row>
    <row r="105" spans="3:31" s="260" customFormat="1" x14ac:dyDescent="0.25">
      <c r="C105" s="84"/>
      <c r="D105" s="85"/>
      <c r="E105" s="86"/>
      <c r="F105" s="86"/>
      <c r="G105" s="86"/>
      <c r="H105" s="86"/>
      <c r="I105" s="86"/>
      <c r="J105" s="87"/>
      <c r="K105" s="88"/>
      <c r="M105" s="102">
        <v>0</v>
      </c>
      <c r="N105" s="533"/>
      <c r="O105" s="533"/>
      <c r="P105" s="533"/>
      <c r="Q105" s="533"/>
      <c r="R105" s="78"/>
      <c r="S105" s="396"/>
      <c r="T105" s="529"/>
      <c r="U105" s="529"/>
      <c r="V105" s="397"/>
      <c r="Y105" s="393">
        <f>+IFERROR(Y99*S105,0)</f>
        <v>0</v>
      </c>
      <c r="Z105" s="391">
        <f>Y99*V105</f>
        <v>0</v>
      </c>
      <c r="AA105" s="394"/>
      <c r="AB105" s="395">
        <f>+Y105*T105</f>
        <v>0</v>
      </c>
      <c r="AC105" s="93">
        <f>+AB105-Z105</f>
        <v>0</v>
      </c>
      <c r="AD105" s="94"/>
      <c r="AE105" s="386" t="str">
        <f>+IF(V105=0,"CERO","NO")</f>
        <v>CERO</v>
      </c>
    </row>
    <row r="106" spans="3:31" s="260" customFormat="1" x14ac:dyDescent="0.25">
      <c r="C106" s="84"/>
      <c r="D106" s="85"/>
      <c r="E106" s="86"/>
      <c r="F106" s="86"/>
      <c r="G106" s="86"/>
      <c r="H106" s="86"/>
      <c r="I106" s="86"/>
      <c r="J106" s="87"/>
      <c r="K106" s="88"/>
      <c r="M106" s="102">
        <v>0</v>
      </c>
      <c r="N106" s="533"/>
      <c r="O106" s="533"/>
      <c r="P106" s="533"/>
      <c r="Q106" s="533"/>
      <c r="R106" s="78"/>
      <c r="S106" s="396"/>
      <c r="T106" s="529"/>
      <c r="U106" s="529"/>
      <c r="V106" s="397"/>
      <c r="Y106" s="393">
        <f>+IFERROR(Y99*S106,0)</f>
        <v>0</v>
      </c>
      <c r="Z106" s="391">
        <f>Y99*V106</f>
        <v>0</v>
      </c>
      <c r="AA106" s="394"/>
      <c r="AB106" s="395">
        <f>+Y106*T106</f>
        <v>0</v>
      </c>
      <c r="AC106" s="93">
        <f>+AB106-Z106</f>
        <v>0</v>
      </c>
      <c r="AD106" s="94"/>
      <c r="AE106" s="386" t="str">
        <f>+IF(V106=0,"CERO","NO")</f>
        <v>CERO</v>
      </c>
    </row>
    <row r="107" spans="3:31" s="260" customFormat="1" ht="15.75" thickBot="1" x14ac:dyDescent="0.3">
      <c r="C107" s="84"/>
      <c r="D107" s="85"/>
      <c r="E107" s="86"/>
      <c r="F107" s="86"/>
      <c r="G107" s="86"/>
      <c r="H107" s="86"/>
      <c r="I107" s="86"/>
      <c r="J107" s="87"/>
      <c r="K107" s="88"/>
      <c r="M107" s="102">
        <v>0</v>
      </c>
      <c r="N107" s="564"/>
      <c r="O107" s="564"/>
      <c r="P107" s="564"/>
      <c r="Q107" s="564"/>
      <c r="R107" s="96"/>
      <c r="S107" s="96"/>
      <c r="T107" s="565"/>
      <c r="U107" s="565"/>
      <c r="V107" s="101"/>
      <c r="Y107" s="393">
        <f>+IFERROR(Y99*S107,0)</f>
        <v>0</v>
      </c>
      <c r="Z107" s="391">
        <f>Y99*V107</f>
        <v>0</v>
      </c>
      <c r="AA107" s="394"/>
      <c r="AB107" s="395">
        <f>+Y107*T107</f>
        <v>0</v>
      </c>
      <c r="AC107" s="93">
        <f>+AB107-Z107</f>
        <v>0</v>
      </c>
      <c r="AD107" s="94"/>
      <c r="AE107" s="386" t="str">
        <f>+IF(V107=0,"CERO","NO")</f>
        <v>CERO</v>
      </c>
    </row>
    <row r="108" spans="3:31" s="260" customFormat="1" ht="15.75" thickBot="1" x14ac:dyDescent="0.3">
      <c r="C108" s="84"/>
      <c r="D108" s="375" t="s">
        <v>128</v>
      </c>
      <c r="E108" s="376" t="s">
        <v>129</v>
      </c>
      <c r="F108" s="376" t="s">
        <v>130</v>
      </c>
      <c r="G108" s="376" t="s">
        <v>131</v>
      </c>
      <c r="H108" s="376" t="s">
        <v>132</v>
      </c>
      <c r="I108" s="376" t="s">
        <v>133</v>
      </c>
      <c r="J108" s="377" t="s">
        <v>134</v>
      </c>
      <c r="K108" s="88"/>
      <c r="M108" s="534"/>
      <c r="N108" s="536" t="s">
        <v>101</v>
      </c>
      <c r="O108" s="536"/>
      <c r="P108" s="536"/>
      <c r="Q108" s="536"/>
      <c r="R108" s="536"/>
      <c r="S108" s="536"/>
      <c r="T108" s="536"/>
      <c r="U108" s="536"/>
      <c r="V108" s="389">
        <f>+SUM(V103:V107)</f>
        <v>13071.28</v>
      </c>
      <c r="Y108" s="398" t="s">
        <v>135</v>
      </c>
      <c r="Z108" s="397">
        <f>+SUM(Z103:Z107)</f>
        <v>456338.51457120007</v>
      </c>
      <c r="AA108" s="86"/>
      <c r="AB108" s="384"/>
      <c r="AC108" s="385"/>
      <c r="AD108" s="94"/>
      <c r="AE108" s="399"/>
    </row>
    <row r="109" spans="3:31" s="260" customFormat="1" ht="15.75" thickBot="1" x14ac:dyDescent="0.3">
      <c r="C109" s="84"/>
      <c r="D109" s="375" t="str">
        <f>C99</f>
        <v>C4000</v>
      </c>
      <c r="E109" s="376"/>
      <c r="F109" s="376"/>
      <c r="G109" s="376"/>
      <c r="H109" s="376"/>
      <c r="I109" s="376"/>
      <c r="J109" s="377"/>
      <c r="K109" s="88"/>
      <c r="M109" s="566"/>
      <c r="N109" s="567" t="s">
        <v>102</v>
      </c>
      <c r="O109" s="567"/>
      <c r="P109" s="567"/>
      <c r="Q109" s="567"/>
      <c r="R109" s="567"/>
      <c r="S109" s="567"/>
      <c r="T109" s="567"/>
      <c r="U109" s="567"/>
      <c r="V109" s="400">
        <f>+ROUND(V108,$AA$5)</f>
        <v>13071.28</v>
      </c>
      <c r="Y109" s="401" t="s">
        <v>136</v>
      </c>
      <c r="Z109" s="402">
        <f>+ROUND(Z108,$AA$5)</f>
        <v>456338.51</v>
      </c>
      <c r="AA109" s="86"/>
      <c r="AB109" s="403">
        <f>+V109*Y99</f>
        <v>456338.51457120007</v>
      </c>
      <c r="AC109" s="404">
        <f>+AB109-Z109</f>
        <v>4.5712000573985279E-3</v>
      </c>
      <c r="AD109" s="94"/>
      <c r="AE109" s="405"/>
    </row>
    <row r="110" spans="3:31" s="260" customFormat="1" x14ac:dyDescent="0.25">
      <c r="C110" s="84"/>
      <c r="D110" s="380"/>
      <c r="E110" s="381"/>
      <c r="F110" s="381"/>
      <c r="G110" s="381"/>
      <c r="H110" s="381"/>
      <c r="I110" s="381"/>
      <c r="J110" s="382"/>
      <c r="K110" s="88"/>
      <c r="M110" s="510" t="s">
        <v>103</v>
      </c>
      <c r="N110" s="511"/>
      <c r="O110" s="511"/>
      <c r="P110" s="511"/>
      <c r="Q110" s="511"/>
      <c r="R110" s="511"/>
      <c r="S110" s="511"/>
      <c r="T110" s="511"/>
      <c r="U110" s="511"/>
      <c r="V110" s="512"/>
      <c r="Y110" s="378"/>
      <c r="Z110" s="121"/>
      <c r="AA110" s="86"/>
      <c r="AB110" s="513"/>
      <c r="AC110" s="514"/>
      <c r="AD110" s="94"/>
      <c r="AE110" s="126"/>
    </row>
    <row r="111" spans="3:31" s="260" customFormat="1" x14ac:dyDescent="0.25">
      <c r="C111" s="84"/>
      <c r="D111" s="85"/>
      <c r="E111" s="86"/>
      <c r="F111" s="86"/>
      <c r="G111" s="86"/>
      <c r="H111" s="86"/>
      <c r="I111" s="86"/>
      <c r="J111" s="87"/>
      <c r="K111" s="88"/>
      <c r="M111" s="99" t="s">
        <v>94</v>
      </c>
      <c r="N111" s="561" t="s">
        <v>95</v>
      </c>
      <c r="O111" s="561"/>
      <c r="P111" s="561"/>
      <c r="Q111" s="561"/>
      <c r="R111" s="95" t="s">
        <v>96</v>
      </c>
      <c r="S111" s="95" t="s">
        <v>104</v>
      </c>
      <c r="T111" s="356" t="s">
        <v>105</v>
      </c>
      <c r="U111" s="356" t="s">
        <v>8</v>
      </c>
      <c r="V111" s="100" t="s">
        <v>98</v>
      </c>
      <c r="Y111" s="383" t="s">
        <v>104</v>
      </c>
      <c r="Z111" s="119" t="s">
        <v>9</v>
      </c>
      <c r="AA111" s="86"/>
      <c r="AB111" s="384"/>
      <c r="AC111" s="385"/>
      <c r="AD111" s="94"/>
      <c r="AE111" s="406"/>
    </row>
    <row r="112" spans="3:31" s="260" customFormat="1" x14ac:dyDescent="0.25">
      <c r="C112" s="84"/>
      <c r="D112" s="85"/>
      <c r="E112" s="86"/>
      <c r="F112" s="86"/>
      <c r="G112" s="86"/>
      <c r="H112" s="86"/>
      <c r="I112" s="86"/>
      <c r="J112" s="87"/>
      <c r="K112" s="88"/>
      <c r="M112" s="102">
        <v>400</v>
      </c>
      <c r="N112" s="533" t="str">
        <f>IFERROR(VLOOKUP(M112,INSUMOS!$C$8:$K$928,2,0),"-----")</f>
        <v>CEMENTO GRIS</v>
      </c>
      <c r="O112" s="533"/>
      <c r="P112" s="533"/>
      <c r="Q112" s="533"/>
      <c r="R112" s="78" t="str">
        <f>IFERROR(VLOOKUP(M112,INSUMOS!$C$8:$K$928,6,0),"-----")</f>
        <v>kg</v>
      </c>
      <c r="S112" s="396">
        <v>420</v>
      </c>
      <c r="T112" s="387">
        <v>0.02</v>
      </c>
      <c r="U112" s="388">
        <f>IFERROR(VLOOKUP(M112,INSUMOS!$C$8:$K$928,7,0),"0")</f>
        <v>600</v>
      </c>
      <c r="V112" s="389">
        <f>+IFERROR(U112*(S112*(1+T112)),0)</f>
        <v>257040.00000000003</v>
      </c>
      <c r="Y112" s="393">
        <f>+IFERROR(Y99*(S112*(1+T112)),0)</f>
        <v>14956.103736000003</v>
      </c>
      <c r="Z112" s="391">
        <f>Y99*V112</f>
        <v>8973662.2416000012</v>
      </c>
      <c r="AA112" s="394"/>
      <c r="AB112" s="395">
        <f>+Y112*U112</f>
        <v>8973662.2416000012</v>
      </c>
      <c r="AC112" s="93">
        <f>+AB112-Z112</f>
        <v>0</v>
      </c>
      <c r="AD112" s="94"/>
      <c r="AE112" s="406" t="str">
        <f t="shared" ref="AE112:AE118" si="6">+IF(V112=0,"CERO","NO")</f>
        <v>NO</v>
      </c>
    </row>
    <row r="113" spans="3:31" s="260" customFormat="1" x14ac:dyDescent="0.25">
      <c r="C113" s="84"/>
      <c r="D113" s="85"/>
      <c r="E113" s="86"/>
      <c r="F113" s="86"/>
      <c r="G113" s="86"/>
      <c r="H113" s="86"/>
      <c r="I113" s="86"/>
      <c r="J113" s="87"/>
      <c r="K113" s="88"/>
      <c r="M113" s="102">
        <v>401</v>
      </c>
      <c r="N113" s="533" t="str">
        <f>IFERROR(VLOOKUP(M113,INSUMOS!$C$8:$K$928,2,0),"-----")</f>
        <v>AGUA</v>
      </c>
      <c r="O113" s="533"/>
      <c r="P113" s="533"/>
      <c r="Q113" s="533"/>
      <c r="R113" s="78" t="str">
        <f>IFERROR(VLOOKUP(M113,INSUMOS!$C$8:$K$928,6,0),"-----")</f>
        <v>lt</v>
      </c>
      <c r="S113" s="396">
        <v>190</v>
      </c>
      <c r="T113" s="387">
        <v>0.05</v>
      </c>
      <c r="U113" s="388">
        <f>IFERROR(VLOOKUP(M113,INSUMOS!$C$8:$K$928,7,0),"0")</f>
        <v>75</v>
      </c>
      <c r="V113" s="389">
        <f>+IFERROR(U113*(S113*(1+T113)),0)</f>
        <v>14962.5</v>
      </c>
      <c r="Y113" s="393">
        <f>+IFERROR(Y99*(S113*(1+T113)),0)</f>
        <v>6964.8522300000004</v>
      </c>
      <c r="Z113" s="391">
        <f>Y99*V113</f>
        <v>522363.91725000006</v>
      </c>
      <c r="AA113" s="394"/>
      <c r="AB113" s="395">
        <f t="shared" ref="AB113:AB118" si="7">+Y113*U113</f>
        <v>522363.91725000006</v>
      </c>
      <c r="AC113" s="93">
        <f t="shared" ref="AC113:AC118" si="8">+AB113-Z113</f>
        <v>0</v>
      </c>
      <c r="AD113" s="94"/>
      <c r="AE113" s="406" t="str">
        <f t="shared" si="6"/>
        <v>NO</v>
      </c>
    </row>
    <row r="114" spans="3:31" s="260" customFormat="1" x14ac:dyDescent="0.25">
      <c r="C114" s="84"/>
      <c r="D114" s="85"/>
      <c r="E114" s="86"/>
      <c r="F114" s="86"/>
      <c r="G114" s="86"/>
      <c r="H114" s="86"/>
      <c r="I114" s="86"/>
      <c r="J114" s="87"/>
      <c r="K114" s="88"/>
      <c r="M114" s="102">
        <v>405</v>
      </c>
      <c r="N114" s="533" t="str">
        <f>IFERROR(VLOOKUP(M114,INSUMOS!$C$8:$K$928,2,0),"-----")</f>
        <v>ARENA GRUESA</v>
      </c>
      <c r="O114" s="533"/>
      <c r="P114" s="533"/>
      <c r="Q114" s="533"/>
      <c r="R114" s="78" t="str">
        <f>IFERROR(VLOOKUP(M114,INSUMOS!$C$8:$K$928,6,0),"-----")</f>
        <v>m3</v>
      </c>
      <c r="S114" s="396">
        <v>0.67</v>
      </c>
      <c r="T114" s="387">
        <v>0.03</v>
      </c>
      <c r="U114" s="388">
        <f>IFERROR(VLOOKUP(M114,INSUMOS!$C$8:$K$928,7,0),"0")</f>
        <v>97476</v>
      </c>
      <c r="V114" s="389">
        <f>+IFERROR(U114*(S114*(1+T114)),0)</f>
        <v>67268.187600000005</v>
      </c>
      <c r="Y114" s="393">
        <f>+IFERROR(Y99*(S114*(1+T114)),0)</f>
        <v>24.092453754000005</v>
      </c>
      <c r="Z114" s="391">
        <f>Y99*V114</f>
        <v>2348436.0221249042</v>
      </c>
      <c r="AA114" s="394"/>
      <c r="AB114" s="395">
        <f t="shared" si="7"/>
        <v>2348436.0221249047</v>
      </c>
      <c r="AC114" s="93">
        <f t="shared" si="8"/>
        <v>0</v>
      </c>
      <c r="AD114" s="94"/>
      <c r="AE114" s="406" t="str">
        <f t="shared" si="6"/>
        <v>NO</v>
      </c>
    </row>
    <row r="115" spans="3:31" s="260" customFormat="1" x14ac:dyDescent="0.25">
      <c r="C115" s="84"/>
      <c r="D115" s="85"/>
      <c r="E115" s="86"/>
      <c r="F115" s="86"/>
      <c r="G115" s="86"/>
      <c r="H115" s="86"/>
      <c r="I115" s="86"/>
      <c r="J115" s="87"/>
      <c r="K115" s="88"/>
      <c r="M115" s="102">
        <v>411</v>
      </c>
      <c r="N115" s="533" t="str">
        <f>IFERROR(VLOOKUP(M115,INSUMOS!$C$8:$K$928,2,0),"-----")</f>
        <v>TRITURADO DE 3/4"</v>
      </c>
      <c r="O115" s="533"/>
      <c r="P115" s="533"/>
      <c r="Q115" s="533"/>
      <c r="R115" s="78" t="str">
        <f>IFERROR(VLOOKUP(M115,INSUMOS!$C$8:$K$928,6,0),"-----")</f>
        <v>m3</v>
      </c>
      <c r="S115" s="396">
        <v>0.67</v>
      </c>
      <c r="T115" s="387">
        <v>0.03</v>
      </c>
      <c r="U115" s="388">
        <f>IFERROR(VLOOKUP(M115,INSUMOS!$C$8:$K$928,7,0),"0")</f>
        <v>39600</v>
      </c>
      <c r="V115" s="389">
        <f>+IFERROR(U115*(S115*(1+T115)),0)</f>
        <v>27327.960000000003</v>
      </c>
      <c r="Y115" s="393">
        <f>+IFERROR(Y99*(S115*(1+T115)),0)</f>
        <v>24.092453754000005</v>
      </c>
      <c r="Z115" s="391">
        <f>Y99*V115</f>
        <v>954061.16865840019</v>
      </c>
      <c r="AA115" s="394"/>
      <c r="AB115" s="395">
        <f t="shared" si="7"/>
        <v>954061.16865840019</v>
      </c>
      <c r="AC115" s="93">
        <f t="shared" si="8"/>
        <v>0</v>
      </c>
      <c r="AD115" s="94"/>
      <c r="AE115" s="406" t="str">
        <f t="shared" si="6"/>
        <v>NO</v>
      </c>
    </row>
    <row r="116" spans="3:31" s="260" customFormat="1" x14ac:dyDescent="0.25">
      <c r="C116" s="84"/>
      <c r="D116" s="85"/>
      <c r="E116" s="86"/>
      <c r="F116" s="86"/>
      <c r="G116" s="86"/>
      <c r="H116" s="86"/>
      <c r="I116" s="86"/>
      <c r="J116" s="87"/>
      <c r="K116" s="88"/>
      <c r="M116" s="102">
        <v>0</v>
      </c>
      <c r="N116" s="533"/>
      <c r="O116" s="533"/>
      <c r="P116" s="533"/>
      <c r="Q116" s="533"/>
      <c r="R116" s="78"/>
      <c r="S116" s="396"/>
      <c r="T116" s="387"/>
      <c r="U116" s="388"/>
      <c r="V116" s="397"/>
      <c r="Y116" s="393">
        <f>+IFERROR(Y99*(S116*(1+T116)),0)</f>
        <v>0</v>
      </c>
      <c r="Z116" s="391">
        <f>Y99*V116</f>
        <v>0</v>
      </c>
      <c r="AA116" s="394"/>
      <c r="AB116" s="395">
        <f t="shared" si="7"/>
        <v>0</v>
      </c>
      <c r="AC116" s="93">
        <f t="shared" si="8"/>
        <v>0</v>
      </c>
      <c r="AD116" s="94"/>
      <c r="AE116" s="406" t="str">
        <f t="shared" si="6"/>
        <v>CERO</v>
      </c>
    </row>
    <row r="117" spans="3:31" s="260" customFormat="1" x14ac:dyDescent="0.25">
      <c r="C117" s="84"/>
      <c r="D117" s="85"/>
      <c r="E117" s="86"/>
      <c r="F117" s="86"/>
      <c r="G117" s="86"/>
      <c r="H117" s="86"/>
      <c r="I117" s="86"/>
      <c r="J117" s="87"/>
      <c r="K117" s="88"/>
      <c r="M117" s="102">
        <v>0</v>
      </c>
      <c r="N117" s="533"/>
      <c r="O117" s="533"/>
      <c r="P117" s="533"/>
      <c r="Q117" s="533"/>
      <c r="R117" s="78"/>
      <c r="S117" s="396"/>
      <c r="T117" s="387"/>
      <c r="U117" s="388"/>
      <c r="V117" s="397"/>
      <c r="Y117" s="393">
        <f>+IFERROR(Y99*(S117*(1+T117)),0)</f>
        <v>0</v>
      </c>
      <c r="Z117" s="391">
        <f>Y99*V117</f>
        <v>0</v>
      </c>
      <c r="AA117" s="394"/>
      <c r="AB117" s="395">
        <f t="shared" si="7"/>
        <v>0</v>
      </c>
      <c r="AC117" s="93">
        <f t="shared" si="8"/>
        <v>0</v>
      </c>
      <c r="AD117" s="94"/>
      <c r="AE117" s="406" t="str">
        <f t="shared" si="6"/>
        <v>CERO</v>
      </c>
    </row>
    <row r="118" spans="3:31" s="260" customFormat="1" ht="15.75" thickBot="1" x14ac:dyDescent="0.3">
      <c r="C118" s="84"/>
      <c r="D118" s="85"/>
      <c r="E118" s="86"/>
      <c r="F118" s="86"/>
      <c r="G118" s="86"/>
      <c r="H118" s="86"/>
      <c r="I118" s="86"/>
      <c r="J118" s="87"/>
      <c r="K118" s="88"/>
      <c r="M118" s="102">
        <v>0</v>
      </c>
      <c r="N118" s="564"/>
      <c r="O118" s="564"/>
      <c r="P118" s="564"/>
      <c r="Q118" s="564"/>
      <c r="R118" s="96"/>
      <c r="S118" s="79"/>
      <c r="T118" s="97"/>
      <c r="U118" s="358"/>
      <c r="V118" s="397"/>
      <c r="Y118" s="393">
        <f>+IFERROR(Y99*(S118*(1+T118)),0)</f>
        <v>0</v>
      </c>
      <c r="Z118" s="391">
        <f>Y99*V118</f>
        <v>0</v>
      </c>
      <c r="AA118" s="394"/>
      <c r="AB118" s="395">
        <f t="shared" si="7"/>
        <v>0</v>
      </c>
      <c r="AC118" s="93">
        <f t="shared" si="8"/>
        <v>0</v>
      </c>
      <c r="AD118" s="94"/>
      <c r="AE118" s="406" t="str">
        <f t="shared" si="6"/>
        <v>CERO</v>
      </c>
    </row>
    <row r="119" spans="3:31" s="260" customFormat="1" ht="15.75" thickBot="1" x14ac:dyDescent="0.3">
      <c r="C119" s="84"/>
      <c r="D119" s="375" t="s">
        <v>128</v>
      </c>
      <c r="E119" s="376" t="s">
        <v>129</v>
      </c>
      <c r="F119" s="376" t="s">
        <v>130</v>
      </c>
      <c r="G119" s="376" t="s">
        <v>131</v>
      </c>
      <c r="H119" s="376" t="s">
        <v>132</v>
      </c>
      <c r="I119" s="376" t="s">
        <v>133</v>
      </c>
      <c r="J119" s="377" t="s">
        <v>134</v>
      </c>
      <c r="K119" s="88"/>
      <c r="M119" s="534"/>
      <c r="N119" s="536" t="s">
        <v>106</v>
      </c>
      <c r="O119" s="536"/>
      <c r="P119" s="536"/>
      <c r="Q119" s="536"/>
      <c r="R119" s="536"/>
      <c r="S119" s="536"/>
      <c r="T119" s="536"/>
      <c r="U119" s="536"/>
      <c r="V119" s="389">
        <f>+SUM(V112:V118)</f>
        <v>366598.64760000003</v>
      </c>
      <c r="Y119" s="398" t="s">
        <v>135</v>
      </c>
      <c r="Z119" s="397">
        <f>+SUM(Z112:Z118)</f>
        <v>12798523.349633304</v>
      </c>
      <c r="AA119" s="86"/>
      <c r="AB119" s="384"/>
      <c r="AC119" s="385"/>
      <c r="AD119" s="94"/>
      <c r="AE119" s="399"/>
    </row>
    <row r="120" spans="3:31" s="260" customFormat="1" ht="15.75" thickBot="1" x14ac:dyDescent="0.3">
      <c r="C120" s="84"/>
      <c r="D120" s="375"/>
      <c r="E120" s="407" t="str">
        <f>+D109</f>
        <v>C4000</v>
      </c>
      <c r="F120" s="376"/>
      <c r="G120" s="376"/>
      <c r="H120" s="376"/>
      <c r="I120" s="376"/>
      <c r="J120" s="377"/>
      <c r="K120" s="88"/>
      <c r="M120" s="535"/>
      <c r="N120" s="537" t="s">
        <v>107</v>
      </c>
      <c r="O120" s="537"/>
      <c r="P120" s="537"/>
      <c r="Q120" s="537"/>
      <c r="R120" s="537"/>
      <c r="S120" s="537"/>
      <c r="T120" s="537"/>
      <c r="U120" s="537"/>
      <c r="V120" s="408">
        <f>+ROUND(V119,$AA$5)</f>
        <v>366598.65</v>
      </c>
      <c r="Y120" s="401" t="s">
        <v>136</v>
      </c>
      <c r="Z120" s="402">
        <f>+ROUND(Z119,$AA$5)</f>
        <v>12798523.35</v>
      </c>
      <c r="AA120" s="86"/>
      <c r="AB120" s="403">
        <f>+V120*Y99</f>
        <v>12798523.433421001</v>
      </c>
      <c r="AC120" s="404">
        <f>+AB120-Z120</f>
        <v>8.3421001210808754E-2</v>
      </c>
      <c r="AD120" s="94"/>
      <c r="AE120" s="405"/>
    </row>
    <row r="121" spans="3:31" s="260" customFormat="1" x14ac:dyDescent="0.25">
      <c r="C121" s="84"/>
      <c r="D121" s="380"/>
      <c r="E121" s="381"/>
      <c r="F121" s="381"/>
      <c r="G121" s="381"/>
      <c r="H121" s="381"/>
      <c r="I121" s="381"/>
      <c r="J121" s="382"/>
      <c r="K121" s="88"/>
      <c r="M121" s="568" t="s">
        <v>108</v>
      </c>
      <c r="N121" s="569"/>
      <c r="O121" s="569"/>
      <c r="P121" s="569"/>
      <c r="Q121" s="569"/>
      <c r="R121" s="569"/>
      <c r="S121" s="569"/>
      <c r="T121" s="569"/>
      <c r="U121" s="569"/>
      <c r="V121" s="570"/>
      <c r="Y121" s="378"/>
      <c r="Z121" s="121"/>
      <c r="AA121" s="86"/>
      <c r="AB121" s="409"/>
      <c r="AC121" s="121"/>
      <c r="AD121" s="94"/>
      <c r="AE121" s="126"/>
    </row>
    <row r="122" spans="3:31" s="260" customFormat="1" ht="25.5" x14ac:dyDescent="0.25">
      <c r="C122" s="84"/>
      <c r="D122" s="85"/>
      <c r="E122" s="86"/>
      <c r="F122" s="86"/>
      <c r="G122" s="86"/>
      <c r="H122" s="86"/>
      <c r="I122" s="86"/>
      <c r="J122" s="87"/>
      <c r="K122" s="88"/>
      <c r="M122" s="99" t="s">
        <v>94</v>
      </c>
      <c r="N122" s="561" t="s">
        <v>95</v>
      </c>
      <c r="O122" s="561"/>
      <c r="P122" s="561"/>
      <c r="Q122" s="95" t="s">
        <v>109</v>
      </c>
      <c r="R122" s="95" t="s">
        <v>110</v>
      </c>
      <c r="S122" s="95" t="s">
        <v>111</v>
      </c>
      <c r="T122" s="562" t="s">
        <v>112</v>
      </c>
      <c r="U122" s="562"/>
      <c r="V122" s="100" t="s">
        <v>98</v>
      </c>
      <c r="Y122" s="383" t="s">
        <v>104</v>
      </c>
      <c r="Z122" s="119" t="s">
        <v>9</v>
      </c>
      <c r="AA122" s="86"/>
      <c r="AB122" s="384"/>
      <c r="AC122" s="385"/>
      <c r="AD122" s="94"/>
      <c r="AE122" s="410"/>
    </row>
    <row r="123" spans="3:31" s="260" customFormat="1" x14ac:dyDescent="0.25">
      <c r="C123" s="84"/>
      <c r="D123" s="85"/>
      <c r="E123" s="86"/>
      <c r="F123" s="86"/>
      <c r="G123" s="86"/>
      <c r="H123" s="86"/>
      <c r="I123" s="86"/>
      <c r="J123" s="87"/>
      <c r="K123" s="88"/>
      <c r="M123" s="102">
        <v>120</v>
      </c>
      <c r="N123" s="530" t="str">
        <f>IFERROR(VLOOKUP(M123,INSUMOS!$C$8:$K$928,2,0),"-----")</f>
        <v>Transporte Cemento</v>
      </c>
      <c r="O123" s="531"/>
      <c r="P123" s="532"/>
      <c r="Q123" s="78" t="str">
        <f>IFERROR(VLOOKUP(M123,INSUMOS!$C$8:$K$928,5,0),"-----")</f>
        <v>kg/km</v>
      </c>
      <c r="R123" s="80">
        <f>S112*(1+T112)</f>
        <v>428.40000000000003</v>
      </c>
      <c r="S123" s="80">
        <f>IFERROR(VLOOKUP(M123,INSUMOS!$C$8:$K$928,6,0),"0")</f>
        <v>15</v>
      </c>
      <c r="T123" s="529">
        <f>IFERROR(VLOOKUP(M123,INSUMOS!$C$8:$K$928,7,0),"0")</f>
        <v>20</v>
      </c>
      <c r="U123" s="529"/>
      <c r="V123" s="82">
        <f>+T123*S123*R123</f>
        <v>128520.00000000001</v>
      </c>
      <c r="Y123" s="393">
        <f>+IFERROR((R123*S123)*Y99,0)</f>
        <v>224341.55604000005</v>
      </c>
      <c r="Z123" s="391">
        <f>Y99*V123</f>
        <v>4486831.1208000006</v>
      </c>
      <c r="AA123" s="86"/>
      <c r="AB123" s="92">
        <f>+Y123*T123</f>
        <v>4486831.1208000015</v>
      </c>
      <c r="AC123" s="93">
        <f>+AB123-Z123</f>
        <v>0</v>
      </c>
      <c r="AD123" s="94"/>
      <c r="AE123" s="406" t="str">
        <f>+IF(V123=0,"CERO","NO")</f>
        <v>NO</v>
      </c>
    </row>
    <row r="124" spans="3:31" s="260" customFormat="1" x14ac:dyDescent="0.25">
      <c r="C124" s="84"/>
      <c r="D124" s="85"/>
      <c r="E124" s="86"/>
      <c r="F124" s="86"/>
      <c r="G124" s="86"/>
      <c r="H124" s="86"/>
      <c r="I124" s="86"/>
      <c r="J124" s="87"/>
      <c r="K124" s="88"/>
      <c r="M124" s="102">
        <v>100</v>
      </c>
      <c r="N124" s="530" t="str">
        <f>IFERROR(VLOOKUP(M124,INSUMOS!$C$8:$K$928,2,0),"-----")</f>
        <v xml:space="preserve">Transporte Arena </v>
      </c>
      <c r="O124" s="531"/>
      <c r="P124" s="532"/>
      <c r="Q124" s="78" t="str">
        <f>IFERROR(VLOOKUP(M124,INSUMOS!$C$8:$K$928,5,0),"-----")</f>
        <v>m3/km</v>
      </c>
      <c r="R124" s="80">
        <f>S114*(1+T114)</f>
        <v>0.69010000000000005</v>
      </c>
      <c r="S124" s="80">
        <f>IFERROR(VLOOKUP(M124,INSUMOS!$C$8:$K$928,6,0),"0")</f>
        <v>15</v>
      </c>
      <c r="T124" s="529">
        <f>IFERROR(VLOOKUP(M124,INSUMOS!$C$8:$K$928,7,0),"0")</f>
        <v>2000</v>
      </c>
      <c r="U124" s="529"/>
      <c r="V124" s="82">
        <f>+T124*S124*R124</f>
        <v>20703</v>
      </c>
      <c r="Y124" s="393">
        <f>+IFERROR((R124*S124)*Y99,0)</f>
        <v>361.38680631000005</v>
      </c>
      <c r="Z124" s="391">
        <f>Y99*V124</f>
        <v>722773.61262000003</v>
      </c>
      <c r="AA124" s="86"/>
      <c r="AB124" s="92">
        <f>+Y124*T124</f>
        <v>722773.61262000015</v>
      </c>
      <c r="AC124" s="93">
        <f>+AB124-Z124</f>
        <v>0</v>
      </c>
      <c r="AD124" s="94"/>
      <c r="AE124" s="406" t="str">
        <f>+IF(V124=0,"CERO","NO")</f>
        <v>NO</v>
      </c>
    </row>
    <row r="125" spans="3:31" s="260" customFormat="1" x14ac:dyDescent="0.25">
      <c r="C125" s="84"/>
      <c r="D125" s="85"/>
      <c r="E125" s="86"/>
      <c r="F125" s="86"/>
      <c r="G125" s="86"/>
      <c r="H125" s="86"/>
      <c r="I125" s="86"/>
      <c r="J125" s="87"/>
      <c r="K125" s="88"/>
      <c r="M125" s="102">
        <v>101</v>
      </c>
      <c r="N125" s="530" t="str">
        <f>IFERROR(VLOOKUP(M125,INSUMOS!$C$8:$K$928,2,0),"-----")</f>
        <v>Transporte Triturado</v>
      </c>
      <c r="O125" s="531"/>
      <c r="P125" s="532"/>
      <c r="Q125" s="78" t="str">
        <f>IFERROR(VLOOKUP(M125,INSUMOS!$C$8:$K$928,5,0),"-----")</f>
        <v>m3/km</v>
      </c>
      <c r="R125" s="80">
        <f>S115*(1+T115)</f>
        <v>0.69010000000000005</v>
      </c>
      <c r="S125" s="80">
        <f>IFERROR(VLOOKUP(M125,INSUMOS!$C$8:$K$928,6,0),"0")</f>
        <v>186</v>
      </c>
      <c r="T125" s="529">
        <f>IFERROR(VLOOKUP(M125,INSUMOS!$C$8:$K$928,7,0),"0")</f>
        <v>1500</v>
      </c>
      <c r="U125" s="529"/>
      <c r="V125" s="82">
        <f>+T125*S125*R125</f>
        <v>192537.90000000002</v>
      </c>
      <c r="Y125" s="393">
        <f>+IFERROR((R125*S125)*Y99,0)</f>
        <v>4481.1963982440002</v>
      </c>
      <c r="Z125" s="391">
        <f>Y99*V125</f>
        <v>6721794.5973660015</v>
      </c>
      <c r="AA125" s="86"/>
      <c r="AB125" s="92">
        <f>+Y125*T125</f>
        <v>6721794.5973660005</v>
      </c>
      <c r="AC125" s="93">
        <f>+AB125-Z125</f>
        <v>0</v>
      </c>
      <c r="AD125" s="94"/>
      <c r="AE125" s="406" t="str">
        <f>+IF(V125=0,"CERO","NO")</f>
        <v>NO</v>
      </c>
    </row>
    <row r="126" spans="3:31" s="260" customFormat="1" x14ac:dyDescent="0.25">
      <c r="C126" s="84"/>
      <c r="D126" s="85"/>
      <c r="E126" s="86"/>
      <c r="F126" s="86"/>
      <c r="G126" s="86"/>
      <c r="H126" s="86"/>
      <c r="I126" s="86"/>
      <c r="J126" s="87"/>
      <c r="K126" s="88"/>
      <c r="M126" s="102"/>
      <c r="N126" s="530"/>
      <c r="O126" s="531"/>
      <c r="P126" s="532"/>
      <c r="Q126" s="79"/>
      <c r="R126" s="80"/>
      <c r="S126" s="81"/>
      <c r="T126" s="585"/>
      <c r="U126" s="586"/>
      <c r="V126" s="82"/>
      <c r="Y126" s="393">
        <f>+IFERROR((R126*S126)*Y99,0)</f>
        <v>0</v>
      </c>
      <c r="Z126" s="391">
        <f>Y99*V126</f>
        <v>0</v>
      </c>
      <c r="AA126" s="86"/>
      <c r="AB126" s="92">
        <f>+Y126*T126</f>
        <v>0</v>
      </c>
      <c r="AC126" s="93">
        <f>+AB126-Z126</f>
        <v>0</v>
      </c>
      <c r="AD126" s="94"/>
      <c r="AE126" s="406" t="str">
        <f>+IF(V126=0,"CERO","NO")</f>
        <v>CERO</v>
      </c>
    </row>
    <row r="127" spans="3:31" s="260" customFormat="1" ht="15.75" thickBot="1" x14ac:dyDescent="0.3">
      <c r="C127" s="84"/>
      <c r="D127" s="89"/>
      <c r="E127" s="90"/>
      <c r="F127" s="90"/>
      <c r="G127" s="90"/>
      <c r="H127" s="90"/>
      <c r="I127" s="90"/>
      <c r="J127" s="91"/>
      <c r="K127" s="88"/>
      <c r="M127" s="102">
        <v>0</v>
      </c>
      <c r="N127" s="533"/>
      <c r="O127" s="533"/>
      <c r="P127" s="533"/>
      <c r="Q127" s="79"/>
      <c r="R127" s="78"/>
      <c r="S127" s="81"/>
      <c r="T127" s="529"/>
      <c r="U127" s="529"/>
      <c r="V127" s="82"/>
      <c r="Y127" s="393">
        <f>+IFERROR((R127*S127)*Y99,0)</f>
        <v>0</v>
      </c>
      <c r="Z127" s="391">
        <f>Y99*V127</f>
        <v>0</v>
      </c>
      <c r="AA127" s="86"/>
      <c r="AB127" s="92">
        <f>+Y127*T127</f>
        <v>0</v>
      </c>
      <c r="AC127" s="93">
        <f>+AB127-Z127</f>
        <v>0</v>
      </c>
      <c r="AD127" s="94"/>
      <c r="AE127" s="406" t="str">
        <f>+IF(V127=0,"CERO","NO")</f>
        <v>CERO</v>
      </c>
    </row>
    <row r="128" spans="3:31" s="260" customFormat="1" ht="15.75" thickBot="1" x14ac:dyDescent="0.3">
      <c r="C128" s="84"/>
      <c r="D128" s="375" t="s">
        <v>128</v>
      </c>
      <c r="E128" s="376" t="s">
        <v>129</v>
      </c>
      <c r="F128" s="376" t="s">
        <v>130</v>
      </c>
      <c r="G128" s="376" t="s">
        <v>131</v>
      </c>
      <c r="H128" s="376" t="s">
        <v>132</v>
      </c>
      <c r="I128" s="376" t="s">
        <v>133</v>
      </c>
      <c r="J128" s="377" t="s">
        <v>134</v>
      </c>
      <c r="K128" s="88"/>
      <c r="M128" s="534"/>
      <c r="N128" s="536" t="s">
        <v>113</v>
      </c>
      <c r="O128" s="536"/>
      <c r="P128" s="536"/>
      <c r="Q128" s="536"/>
      <c r="R128" s="536"/>
      <c r="S128" s="536"/>
      <c r="T128" s="536"/>
      <c r="U128" s="536"/>
      <c r="V128" s="411">
        <f>+SUM(V123:V127)</f>
        <v>341760.9</v>
      </c>
      <c r="Y128" s="398" t="s">
        <v>135</v>
      </c>
      <c r="Z128" s="397">
        <f>+SUM(Z123:Z127)</f>
        <v>11931399.330786001</v>
      </c>
      <c r="AA128" s="86"/>
      <c r="AB128" s="384"/>
      <c r="AC128" s="385"/>
      <c r="AD128" s="94"/>
      <c r="AE128" s="399"/>
    </row>
    <row r="129" spans="3:31" s="260" customFormat="1" ht="15.75" thickBot="1" x14ac:dyDescent="0.3">
      <c r="C129" s="84"/>
      <c r="D129" s="355"/>
      <c r="E129" s="367"/>
      <c r="F129" s="412" t="str">
        <f>+E120</f>
        <v>C4000</v>
      </c>
      <c r="G129" s="367"/>
      <c r="H129" s="367"/>
      <c r="I129" s="367"/>
      <c r="J129" s="368"/>
      <c r="K129" s="88"/>
      <c r="M129" s="535"/>
      <c r="N129" s="537" t="s">
        <v>114</v>
      </c>
      <c r="O129" s="537"/>
      <c r="P129" s="537"/>
      <c r="Q129" s="537"/>
      <c r="R129" s="537"/>
      <c r="S129" s="537"/>
      <c r="T129" s="537"/>
      <c r="U129" s="537"/>
      <c r="V129" s="413">
        <f>+ROUND(V128,$AA$5)</f>
        <v>341760.9</v>
      </c>
      <c r="Y129" s="401" t="s">
        <v>136</v>
      </c>
      <c r="Z129" s="402">
        <f>+ROUND(Z128,$AA$5)</f>
        <v>11931399.33</v>
      </c>
      <c r="AA129" s="86"/>
      <c r="AB129" s="403">
        <f>+V129*Y99</f>
        <v>11931399.330786001</v>
      </c>
      <c r="AC129" s="414"/>
      <c r="AD129" s="94"/>
      <c r="AE129" s="405"/>
    </row>
    <row r="130" spans="3:31" s="260" customFormat="1" ht="15.75" thickBot="1" x14ac:dyDescent="0.3">
      <c r="C130" s="84"/>
      <c r="D130" s="415"/>
      <c r="E130" s="416"/>
      <c r="F130" s="416"/>
      <c r="G130" s="416"/>
      <c r="H130" s="416"/>
      <c r="I130" s="416"/>
      <c r="J130" s="417"/>
      <c r="K130" s="88"/>
      <c r="M130" s="538" t="s">
        <v>115</v>
      </c>
      <c r="N130" s="539"/>
      <c r="O130" s="539"/>
      <c r="P130" s="539"/>
      <c r="Q130" s="539"/>
      <c r="R130" s="539"/>
      <c r="S130" s="539"/>
      <c r="T130" s="539"/>
      <c r="U130" s="539"/>
      <c r="V130" s="540"/>
      <c r="Y130" s="378"/>
      <c r="Z130" s="121"/>
      <c r="AA130" s="86"/>
      <c r="AB130" s="409"/>
      <c r="AC130" s="121"/>
      <c r="AD130" s="94"/>
      <c r="AE130" s="126"/>
    </row>
    <row r="131" spans="3:31" s="260" customFormat="1" ht="15.75" thickBot="1" x14ac:dyDescent="0.3">
      <c r="C131" s="84"/>
      <c r="D131" s="375" t="s">
        <v>128</v>
      </c>
      <c r="E131" s="376" t="s">
        <v>129</v>
      </c>
      <c r="F131" s="376" t="s">
        <v>130</v>
      </c>
      <c r="G131" s="376" t="s">
        <v>131</v>
      </c>
      <c r="H131" s="376" t="s">
        <v>132</v>
      </c>
      <c r="I131" s="376" t="s">
        <v>133</v>
      </c>
      <c r="J131" s="377" t="s">
        <v>134</v>
      </c>
      <c r="K131" s="88"/>
      <c r="M131" s="99" t="s">
        <v>94</v>
      </c>
      <c r="N131" s="98" t="s">
        <v>95</v>
      </c>
      <c r="O131" s="95" t="s">
        <v>96</v>
      </c>
      <c r="P131" s="95" t="s">
        <v>104</v>
      </c>
      <c r="Q131" s="95" t="s">
        <v>116</v>
      </c>
      <c r="R131" s="418" t="s">
        <v>117</v>
      </c>
      <c r="S131" s="95" t="s">
        <v>347</v>
      </c>
      <c r="T131" s="419" t="s">
        <v>118</v>
      </c>
      <c r="U131" s="189" t="s">
        <v>119</v>
      </c>
      <c r="V131" s="100" t="s">
        <v>98</v>
      </c>
      <c r="Y131" s="383" t="s">
        <v>104</v>
      </c>
      <c r="Z131" s="119" t="s">
        <v>9</v>
      </c>
      <c r="AA131" s="86"/>
      <c r="AB131" s="384"/>
      <c r="AC131" s="385"/>
      <c r="AD131" s="94"/>
      <c r="AE131" s="410"/>
    </row>
    <row r="132" spans="3:31" s="260" customFormat="1" ht="25.5" x14ac:dyDescent="0.25">
      <c r="C132" s="84"/>
      <c r="D132" s="354"/>
      <c r="E132" s="96"/>
      <c r="F132" s="96"/>
      <c r="G132" s="96"/>
      <c r="H132" s="96"/>
      <c r="I132" s="96"/>
      <c r="J132" s="420" t="str">
        <f>+F129</f>
        <v>C4000</v>
      </c>
      <c r="K132" s="88"/>
      <c r="M132" s="102">
        <v>202</v>
      </c>
      <c r="N132" s="347" t="str">
        <f>IFERROR(VLOOKUP(M132,INSUMOS!$C$8:$K$928,2,0),"-----")</f>
        <v>Ayudante Albañileria</v>
      </c>
      <c r="O132" s="78" t="str">
        <f>IFERROR(VLOOKUP(M132,INSUMOS!$C$8:$K$928,3,0),"-----")</f>
        <v>JORNAL+PS</v>
      </c>
      <c r="P132" s="80">
        <v>4</v>
      </c>
      <c r="Q132" s="79">
        <v>5</v>
      </c>
      <c r="R132" s="190">
        <f>IFERROR(VLOOKUP(M132,INSUMOS!$C$8:$K$928,4,0),"-----")</f>
        <v>63490</v>
      </c>
      <c r="S132" s="190">
        <f>IFERROR(VLOOKUP(M132,INSUMOS!$C$8:$K$928,6,0),"-----")</f>
        <v>50792</v>
      </c>
      <c r="T132" s="190">
        <f>IFERROR(VLOOKUP(M132,INSUMOS!$C$8:$K$928,5,0),"-----")</f>
        <v>0</v>
      </c>
      <c r="U132" s="388">
        <f>SUM(R132:T132)</f>
        <v>114282</v>
      </c>
      <c r="V132" s="82">
        <f>+IFERROR((P132/Q132)*U132,0)</f>
        <v>91425.600000000006</v>
      </c>
      <c r="Y132" s="393">
        <f>+IFERROR((Y99/Q132*P132),0)</f>
        <v>27.929232000000003</v>
      </c>
      <c r="Z132" s="391">
        <f>Y99*V132</f>
        <v>3191808.4914240004</v>
      </c>
      <c r="AA132" s="86"/>
      <c r="AB132" s="92">
        <f>+(U132)*Y132</f>
        <v>3191808.4914240004</v>
      </c>
      <c r="AC132" s="93">
        <f>+AB132-Z132</f>
        <v>0</v>
      </c>
      <c r="AD132" s="421"/>
      <c r="AE132" s="410" t="str">
        <f>+IF(V132=0,"CERO","NO")</f>
        <v>NO</v>
      </c>
    </row>
    <row r="133" spans="3:31" s="260" customFormat="1" ht="15.75" thickBot="1" x14ac:dyDescent="0.3">
      <c r="C133" s="84"/>
      <c r="D133" s="355"/>
      <c r="E133" s="367"/>
      <c r="F133" s="367"/>
      <c r="G133" s="367"/>
      <c r="H133" s="367"/>
      <c r="I133" s="367"/>
      <c r="J133" s="422" t="str">
        <f>+J132</f>
        <v>C4000</v>
      </c>
      <c r="K133" s="88"/>
      <c r="M133" s="102">
        <v>0</v>
      </c>
      <c r="N133" s="347"/>
      <c r="O133" s="79"/>
      <c r="P133" s="423"/>
      <c r="Q133" s="81"/>
      <c r="R133" s="424"/>
      <c r="S133" s="425"/>
      <c r="T133" s="111"/>
      <c r="U133" s="388"/>
      <c r="V133" s="82"/>
      <c r="Y133" s="393">
        <f>+IFERROR((Y99/Q133*P133),0)</f>
        <v>0</v>
      </c>
      <c r="Z133" s="391">
        <f>Y99*V133</f>
        <v>0</v>
      </c>
      <c r="AA133" s="86"/>
      <c r="AB133" s="92">
        <f>+U133*Y133</f>
        <v>0</v>
      </c>
      <c r="AC133" s="93">
        <f>+AB133-Z133</f>
        <v>0</v>
      </c>
      <c r="AD133" s="94"/>
      <c r="AE133" s="410" t="str">
        <f>+IF(V133=0,"CERO","NO")</f>
        <v>CERO</v>
      </c>
    </row>
    <row r="134" spans="3:31" s="260" customFormat="1" ht="15.75" thickBot="1" x14ac:dyDescent="0.3">
      <c r="C134" s="84"/>
      <c r="D134" s="380"/>
      <c r="E134" s="381"/>
      <c r="F134" s="381"/>
      <c r="G134" s="381"/>
      <c r="H134" s="381"/>
      <c r="I134" s="381"/>
      <c r="J134" s="382"/>
      <c r="K134" s="88"/>
      <c r="M134" s="102">
        <v>0</v>
      </c>
      <c r="N134" s="347"/>
      <c r="O134" s="79"/>
      <c r="P134" s="423"/>
      <c r="Q134" s="81"/>
      <c r="R134" s="111"/>
      <c r="S134" s="357"/>
      <c r="T134" s="111"/>
      <c r="U134" s="388"/>
      <c r="V134" s="426"/>
      <c r="Y134" s="393">
        <f>+IFERROR((Y99/Q134*P134),0)</f>
        <v>0</v>
      </c>
      <c r="Z134" s="391">
        <f>Y99*V134</f>
        <v>0</v>
      </c>
      <c r="AA134" s="86"/>
      <c r="AB134" s="92">
        <f>+(U134)*Y134*P134</f>
        <v>0</v>
      </c>
      <c r="AC134" s="93">
        <f>+AB134-Z134</f>
        <v>0</v>
      </c>
      <c r="AD134" s="94"/>
      <c r="AE134" s="410" t="str">
        <f>+IF(V134=0,"CERO","NO")</f>
        <v>CERO</v>
      </c>
    </row>
    <row r="135" spans="3:31" s="260" customFormat="1" ht="15.75" thickBot="1" x14ac:dyDescent="0.3">
      <c r="C135" s="84"/>
      <c r="D135" s="375" t="s">
        <v>128</v>
      </c>
      <c r="E135" s="376" t="s">
        <v>129</v>
      </c>
      <c r="F135" s="376" t="s">
        <v>130</v>
      </c>
      <c r="G135" s="376" t="s">
        <v>131</v>
      </c>
      <c r="H135" s="376" t="s">
        <v>132</v>
      </c>
      <c r="I135" s="376" t="s">
        <v>133</v>
      </c>
      <c r="J135" s="377" t="s">
        <v>134</v>
      </c>
      <c r="K135" s="88"/>
      <c r="M135" s="534"/>
      <c r="N135" s="536" t="s">
        <v>120</v>
      </c>
      <c r="O135" s="536"/>
      <c r="P135" s="536"/>
      <c r="Q135" s="536"/>
      <c r="R135" s="536"/>
      <c r="S135" s="536"/>
      <c r="T135" s="536"/>
      <c r="U135" s="536"/>
      <c r="V135" s="82">
        <f>+SUM(V132:V134)</f>
        <v>91425.600000000006</v>
      </c>
      <c r="Y135" s="398" t="s">
        <v>135</v>
      </c>
      <c r="Z135" s="397">
        <f>+SUM(Z132:Z134)</f>
        <v>3191808.4914240004</v>
      </c>
      <c r="AA135" s="86"/>
      <c r="AB135" s="384"/>
      <c r="AC135" s="385"/>
      <c r="AD135" s="94"/>
      <c r="AE135" s="399"/>
    </row>
    <row r="136" spans="3:31" s="260" customFormat="1" ht="15.75" thickBot="1" x14ac:dyDescent="0.3">
      <c r="C136" s="84"/>
      <c r="D136" s="354"/>
      <c r="E136" s="96"/>
      <c r="F136" s="96"/>
      <c r="G136" s="107" t="str">
        <f>+F129</f>
        <v>C4000</v>
      </c>
      <c r="H136" s="96"/>
      <c r="I136" s="96"/>
      <c r="J136" s="427"/>
      <c r="K136" s="88"/>
      <c r="M136" s="535"/>
      <c r="N136" s="537" t="s">
        <v>121</v>
      </c>
      <c r="O136" s="537"/>
      <c r="P136" s="537"/>
      <c r="Q136" s="537"/>
      <c r="R136" s="537"/>
      <c r="S136" s="537"/>
      <c r="T136" s="537"/>
      <c r="U136" s="537"/>
      <c r="V136" s="413">
        <f>+ROUND(V135,$AA$5)</f>
        <v>91425.600000000006</v>
      </c>
      <c r="Y136" s="401" t="s">
        <v>136</v>
      </c>
      <c r="Z136" s="402">
        <f>+ROUND(Z135,$AA$5)</f>
        <v>3191808.49</v>
      </c>
      <c r="AA136" s="86"/>
      <c r="AB136" s="403">
        <f>+V136*Y99</f>
        <v>3191808.4914240004</v>
      </c>
      <c r="AC136" s="404">
        <f>+AB136-Z136</f>
        <v>1.4240001328289509E-3</v>
      </c>
      <c r="AD136" s="94"/>
      <c r="AE136" s="405"/>
    </row>
    <row r="137" spans="3:31" s="260" customFormat="1" ht="15.75" thickBot="1" x14ac:dyDescent="0.3">
      <c r="C137" s="84"/>
      <c r="D137" s="375" t="s">
        <v>128</v>
      </c>
      <c r="E137" s="376" t="s">
        <v>129</v>
      </c>
      <c r="F137" s="376" t="s">
        <v>130</v>
      </c>
      <c r="G137" s="376" t="s">
        <v>131</v>
      </c>
      <c r="H137" s="376" t="s">
        <v>132</v>
      </c>
      <c r="I137" s="376" t="s">
        <v>133</v>
      </c>
      <c r="J137" s="377" t="s">
        <v>134</v>
      </c>
      <c r="K137" s="88"/>
      <c r="M137" s="541"/>
      <c r="N137" s="542"/>
      <c r="O137" s="542"/>
      <c r="P137" s="542"/>
      <c r="Q137" s="542"/>
      <c r="R137" s="542"/>
      <c r="S137" s="542"/>
      <c r="T137" s="542"/>
      <c r="U137" s="542"/>
      <c r="V137" s="543"/>
      <c r="Y137" s="378"/>
      <c r="Z137" s="121"/>
      <c r="AA137" s="86"/>
      <c r="AB137" s="409"/>
      <c r="AC137" s="121"/>
      <c r="AD137" s="94"/>
      <c r="AE137" s="428"/>
    </row>
    <row r="138" spans="3:31" s="260" customFormat="1" ht="15.75" thickBot="1" x14ac:dyDescent="0.3">
      <c r="C138" s="84"/>
      <c r="D138" s="355"/>
      <c r="E138" s="367"/>
      <c r="F138" s="367"/>
      <c r="G138" s="367"/>
      <c r="H138" s="412" t="str">
        <f>G136</f>
        <v>C4000</v>
      </c>
      <c r="I138" s="412"/>
      <c r="J138" s="422"/>
      <c r="K138" s="88"/>
      <c r="M138" s="544" t="s">
        <v>122</v>
      </c>
      <c r="N138" s="537"/>
      <c r="O138" s="537"/>
      <c r="P138" s="537"/>
      <c r="Q138" s="537"/>
      <c r="R138" s="537"/>
      <c r="S138" s="537"/>
      <c r="T138" s="537"/>
      <c r="U138" s="545">
        <f>+V136+V129+V120+V109</f>
        <v>812856.43</v>
      </c>
      <c r="V138" s="546"/>
      <c r="Y138" s="429"/>
      <c r="Z138" s="430">
        <f>+Z136+Z129+Z120+Z109</f>
        <v>28378069.680000003</v>
      </c>
      <c r="AA138" s="86"/>
      <c r="AB138" s="431">
        <f>+AB136+AB129+AB120+AB109</f>
        <v>28378069.770202201</v>
      </c>
      <c r="AC138" s="404">
        <f>+AB138-Z138</f>
        <v>9.0202197432518005E-2</v>
      </c>
      <c r="AD138" s="94"/>
      <c r="AE138" s="432"/>
    </row>
    <row r="139" spans="3:31" s="260" customFormat="1" x14ac:dyDescent="0.25">
      <c r="M139" s="71"/>
      <c r="N139" s="72"/>
      <c r="O139" s="72"/>
      <c r="P139" s="72"/>
      <c r="Q139" s="71"/>
      <c r="R139" s="71"/>
      <c r="S139" s="71"/>
      <c r="T139" s="73"/>
      <c r="U139" s="73"/>
      <c r="V139" s="361"/>
      <c r="AA139" s="433"/>
      <c r="AB139" s="434"/>
      <c r="AC139" s="434"/>
      <c r="AD139" s="435"/>
    </row>
    <row r="140" spans="3:31" s="260" customFormat="1" ht="15.75" thickBot="1" x14ac:dyDescent="0.3">
      <c r="M140" s="71"/>
      <c r="N140" s="72"/>
      <c r="O140" s="72"/>
      <c r="P140" s="72"/>
      <c r="Q140" s="71"/>
      <c r="R140" s="71"/>
      <c r="S140" s="71"/>
      <c r="T140" s="73"/>
      <c r="U140" s="73"/>
      <c r="V140" s="361"/>
      <c r="AA140" s="433"/>
      <c r="AB140" s="434"/>
      <c r="AC140" s="434"/>
      <c r="AD140" s="435"/>
    </row>
    <row r="141" spans="3:31" s="260" customFormat="1" ht="15.75" thickBot="1" x14ac:dyDescent="0.3">
      <c r="M141" s="363" t="s">
        <v>88</v>
      </c>
      <c r="N141" s="364" t="s">
        <v>89</v>
      </c>
      <c r="O141" s="550" t="s">
        <v>90</v>
      </c>
      <c r="P141" s="551"/>
      <c r="Q141" s="551"/>
      <c r="R141" s="551"/>
      <c r="S141" s="551"/>
      <c r="T141" s="551"/>
      <c r="U141" s="552"/>
      <c r="V141" s="74" t="s">
        <v>91</v>
      </c>
      <c r="Y141" s="365" t="s">
        <v>104</v>
      </c>
      <c r="Z141" s="94"/>
      <c r="AA141" s="366">
        <v>5</v>
      </c>
      <c r="AB141" s="593" t="s">
        <v>141</v>
      </c>
      <c r="AC141" s="593"/>
      <c r="AD141" s="594"/>
      <c r="AE141" s="94"/>
    </row>
    <row r="142" spans="3:31" s="260" customFormat="1" ht="15.75" thickBot="1" x14ac:dyDescent="0.3">
      <c r="C142" s="369" t="str">
        <f>+N142</f>
        <v>M 1:3</v>
      </c>
      <c r="D142" s="86"/>
      <c r="E142" s="86"/>
      <c r="F142" s="86"/>
      <c r="G142" s="86"/>
      <c r="H142" s="86"/>
      <c r="I142" s="86"/>
      <c r="J142" s="86"/>
      <c r="K142" s="370"/>
      <c r="M142" s="75" t="s">
        <v>92</v>
      </c>
      <c r="N142" s="371" t="s">
        <v>565</v>
      </c>
      <c r="O142" s="554" t="str">
        <f>IFERROR(VLOOKUP(N142,INSUMOS!$C$8:$K$928,2,0),"-----")</f>
        <v>MORTERO 1:3</v>
      </c>
      <c r="P142" s="555"/>
      <c r="Q142" s="555"/>
      <c r="R142" s="555"/>
      <c r="S142" s="555"/>
      <c r="T142" s="555"/>
      <c r="U142" s="556"/>
      <c r="V142" s="76" t="str">
        <f>IFERROR(VLOOKUP(N142,INSUMOS!$C$8:$K$928,6,0),"-----")</f>
        <v>m3</v>
      </c>
      <c r="W142" s="372">
        <f>+U181</f>
        <v>678786.06</v>
      </c>
      <c r="Y142" s="373">
        <f>SUMIFS($Y$183:$Y$5714,$M$183:$M$5714,N142)</f>
        <v>0.14000000000000001</v>
      </c>
      <c r="Z142" s="94"/>
      <c r="AA142" s="86"/>
      <c r="AB142" s="94"/>
      <c r="AC142" s="94"/>
      <c r="AD142" s="94"/>
      <c r="AE142" s="94"/>
    </row>
    <row r="143" spans="3:31" s="260" customFormat="1" ht="15.75" thickBot="1" x14ac:dyDescent="0.3">
      <c r="C143" s="84"/>
      <c r="D143" s="86"/>
      <c r="E143" s="86"/>
      <c r="F143" s="86"/>
      <c r="G143" s="86"/>
      <c r="H143" s="86"/>
      <c r="I143" s="86"/>
      <c r="J143" s="86"/>
      <c r="K143" s="88"/>
      <c r="M143" s="557"/>
      <c r="N143" s="557"/>
      <c r="O143" s="557"/>
      <c r="P143" s="557"/>
      <c r="Q143" s="557"/>
      <c r="R143" s="557"/>
      <c r="S143" s="557"/>
      <c r="T143" s="557"/>
      <c r="U143" s="557"/>
      <c r="V143" s="557"/>
      <c r="Y143" s="374"/>
      <c r="Z143" s="94"/>
      <c r="AA143" s="86"/>
      <c r="AB143" s="94"/>
      <c r="AC143" s="94"/>
      <c r="AD143" s="94"/>
      <c r="AE143" s="94"/>
    </row>
    <row r="144" spans="3:31" s="260" customFormat="1" ht="15.75" thickBot="1" x14ac:dyDescent="0.3">
      <c r="C144" s="84"/>
      <c r="D144" s="375" t="s">
        <v>128</v>
      </c>
      <c r="E144" s="376" t="s">
        <v>129</v>
      </c>
      <c r="F144" s="376" t="s">
        <v>130</v>
      </c>
      <c r="G144" s="376" t="s">
        <v>131</v>
      </c>
      <c r="H144" s="376" t="s">
        <v>132</v>
      </c>
      <c r="I144" s="376" t="s">
        <v>133</v>
      </c>
      <c r="J144" s="377" t="s">
        <v>134</v>
      </c>
      <c r="K144" s="88"/>
      <c r="M144" s="558" t="s">
        <v>93</v>
      </c>
      <c r="N144" s="559"/>
      <c r="O144" s="559"/>
      <c r="P144" s="559"/>
      <c r="Q144" s="559"/>
      <c r="R144" s="559"/>
      <c r="S144" s="559"/>
      <c r="T144" s="559"/>
      <c r="U144" s="559"/>
      <c r="V144" s="560"/>
      <c r="Y144" s="378"/>
      <c r="Z144" s="121"/>
      <c r="AA144" s="86"/>
      <c r="AB144" s="513"/>
      <c r="AC144" s="514"/>
      <c r="AD144" s="94"/>
      <c r="AE144" s="379"/>
    </row>
    <row r="145" spans="3:31" s="260" customFormat="1" x14ac:dyDescent="0.25">
      <c r="C145" s="84"/>
      <c r="D145" s="380"/>
      <c r="E145" s="381"/>
      <c r="F145" s="381"/>
      <c r="G145" s="381"/>
      <c r="H145" s="381"/>
      <c r="I145" s="381"/>
      <c r="J145" s="382"/>
      <c r="K145" s="88"/>
      <c r="M145" s="99" t="s">
        <v>94</v>
      </c>
      <c r="N145" s="561" t="s">
        <v>95</v>
      </c>
      <c r="O145" s="561"/>
      <c r="P145" s="561"/>
      <c r="Q145" s="561"/>
      <c r="R145" s="95" t="s">
        <v>96</v>
      </c>
      <c r="S145" s="95" t="s">
        <v>97</v>
      </c>
      <c r="T145" s="562" t="s">
        <v>8</v>
      </c>
      <c r="U145" s="562"/>
      <c r="V145" s="100" t="s">
        <v>98</v>
      </c>
      <c r="Y145" s="383" t="s">
        <v>104</v>
      </c>
      <c r="Z145" s="119" t="s">
        <v>9</v>
      </c>
      <c r="AA145" s="86"/>
      <c r="AB145" s="384"/>
      <c r="AC145" s="385"/>
      <c r="AD145" s="94"/>
      <c r="AE145" s="386"/>
    </row>
    <row r="146" spans="3:31" s="260" customFormat="1" x14ac:dyDescent="0.25">
      <c r="C146" s="84"/>
      <c r="D146" s="85"/>
      <c r="E146" s="86"/>
      <c r="F146" s="86"/>
      <c r="G146" s="86"/>
      <c r="H146" s="86"/>
      <c r="I146" s="86"/>
      <c r="J146" s="87"/>
      <c r="K146" s="88"/>
      <c r="M146" s="102"/>
      <c r="N146" s="533" t="s">
        <v>99</v>
      </c>
      <c r="O146" s="533"/>
      <c r="P146" s="533"/>
      <c r="Q146" s="533"/>
      <c r="R146" s="78" t="s">
        <v>100</v>
      </c>
      <c r="S146" s="387">
        <f>+$AA$10</f>
        <v>0.05</v>
      </c>
      <c r="T146" s="563">
        <f>V179</f>
        <v>95235</v>
      </c>
      <c r="U146" s="563"/>
      <c r="V146" s="389">
        <f>+IFERROR(T146*S146,0)</f>
        <v>4761.75</v>
      </c>
      <c r="Y146" s="390"/>
      <c r="Z146" s="391">
        <f>Y142*V146</f>
        <v>666.6450000000001</v>
      </c>
      <c r="AA146" s="86"/>
      <c r="AB146" s="384"/>
      <c r="AC146" s="385"/>
      <c r="AD146" s="94"/>
      <c r="AE146" s="386" t="str">
        <f>+IF(V146=0,"CERO","NO")</f>
        <v>NO</v>
      </c>
    </row>
    <row r="147" spans="3:31" s="260" customFormat="1" x14ac:dyDescent="0.25">
      <c r="C147" s="84"/>
      <c r="D147" s="85"/>
      <c r="E147" s="86"/>
      <c r="F147" s="86"/>
      <c r="G147" s="86"/>
      <c r="H147" s="86"/>
      <c r="I147" s="86"/>
      <c r="J147" s="87"/>
      <c r="K147" s="88"/>
      <c r="M147" s="106">
        <v>0</v>
      </c>
      <c r="N147" s="533" t="str">
        <f>IFERROR(VLOOKUP(M147,INSUMOS!$C$8:$K$928,2,0),"-----")</f>
        <v>-----</v>
      </c>
      <c r="O147" s="533"/>
      <c r="P147" s="533"/>
      <c r="Q147" s="533"/>
      <c r="R147" s="78" t="str">
        <f>IFERROR(VLOOKUP(M147,INSUMOS!$C$8:$K$928,6,0),"-----")</f>
        <v>-----</v>
      </c>
      <c r="S147" s="392"/>
      <c r="T147" s="529" t="str">
        <f>IFERROR(VLOOKUP(M147,INSUMOS!$C$8:$K$928,7,0),"0")</f>
        <v>0</v>
      </c>
      <c r="U147" s="529"/>
      <c r="V147" s="389">
        <f>+IFERROR(T147*S147,0)</f>
        <v>0</v>
      </c>
      <c r="Y147" s="393">
        <f>+IFERROR(Y142*S147,0)</f>
        <v>0</v>
      </c>
      <c r="Z147" s="391">
        <f>Y142*V147</f>
        <v>0</v>
      </c>
      <c r="AA147" s="394"/>
      <c r="AB147" s="395">
        <f>+Y147*T147</f>
        <v>0</v>
      </c>
      <c r="AC147" s="93">
        <f>+AB147-Z147</f>
        <v>0</v>
      </c>
      <c r="AD147" s="94"/>
      <c r="AE147" s="386" t="str">
        <f>+IF(V147=0,"CERO","NO")</f>
        <v>CERO</v>
      </c>
    </row>
    <row r="148" spans="3:31" s="260" customFormat="1" x14ac:dyDescent="0.25">
      <c r="C148" s="84"/>
      <c r="D148" s="85"/>
      <c r="E148" s="86"/>
      <c r="F148" s="86"/>
      <c r="G148" s="86"/>
      <c r="H148" s="86"/>
      <c r="I148" s="86"/>
      <c r="J148" s="87"/>
      <c r="K148" s="88"/>
      <c r="M148" s="102">
        <v>0</v>
      </c>
      <c r="N148" s="533"/>
      <c r="O148" s="533"/>
      <c r="P148" s="533"/>
      <c r="Q148" s="533"/>
      <c r="R148" s="78"/>
      <c r="S148" s="396"/>
      <c r="T148" s="529"/>
      <c r="U148" s="529"/>
      <c r="V148" s="397"/>
      <c r="Y148" s="393">
        <f>+IFERROR(Y142*S148,0)</f>
        <v>0</v>
      </c>
      <c r="Z148" s="391">
        <f>Y142*V148</f>
        <v>0</v>
      </c>
      <c r="AA148" s="394"/>
      <c r="AB148" s="395">
        <f>+Y148*T148</f>
        <v>0</v>
      </c>
      <c r="AC148" s="93">
        <f>+AB148-Z148</f>
        <v>0</v>
      </c>
      <c r="AD148" s="94"/>
      <c r="AE148" s="386" t="str">
        <f>+IF(V148=0,"CERO","NO")</f>
        <v>CERO</v>
      </c>
    </row>
    <row r="149" spans="3:31" s="260" customFormat="1" x14ac:dyDescent="0.25">
      <c r="C149" s="84"/>
      <c r="D149" s="85"/>
      <c r="E149" s="86"/>
      <c r="F149" s="86"/>
      <c r="G149" s="86"/>
      <c r="H149" s="86"/>
      <c r="I149" s="86"/>
      <c r="J149" s="87"/>
      <c r="K149" s="88"/>
      <c r="M149" s="102">
        <v>0</v>
      </c>
      <c r="N149" s="533"/>
      <c r="O149" s="533"/>
      <c r="P149" s="533"/>
      <c r="Q149" s="533"/>
      <c r="R149" s="78"/>
      <c r="S149" s="396"/>
      <c r="T149" s="529"/>
      <c r="U149" s="529"/>
      <c r="V149" s="397"/>
      <c r="Y149" s="393">
        <f>+IFERROR(Y142*S149,0)</f>
        <v>0</v>
      </c>
      <c r="Z149" s="391">
        <f>Y142*V149</f>
        <v>0</v>
      </c>
      <c r="AA149" s="394"/>
      <c r="AB149" s="395">
        <f>+Y149*T149</f>
        <v>0</v>
      </c>
      <c r="AC149" s="93">
        <f>+AB149-Z149</f>
        <v>0</v>
      </c>
      <c r="AD149" s="94"/>
      <c r="AE149" s="386" t="str">
        <f>+IF(V149=0,"CERO","NO")</f>
        <v>CERO</v>
      </c>
    </row>
    <row r="150" spans="3:31" s="260" customFormat="1" ht="15.75" thickBot="1" x14ac:dyDescent="0.3">
      <c r="C150" s="84"/>
      <c r="D150" s="85"/>
      <c r="E150" s="86"/>
      <c r="F150" s="86"/>
      <c r="G150" s="86"/>
      <c r="H150" s="86"/>
      <c r="I150" s="86"/>
      <c r="J150" s="87"/>
      <c r="K150" s="88"/>
      <c r="M150" s="102">
        <v>0</v>
      </c>
      <c r="N150" s="564"/>
      <c r="O150" s="564"/>
      <c r="P150" s="564"/>
      <c r="Q150" s="564"/>
      <c r="R150" s="96"/>
      <c r="S150" s="96"/>
      <c r="T150" s="565"/>
      <c r="U150" s="565"/>
      <c r="V150" s="101"/>
      <c r="Y150" s="393">
        <f>+IFERROR(Y142*S150,0)</f>
        <v>0</v>
      </c>
      <c r="Z150" s="391">
        <f>Y142*V150</f>
        <v>0</v>
      </c>
      <c r="AA150" s="394"/>
      <c r="AB150" s="395">
        <f>+Y150*T150</f>
        <v>0</v>
      </c>
      <c r="AC150" s="93">
        <f>+AB150-Z150</f>
        <v>0</v>
      </c>
      <c r="AD150" s="94"/>
      <c r="AE150" s="386" t="str">
        <f>+IF(V150=0,"CERO","NO")</f>
        <v>CERO</v>
      </c>
    </row>
    <row r="151" spans="3:31" s="260" customFormat="1" ht="15.75" thickBot="1" x14ac:dyDescent="0.3">
      <c r="C151" s="84"/>
      <c r="D151" s="375" t="s">
        <v>128</v>
      </c>
      <c r="E151" s="376" t="s">
        <v>129</v>
      </c>
      <c r="F151" s="376" t="s">
        <v>130</v>
      </c>
      <c r="G151" s="376" t="s">
        <v>131</v>
      </c>
      <c r="H151" s="376" t="s">
        <v>132</v>
      </c>
      <c r="I151" s="376" t="s">
        <v>133</v>
      </c>
      <c r="J151" s="377" t="s">
        <v>134</v>
      </c>
      <c r="K151" s="88"/>
      <c r="M151" s="534"/>
      <c r="N151" s="536" t="s">
        <v>101</v>
      </c>
      <c r="O151" s="536"/>
      <c r="P151" s="536"/>
      <c r="Q151" s="536"/>
      <c r="R151" s="536"/>
      <c r="S151" s="536"/>
      <c r="T151" s="536"/>
      <c r="U151" s="536"/>
      <c r="V151" s="389">
        <f>+SUM(V146:V150)</f>
        <v>4761.75</v>
      </c>
      <c r="Y151" s="398" t="s">
        <v>135</v>
      </c>
      <c r="Z151" s="397">
        <f>+SUM(Z146:Z150)</f>
        <v>666.6450000000001</v>
      </c>
      <c r="AA151" s="86"/>
      <c r="AB151" s="384"/>
      <c r="AC151" s="385"/>
      <c r="AD151" s="94"/>
      <c r="AE151" s="399"/>
    </row>
    <row r="152" spans="3:31" s="260" customFormat="1" ht="15.75" thickBot="1" x14ac:dyDescent="0.3">
      <c r="C152" s="84"/>
      <c r="D152" s="375" t="str">
        <f>C142</f>
        <v>M 1:3</v>
      </c>
      <c r="E152" s="376"/>
      <c r="F152" s="376"/>
      <c r="G152" s="376"/>
      <c r="H152" s="376"/>
      <c r="I152" s="376"/>
      <c r="J152" s="377"/>
      <c r="K152" s="88"/>
      <c r="M152" s="566"/>
      <c r="N152" s="567" t="s">
        <v>102</v>
      </c>
      <c r="O152" s="567"/>
      <c r="P152" s="567"/>
      <c r="Q152" s="567"/>
      <c r="R152" s="567"/>
      <c r="S152" s="567"/>
      <c r="T152" s="567"/>
      <c r="U152" s="567"/>
      <c r="V152" s="400">
        <f>+ROUND(V151,$AA$5)</f>
        <v>4761.75</v>
      </c>
      <c r="Y152" s="401" t="s">
        <v>136</v>
      </c>
      <c r="Z152" s="402">
        <f>+ROUND(Z151,$AA$5)</f>
        <v>666.65</v>
      </c>
      <c r="AA152" s="86"/>
      <c r="AB152" s="403">
        <f>+V152*Y142</f>
        <v>666.6450000000001</v>
      </c>
      <c r="AC152" s="404">
        <f>+AB152-Z152</f>
        <v>-4.9999999998817657E-3</v>
      </c>
      <c r="AD152" s="94"/>
      <c r="AE152" s="405"/>
    </row>
    <row r="153" spans="3:31" s="260" customFormat="1" x14ac:dyDescent="0.25">
      <c r="C153" s="84"/>
      <c r="D153" s="380"/>
      <c r="E153" s="381"/>
      <c r="F153" s="381"/>
      <c r="G153" s="381"/>
      <c r="H153" s="381"/>
      <c r="I153" s="381"/>
      <c r="J153" s="382"/>
      <c r="K153" s="88"/>
      <c r="M153" s="510" t="s">
        <v>103</v>
      </c>
      <c r="N153" s="511"/>
      <c r="O153" s="511"/>
      <c r="P153" s="511"/>
      <c r="Q153" s="511"/>
      <c r="R153" s="511"/>
      <c r="S153" s="511"/>
      <c r="T153" s="511"/>
      <c r="U153" s="511"/>
      <c r="V153" s="512"/>
      <c r="Y153" s="378"/>
      <c r="Z153" s="121"/>
      <c r="AA153" s="86"/>
      <c r="AB153" s="513"/>
      <c r="AC153" s="514"/>
      <c r="AD153" s="94"/>
      <c r="AE153" s="126"/>
    </row>
    <row r="154" spans="3:31" s="260" customFormat="1" x14ac:dyDescent="0.25">
      <c r="C154" s="84"/>
      <c r="D154" s="85"/>
      <c r="E154" s="86"/>
      <c r="F154" s="86"/>
      <c r="G154" s="86"/>
      <c r="H154" s="86"/>
      <c r="I154" s="86"/>
      <c r="J154" s="87"/>
      <c r="K154" s="88"/>
      <c r="M154" s="99" t="s">
        <v>94</v>
      </c>
      <c r="N154" s="561" t="s">
        <v>95</v>
      </c>
      <c r="O154" s="561"/>
      <c r="P154" s="561"/>
      <c r="Q154" s="561"/>
      <c r="R154" s="95" t="s">
        <v>96</v>
      </c>
      <c r="S154" s="95" t="s">
        <v>104</v>
      </c>
      <c r="T154" s="356" t="s">
        <v>105</v>
      </c>
      <c r="U154" s="356" t="s">
        <v>8</v>
      </c>
      <c r="V154" s="100" t="s">
        <v>98</v>
      </c>
      <c r="Y154" s="383" t="s">
        <v>104</v>
      </c>
      <c r="Z154" s="119" t="s">
        <v>9</v>
      </c>
      <c r="AA154" s="86"/>
      <c r="AB154" s="384"/>
      <c r="AC154" s="385"/>
      <c r="AD154" s="94"/>
      <c r="AE154" s="406"/>
    </row>
    <row r="155" spans="3:31" s="260" customFormat="1" x14ac:dyDescent="0.25">
      <c r="C155" s="84"/>
      <c r="D155" s="85"/>
      <c r="E155" s="86"/>
      <c r="F155" s="86"/>
      <c r="G155" s="86"/>
      <c r="H155" s="86"/>
      <c r="I155" s="86"/>
      <c r="J155" s="87"/>
      <c r="K155" s="88"/>
      <c r="M155" s="102">
        <v>400</v>
      </c>
      <c r="N155" s="533" t="str">
        <f>IFERROR(VLOOKUP(M155,INSUMOS!$C$8:$K$928,2,0),"-----")</f>
        <v>CEMENTO GRIS</v>
      </c>
      <c r="O155" s="533"/>
      <c r="P155" s="533"/>
      <c r="Q155" s="533"/>
      <c r="R155" s="78" t="str">
        <f>IFERROR(VLOOKUP(M155,INSUMOS!$C$8:$K$928,6,0),"-----")</f>
        <v>kg</v>
      </c>
      <c r="S155" s="396">
        <v>454</v>
      </c>
      <c r="T155" s="387">
        <v>0.02</v>
      </c>
      <c r="U155" s="388">
        <f>IFERROR(VLOOKUP(M155,INSUMOS!$C$8:$K$928,7,0),"0")</f>
        <v>600</v>
      </c>
      <c r="V155" s="389">
        <f>+IFERROR(U155*(S155*(1+T155)),0)</f>
        <v>277848</v>
      </c>
      <c r="Y155" s="393">
        <f>+IFERROR(Y142*(S155*(1+T155)),0)</f>
        <v>64.83120000000001</v>
      </c>
      <c r="Z155" s="391">
        <f>Y142*V155</f>
        <v>38898.720000000001</v>
      </c>
      <c r="AA155" s="394"/>
      <c r="AB155" s="395">
        <f>+Y155*U155</f>
        <v>38898.720000000008</v>
      </c>
      <c r="AC155" s="93">
        <f>+AB155-Z155</f>
        <v>0</v>
      </c>
      <c r="AD155" s="94"/>
      <c r="AE155" s="406" t="str">
        <f t="shared" ref="AE155:AE161" si="9">+IF(V155=0,"CERO","NO")</f>
        <v>NO</v>
      </c>
    </row>
    <row r="156" spans="3:31" s="260" customFormat="1" x14ac:dyDescent="0.25">
      <c r="C156" s="84"/>
      <c r="D156" s="85"/>
      <c r="E156" s="86"/>
      <c r="F156" s="86"/>
      <c r="G156" s="86"/>
      <c r="H156" s="86"/>
      <c r="I156" s="86"/>
      <c r="J156" s="87"/>
      <c r="K156" s="88"/>
      <c r="M156" s="102">
        <v>401</v>
      </c>
      <c r="N156" s="533" t="str">
        <f>IFERROR(VLOOKUP(M156,INSUMOS!$C$8:$K$928,2,0),"-----")</f>
        <v>AGUA</v>
      </c>
      <c r="O156" s="533"/>
      <c r="P156" s="533"/>
      <c r="Q156" s="533"/>
      <c r="R156" s="78" t="str">
        <f>IFERROR(VLOOKUP(M156,INSUMOS!$C$8:$K$928,6,0),"-----")</f>
        <v>lt</v>
      </c>
      <c r="S156" s="396">
        <v>240</v>
      </c>
      <c r="T156" s="387">
        <v>0.05</v>
      </c>
      <c r="U156" s="388">
        <f>IFERROR(VLOOKUP(M156,INSUMOS!$C$8:$K$928,7,0),"0")</f>
        <v>75</v>
      </c>
      <c r="V156" s="389">
        <f>+IFERROR(U156*(S156*(1+T156)),0)</f>
        <v>18900</v>
      </c>
      <c r="Y156" s="393">
        <f>+IFERROR(Y142*(S156*(1+T156)),0)</f>
        <v>35.28</v>
      </c>
      <c r="Z156" s="391">
        <f>Y142*V156</f>
        <v>2646.0000000000005</v>
      </c>
      <c r="AA156" s="394"/>
      <c r="AB156" s="395">
        <f t="shared" ref="AB156:AB161" si="10">+Y156*U156</f>
        <v>2646</v>
      </c>
      <c r="AC156" s="93">
        <f t="shared" ref="AC156:AC161" si="11">+AB156-Z156</f>
        <v>0</v>
      </c>
      <c r="AD156" s="94"/>
      <c r="AE156" s="406" t="str">
        <f t="shared" si="9"/>
        <v>NO</v>
      </c>
    </row>
    <row r="157" spans="3:31" s="260" customFormat="1" x14ac:dyDescent="0.25">
      <c r="C157" s="84"/>
      <c r="D157" s="85"/>
      <c r="E157" s="86"/>
      <c r="F157" s="86"/>
      <c r="G157" s="86"/>
      <c r="H157" s="86"/>
      <c r="I157" s="86"/>
      <c r="J157" s="87"/>
      <c r="K157" s="88"/>
      <c r="M157" s="102">
        <v>405</v>
      </c>
      <c r="N157" s="533" t="str">
        <f>IFERROR(VLOOKUP(M157,INSUMOS!$C$8:$K$928,2,0),"-----")</f>
        <v>ARENA GRUESA</v>
      </c>
      <c r="O157" s="533"/>
      <c r="P157" s="533"/>
      <c r="Q157" s="533"/>
      <c r="R157" s="78" t="str">
        <f>IFERROR(VLOOKUP(M157,INSUMOS!$C$8:$K$928,6,0),"-----")</f>
        <v>m3</v>
      </c>
      <c r="S157" s="396">
        <v>1.0900000000000001</v>
      </c>
      <c r="T157" s="387">
        <v>0.03</v>
      </c>
      <c r="U157" s="388">
        <f>IFERROR(VLOOKUP(M157,INSUMOS!$C$8:$K$928,7,0),"0")</f>
        <v>97476</v>
      </c>
      <c r="V157" s="389">
        <f>+IFERROR(U157*(S157*(1+T157)),0)</f>
        <v>109436.3052</v>
      </c>
      <c r="Y157" s="393">
        <f>+IFERROR(Y142*(S157*(1+T157)),0)</f>
        <v>0.15717800000000001</v>
      </c>
      <c r="Z157" s="391">
        <f>Y142*V157</f>
        <v>15321.082728000001</v>
      </c>
      <c r="AA157" s="394"/>
      <c r="AB157" s="395">
        <f t="shared" si="10"/>
        <v>15321.082728000001</v>
      </c>
      <c r="AC157" s="93">
        <f t="shared" si="11"/>
        <v>0</v>
      </c>
      <c r="AD157" s="94"/>
      <c r="AE157" s="406" t="str">
        <f t="shared" si="9"/>
        <v>NO</v>
      </c>
    </row>
    <row r="158" spans="3:31" s="260" customFormat="1" x14ac:dyDescent="0.25">
      <c r="C158" s="84"/>
      <c r="D158" s="85"/>
      <c r="E158" s="86"/>
      <c r="F158" s="86"/>
      <c r="G158" s="86"/>
      <c r="H158" s="86"/>
      <c r="I158" s="86"/>
      <c r="J158" s="87"/>
      <c r="K158" s="88"/>
      <c r="M158" s="102"/>
      <c r="N158" s="533" t="str">
        <f>IFERROR(VLOOKUP(M158,INSUMOS!$C$8:$K$928,2,0),"-----")</f>
        <v>-----</v>
      </c>
      <c r="O158" s="533"/>
      <c r="P158" s="533"/>
      <c r="Q158" s="533"/>
      <c r="R158" s="78" t="str">
        <f>IFERROR(VLOOKUP(M158,INSUMOS!$C$8:$K$928,6,0),"-----")</f>
        <v>-----</v>
      </c>
      <c r="S158" s="396"/>
      <c r="T158" s="387"/>
      <c r="U158" s="388" t="str">
        <f>IFERROR(VLOOKUP(M158,INSUMOS!$C$8:$K$928,7,0),"0")</f>
        <v>0</v>
      </c>
      <c r="V158" s="389">
        <f>+IFERROR(U158*(S158*(1+T158)),0)</f>
        <v>0</v>
      </c>
      <c r="Y158" s="393">
        <f>+IFERROR(Y142*(S158*(1+T158)),0)</f>
        <v>0</v>
      </c>
      <c r="Z158" s="391">
        <f>Y142*V158</f>
        <v>0</v>
      </c>
      <c r="AA158" s="394"/>
      <c r="AB158" s="395">
        <f t="shared" si="10"/>
        <v>0</v>
      </c>
      <c r="AC158" s="93">
        <f t="shared" si="11"/>
        <v>0</v>
      </c>
      <c r="AD158" s="94"/>
      <c r="AE158" s="406" t="str">
        <f t="shared" si="9"/>
        <v>CERO</v>
      </c>
    </row>
    <row r="159" spans="3:31" s="260" customFormat="1" x14ac:dyDescent="0.25">
      <c r="C159" s="84"/>
      <c r="D159" s="85"/>
      <c r="E159" s="86"/>
      <c r="F159" s="86"/>
      <c r="G159" s="86"/>
      <c r="H159" s="86"/>
      <c r="I159" s="86"/>
      <c r="J159" s="87"/>
      <c r="K159" s="88"/>
      <c r="M159" s="102">
        <v>0</v>
      </c>
      <c r="N159" s="533"/>
      <c r="O159" s="533"/>
      <c r="P159" s="533"/>
      <c r="Q159" s="533"/>
      <c r="R159" s="78"/>
      <c r="S159" s="396"/>
      <c r="T159" s="387"/>
      <c r="U159" s="388"/>
      <c r="V159" s="397"/>
      <c r="Y159" s="393">
        <f>+IFERROR(Y142*(S159*(1+T159)),0)</f>
        <v>0</v>
      </c>
      <c r="Z159" s="391">
        <f>Y142*V159</f>
        <v>0</v>
      </c>
      <c r="AA159" s="394"/>
      <c r="AB159" s="395">
        <f t="shared" si="10"/>
        <v>0</v>
      </c>
      <c r="AC159" s="93">
        <f t="shared" si="11"/>
        <v>0</v>
      </c>
      <c r="AD159" s="94"/>
      <c r="AE159" s="406" t="str">
        <f t="shared" si="9"/>
        <v>CERO</v>
      </c>
    </row>
    <row r="160" spans="3:31" s="260" customFormat="1" x14ac:dyDescent="0.25">
      <c r="C160" s="84"/>
      <c r="D160" s="85"/>
      <c r="E160" s="86"/>
      <c r="F160" s="86"/>
      <c r="G160" s="86"/>
      <c r="H160" s="86"/>
      <c r="I160" s="86"/>
      <c r="J160" s="87"/>
      <c r="K160" s="88"/>
      <c r="M160" s="102">
        <v>0</v>
      </c>
      <c r="N160" s="533"/>
      <c r="O160" s="533"/>
      <c r="P160" s="533"/>
      <c r="Q160" s="533"/>
      <c r="R160" s="78"/>
      <c r="S160" s="396"/>
      <c r="T160" s="387"/>
      <c r="U160" s="388"/>
      <c r="V160" s="397"/>
      <c r="Y160" s="393">
        <f>+IFERROR(Y142*(S160*(1+T160)),0)</f>
        <v>0</v>
      </c>
      <c r="Z160" s="391">
        <f>Y142*V160</f>
        <v>0</v>
      </c>
      <c r="AA160" s="394"/>
      <c r="AB160" s="395">
        <f t="shared" si="10"/>
        <v>0</v>
      </c>
      <c r="AC160" s="93">
        <f t="shared" si="11"/>
        <v>0</v>
      </c>
      <c r="AD160" s="94"/>
      <c r="AE160" s="406" t="str">
        <f t="shared" si="9"/>
        <v>CERO</v>
      </c>
    </row>
    <row r="161" spans="3:31" s="260" customFormat="1" ht="15.75" thickBot="1" x14ac:dyDescent="0.3">
      <c r="C161" s="84"/>
      <c r="D161" s="85"/>
      <c r="E161" s="86"/>
      <c r="F161" s="86"/>
      <c r="G161" s="86"/>
      <c r="H161" s="86"/>
      <c r="I161" s="86"/>
      <c r="J161" s="87"/>
      <c r="K161" s="88"/>
      <c r="M161" s="102">
        <v>0</v>
      </c>
      <c r="N161" s="564"/>
      <c r="O161" s="564"/>
      <c r="P161" s="564"/>
      <c r="Q161" s="564"/>
      <c r="R161" s="96"/>
      <c r="S161" s="79"/>
      <c r="T161" s="97"/>
      <c r="U161" s="358"/>
      <c r="V161" s="397"/>
      <c r="Y161" s="393">
        <f>+IFERROR(Y142*(S161*(1+T161)),0)</f>
        <v>0</v>
      </c>
      <c r="Z161" s="391">
        <f>Y142*V161</f>
        <v>0</v>
      </c>
      <c r="AA161" s="394"/>
      <c r="AB161" s="395">
        <f t="shared" si="10"/>
        <v>0</v>
      </c>
      <c r="AC161" s="93">
        <f t="shared" si="11"/>
        <v>0</v>
      </c>
      <c r="AD161" s="94"/>
      <c r="AE161" s="406" t="str">
        <f t="shared" si="9"/>
        <v>CERO</v>
      </c>
    </row>
    <row r="162" spans="3:31" s="260" customFormat="1" ht="15.75" thickBot="1" x14ac:dyDescent="0.3">
      <c r="C162" s="84"/>
      <c r="D162" s="375" t="s">
        <v>128</v>
      </c>
      <c r="E162" s="376" t="s">
        <v>129</v>
      </c>
      <c r="F162" s="376" t="s">
        <v>130</v>
      </c>
      <c r="G162" s="376" t="s">
        <v>131</v>
      </c>
      <c r="H162" s="376" t="s">
        <v>132</v>
      </c>
      <c r="I162" s="376" t="s">
        <v>133</v>
      </c>
      <c r="J162" s="377" t="s">
        <v>134</v>
      </c>
      <c r="K162" s="88"/>
      <c r="M162" s="534"/>
      <c r="N162" s="536" t="s">
        <v>106</v>
      </c>
      <c r="O162" s="536"/>
      <c r="P162" s="536"/>
      <c r="Q162" s="536"/>
      <c r="R162" s="536"/>
      <c r="S162" s="536"/>
      <c r="T162" s="536"/>
      <c r="U162" s="536"/>
      <c r="V162" s="389">
        <f>+SUM(V155:V161)</f>
        <v>406184.3052</v>
      </c>
      <c r="Y162" s="398" t="s">
        <v>135</v>
      </c>
      <c r="Z162" s="397">
        <f>+SUM(Z155:Z161)</f>
        <v>56865.802728000002</v>
      </c>
      <c r="AA162" s="86"/>
      <c r="AB162" s="384"/>
      <c r="AC162" s="385"/>
      <c r="AD162" s="94"/>
      <c r="AE162" s="399"/>
    </row>
    <row r="163" spans="3:31" s="260" customFormat="1" ht="15.75" thickBot="1" x14ac:dyDescent="0.3">
      <c r="C163" s="84"/>
      <c r="D163" s="375"/>
      <c r="E163" s="407" t="str">
        <f>+D152</f>
        <v>M 1:3</v>
      </c>
      <c r="F163" s="376"/>
      <c r="G163" s="376"/>
      <c r="H163" s="376"/>
      <c r="I163" s="376"/>
      <c r="J163" s="377"/>
      <c r="K163" s="88"/>
      <c r="M163" s="535"/>
      <c r="N163" s="537" t="s">
        <v>107</v>
      </c>
      <c r="O163" s="537"/>
      <c r="P163" s="537"/>
      <c r="Q163" s="537"/>
      <c r="R163" s="537"/>
      <c r="S163" s="537"/>
      <c r="T163" s="537"/>
      <c r="U163" s="537"/>
      <c r="V163" s="408">
        <f>+ROUND(V162,$AA$5)</f>
        <v>406184.31</v>
      </c>
      <c r="Y163" s="401" t="s">
        <v>136</v>
      </c>
      <c r="Z163" s="402">
        <f>+ROUND(Z162,$AA$5)</f>
        <v>56865.8</v>
      </c>
      <c r="AA163" s="86"/>
      <c r="AB163" s="403">
        <f>+V163*Y142</f>
        <v>56865.803400000004</v>
      </c>
      <c r="AC163" s="404">
        <f>+AB163-Z163</f>
        <v>3.4000000014202669E-3</v>
      </c>
      <c r="AD163" s="94"/>
      <c r="AE163" s="405"/>
    </row>
    <row r="164" spans="3:31" s="260" customFormat="1" x14ac:dyDescent="0.25">
      <c r="C164" s="84"/>
      <c r="D164" s="380"/>
      <c r="E164" s="381"/>
      <c r="F164" s="381"/>
      <c r="G164" s="381"/>
      <c r="H164" s="381"/>
      <c r="I164" s="381"/>
      <c r="J164" s="382"/>
      <c r="K164" s="88"/>
      <c r="M164" s="568" t="s">
        <v>108</v>
      </c>
      <c r="N164" s="569"/>
      <c r="O164" s="569"/>
      <c r="P164" s="569"/>
      <c r="Q164" s="569"/>
      <c r="R164" s="569"/>
      <c r="S164" s="569"/>
      <c r="T164" s="569"/>
      <c r="U164" s="569"/>
      <c r="V164" s="570"/>
      <c r="Y164" s="378"/>
      <c r="Z164" s="121"/>
      <c r="AA164" s="86"/>
      <c r="AB164" s="409"/>
      <c r="AC164" s="121"/>
      <c r="AD164" s="94"/>
      <c r="AE164" s="126"/>
    </row>
    <row r="165" spans="3:31" s="260" customFormat="1" ht="25.5" x14ac:dyDescent="0.25">
      <c r="C165" s="84"/>
      <c r="D165" s="85"/>
      <c r="E165" s="86"/>
      <c r="F165" s="86"/>
      <c r="G165" s="86"/>
      <c r="H165" s="86"/>
      <c r="I165" s="86"/>
      <c r="J165" s="87"/>
      <c r="K165" s="88"/>
      <c r="M165" s="99" t="s">
        <v>94</v>
      </c>
      <c r="N165" s="561" t="s">
        <v>95</v>
      </c>
      <c r="O165" s="561"/>
      <c r="P165" s="561"/>
      <c r="Q165" s="95" t="s">
        <v>109</v>
      </c>
      <c r="R165" s="95" t="s">
        <v>110</v>
      </c>
      <c r="S165" s="95" t="s">
        <v>111</v>
      </c>
      <c r="T165" s="562" t="s">
        <v>112</v>
      </c>
      <c r="U165" s="562"/>
      <c r="V165" s="100" t="s">
        <v>98</v>
      </c>
      <c r="Y165" s="383" t="s">
        <v>104</v>
      </c>
      <c r="Z165" s="119" t="s">
        <v>9</v>
      </c>
      <c r="AA165" s="86"/>
      <c r="AB165" s="384"/>
      <c r="AC165" s="385"/>
      <c r="AD165" s="94"/>
      <c r="AE165" s="410"/>
    </row>
    <row r="166" spans="3:31" s="260" customFormat="1" x14ac:dyDescent="0.25">
      <c r="C166" s="84"/>
      <c r="D166" s="85"/>
      <c r="E166" s="86"/>
      <c r="F166" s="86"/>
      <c r="G166" s="86"/>
      <c r="H166" s="86"/>
      <c r="I166" s="86"/>
      <c r="J166" s="87"/>
      <c r="K166" s="88"/>
      <c r="M166" s="102">
        <v>120</v>
      </c>
      <c r="N166" s="530" t="str">
        <f>IFERROR(VLOOKUP(M166,INSUMOS!$C$8:$K$928,2,0),"-----")</f>
        <v>Transporte Cemento</v>
      </c>
      <c r="O166" s="531"/>
      <c r="P166" s="532"/>
      <c r="Q166" s="78" t="str">
        <f>IFERROR(VLOOKUP(M166,INSUMOS!$C$8:$K$928,5,0),"-----")</f>
        <v>kg/km</v>
      </c>
      <c r="R166" s="80">
        <f>S155*(1+T155)</f>
        <v>463.08</v>
      </c>
      <c r="S166" s="80">
        <f>IFERROR(VLOOKUP(M166,INSUMOS!$C$8:$K$928,6,0),"0")</f>
        <v>15</v>
      </c>
      <c r="T166" s="529">
        <f>IFERROR(VLOOKUP(M166,INSUMOS!$C$8:$K$928,7,0),"0")</f>
        <v>20</v>
      </c>
      <c r="U166" s="529"/>
      <c r="V166" s="82">
        <f>+T166*S166*R166</f>
        <v>138924</v>
      </c>
      <c r="Y166" s="393">
        <f>+IFERROR((R166*S166)*Y142,0)</f>
        <v>972.46800000000007</v>
      </c>
      <c r="Z166" s="391">
        <f>Y142*V166</f>
        <v>19449.36</v>
      </c>
      <c r="AA166" s="86"/>
      <c r="AB166" s="92">
        <f>+Y166*T166</f>
        <v>19449.36</v>
      </c>
      <c r="AC166" s="93">
        <f>+AB166-Z166</f>
        <v>0</v>
      </c>
      <c r="AD166" s="94"/>
      <c r="AE166" s="406" t="str">
        <f>+IF(V166=0,"CERO","NO")</f>
        <v>NO</v>
      </c>
    </row>
    <row r="167" spans="3:31" s="260" customFormat="1" x14ac:dyDescent="0.25">
      <c r="C167" s="84"/>
      <c r="D167" s="85"/>
      <c r="E167" s="86"/>
      <c r="F167" s="86"/>
      <c r="G167" s="86"/>
      <c r="H167" s="86"/>
      <c r="I167" s="86"/>
      <c r="J167" s="87"/>
      <c r="K167" s="88"/>
      <c r="M167" s="102">
        <v>100</v>
      </c>
      <c r="N167" s="530" t="str">
        <f>IFERROR(VLOOKUP(M167,INSUMOS!$C$8:$K$928,2,0),"-----")</f>
        <v xml:space="preserve">Transporte Arena </v>
      </c>
      <c r="O167" s="531"/>
      <c r="P167" s="532"/>
      <c r="Q167" s="78" t="str">
        <f>IFERROR(VLOOKUP(M167,INSUMOS!$C$8:$K$928,5,0),"-----")</f>
        <v>m3/km</v>
      </c>
      <c r="R167" s="80">
        <f>S157*(1+T157)</f>
        <v>1.1227</v>
      </c>
      <c r="S167" s="80">
        <f>IFERROR(VLOOKUP(M167,INSUMOS!$C$8:$K$928,6,0),"0")</f>
        <v>15</v>
      </c>
      <c r="T167" s="529">
        <f>IFERROR(VLOOKUP(M167,INSUMOS!$C$8:$K$928,7,0),"0")</f>
        <v>2000</v>
      </c>
      <c r="U167" s="529"/>
      <c r="V167" s="82">
        <f>+T167*S167*R167</f>
        <v>33681</v>
      </c>
      <c r="Y167" s="393">
        <f>+IFERROR((R167*S167)*Y142,0)</f>
        <v>2.3576700000000002</v>
      </c>
      <c r="Z167" s="391">
        <f>Y142*V167</f>
        <v>4715.34</v>
      </c>
      <c r="AA167" s="86"/>
      <c r="AB167" s="92">
        <f>+Y167*T167</f>
        <v>4715.34</v>
      </c>
      <c r="AC167" s="93">
        <f>+AB167-Z167</f>
        <v>0</v>
      </c>
      <c r="AD167" s="94"/>
      <c r="AE167" s="406" t="str">
        <f>+IF(V167=0,"CERO","NO")</f>
        <v>NO</v>
      </c>
    </row>
    <row r="168" spans="3:31" s="260" customFormat="1" x14ac:dyDescent="0.25">
      <c r="C168" s="84"/>
      <c r="D168" s="85"/>
      <c r="E168" s="86"/>
      <c r="F168" s="86"/>
      <c r="G168" s="86"/>
      <c r="H168" s="86"/>
      <c r="I168" s="86"/>
      <c r="J168" s="87"/>
      <c r="K168" s="88"/>
      <c r="M168" s="102"/>
      <c r="N168" s="530" t="str">
        <f>IFERROR(VLOOKUP(M168,INSUMOS!$C$8:$K$928,2,0),"-----")</f>
        <v>-----</v>
      </c>
      <c r="O168" s="531"/>
      <c r="P168" s="532"/>
      <c r="Q168" s="78" t="str">
        <f>IFERROR(VLOOKUP(M168,INSUMOS!$C$8:$K$928,5,0),"-----")</f>
        <v>-----</v>
      </c>
      <c r="R168" s="80">
        <f>S158*(1+T158)</f>
        <v>0</v>
      </c>
      <c r="S168" s="80" t="str">
        <f>IFERROR(VLOOKUP(M168,INSUMOS!$C$8:$K$928,6,0),"0")</f>
        <v>0</v>
      </c>
      <c r="T168" s="529" t="str">
        <f>IFERROR(VLOOKUP(M168,INSUMOS!$C$8:$K$928,7,0),"0")</f>
        <v>0</v>
      </c>
      <c r="U168" s="529"/>
      <c r="V168" s="82">
        <f>+T168*S168*R168</f>
        <v>0</v>
      </c>
      <c r="Y168" s="393">
        <f>+IFERROR((R168*S168)*Y142,0)</f>
        <v>0</v>
      </c>
      <c r="Z168" s="391">
        <f>Y142*V168</f>
        <v>0</v>
      </c>
      <c r="AA168" s="86"/>
      <c r="AB168" s="92">
        <f>+Y168*T168</f>
        <v>0</v>
      </c>
      <c r="AC168" s="93">
        <f>+AB168-Z168</f>
        <v>0</v>
      </c>
      <c r="AD168" s="94"/>
      <c r="AE168" s="406" t="str">
        <f>+IF(V168=0,"CERO","NO")</f>
        <v>CERO</v>
      </c>
    </row>
    <row r="169" spans="3:31" s="260" customFormat="1" x14ac:dyDescent="0.25">
      <c r="C169" s="84"/>
      <c r="D169" s="85"/>
      <c r="E169" s="86"/>
      <c r="F169" s="86"/>
      <c r="G169" s="86"/>
      <c r="H169" s="86"/>
      <c r="I169" s="86"/>
      <c r="J169" s="87"/>
      <c r="K169" s="88"/>
      <c r="M169" s="102">
        <v>0</v>
      </c>
      <c r="N169" s="533"/>
      <c r="O169" s="533"/>
      <c r="P169" s="533"/>
      <c r="Q169" s="79"/>
      <c r="R169" s="80"/>
      <c r="S169" s="81"/>
      <c r="T169" s="529"/>
      <c r="U169" s="529"/>
      <c r="V169" s="82"/>
      <c r="Y169" s="393">
        <f>+IFERROR((R169*S169)*Y142,0)</f>
        <v>0</v>
      </c>
      <c r="Z169" s="391">
        <f>Y142*V169</f>
        <v>0</v>
      </c>
      <c r="AA169" s="86"/>
      <c r="AB169" s="92">
        <f>+Y169*T169</f>
        <v>0</v>
      </c>
      <c r="AC169" s="93">
        <f>+AB169-Z169</f>
        <v>0</v>
      </c>
      <c r="AD169" s="94"/>
      <c r="AE169" s="406" t="str">
        <f>+IF(V169=0,"CERO","NO")</f>
        <v>CERO</v>
      </c>
    </row>
    <row r="170" spans="3:31" s="260" customFormat="1" ht="15.75" thickBot="1" x14ac:dyDescent="0.3">
      <c r="C170" s="84"/>
      <c r="D170" s="89"/>
      <c r="E170" s="90"/>
      <c r="F170" s="90"/>
      <c r="G170" s="90"/>
      <c r="H170" s="90"/>
      <c r="I170" s="90"/>
      <c r="J170" s="91"/>
      <c r="K170" s="88"/>
      <c r="M170" s="102">
        <v>0</v>
      </c>
      <c r="N170" s="533"/>
      <c r="O170" s="533"/>
      <c r="P170" s="533"/>
      <c r="Q170" s="79"/>
      <c r="R170" s="78"/>
      <c r="S170" s="81"/>
      <c r="T170" s="529"/>
      <c r="U170" s="529"/>
      <c r="V170" s="82"/>
      <c r="Y170" s="393">
        <f>+IFERROR((R170*S170)*Y142,0)</f>
        <v>0</v>
      </c>
      <c r="Z170" s="391">
        <f>Y142*V170</f>
        <v>0</v>
      </c>
      <c r="AA170" s="86"/>
      <c r="AB170" s="92">
        <f>+Y170*T170</f>
        <v>0</v>
      </c>
      <c r="AC170" s="93">
        <f>+AB170-Z170</f>
        <v>0</v>
      </c>
      <c r="AD170" s="94"/>
      <c r="AE170" s="406" t="str">
        <f>+IF(V170=0,"CERO","NO")</f>
        <v>CERO</v>
      </c>
    </row>
    <row r="171" spans="3:31" s="260" customFormat="1" ht="15.75" thickBot="1" x14ac:dyDescent="0.3">
      <c r="C171" s="84"/>
      <c r="D171" s="375" t="s">
        <v>128</v>
      </c>
      <c r="E171" s="376" t="s">
        <v>129</v>
      </c>
      <c r="F171" s="376" t="s">
        <v>130</v>
      </c>
      <c r="G171" s="376" t="s">
        <v>131</v>
      </c>
      <c r="H171" s="376" t="s">
        <v>132</v>
      </c>
      <c r="I171" s="376" t="s">
        <v>133</v>
      </c>
      <c r="J171" s="377" t="s">
        <v>134</v>
      </c>
      <c r="K171" s="88"/>
      <c r="M171" s="534"/>
      <c r="N171" s="536" t="s">
        <v>113</v>
      </c>
      <c r="O171" s="536"/>
      <c r="P171" s="536"/>
      <c r="Q171" s="536"/>
      <c r="R171" s="536"/>
      <c r="S171" s="536"/>
      <c r="T171" s="536"/>
      <c r="U171" s="536"/>
      <c r="V171" s="411">
        <f>+SUM(V166:V170)</f>
        <v>172605</v>
      </c>
      <c r="Y171" s="398" t="s">
        <v>135</v>
      </c>
      <c r="Z171" s="397">
        <f>+SUM(Z166:Z170)</f>
        <v>24164.7</v>
      </c>
      <c r="AA171" s="86"/>
      <c r="AB171" s="384"/>
      <c r="AC171" s="385"/>
      <c r="AD171" s="94"/>
      <c r="AE171" s="399"/>
    </row>
    <row r="172" spans="3:31" s="260" customFormat="1" ht="15.75" thickBot="1" x14ac:dyDescent="0.3">
      <c r="C172" s="84"/>
      <c r="D172" s="355"/>
      <c r="E172" s="367"/>
      <c r="F172" s="412" t="str">
        <f>+E163</f>
        <v>M 1:3</v>
      </c>
      <c r="G172" s="367"/>
      <c r="H172" s="367"/>
      <c r="I172" s="367"/>
      <c r="J172" s="368"/>
      <c r="K172" s="88"/>
      <c r="M172" s="535"/>
      <c r="N172" s="537" t="s">
        <v>114</v>
      </c>
      <c r="O172" s="537"/>
      <c r="P172" s="537"/>
      <c r="Q172" s="537"/>
      <c r="R172" s="537"/>
      <c r="S172" s="537"/>
      <c r="T172" s="537"/>
      <c r="U172" s="537"/>
      <c r="V172" s="413">
        <f>+ROUND(V171,$AA$5)</f>
        <v>172605</v>
      </c>
      <c r="Y172" s="401" t="s">
        <v>136</v>
      </c>
      <c r="Z172" s="402">
        <f>+ROUND(Z171,$AA$5)</f>
        <v>24164.7</v>
      </c>
      <c r="AA172" s="86"/>
      <c r="AB172" s="403">
        <f>+V172*Y142</f>
        <v>24164.7</v>
      </c>
      <c r="AC172" s="414"/>
      <c r="AD172" s="94"/>
      <c r="AE172" s="405"/>
    </row>
    <row r="173" spans="3:31" s="260" customFormat="1" ht="15.75" thickBot="1" x14ac:dyDescent="0.3">
      <c r="C173" s="84"/>
      <c r="D173" s="415"/>
      <c r="E173" s="416"/>
      <c r="F173" s="416"/>
      <c r="G173" s="416"/>
      <c r="H173" s="416"/>
      <c r="I173" s="416"/>
      <c r="J173" s="417"/>
      <c r="K173" s="88"/>
      <c r="M173" s="538" t="s">
        <v>115</v>
      </c>
      <c r="N173" s="539"/>
      <c r="O173" s="539"/>
      <c r="P173" s="539"/>
      <c r="Q173" s="539"/>
      <c r="R173" s="539"/>
      <c r="S173" s="539"/>
      <c r="T173" s="539"/>
      <c r="U173" s="539"/>
      <c r="V173" s="540"/>
      <c r="Y173" s="378"/>
      <c r="Z173" s="121"/>
      <c r="AA173" s="86"/>
      <c r="AB173" s="409"/>
      <c r="AC173" s="121"/>
      <c r="AD173" s="94"/>
      <c r="AE173" s="126"/>
    </row>
    <row r="174" spans="3:31" s="260" customFormat="1" ht="15.75" thickBot="1" x14ac:dyDescent="0.3">
      <c r="C174" s="84"/>
      <c r="D174" s="375" t="s">
        <v>128</v>
      </c>
      <c r="E174" s="376" t="s">
        <v>129</v>
      </c>
      <c r="F174" s="376" t="s">
        <v>130</v>
      </c>
      <c r="G174" s="376" t="s">
        <v>131</v>
      </c>
      <c r="H174" s="376" t="s">
        <v>132</v>
      </c>
      <c r="I174" s="376" t="s">
        <v>133</v>
      </c>
      <c r="J174" s="377" t="s">
        <v>134</v>
      </c>
      <c r="K174" s="88"/>
      <c r="M174" s="99" t="s">
        <v>94</v>
      </c>
      <c r="N174" s="98" t="s">
        <v>95</v>
      </c>
      <c r="O174" s="95" t="s">
        <v>96</v>
      </c>
      <c r="P174" s="95" t="s">
        <v>104</v>
      </c>
      <c r="Q174" s="95" t="s">
        <v>116</v>
      </c>
      <c r="R174" s="418" t="s">
        <v>117</v>
      </c>
      <c r="S174" s="95" t="s">
        <v>347</v>
      </c>
      <c r="T174" s="419" t="s">
        <v>118</v>
      </c>
      <c r="U174" s="189" t="s">
        <v>119</v>
      </c>
      <c r="V174" s="100" t="s">
        <v>98</v>
      </c>
      <c r="Y174" s="383" t="s">
        <v>104</v>
      </c>
      <c r="Z174" s="119" t="s">
        <v>9</v>
      </c>
      <c r="AA174" s="86"/>
      <c r="AB174" s="384"/>
      <c r="AC174" s="385"/>
      <c r="AD174" s="94"/>
      <c r="AE174" s="410"/>
    </row>
    <row r="175" spans="3:31" s="260" customFormat="1" ht="25.5" x14ac:dyDescent="0.25">
      <c r="C175" s="84"/>
      <c r="D175" s="354"/>
      <c r="E175" s="96"/>
      <c r="F175" s="96"/>
      <c r="G175" s="96"/>
      <c r="H175" s="96"/>
      <c r="I175" s="96"/>
      <c r="J175" s="420" t="str">
        <f>+F172</f>
        <v>M 1:3</v>
      </c>
      <c r="K175" s="88"/>
      <c r="M175" s="102">
        <v>202</v>
      </c>
      <c r="N175" s="347" t="str">
        <f>IFERROR(VLOOKUP(M175,INSUMOS!$C$8:$K$928,2,0),"-----")</f>
        <v>Ayudante Albañileria</v>
      </c>
      <c r="O175" s="78" t="str">
        <f>IFERROR(VLOOKUP(M175,INSUMOS!$C$8:$K$928,3,0),"-----")</f>
        <v>JORNAL+PS</v>
      </c>
      <c r="P175" s="80">
        <v>5</v>
      </c>
      <c r="Q175" s="79">
        <v>6</v>
      </c>
      <c r="R175" s="190">
        <f>IFERROR(VLOOKUP(M175,INSUMOS!$C$8:$K$928,4,0),"-----")</f>
        <v>63490</v>
      </c>
      <c r="S175" s="190">
        <f>IFERROR(VLOOKUP(M175,INSUMOS!$C$8:$K$928,6,0),"-----")</f>
        <v>50792</v>
      </c>
      <c r="T175" s="190">
        <f>IFERROR(VLOOKUP(M175,INSUMOS!$C$8:$K$928,5,0),"-----")</f>
        <v>0</v>
      </c>
      <c r="U175" s="388">
        <f>SUM(R175:T175)</f>
        <v>114282</v>
      </c>
      <c r="V175" s="82">
        <f>+IFERROR((P175/Q175)*U175,0)</f>
        <v>95235</v>
      </c>
      <c r="Y175" s="393">
        <f>+IFERROR((Y142/Q175*P175),0)</f>
        <v>0.11666666666666667</v>
      </c>
      <c r="Z175" s="391">
        <f>Y142*V175</f>
        <v>13332.900000000001</v>
      </c>
      <c r="AA175" s="86"/>
      <c r="AB175" s="92">
        <f>+(U175)*Y175</f>
        <v>13332.9</v>
      </c>
      <c r="AC175" s="93">
        <f>+AB175-Z175</f>
        <v>0</v>
      </c>
      <c r="AD175" s="421"/>
      <c r="AE175" s="410" t="str">
        <f>+IF(V175=0,"CERO","NO")</f>
        <v>NO</v>
      </c>
    </row>
    <row r="176" spans="3:31" s="260" customFormat="1" ht="15.75" thickBot="1" x14ac:dyDescent="0.3">
      <c r="C176" s="84"/>
      <c r="D176" s="355"/>
      <c r="E176" s="367"/>
      <c r="F176" s="367"/>
      <c r="G176" s="367"/>
      <c r="H176" s="367"/>
      <c r="I176" s="367"/>
      <c r="J176" s="422" t="str">
        <f>+J175</f>
        <v>M 1:3</v>
      </c>
      <c r="K176" s="88"/>
      <c r="M176" s="102">
        <v>0</v>
      </c>
      <c r="N176" s="347"/>
      <c r="O176" s="79"/>
      <c r="P176" s="423"/>
      <c r="Q176" s="81"/>
      <c r="R176" s="424"/>
      <c r="S176" s="425"/>
      <c r="T176" s="111"/>
      <c r="U176" s="388"/>
      <c r="V176" s="82"/>
      <c r="Y176" s="393">
        <f>+IFERROR((Y142/Q176*P176),0)</f>
        <v>0</v>
      </c>
      <c r="Z176" s="391">
        <f>Y142*V176</f>
        <v>0</v>
      </c>
      <c r="AA176" s="86"/>
      <c r="AB176" s="92">
        <f>+U176*Y176</f>
        <v>0</v>
      </c>
      <c r="AC176" s="93">
        <f>+AB176-Z176</f>
        <v>0</v>
      </c>
      <c r="AD176" s="94"/>
      <c r="AE176" s="410" t="str">
        <f>+IF(V176=0,"CERO","NO")</f>
        <v>CERO</v>
      </c>
    </row>
    <row r="177" spans="3:31" s="260" customFormat="1" ht="15.75" thickBot="1" x14ac:dyDescent="0.3">
      <c r="C177" s="84"/>
      <c r="D177" s="380"/>
      <c r="E177" s="381"/>
      <c r="F177" s="381"/>
      <c r="G177" s="381"/>
      <c r="H177" s="381"/>
      <c r="I177" s="381"/>
      <c r="J177" s="382"/>
      <c r="K177" s="88"/>
      <c r="M177" s="102">
        <v>0</v>
      </c>
      <c r="N177" s="347"/>
      <c r="O177" s="79"/>
      <c r="P177" s="423"/>
      <c r="Q177" s="81"/>
      <c r="R177" s="111"/>
      <c r="S177" s="357"/>
      <c r="T177" s="111"/>
      <c r="U177" s="388"/>
      <c r="V177" s="426"/>
      <c r="Y177" s="393">
        <f>+IFERROR((Y142/Q177*P177),0)</f>
        <v>0</v>
      </c>
      <c r="Z177" s="391">
        <f>Y142*V177</f>
        <v>0</v>
      </c>
      <c r="AA177" s="86"/>
      <c r="AB177" s="92">
        <f>+(U177)*Y177*P177</f>
        <v>0</v>
      </c>
      <c r="AC177" s="93">
        <f>+AB177-Z177</f>
        <v>0</v>
      </c>
      <c r="AD177" s="94"/>
      <c r="AE177" s="410" t="str">
        <f>+IF(V177=0,"CERO","NO")</f>
        <v>CERO</v>
      </c>
    </row>
    <row r="178" spans="3:31" s="260" customFormat="1" ht="15.75" thickBot="1" x14ac:dyDescent="0.3">
      <c r="C178" s="84"/>
      <c r="D178" s="375" t="s">
        <v>128</v>
      </c>
      <c r="E178" s="376" t="s">
        <v>129</v>
      </c>
      <c r="F178" s="376" t="s">
        <v>130</v>
      </c>
      <c r="G178" s="376" t="s">
        <v>131</v>
      </c>
      <c r="H178" s="376" t="s">
        <v>132</v>
      </c>
      <c r="I178" s="376" t="s">
        <v>133</v>
      </c>
      <c r="J178" s="377" t="s">
        <v>134</v>
      </c>
      <c r="K178" s="88"/>
      <c r="M178" s="534"/>
      <c r="N178" s="536" t="s">
        <v>120</v>
      </c>
      <c r="O178" s="536"/>
      <c r="P178" s="536"/>
      <c r="Q178" s="536"/>
      <c r="R178" s="536"/>
      <c r="S178" s="536"/>
      <c r="T178" s="536"/>
      <c r="U178" s="536"/>
      <c r="V178" s="82">
        <f>+SUM(V175:V177)</f>
        <v>95235</v>
      </c>
      <c r="Y178" s="398" t="s">
        <v>135</v>
      </c>
      <c r="Z178" s="397">
        <f>+SUM(Z175:Z177)</f>
        <v>13332.900000000001</v>
      </c>
      <c r="AA178" s="86"/>
      <c r="AB178" s="384"/>
      <c r="AC178" s="385"/>
      <c r="AD178" s="94"/>
      <c r="AE178" s="399"/>
    </row>
    <row r="179" spans="3:31" s="260" customFormat="1" ht="15.75" thickBot="1" x14ac:dyDescent="0.3">
      <c r="C179" s="84"/>
      <c r="D179" s="354"/>
      <c r="E179" s="96"/>
      <c r="F179" s="96"/>
      <c r="G179" s="107" t="str">
        <f>+F172</f>
        <v>M 1:3</v>
      </c>
      <c r="H179" s="96"/>
      <c r="I179" s="96"/>
      <c r="J179" s="427"/>
      <c r="K179" s="88"/>
      <c r="M179" s="535"/>
      <c r="N179" s="537" t="s">
        <v>121</v>
      </c>
      <c r="O179" s="537"/>
      <c r="P179" s="537"/>
      <c r="Q179" s="537"/>
      <c r="R179" s="537"/>
      <c r="S179" s="537"/>
      <c r="T179" s="537"/>
      <c r="U179" s="537"/>
      <c r="V179" s="413">
        <f>+ROUND(V178,$AA$5)</f>
        <v>95235</v>
      </c>
      <c r="Y179" s="401" t="s">
        <v>136</v>
      </c>
      <c r="Z179" s="402">
        <f>+ROUND(Z178,$AA$5)</f>
        <v>13332.9</v>
      </c>
      <c r="AA179" s="86"/>
      <c r="AB179" s="403">
        <f>+V179*Y142</f>
        <v>13332.900000000001</v>
      </c>
      <c r="AC179" s="404">
        <f>+AB179-Z179</f>
        <v>0</v>
      </c>
      <c r="AD179" s="94"/>
      <c r="AE179" s="405"/>
    </row>
    <row r="180" spans="3:31" s="260" customFormat="1" ht="15.75" thickBot="1" x14ac:dyDescent="0.3">
      <c r="C180" s="84"/>
      <c r="D180" s="375" t="s">
        <v>128</v>
      </c>
      <c r="E180" s="376" t="s">
        <v>129</v>
      </c>
      <c r="F180" s="376" t="s">
        <v>130</v>
      </c>
      <c r="G180" s="376" t="s">
        <v>131</v>
      </c>
      <c r="H180" s="376" t="s">
        <v>132</v>
      </c>
      <c r="I180" s="376" t="s">
        <v>133</v>
      </c>
      <c r="J180" s="377" t="s">
        <v>134</v>
      </c>
      <c r="K180" s="88"/>
      <c r="M180" s="541"/>
      <c r="N180" s="542"/>
      <c r="O180" s="542"/>
      <c r="P180" s="542"/>
      <c r="Q180" s="542"/>
      <c r="R180" s="542"/>
      <c r="S180" s="542"/>
      <c r="T180" s="542"/>
      <c r="U180" s="542"/>
      <c r="V180" s="543"/>
      <c r="Y180" s="378"/>
      <c r="Z180" s="121"/>
      <c r="AA180" s="86"/>
      <c r="AB180" s="409"/>
      <c r="AC180" s="121"/>
      <c r="AD180" s="94"/>
      <c r="AE180" s="428"/>
    </row>
    <row r="181" spans="3:31" s="260" customFormat="1" ht="15.75" thickBot="1" x14ac:dyDescent="0.3">
      <c r="C181" s="84"/>
      <c r="D181" s="355"/>
      <c r="E181" s="367"/>
      <c r="F181" s="367"/>
      <c r="G181" s="367"/>
      <c r="H181" s="412" t="str">
        <f>G179</f>
        <v>M 1:3</v>
      </c>
      <c r="I181" s="412"/>
      <c r="J181" s="422"/>
      <c r="K181" s="88"/>
      <c r="M181" s="544" t="s">
        <v>122</v>
      </c>
      <c r="N181" s="537"/>
      <c r="O181" s="537"/>
      <c r="P181" s="537"/>
      <c r="Q181" s="537"/>
      <c r="R181" s="537"/>
      <c r="S181" s="537"/>
      <c r="T181" s="537"/>
      <c r="U181" s="545">
        <f>+V179+V172+V163+V152</f>
        <v>678786.06</v>
      </c>
      <c r="V181" s="546"/>
      <c r="Y181" s="429"/>
      <c r="Z181" s="430">
        <f>+Z179+Z172+Z163+Z152</f>
        <v>95030.049999999988</v>
      </c>
      <c r="AA181" s="86"/>
      <c r="AB181" s="431">
        <f>+AB179+AB172+AB163+AB152</f>
        <v>95030.048400000014</v>
      </c>
      <c r="AC181" s="404">
        <f>+AB181-Z181</f>
        <v>-1.5999999741325155E-3</v>
      </c>
      <c r="AD181" s="94"/>
      <c r="AE181" s="432"/>
    </row>
    <row r="182" spans="3:31" s="260" customFormat="1" x14ac:dyDescent="0.25"/>
    <row r="183" spans="3:31" s="260" customFormat="1" ht="15.75" thickBot="1" x14ac:dyDescent="0.3"/>
    <row r="184" spans="3:31" s="260" customFormat="1" ht="15.75" thickBot="1" x14ac:dyDescent="0.3">
      <c r="M184" s="363" t="s">
        <v>88</v>
      </c>
      <c r="N184" s="436" t="s">
        <v>28</v>
      </c>
      <c r="O184" s="550" t="str">
        <f>IFERROR(VLOOKUP(N184,PPTO!C:H,2,0),"----")</f>
        <v>PRELIMINARES Y REPARACIONES</v>
      </c>
      <c r="P184" s="551"/>
      <c r="Q184" s="551"/>
      <c r="R184" s="551"/>
      <c r="S184" s="551"/>
      <c r="T184" s="551"/>
      <c r="U184" s="552"/>
      <c r="V184" s="74" t="s">
        <v>91</v>
      </c>
      <c r="Y184" s="365" t="s">
        <v>104</v>
      </c>
      <c r="Z184" s="94"/>
      <c r="AA184" s="188"/>
      <c r="AB184" s="553"/>
      <c r="AC184" s="553"/>
      <c r="AD184" s="553"/>
      <c r="AE184" s="94"/>
    </row>
    <row r="185" spans="3:31" s="260" customFormat="1" ht="15.75" thickBot="1" x14ac:dyDescent="0.3">
      <c r="C185" s="369">
        <f>+N185</f>
        <v>1.01</v>
      </c>
      <c r="D185" s="86"/>
      <c r="E185" s="86"/>
      <c r="F185" s="86"/>
      <c r="G185" s="86"/>
      <c r="H185" s="86"/>
      <c r="I185" s="86"/>
      <c r="J185" s="86"/>
      <c r="K185" s="370"/>
      <c r="M185" s="75" t="s">
        <v>92</v>
      </c>
      <c r="N185" s="371">
        <v>1.01</v>
      </c>
      <c r="O185" s="554" t="str">
        <f>IFERROR(VLOOKUP(N185,PPTO!C:H,2,0),"----")</f>
        <v>Desmonte de redes hidraulicas existentes (incluye manipulacion de cielo raso)</v>
      </c>
      <c r="P185" s="555"/>
      <c r="Q185" s="555"/>
      <c r="R185" s="555"/>
      <c r="S185" s="555"/>
      <c r="T185" s="555"/>
      <c r="U185" s="556"/>
      <c r="V185" s="76" t="str">
        <f>IFERROR(VLOOKUP(N185,PPTO!C:H,3,0),"----")</f>
        <v>ML</v>
      </c>
      <c r="Y185" s="373">
        <f>SUMIFS(PPTO!F:F,PPTO!C:C,APUS!N185)</f>
        <v>303.93</v>
      </c>
      <c r="Z185" s="94"/>
      <c r="AA185" s="86"/>
      <c r="AB185" s="94"/>
      <c r="AC185" s="94"/>
      <c r="AD185" s="94"/>
      <c r="AE185" s="94"/>
    </row>
    <row r="186" spans="3:31" s="260" customFormat="1" ht="15.75" thickBot="1" x14ac:dyDescent="0.3">
      <c r="C186" s="84"/>
      <c r="D186" s="86"/>
      <c r="E186" s="86"/>
      <c r="F186" s="86"/>
      <c r="G186" s="86"/>
      <c r="H186" s="86"/>
      <c r="I186" s="86"/>
      <c r="J186" s="86"/>
      <c r="K186" s="88"/>
      <c r="M186" s="557"/>
      <c r="N186" s="557"/>
      <c r="O186" s="557"/>
      <c r="P186" s="557"/>
      <c r="Q186" s="557"/>
      <c r="R186" s="557"/>
      <c r="S186" s="557"/>
      <c r="T186" s="557"/>
      <c r="U186" s="557"/>
      <c r="V186" s="557"/>
      <c r="Y186" s="374"/>
      <c r="Z186" s="94"/>
      <c r="AA186" s="86"/>
      <c r="AB186" s="94"/>
      <c r="AC186" s="94"/>
      <c r="AD186" s="94"/>
      <c r="AE186" s="94"/>
    </row>
    <row r="187" spans="3:31" s="260" customFormat="1" ht="15.75" thickBot="1" x14ac:dyDescent="0.3">
      <c r="C187" s="84"/>
      <c r="D187" s="375" t="s">
        <v>128</v>
      </c>
      <c r="E187" s="376" t="s">
        <v>129</v>
      </c>
      <c r="F187" s="376" t="s">
        <v>130</v>
      </c>
      <c r="G187" s="376" t="s">
        <v>131</v>
      </c>
      <c r="H187" s="376" t="s">
        <v>132</v>
      </c>
      <c r="I187" s="376" t="s">
        <v>133</v>
      </c>
      <c r="J187" s="377" t="s">
        <v>134</v>
      </c>
      <c r="K187" s="88"/>
      <c r="M187" s="558" t="s">
        <v>93</v>
      </c>
      <c r="N187" s="559"/>
      <c r="O187" s="559"/>
      <c r="P187" s="559"/>
      <c r="Q187" s="559"/>
      <c r="R187" s="559"/>
      <c r="S187" s="559"/>
      <c r="T187" s="559"/>
      <c r="U187" s="559"/>
      <c r="V187" s="560"/>
      <c r="Y187" s="378"/>
      <c r="Z187" s="121"/>
      <c r="AA187" s="86"/>
      <c r="AB187" s="513"/>
      <c r="AC187" s="514"/>
      <c r="AD187" s="94"/>
      <c r="AE187" s="379"/>
    </row>
    <row r="188" spans="3:31" s="260" customFormat="1" x14ac:dyDescent="0.25">
      <c r="C188" s="84"/>
      <c r="D188" s="380"/>
      <c r="E188" s="381"/>
      <c r="F188" s="381"/>
      <c r="G188" s="381"/>
      <c r="H188" s="381"/>
      <c r="I188" s="381"/>
      <c r="J188" s="382"/>
      <c r="K188" s="88"/>
      <c r="M188" s="99" t="s">
        <v>94</v>
      </c>
      <c r="N188" s="561" t="s">
        <v>95</v>
      </c>
      <c r="O188" s="561"/>
      <c r="P188" s="561"/>
      <c r="Q188" s="561"/>
      <c r="R188" s="95" t="s">
        <v>96</v>
      </c>
      <c r="S188" s="95" t="s">
        <v>97</v>
      </c>
      <c r="T188" s="562" t="s">
        <v>8</v>
      </c>
      <c r="U188" s="562"/>
      <c r="V188" s="100" t="s">
        <v>98</v>
      </c>
      <c r="Y188" s="383" t="s">
        <v>104</v>
      </c>
      <c r="Z188" s="119" t="s">
        <v>9</v>
      </c>
      <c r="AA188" s="86"/>
      <c r="AB188" s="384"/>
      <c r="AC188" s="385"/>
      <c r="AD188" s="94"/>
      <c r="AE188" s="386"/>
    </row>
    <row r="189" spans="3:31" s="260" customFormat="1" x14ac:dyDescent="0.25">
      <c r="C189" s="84"/>
      <c r="D189" s="85"/>
      <c r="E189" s="86"/>
      <c r="F189" s="86"/>
      <c r="G189" s="86"/>
      <c r="H189" s="86"/>
      <c r="I189" s="86"/>
      <c r="J189" s="87"/>
      <c r="K189" s="88"/>
      <c r="M189" s="102"/>
      <c r="N189" s="533" t="s">
        <v>99</v>
      </c>
      <c r="O189" s="533"/>
      <c r="P189" s="533"/>
      <c r="Q189" s="533"/>
      <c r="R189" s="78" t="s">
        <v>100</v>
      </c>
      <c r="S189" s="387">
        <f>+$AA$10</f>
        <v>0.05</v>
      </c>
      <c r="T189" s="563">
        <f>V219</f>
        <v>25453.93</v>
      </c>
      <c r="U189" s="563"/>
      <c r="V189" s="389">
        <f>+IFERROR(T189*S189,0)</f>
        <v>1272.6965</v>
      </c>
      <c r="Y189" s="390"/>
      <c r="Z189" s="391">
        <f>Y185*V189</f>
        <v>386810.647245</v>
      </c>
      <c r="AA189" s="86"/>
      <c r="AB189" s="384"/>
      <c r="AC189" s="385"/>
      <c r="AD189" s="94"/>
      <c r="AE189" s="386" t="str">
        <f>+IF(V189=0,"CERO","NO")</f>
        <v>NO</v>
      </c>
    </row>
    <row r="190" spans="3:31" s="260" customFormat="1" x14ac:dyDescent="0.25">
      <c r="C190" s="84"/>
      <c r="D190" s="85"/>
      <c r="E190" s="86"/>
      <c r="F190" s="86"/>
      <c r="G190" s="86"/>
      <c r="H190" s="86"/>
      <c r="I190" s="86"/>
      <c r="J190" s="87"/>
      <c r="K190" s="88"/>
      <c r="M190" s="106"/>
      <c r="N190" s="533" t="str">
        <f>IFERROR(VLOOKUP(M190,INSUMOS!$C$8:$K$928,2,0),"-----")</f>
        <v>-----</v>
      </c>
      <c r="O190" s="533"/>
      <c r="P190" s="533"/>
      <c r="Q190" s="533"/>
      <c r="R190" s="78" t="str">
        <f>IFERROR(VLOOKUP(M190,INSUMOS!$C$8:$K$928,6,0),"-----")</f>
        <v>-----</v>
      </c>
      <c r="S190" s="392"/>
      <c r="T190" s="529" t="str">
        <f>IFERROR(VLOOKUP(M190,INSUMOS!$C$8:$K$928,7,0),"0")</f>
        <v>0</v>
      </c>
      <c r="U190" s="529"/>
      <c r="V190" s="389">
        <f>+IFERROR(T190*S190,0)</f>
        <v>0</v>
      </c>
      <c r="Y190" s="393">
        <f>+IFERROR(Y185*S190,0)</f>
        <v>0</v>
      </c>
      <c r="Z190" s="391">
        <f>Y185*V190</f>
        <v>0</v>
      </c>
      <c r="AA190" s="394"/>
      <c r="AB190" s="395">
        <f>+Y190*T190</f>
        <v>0</v>
      </c>
      <c r="AC190" s="93">
        <f>+AB190-Z190</f>
        <v>0</v>
      </c>
      <c r="AD190" s="94"/>
      <c r="AE190" s="386" t="str">
        <f>+IF(V190=0,"CERO","NO")</f>
        <v>CERO</v>
      </c>
    </row>
    <row r="191" spans="3:31" s="260" customFormat="1" x14ac:dyDescent="0.25">
      <c r="C191" s="84"/>
      <c r="D191" s="85"/>
      <c r="E191" s="86"/>
      <c r="F191" s="86"/>
      <c r="G191" s="86"/>
      <c r="H191" s="86"/>
      <c r="I191" s="86"/>
      <c r="J191" s="87"/>
      <c r="K191" s="88"/>
      <c r="M191" s="102">
        <v>0</v>
      </c>
      <c r="N191" s="533"/>
      <c r="O191" s="533"/>
      <c r="P191" s="533"/>
      <c r="Q191" s="533"/>
      <c r="R191" s="78"/>
      <c r="S191" s="396"/>
      <c r="T191" s="529"/>
      <c r="U191" s="529"/>
      <c r="V191" s="397"/>
      <c r="Y191" s="393">
        <f>+IFERROR(Y185*S191,0)</f>
        <v>0</v>
      </c>
      <c r="Z191" s="391">
        <f>Y185*V191</f>
        <v>0</v>
      </c>
      <c r="AA191" s="394"/>
      <c r="AB191" s="395">
        <f>+Y191*T191</f>
        <v>0</v>
      </c>
      <c r="AC191" s="93">
        <f>+AB191-Z191</f>
        <v>0</v>
      </c>
      <c r="AD191" s="94"/>
      <c r="AE191" s="386" t="str">
        <f>+IF(V191=0,"CERO","NO")</f>
        <v>CERO</v>
      </c>
    </row>
    <row r="192" spans="3:31" s="260" customFormat="1" x14ac:dyDescent="0.25">
      <c r="C192" s="84"/>
      <c r="D192" s="85"/>
      <c r="E192" s="86"/>
      <c r="F192" s="86"/>
      <c r="G192" s="86"/>
      <c r="H192" s="86"/>
      <c r="I192" s="86"/>
      <c r="J192" s="87"/>
      <c r="K192" s="88"/>
      <c r="M192" s="102">
        <v>0</v>
      </c>
      <c r="N192" s="533"/>
      <c r="O192" s="533"/>
      <c r="P192" s="533"/>
      <c r="Q192" s="533"/>
      <c r="R192" s="78"/>
      <c r="S192" s="396"/>
      <c r="T192" s="529"/>
      <c r="U192" s="529"/>
      <c r="V192" s="397"/>
      <c r="Y192" s="393">
        <f>+IFERROR(Y185*S192,0)</f>
        <v>0</v>
      </c>
      <c r="Z192" s="391">
        <f>Y185*V192</f>
        <v>0</v>
      </c>
      <c r="AA192" s="394"/>
      <c r="AB192" s="395">
        <f>+Y192*T192</f>
        <v>0</v>
      </c>
      <c r="AC192" s="93">
        <f>+AB192-Z192</f>
        <v>0</v>
      </c>
      <c r="AD192" s="94"/>
      <c r="AE192" s="386" t="str">
        <f>+IF(V192=0,"CERO","NO")</f>
        <v>CERO</v>
      </c>
    </row>
    <row r="193" spans="3:31" s="260" customFormat="1" ht="15.75" thickBot="1" x14ac:dyDescent="0.3">
      <c r="C193" s="84"/>
      <c r="D193" s="85"/>
      <c r="E193" s="86"/>
      <c r="F193" s="86"/>
      <c r="G193" s="86"/>
      <c r="H193" s="86"/>
      <c r="I193" s="86"/>
      <c r="J193" s="87"/>
      <c r="K193" s="88"/>
      <c r="M193" s="102">
        <v>0</v>
      </c>
      <c r="N193" s="564"/>
      <c r="O193" s="564"/>
      <c r="P193" s="564"/>
      <c r="Q193" s="564"/>
      <c r="R193" s="96"/>
      <c r="S193" s="96"/>
      <c r="T193" s="565"/>
      <c r="U193" s="565"/>
      <c r="V193" s="101"/>
      <c r="Y193" s="393">
        <f>+IFERROR(Y185*S193,0)</f>
        <v>0</v>
      </c>
      <c r="Z193" s="391">
        <f>Y185*V193</f>
        <v>0</v>
      </c>
      <c r="AA193" s="394"/>
      <c r="AB193" s="395">
        <f>+Y193*T193</f>
        <v>0</v>
      </c>
      <c r="AC193" s="93">
        <f>+AB193-Z193</f>
        <v>0</v>
      </c>
      <c r="AD193" s="94"/>
      <c r="AE193" s="386" t="str">
        <f>+IF(V193=0,"CERO","NO")</f>
        <v>CERO</v>
      </c>
    </row>
    <row r="194" spans="3:31" s="260" customFormat="1" ht="15.75" thickBot="1" x14ac:dyDescent="0.3">
      <c r="C194" s="84"/>
      <c r="D194" s="375" t="s">
        <v>128</v>
      </c>
      <c r="E194" s="376" t="s">
        <v>129</v>
      </c>
      <c r="F194" s="376" t="s">
        <v>130</v>
      </c>
      <c r="G194" s="376" t="s">
        <v>131</v>
      </c>
      <c r="H194" s="376" t="s">
        <v>132</v>
      </c>
      <c r="I194" s="376" t="s">
        <v>133</v>
      </c>
      <c r="J194" s="377" t="s">
        <v>134</v>
      </c>
      <c r="K194" s="88"/>
      <c r="M194" s="534"/>
      <c r="N194" s="536" t="s">
        <v>101</v>
      </c>
      <c r="O194" s="536"/>
      <c r="P194" s="536"/>
      <c r="Q194" s="536"/>
      <c r="R194" s="536"/>
      <c r="S194" s="536"/>
      <c r="T194" s="536"/>
      <c r="U194" s="536"/>
      <c r="V194" s="389">
        <f>+SUM(V189:V193)</f>
        <v>1272.6965</v>
      </c>
      <c r="Y194" s="398" t="s">
        <v>135</v>
      </c>
      <c r="Z194" s="397">
        <f>+SUM(Z189:Z193)</f>
        <v>386810.647245</v>
      </c>
      <c r="AA194" s="86"/>
      <c r="AB194" s="384"/>
      <c r="AC194" s="385"/>
      <c r="AD194" s="94"/>
      <c r="AE194" s="399"/>
    </row>
    <row r="195" spans="3:31" s="260" customFormat="1" ht="15.75" thickBot="1" x14ac:dyDescent="0.3">
      <c r="C195" s="84"/>
      <c r="D195" s="375">
        <f>C185</f>
        <v>1.01</v>
      </c>
      <c r="E195" s="376"/>
      <c r="F195" s="376"/>
      <c r="G195" s="376"/>
      <c r="H195" s="376"/>
      <c r="I195" s="376"/>
      <c r="J195" s="377"/>
      <c r="K195" s="88"/>
      <c r="M195" s="566"/>
      <c r="N195" s="567" t="s">
        <v>102</v>
      </c>
      <c r="O195" s="567"/>
      <c r="P195" s="567"/>
      <c r="Q195" s="567"/>
      <c r="R195" s="567"/>
      <c r="S195" s="567"/>
      <c r="T195" s="567"/>
      <c r="U195" s="567"/>
      <c r="V195" s="400">
        <f>+ROUND(V194,$AA$5)</f>
        <v>1272.7</v>
      </c>
      <c r="Y195" s="401" t="s">
        <v>136</v>
      </c>
      <c r="Z195" s="402">
        <f>+ROUND(Z194,$AA$5)</f>
        <v>386810.65</v>
      </c>
      <c r="AA195" s="86"/>
      <c r="AB195" s="403">
        <f>+V195*Y185</f>
        <v>386811.71100000001</v>
      </c>
      <c r="AC195" s="404">
        <f>+AB195-Z195</f>
        <v>1.0609999999869615</v>
      </c>
      <c r="AD195" s="94"/>
      <c r="AE195" s="405"/>
    </row>
    <row r="196" spans="3:31" s="260" customFormat="1" x14ac:dyDescent="0.25">
      <c r="C196" s="84"/>
      <c r="D196" s="380"/>
      <c r="E196" s="381"/>
      <c r="F196" s="381"/>
      <c r="G196" s="381"/>
      <c r="H196" s="381"/>
      <c r="I196" s="381"/>
      <c r="J196" s="382"/>
      <c r="K196" s="88"/>
      <c r="M196" s="510" t="s">
        <v>103</v>
      </c>
      <c r="N196" s="511"/>
      <c r="O196" s="511"/>
      <c r="P196" s="511"/>
      <c r="Q196" s="511"/>
      <c r="R196" s="511"/>
      <c r="S196" s="511"/>
      <c r="T196" s="511"/>
      <c r="U196" s="511"/>
      <c r="V196" s="512"/>
      <c r="Y196" s="378"/>
      <c r="Z196" s="121"/>
      <c r="AA196" s="86"/>
      <c r="AB196" s="513"/>
      <c r="AC196" s="514"/>
      <c r="AD196" s="94"/>
      <c r="AE196" s="126"/>
    </row>
    <row r="197" spans="3:31" s="260" customFormat="1" x14ac:dyDescent="0.25">
      <c r="C197" s="84"/>
      <c r="D197" s="85"/>
      <c r="E197" s="86"/>
      <c r="F197" s="86"/>
      <c r="G197" s="86"/>
      <c r="H197" s="86"/>
      <c r="I197" s="86"/>
      <c r="J197" s="87"/>
      <c r="K197" s="88"/>
      <c r="M197" s="99" t="s">
        <v>94</v>
      </c>
      <c r="N197" s="561" t="s">
        <v>95</v>
      </c>
      <c r="O197" s="561"/>
      <c r="P197" s="561"/>
      <c r="Q197" s="561"/>
      <c r="R197" s="95" t="s">
        <v>96</v>
      </c>
      <c r="S197" s="95" t="s">
        <v>104</v>
      </c>
      <c r="T197" s="356" t="s">
        <v>105</v>
      </c>
      <c r="U197" s="356" t="s">
        <v>8</v>
      </c>
      <c r="V197" s="100" t="s">
        <v>98</v>
      </c>
      <c r="Y197" s="383" t="s">
        <v>104</v>
      </c>
      <c r="Z197" s="119" t="s">
        <v>9</v>
      </c>
      <c r="AA197" s="86"/>
      <c r="AB197" s="384"/>
      <c r="AC197" s="385"/>
      <c r="AD197" s="94"/>
      <c r="AE197" s="406"/>
    </row>
    <row r="198" spans="3:31" s="260" customFormat="1" x14ac:dyDescent="0.25">
      <c r="C198" s="84"/>
      <c r="D198" s="85"/>
      <c r="E198" s="86"/>
      <c r="F198" s="86"/>
      <c r="G198" s="86"/>
      <c r="H198" s="86"/>
      <c r="I198" s="86"/>
      <c r="J198" s="87"/>
      <c r="K198" s="88"/>
      <c r="M198" s="102"/>
      <c r="N198" s="533" t="str">
        <f>IFERROR(VLOOKUP(M198,INSUMOS!$C$8:$K$928,2,0),"-----")</f>
        <v>-----</v>
      </c>
      <c r="O198" s="533"/>
      <c r="P198" s="533"/>
      <c r="Q198" s="533"/>
      <c r="R198" s="78" t="str">
        <f>IFERROR(VLOOKUP(M198,INSUMOS!$C$8:$K$928,6,0),"-----")</f>
        <v>-----</v>
      </c>
      <c r="S198" s="392"/>
      <c r="T198" s="387">
        <v>0</v>
      </c>
      <c r="U198" s="388" t="str">
        <f>IFERROR(VLOOKUP(M198,INSUMOS!$C$8:$K$928,7,0),"0")</f>
        <v>0</v>
      </c>
      <c r="V198" s="389">
        <f>+IFERROR(U198*(S198*(1+T198)),0)</f>
        <v>0</v>
      </c>
      <c r="Y198" s="393">
        <f>+IFERROR(Y185*(S198*(1+T198)),0)</f>
        <v>0</v>
      </c>
      <c r="Z198" s="391">
        <f>Y185*V198</f>
        <v>0</v>
      </c>
      <c r="AA198" s="394"/>
      <c r="AB198" s="395">
        <f>+Y198*U198</f>
        <v>0</v>
      </c>
      <c r="AC198" s="93">
        <f>+AB198-Z198</f>
        <v>0</v>
      </c>
      <c r="AD198" s="94"/>
      <c r="AE198" s="406" t="str">
        <f>+IF(V198=0,"CERO","NO")</f>
        <v>CERO</v>
      </c>
    </row>
    <row r="199" spans="3:31" s="260" customFormat="1" x14ac:dyDescent="0.25">
      <c r="C199" s="84"/>
      <c r="D199" s="85"/>
      <c r="E199" s="86"/>
      <c r="F199" s="86"/>
      <c r="G199" s="86"/>
      <c r="H199" s="86"/>
      <c r="I199" s="86"/>
      <c r="J199" s="87"/>
      <c r="K199" s="88"/>
      <c r="M199" s="102"/>
      <c r="N199" s="533" t="str">
        <f>IFERROR(VLOOKUP(M199,INSUMOS!$C$8:$K$928,2,0),"-----")</f>
        <v>-----</v>
      </c>
      <c r="O199" s="533"/>
      <c r="P199" s="533"/>
      <c r="Q199" s="533"/>
      <c r="R199" s="78" t="str">
        <f>IFERROR(VLOOKUP(M199,INSUMOS!$C$8:$K$928,6,0),"-----")</f>
        <v>-----</v>
      </c>
      <c r="S199" s="396"/>
      <c r="T199" s="387">
        <v>0</v>
      </c>
      <c r="U199" s="388" t="str">
        <f>IFERROR(VLOOKUP(M199,INSUMOS!$C$8:$K$928,7,0),"0")</f>
        <v>0</v>
      </c>
      <c r="V199" s="389">
        <f>+IFERROR(U199*(S199*(1+T199)),0)</f>
        <v>0</v>
      </c>
      <c r="Y199" s="393">
        <f>+IFERROR(Y185*(S199*(1+T199)),0)</f>
        <v>0</v>
      </c>
      <c r="Z199" s="391">
        <f>Y185*V199</f>
        <v>0</v>
      </c>
      <c r="AA199" s="394"/>
      <c r="AB199" s="395">
        <f>+Y199*U199</f>
        <v>0</v>
      </c>
      <c r="AC199" s="93">
        <f>+AB199-Z199</f>
        <v>0</v>
      </c>
      <c r="AD199" s="94"/>
      <c r="AE199" s="406" t="str">
        <f>+IF(V199=0,"CERO","NO")</f>
        <v>CERO</v>
      </c>
    </row>
    <row r="200" spans="3:31" s="260" customFormat="1" x14ac:dyDescent="0.25">
      <c r="C200" s="84"/>
      <c r="D200" s="85"/>
      <c r="E200" s="86"/>
      <c r="F200" s="86"/>
      <c r="G200" s="86"/>
      <c r="H200" s="86"/>
      <c r="I200" s="86"/>
      <c r="J200" s="87"/>
      <c r="K200" s="88"/>
      <c r="M200" s="102"/>
      <c r="N200" s="533" t="str">
        <f>IFERROR(VLOOKUP(M200,INSUMOS!$C$8:$K$928,2,0),"-----")</f>
        <v>-----</v>
      </c>
      <c r="O200" s="533"/>
      <c r="P200" s="533"/>
      <c r="Q200" s="533"/>
      <c r="R200" s="78" t="str">
        <f>IFERROR(VLOOKUP(M200,INSUMOS!$C$8:$K$928,6,0),"-----")</f>
        <v>-----</v>
      </c>
      <c r="S200" s="396"/>
      <c r="T200" s="387">
        <v>0</v>
      </c>
      <c r="U200" s="388" t="str">
        <f>IFERROR(VLOOKUP(M200,INSUMOS!$C$8:$K$928,7,0),"0")</f>
        <v>0</v>
      </c>
      <c r="V200" s="389">
        <f>+IFERROR(U200*(S200*(1+T200)),0)</f>
        <v>0</v>
      </c>
      <c r="Y200" s="393">
        <f>+IFERROR(Y185*(S200*(1+T200)),0)</f>
        <v>0</v>
      </c>
      <c r="Z200" s="391">
        <f>Y185*V200</f>
        <v>0</v>
      </c>
      <c r="AA200" s="394"/>
      <c r="AB200" s="395">
        <f>+Y200*U200</f>
        <v>0</v>
      </c>
      <c r="AC200" s="93">
        <f>+AB200-Z200</f>
        <v>0</v>
      </c>
      <c r="AD200" s="94"/>
      <c r="AE200" s="406" t="str">
        <f>+IF(V200=0,"CERO","NO")</f>
        <v>CERO</v>
      </c>
    </row>
    <row r="201" spans="3:31" s="260" customFormat="1" x14ac:dyDescent="0.25">
      <c r="C201" s="84"/>
      <c r="D201" s="85"/>
      <c r="E201" s="86"/>
      <c r="F201" s="86"/>
      <c r="G201" s="86"/>
      <c r="H201" s="86"/>
      <c r="I201" s="86"/>
      <c r="J201" s="87"/>
      <c r="K201" s="88"/>
      <c r="M201" s="102"/>
      <c r="N201" s="533" t="str">
        <f>IFERROR(VLOOKUP(M201,INSUMOS!$C$8:$K$928,2,0),"-----")</f>
        <v>-----</v>
      </c>
      <c r="O201" s="533"/>
      <c r="P201" s="533"/>
      <c r="Q201" s="533"/>
      <c r="R201" s="78" t="str">
        <f>IFERROR(VLOOKUP(M201,INSUMOS!$C$8:$K$928,6,0),"-----")</f>
        <v>-----</v>
      </c>
      <c r="S201" s="396"/>
      <c r="T201" s="387">
        <v>0</v>
      </c>
      <c r="U201" s="388" t="str">
        <f>IFERROR(VLOOKUP(M201,INSUMOS!$C$8:$K$928,7,0),"0")</f>
        <v>0</v>
      </c>
      <c r="V201" s="389">
        <f>+IFERROR(U201*(S201*(1+T201)),0)</f>
        <v>0</v>
      </c>
      <c r="Y201" s="393">
        <f>+IFERROR(Y185*(S201*(1+T201)),0)</f>
        <v>0</v>
      </c>
      <c r="Z201" s="391">
        <f>Y185*V201</f>
        <v>0</v>
      </c>
      <c r="AA201" s="394"/>
      <c r="AB201" s="395">
        <f>+Y201*U201</f>
        <v>0</v>
      </c>
      <c r="AC201" s="93">
        <f>+AB201-Z201</f>
        <v>0</v>
      </c>
      <c r="AD201" s="94"/>
      <c r="AE201" s="406" t="str">
        <f>+IF(V201=0,"CERO","NO")</f>
        <v>CERO</v>
      </c>
    </row>
    <row r="202" spans="3:31" s="260" customFormat="1" ht="15.75" thickBot="1" x14ac:dyDescent="0.3">
      <c r="C202" s="84"/>
      <c r="D202" s="85"/>
      <c r="E202" s="86"/>
      <c r="F202" s="86"/>
      <c r="G202" s="86"/>
      <c r="H202" s="86"/>
      <c r="I202" s="86"/>
      <c r="J202" s="87"/>
      <c r="K202" s="88"/>
      <c r="M202" s="102">
        <v>0</v>
      </c>
      <c r="N202" s="564"/>
      <c r="O202" s="564"/>
      <c r="P202" s="564"/>
      <c r="Q202" s="564"/>
      <c r="R202" s="96"/>
      <c r="S202" s="79"/>
      <c r="T202" s="97"/>
      <c r="U202" s="358"/>
      <c r="V202" s="397"/>
      <c r="Y202" s="393">
        <f>+IFERROR(Y185*(S202*(1+T202)),0)</f>
        <v>0</v>
      </c>
      <c r="Z202" s="391">
        <f>Y185*V202</f>
        <v>0</v>
      </c>
      <c r="AA202" s="394"/>
      <c r="AB202" s="395">
        <f>+Y202*U202</f>
        <v>0</v>
      </c>
      <c r="AC202" s="93">
        <f>+AB202-Z202</f>
        <v>0</v>
      </c>
      <c r="AD202" s="94"/>
      <c r="AE202" s="406" t="str">
        <f>+IF(V202=0,"CERO","NO")</f>
        <v>CERO</v>
      </c>
    </row>
    <row r="203" spans="3:31" s="260" customFormat="1" ht="15.75" thickBot="1" x14ac:dyDescent="0.3">
      <c r="C203" s="84"/>
      <c r="D203" s="375" t="s">
        <v>128</v>
      </c>
      <c r="E203" s="376" t="s">
        <v>129</v>
      </c>
      <c r="F203" s="376" t="s">
        <v>130</v>
      </c>
      <c r="G203" s="376" t="s">
        <v>131</v>
      </c>
      <c r="H203" s="376" t="s">
        <v>132</v>
      </c>
      <c r="I203" s="376" t="s">
        <v>133</v>
      </c>
      <c r="J203" s="377" t="s">
        <v>134</v>
      </c>
      <c r="K203" s="88"/>
      <c r="M203" s="534"/>
      <c r="N203" s="536" t="s">
        <v>106</v>
      </c>
      <c r="O203" s="536"/>
      <c r="P203" s="536"/>
      <c r="Q203" s="536"/>
      <c r="R203" s="536"/>
      <c r="S203" s="536"/>
      <c r="T203" s="536"/>
      <c r="U203" s="536"/>
      <c r="V203" s="389">
        <f>+SUM(V198:V202)</f>
        <v>0</v>
      </c>
      <c r="Y203" s="398" t="s">
        <v>135</v>
      </c>
      <c r="Z203" s="397">
        <f>+SUM(Z198:Z202)</f>
        <v>0</v>
      </c>
      <c r="AA203" s="86"/>
      <c r="AB203" s="384"/>
      <c r="AC203" s="385"/>
      <c r="AD203" s="94"/>
      <c r="AE203" s="399"/>
    </row>
    <row r="204" spans="3:31" s="260" customFormat="1" ht="15.75" thickBot="1" x14ac:dyDescent="0.3">
      <c r="C204" s="84"/>
      <c r="D204" s="375"/>
      <c r="E204" s="407">
        <f>+D195</f>
        <v>1.01</v>
      </c>
      <c r="F204" s="376"/>
      <c r="G204" s="376"/>
      <c r="H204" s="376"/>
      <c r="I204" s="376"/>
      <c r="J204" s="377"/>
      <c r="K204" s="88"/>
      <c r="M204" s="535"/>
      <c r="N204" s="537" t="s">
        <v>107</v>
      </c>
      <c r="O204" s="537"/>
      <c r="P204" s="537"/>
      <c r="Q204" s="537"/>
      <c r="R204" s="537"/>
      <c r="S204" s="537"/>
      <c r="T204" s="537"/>
      <c r="U204" s="537"/>
      <c r="V204" s="408">
        <f>+ROUND(V203,$AA$5)</f>
        <v>0</v>
      </c>
      <c r="Y204" s="401" t="s">
        <v>136</v>
      </c>
      <c r="Z204" s="402">
        <f>+ROUND(Z203,$AA$5)</f>
        <v>0</v>
      </c>
      <c r="AA204" s="86"/>
      <c r="AB204" s="403">
        <f>+V204*Y185</f>
        <v>0</v>
      </c>
      <c r="AC204" s="404">
        <f>+AB204-Z204</f>
        <v>0</v>
      </c>
      <c r="AD204" s="94"/>
      <c r="AE204" s="405"/>
    </row>
    <row r="205" spans="3:31" s="260" customFormat="1" x14ac:dyDescent="0.25">
      <c r="C205" s="84"/>
      <c r="D205" s="380"/>
      <c r="E205" s="381"/>
      <c r="F205" s="381"/>
      <c r="G205" s="381"/>
      <c r="H205" s="381"/>
      <c r="I205" s="381"/>
      <c r="J205" s="382"/>
      <c r="K205" s="88"/>
      <c r="M205" s="568" t="s">
        <v>108</v>
      </c>
      <c r="N205" s="569"/>
      <c r="O205" s="569"/>
      <c r="P205" s="569"/>
      <c r="Q205" s="569"/>
      <c r="R205" s="569"/>
      <c r="S205" s="569"/>
      <c r="T205" s="569"/>
      <c r="U205" s="569"/>
      <c r="V205" s="570"/>
      <c r="Y205" s="378"/>
      <c r="Z205" s="121"/>
      <c r="AA205" s="86"/>
      <c r="AB205" s="409"/>
      <c r="AC205" s="121"/>
      <c r="AD205" s="94"/>
      <c r="AE205" s="126"/>
    </row>
    <row r="206" spans="3:31" s="260" customFormat="1" ht="25.5" x14ac:dyDescent="0.25">
      <c r="C206" s="84"/>
      <c r="D206" s="85"/>
      <c r="E206" s="86"/>
      <c r="F206" s="86"/>
      <c r="G206" s="86"/>
      <c r="H206" s="86"/>
      <c r="I206" s="86"/>
      <c r="J206" s="87"/>
      <c r="K206" s="88"/>
      <c r="M206" s="99" t="s">
        <v>94</v>
      </c>
      <c r="N206" s="561" t="s">
        <v>95</v>
      </c>
      <c r="O206" s="561"/>
      <c r="P206" s="561"/>
      <c r="Q206" s="95" t="s">
        <v>109</v>
      </c>
      <c r="R206" s="95" t="s">
        <v>110</v>
      </c>
      <c r="S206" s="95" t="s">
        <v>111</v>
      </c>
      <c r="T206" s="562" t="s">
        <v>112</v>
      </c>
      <c r="U206" s="562"/>
      <c r="V206" s="100" t="s">
        <v>98</v>
      </c>
      <c r="Y206" s="383" t="s">
        <v>104</v>
      </c>
      <c r="Z206" s="119" t="s">
        <v>9</v>
      </c>
      <c r="AA206" s="86"/>
      <c r="AB206" s="384"/>
      <c r="AC206" s="385"/>
      <c r="AD206" s="94"/>
      <c r="AE206" s="410"/>
    </row>
    <row r="207" spans="3:31" s="260" customFormat="1" x14ac:dyDescent="0.25">
      <c r="C207" s="84"/>
      <c r="D207" s="85"/>
      <c r="E207" s="86"/>
      <c r="F207" s="86"/>
      <c r="G207" s="86"/>
      <c r="H207" s="86"/>
      <c r="I207" s="86"/>
      <c r="J207" s="87"/>
      <c r="K207" s="88"/>
      <c r="M207" s="102">
        <v>0</v>
      </c>
      <c r="N207" s="530" t="str">
        <f>IFERROR(VLOOKUP(M207,INSUMOS!$C$8:$K$928,2,0),"-----")</f>
        <v>-----</v>
      </c>
      <c r="O207" s="531"/>
      <c r="P207" s="532"/>
      <c r="Q207" s="78" t="str">
        <f>IFERROR(VLOOKUP(M207,INSUMOS!$C$8:$K$928,5,0),"-----")</f>
        <v>-----</v>
      </c>
      <c r="R207" s="80"/>
      <c r="S207" s="80" t="str">
        <f>IFERROR(VLOOKUP(M207,INSUMOS!$C$8:$K$928,6,0),"0")</f>
        <v>0</v>
      </c>
      <c r="T207" s="529" t="str">
        <f>IFERROR(VLOOKUP(M207,INSUMOS!$C$8:$K$928,7,0),"0")</f>
        <v>0</v>
      </c>
      <c r="U207" s="529"/>
      <c r="V207" s="82">
        <f>+T207*S207*R207</f>
        <v>0</v>
      </c>
      <c r="Y207" s="393">
        <f>+IFERROR((R207*S207)*Y185,0)</f>
        <v>0</v>
      </c>
      <c r="Z207" s="391">
        <f>Y185*V207</f>
        <v>0</v>
      </c>
      <c r="AA207" s="86"/>
      <c r="AB207" s="92">
        <f>+Y207*T207</f>
        <v>0</v>
      </c>
      <c r="AC207" s="93">
        <f>+AB207-Z207</f>
        <v>0</v>
      </c>
      <c r="AD207" s="94"/>
      <c r="AE207" s="406" t="str">
        <f>+IF(V207=0,"CERO","NO")</f>
        <v>CERO</v>
      </c>
    </row>
    <row r="208" spans="3:31" s="260" customFormat="1" x14ac:dyDescent="0.25">
      <c r="C208" s="84"/>
      <c r="D208" s="85"/>
      <c r="E208" s="86"/>
      <c r="F208" s="86"/>
      <c r="G208" s="86"/>
      <c r="H208" s="86"/>
      <c r="I208" s="86"/>
      <c r="J208" s="87"/>
      <c r="K208" s="88"/>
      <c r="M208" s="102">
        <v>0</v>
      </c>
      <c r="N208" s="530" t="str">
        <f>IFERROR(VLOOKUP(M208,INSUMOS!$C$8:$K$928,2,0),"-----")</f>
        <v>-----</v>
      </c>
      <c r="O208" s="531"/>
      <c r="P208" s="532"/>
      <c r="Q208" s="78" t="str">
        <f>IFERROR(VLOOKUP(M208,INSUMOS!$C$8:$K$928,5,0),"-----")</f>
        <v>-----</v>
      </c>
      <c r="R208" s="80"/>
      <c r="S208" s="80" t="str">
        <f>IFERROR(VLOOKUP(M208,INSUMOS!$C$8:$K$928,6,0),"0")</f>
        <v>0</v>
      </c>
      <c r="T208" s="529" t="str">
        <f>IFERROR(VLOOKUP(M208,INSUMOS!$C$8:$K$928,7,0),"0")</f>
        <v>0</v>
      </c>
      <c r="U208" s="529"/>
      <c r="V208" s="82">
        <f>+T208*S208*R208</f>
        <v>0</v>
      </c>
      <c r="Y208" s="393">
        <f>+IFERROR((R208*S208)*Y185,0)</f>
        <v>0</v>
      </c>
      <c r="Z208" s="391">
        <f>Y185*V208</f>
        <v>0</v>
      </c>
      <c r="AA208" s="86"/>
      <c r="AB208" s="92">
        <f>+Y208*T208</f>
        <v>0</v>
      </c>
      <c r="AC208" s="93">
        <f>+AB208-Z208</f>
        <v>0</v>
      </c>
      <c r="AD208" s="94"/>
      <c r="AE208" s="406" t="str">
        <f>+IF(V208=0,"CERO","NO")</f>
        <v>CERO</v>
      </c>
    </row>
    <row r="209" spans="3:31" s="260" customFormat="1" x14ac:dyDescent="0.25">
      <c r="C209" s="84"/>
      <c r="D209" s="85"/>
      <c r="E209" s="86"/>
      <c r="F209" s="86"/>
      <c r="G209" s="86"/>
      <c r="H209" s="86"/>
      <c r="I209" s="86"/>
      <c r="J209" s="87"/>
      <c r="K209" s="88"/>
      <c r="M209" s="102">
        <v>0</v>
      </c>
      <c r="N209" s="530" t="str">
        <f>IFERROR(VLOOKUP(M209,INSUMOS!$C$8:$K$928,2,0),"-----")</f>
        <v>-----</v>
      </c>
      <c r="O209" s="531"/>
      <c r="P209" s="532"/>
      <c r="Q209" s="78" t="str">
        <f>IFERROR(VLOOKUP(M209,INSUMOS!$C$8:$K$928,5,0),"-----")</f>
        <v>-----</v>
      </c>
      <c r="R209" s="80"/>
      <c r="S209" s="80" t="str">
        <f>IFERROR(VLOOKUP(M209,INSUMOS!$C$8:$K$928,6,0),"0")</f>
        <v>0</v>
      </c>
      <c r="T209" s="529" t="str">
        <f>IFERROR(VLOOKUP(M209,INSUMOS!$C$8:$K$928,7,0),"0")</f>
        <v>0</v>
      </c>
      <c r="U209" s="529"/>
      <c r="V209" s="82">
        <f>+T209*S209*R209</f>
        <v>0</v>
      </c>
      <c r="Y209" s="393">
        <f>+IFERROR((R209*S209)*Y185,0)</f>
        <v>0</v>
      </c>
      <c r="Z209" s="391">
        <f>Y185*V209</f>
        <v>0</v>
      </c>
      <c r="AA209" s="86"/>
      <c r="AB209" s="92">
        <f>+Y209*T209</f>
        <v>0</v>
      </c>
      <c r="AC209" s="93">
        <f>+AB209-Z209</f>
        <v>0</v>
      </c>
      <c r="AD209" s="94"/>
      <c r="AE209" s="406" t="str">
        <f>+IF(V209=0,"CERO","NO")</f>
        <v>CERO</v>
      </c>
    </row>
    <row r="210" spans="3:31" s="260" customFormat="1" ht="15.75" thickBot="1" x14ac:dyDescent="0.3">
      <c r="C210" s="84"/>
      <c r="D210" s="89"/>
      <c r="E210" s="90"/>
      <c r="F210" s="90"/>
      <c r="G210" s="90"/>
      <c r="H210" s="90"/>
      <c r="I210" s="90"/>
      <c r="J210" s="91"/>
      <c r="K210" s="88"/>
      <c r="M210" s="102">
        <v>0</v>
      </c>
      <c r="N210" s="533"/>
      <c r="O210" s="533"/>
      <c r="P210" s="533"/>
      <c r="Q210" s="79"/>
      <c r="R210" s="78"/>
      <c r="S210" s="81"/>
      <c r="T210" s="529"/>
      <c r="U210" s="529"/>
      <c r="V210" s="82"/>
      <c r="Y210" s="393">
        <f>+IFERROR((R210*S210)*Y185,0)</f>
        <v>0</v>
      </c>
      <c r="Z210" s="391">
        <f>Y185*V210</f>
        <v>0</v>
      </c>
      <c r="AA210" s="86"/>
      <c r="AB210" s="92">
        <f>+Y210*T210</f>
        <v>0</v>
      </c>
      <c r="AC210" s="93">
        <f>+AB210-Z210</f>
        <v>0</v>
      </c>
      <c r="AD210" s="94"/>
      <c r="AE210" s="406" t="str">
        <f>+IF(V210=0,"CERO","NO")</f>
        <v>CERO</v>
      </c>
    </row>
    <row r="211" spans="3:31" s="260" customFormat="1" ht="15.75" thickBot="1" x14ac:dyDescent="0.3">
      <c r="C211" s="84"/>
      <c r="D211" s="375" t="s">
        <v>128</v>
      </c>
      <c r="E211" s="376" t="s">
        <v>129</v>
      </c>
      <c r="F211" s="376" t="s">
        <v>130</v>
      </c>
      <c r="G211" s="376" t="s">
        <v>131</v>
      </c>
      <c r="H211" s="376" t="s">
        <v>132</v>
      </c>
      <c r="I211" s="376" t="s">
        <v>133</v>
      </c>
      <c r="J211" s="377" t="s">
        <v>134</v>
      </c>
      <c r="K211" s="88"/>
      <c r="M211" s="534"/>
      <c r="N211" s="536" t="s">
        <v>113</v>
      </c>
      <c r="O211" s="536"/>
      <c r="P211" s="536"/>
      <c r="Q211" s="536"/>
      <c r="R211" s="536"/>
      <c r="S211" s="536"/>
      <c r="T211" s="536"/>
      <c r="U211" s="536"/>
      <c r="V211" s="411">
        <f>+SUM(V207:V210)</f>
        <v>0</v>
      </c>
      <c r="Y211" s="398" t="s">
        <v>135</v>
      </c>
      <c r="Z211" s="397">
        <f>+SUM(Z207:Z210)</f>
        <v>0</v>
      </c>
      <c r="AA211" s="86"/>
      <c r="AB211" s="384"/>
      <c r="AC211" s="385"/>
      <c r="AD211" s="94"/>
      <c r="AE211" s="399"/>
    </row>
    <row r="212" spans="3:31" s="260" customFormat="1" ht="15.75" thickBot="1" x14ac:dyDescent="0.3">
      <c r="C212" s="84"/>
      <c r="D212" s="355"/>
      <c r="E212" s="367"/>
      <c r="F212" s="412">
        <f>+E204</f>
        <v>1.01</v>
      </c>
      <c r="G212" s="367"/>
      <c r="H212" s="367"/>
      <c r="I212" s="367"/>
      <c r="J212" s="368"/>
      <c r="K212" s="88"/>
      <c r="M212" s="535"/>
      <c r="N212" s="537" t="s">
        <v>114</v>
      </c>
      <c r="O212" s="537"/>
      <c r="P212" s="537"/>
      <c r="Q212" s="537"/>
      <c r="R212" s="537"/>
      <c r="S212" s="537"/>
      <c r="T212" s="537"/>
      <c r="U212" s="537"/>
      <c r="V212" s="413">
        <f>+ROUND(V211,$AA$5)</f>
        <v>0</v>
      </c>
      <c r="Y212" s="401" t="s">
        <v>136</v>
      </c>
      <c r="Z212" s="402">
        <f>+ROUND(Z211,$AA$5)</f>
        <v>0</v>
      </c>
      <c r="AA212" s="86"/>
      <c r="AB212" s="403">
        <f>+V212*Y185</f>
        <v>0</v>
      </c>
      <c r="AC212" s="414"/>
      <c r="AD212" s="94"/>
      <c r="AE212" s="405"/>
    </row>
    <row r="213" spans="3:31" s="260" customFormat="1" ht="15.75" thickBot="1" x14ac:dyDescent="0.3">
      <c r="C213" s="84"/>
      <c r="D213" s="415"/>
      <c r="E213" s="416"/>
      <c r="F213" s="416"/>
      <c r="G213" s="416"/>
      <c r="H213" s="416"/>
      <c r="I213" s="416"/>
      <c r="J213" s="417"/>
      <c r="K213" s="88"/>
      <c r="M213" s="538" t="s">
        <v>115</v>
      </c>
      <c r="N213" s="539"/>
      <c r="O213" s="539"/>
      <c r="P213" s="539"/>
      <c r="Q213" s="539"/>
      <c r="R213" s="539"/>
      <c r="S213" s="539"/>
      <c r="T213" s="539"/>
      <c r="U213" s="539"/>
      <c r="V213" s="540"/>
      <c r="Y213" s="378"/>
      <c r="Z213" s="121"/>
      <c r="AA213" s="86"/>
      <c r="AB213" s="409"/>
      <c r="AC213" s="121"/>
      <c r="AD213" s="94"/>
      <c r="AE213" s="126"/>
    </row>
    <row r="214" spans="3:31" s="260" customFormat="1" ht="15.75" thickBot="1" x14ac:dyDescent="0.3">
      <c r="C214" s="84"/>
      <c r="D214" s="375" t="s">
        <v>128</v>
      </c>
      <c r="E214" s="376" t="s">
        <v>129</v>
      </c>
      <c r="F214" s="376" t="s">
        <v>130</v>
      </c>
      <c r="G214" s="376" t="s">
        <v>131</v>
      </c>
      <c r="H214" s="376" t="s">
        <v>132</v>
      </c>
      <c r="I214" s="376" t="s">
        <v>133</v>
      </c>
      <c r="J214" s="377" t="s">
        <v>134</v>
      </c>
      <c r="K214" s="88"/>
      <c r="M214" s="99" t="s">
        <v>94</v>
      </c>
      <c r="N214" s="98" t="s">
        <v>95</v>
      </c>
      <c r="O214" s="95" t="s">
        <v>96</v>
      </c>
      <c r="P214" s="359" t="s">
        <v>104</v>
      </c>
      <c r="Q214" s="95" t="s">
        <v>116</v>
      </c>
      <c r="R214" s="418" t="s">
        <v>117</v>
      </c>
      <c r="S214" s="95" t="s">
        <v>347</v>
      </c>
      <c r="T214" s="419" t="s">
        <v>118</v>
      </c>
      <c r="U214" s="189" t="s">
        <v>119</v>
      </c>
      <c r="V214" s="100" t="s">
        <v>98</v>
      </c>
      <c r="Y214" s="383" t="s">
        <v>104</v>
      </c>
      <c r="Z214" s="119" t="s">
        <v>9</v>
      </c>
      <c r="AA214" s="86"/>
      <c r="AB214" s="384"/>
      <c r="AC214" s="385"/>
      <c r="AD214" s="94"/>
      <c r="AE214" s="410"/>
    </row>
    <row r="215" spans="3:31" s="260" customFormat="1" ht="25.5" x14ac:dyDescent="0.25">
      <c r="C215" s="84"/>
      <c r="D215" s="354"/>
      <c r="E215" s="96"/>
      <c r="F215" s="96"/>
      <c r="G215" s="96"/>
      <c r="H215" s="96"/>
      <c r="I215" s="96"/>
      <c r="J215" s="420">
        <f>+F212</f>
        <v>1.01</v>
      </c>
      <c r="K215" s="88"/>
      <c r="M215" s="102">
        <v>201</v>
      </c>
      <c r="N215" s="347" t="str">
        <f>IFERROR(VLOOKUP(M215,INSUMOS!$C$8:$K$928,2,0),"-----")</f>
        <v>Oficial Albañileria</v>
      </c>
      <c r="O215" s="78" t="str">
        <f>IFERROR(VLOOKUP(M215,INSUMOS!$C$8:$K$928,3,0),"-----")</f>
        <v>JORNAL+PS</v>
      </c>
      <c r="P215" s="80">
        <v>1</v>
      </c>
      <c r="Q215" s="79">
        <v>15</v>
      </c>
      <c r="R215" s="190">
        <f>IFERROR(VLOOKUP(M215,INSUMOS!$C$8:$K$928,4,0),"-----")</f>
        <v>85136</v>
      </c>
      <c r="S215" s="190">
        <f>IFERROR(VLOOKUP(M215,INSUMOS!$C$8:$K$928,6,0),"-----")</f>
        <v>68109</v>
      </c>
      <c r="T215" s="190">
        <f>IFERROR(VLOOKUP(M215,INSUMOS!$C$8:$K$928,5,0),"-----")</f>
        <v>0</v>
      </c>
      <c r="U215" s="388">
        <f>SUM(R215:T215)</f>
        <v>153245</v>
      </c>
      <c r="V215" s="82">
        <f>+IFERROR((P215/Q215)*U215,0)</f>
        <v>10216.333333333334</v>
      </c>
      <c r="Y215" s="393">
        <f>+IFERROR((Y185/Q215*P215),0)</f>
        <v>20.262</v>
      </c>
      <c r="Z215" s="391">
        <f>Y185*V215</f>
        <v>3105050.1900000004</v>
      </c>
      <c r="AA215" s="86"/>
      <c r="AB215" s="92">
        <f>+(U215)*Y215</f>
        <v>3105050.19</v>
      </c>
      <c r="AC215" s="93">
        <f>+AB215-Z215</f>
        <v>0</v>
      </c>
      <c r="AD215" s="421"/>
      <c r="AE215" s="410" t="str">
        <f>+IF(V215=0,"CERO","NO")</f>
        <v>NO</v>
      </c>
    </row>
    <row r="216" spans="3:31" s="260" customFormat="1" ht="26.25" thickBot="1" x14ac:dyDescent="0.3">
      <c r="C216" s="84"/>
      <c r="D216" s="355"/>
      <c r="E216" s="367"/>
      <c r="F216" s="367"/>
      <c r="G216" s="367"/>
      <c r="H216" s="367"/>
      <c r="I216" s="367"/>
      <c r="J216" s="422">
        <f>+J215</f>
        <v>1.01</v>
      </c>
      <c r="K216" s="88"/>
      <c r="M216" s="102">
        <v>202</v>
      </c>
      <c r="N216" s="347" t="str">
        <f>IFERROR(VLOOKUP(M216,INSUMOS!$C$8:$K$928,2,0),"-----")</f>
        <v>Ayudante Albañileria</v>
      </c>
      <c r="O216" s="78" t="str">
        <f>IFERROR(VLOOKUP(M216,INSUMOS!$C$8:$K$928,3,0),"-----")</f>
        <v>JORNAL+PS</v>
      </c>
      <c r="P216" s="80">
        <v>2</v>
      </c>
      <c r="Q216" s="79">
        <v>15</v>
      </c>
      <c r="R216" s="190">
        <f>IFERROR(VLOOKUP(M216,INSUMOS!$C$8:$K$928,4,0),"-----")</f>
        <v>63490</v>
      </c>
      <c r="S216" s="190">
        <f>IFERROR(VLOOKUP(M216,INSUMOS!$C$8:$K$928,6,0),"-----")</f>
        <v>50792</v>
      </c>
      <c r="T216" s="190">
        <f>IFERROR(VLOOKUP(M216,INSUMOS!$C$8:$K$928,5,0),"-----")</f>
        <v>0</v>
      </c>
      <c r="U216" s="388">
        <f>SUM(R216:T216)</f>
        <v>114282</v>
      </c>
      <c r="V216" s="82">
        <f>+IFERROR((P216/Q216)*U216,0)</f>
        <v>15237.6</v>
      </c>
      <c r="Y216" s="393">
        <f>+IFERROR((Y185/Q216*P216),0)</f>
        <v>40.524000000000001</v>
      </c>
      <c r="Z216" s="391">
        <f>Y185*V216</f>
        <v>4631163.7680000002</v>
      </c>
      <c r="AA216" s="86"/>
      <c r="AB216" s="92">
        <f>+U216*Y216</f>
        <v>4631163.7680000002</v>
      </c>
      <c r="AC216" s="93">
        <f>+AB216-Z216</f>
        <v>0</v>
      </c>
      <c r="AD216" s="94"/>
      <c r="AE216" s="410" t="str">
        <f>+IF(V216=0,"CERO","NO")</f>
        <v>NO</v>
      </c>
    </row>
    <row r="217" spans="3:31" s="260" customFormat="1" ht="15.75" thickBot="1" x14ac:dyDescent="0.3">
      <c r="C217" s="84"/>
      <c r="D217" s="380"/>
      <c r="E217" s="381"/>
      <c r="F217" s="381"/>
      <c r="G217" s="381"/>
      <c r="H217" s="381"/>
      <c r="I217" s="381"/>
      <c r="J217" s="382"/>
      <c r="K217" s="88"/>
      <c r="M217" s="102">
        <v>0</v>
      </c>
      <c r="N217" s="347"/>
      <c r="O217" s="79"/>
      <c r="P217" s="423"/>
      <c r="Q217" s="81"/>
      <c r="R217" s="111"/>
      <c r="S217" s="357"/>
      <c r="T217" s="111"/>
      <c r="U217" s="388"/>
      <c r="V217" s="426"/>
      <c r="Y217" s="393">
        <f>+IFERROR((Y185/Q217*P217),0)</f>
        <v>0</v>
      </c>
      <c r="Z217" s="391">
        <f>Y185*V217</f>
        <v>0</v>
      </c>
      <c r="AA217" s="86"/>
      <c r="AB217" s="92">
        <f>+(U217)*Y217*P217</f>
        <v>0</v>
      </c>
      <c r="AC217" s="93">
        <f>+AB217-Z217</f>
        <v>0</v>
      </c>
      <c r="AD217" s="94"/>
      <c r="AE217" s="410" t="str">
        <f>+IF(V217=0,"CERO","NO")</f>
        <v>CERO</v>
      </c>
    </row>
    <row r="218" spans="3:31" s="260" customFormat="1" ht="15.75" thickBot="1" x14ac:dyDescent="0.3">
      <c r="C218" s="84"/>
      <c r="D218" s="375" t="s">
        <v>128</v>
      </c>
      <c r="E218" s="376" t="s">
        <v>129</v>
      </c>
      <c r="F218" s="376" t="s">
        <v>130</v>
      </c>
      <c r="G218" s="376" t="s">
        <v>131</v>
      </c>
      <c r="H218" s="376" t="s">
        <v>132</v>
      </c>
      <c r="I218" s="376" t="s">
        <v>133</v>
      </c>
      <c r="J218" s="377" t="s">
        <v>134</v>
      </c>
      <c r="K218" s="88"/>
      <c r="M218" s="534"/>
      <c r="N218" s="536" t="s">
        <v>120</v>
      </c>
      <c r="O218" s="536"/>
      <c r="P218" s="536"/>
      <c r="Q218" s="536"/>
      <c r="R218" s="536"/>
      <c r="S218" s="536"/>
      <c r="T218" s="536"/>
      <c r="U218" s="536"/>
      <c r="V218" s="82">
        <f>+SUM(V215:V217)</f>
        <v>25453.933333333334</v>
      </c>
      <c r="Y218" s="398" t="s">
        <v>135</v>
      </c>
      <c r="Z218" s="397">
        <f>+SUM(Z215:Z217)</f>
        <v>7736213.9580000006</v>
      </c>
      <c r="AA218" s="86"/>
      <c r="AB218" s="384"/>
      <c r="AC218" s="385"/>
      <c r="AD218" s="94"/>
      <c r="AE218" s="399"/>
    </row>
    <row r="219" spans="3:31" s="260" customFormat="1" ht="15.75" thickBot="1" x14ac:dyDescent="0.3">
      <c r="C219" s="84"/>
      <c r="D219" s="354"/>
      <c r="E219" s="96"/>
      <c r="F219" s="96"/>
      <c r="G219" s="107">
        <f>+F212</f>
        <v>1.01</v>
      </c>
      <c r="H219" s="96"/>
      <c r="I219" s="96"/>
      <c r="J219" s="427"/>
      <c r="K219" s="88"/>
      <c r="M219" s="535"/>
      <c r="N219" s="537" t="s">
        <v>121</v>
      </c>
      <c r="O219" s="537"/>
      <c r="P219" s="537"/>
      <c r="Q219" s="537"/>
      <c r="R219" s="537"/>
      <c r="S219" s="537"/>
      <c r="T219" s="537"/>
      <c r="U219" s="537"/>
      <c r="V219" s="413">
        <f>+ROUND(V218,$AA$5)</f>
        <v>25453.93</v>
      </c>
      <c r="Y219" s="401" t="s">
        <v>136</v>
      </c>
      <c r="Z219" s="402">
        <f>+ROUND(Z218,$AA$5)</f>
        <v>7736213.96</v>
      </c>
      <c r="AA219" s="86"/>
      <c r="AB219" s="403">
        <f>+V219*Y185</f>
        <v>7736212.9449000005</v>
      </c>
      <c r="AC219" s="404">
        <f>+AB219-Z219</f>
        <v>-1.0150999994948506</v>
      </c>
      <c r="AD219" s="94"/>
      <c r="AE219" s="405"/>
    </row>
    <row r="220" spans="3:31" s="260" customFormat="1" ht="15.75" thickBot="1" x14ac:dyDescent="0.3">
      <c r="C220" s="84"/>
      <c r="D220" s="375" t="s">
        <v>128</v>
      </c>
      <c r="E220" s="376" t="s">
        <v>129</v>
      </c>
      <c r="F220" s="376" t="s">
        <v>130</v>
      </c>
      <c r="G220" s="376" t="s">
        <v>131</v>
      </c>
      <c r="H220" s="376" t="s">
        <v>132</v>
      </c>
      <c r="I220" s="376" t="s">
        <v>133</v>
      </c>
      <c r="J220" s="377" t="s">
        <v>134</v>
      </c>
      <c r="K220" s="88"/>
      <c r="M220" s="541"/>
      <c r="N220" s="542"/>
      <c r="O220" s="542"/>
      <c r="P220" s="542"/>
      <c r="Q220" s="542"/>
      <c r="R220" s="542"/>
      <c r="S220" s="542"/>
      <c r="T220" s="542"/>
      <c r="U220" s="542"/>
      <c r="V220" s="543"/>
      <c r="Y220" s="378"/>
      <c r="Z220" s="121"/>
      <c r="AA220" s="86"/>
      <c r="AB220" s="409"/>
      <c r="AC220" s="121"/>
      <c r="AD220" s="94"/>
      <c r="AE220" s="428"/>
    </row>
    <row r="221" spans="3:31" s="260" customFormat="1" ht="15.75" thickBot="1" x14ac:dyDescent="0.3">
      <c r="C221" s="84"/>
      <c r="D221" s="355"/>
      <c r="E221" s="367"/>
      <c r="F221" s="367"/>
      <c r="G221" s="367"/>
      <c r="H221" s="412">
        <f>G219</f>
        <v>1.01</v>
      </c>
      <c r="I221" s="412"/>
      <c r="J221" s="422"/>
      <c r="K221" s="88"/>
      <c r="M221" s="544" t="s">
        <v>122</v>
      </c>
      <c r="N221" s="537"/>
      <c r="O221" s="537"/>
      <c r="P221" s="537"/>
      <c r="Q221" s="537"/>
      <c r="R221" s="537"/>
      <c r="S221" s="537"/>
      <c r="T221" s="537"/>
      <c r="U221" s="545">
        <f>+V219+V212+V204+V195</f>
        <v>26726.63</v>
      </c>
      <c r="V221" s="546"/>
      <c r="Y221" s="429"/>
      <c r="Z221" s="430">
        <f>+Z219+Z212+Z204+Z195</f>
        <v>8123024.6100000003</v>
      </c>
      <c r="AA221" s="86"/>
      <c r="AB221" s="431">
        <f>+AB219+AB212+AB204+AB195</f>
        <v>8123024.6559000006</v>
      </c>
      <c r="AC221" s="404">
        <f>+AB221-Z221</f>
        <v>4.5900000259280205E-2</v>
      </c>
      <c r="AD221" s="94"/>
      <c r="AE221" s="432"/>
    </row>
    <row r="222" spans="3:31" s="260" customFormat="1" ht="15.75" thickBot="1" x14ac:dyDescent="0.3"/>
    <row r="223" spans="3:31" s="260" customFormat="1" x14ac:dyDescent="0.25">
      <c r="M223" s="547" t="s">
        <v>348</v>
      </c>
      <c r="N223" s="548"/>
      <c r="O223" s="548"/>
      <c r="P223" s="548"/>
      <c r="Q223" s="548"/>
      <c r="R223" s="548"/>
      <c r="S223" s="548"/>
      <c r="T223" s="548"/>
      <c r="U223" s="548"/>
      <c r="V223" s="549"/>
      <c r="Y223" s="378"/>
      <c r="Z223" s="121"/>
      <c r="AA223" s="86"/>
      <c r="AB223" s="94"/>
      <c r="AC223" s="94"/>
      <c r="AD223" s="94"/>
      <c r="AE223" s="126" t="s">
        <v>133</v>
      </c>
    </row>
    <row r="224" spans="3:31" s="260" customFormat="1" x14ac:dyDescent="0.25">
      <c r="M224" s="515" t="s">
        <v>138</v>
      </c>
      <c r="N224" s="516"/>
      <c r="O224" s="516"/>
      <c r="P224" s="516"/>
      <c r="Q224" s="516"/>
      <c r="R224" s="516"/>
      <c r="S224" s="516"/>
      <c r="T224" s="437">
        <v>0</v>
      </c>
      <c r="U224" s="517">
        <f>+ROUND(U221*T224,$AA$5)</f>
        <v>0</v>
      </c>
      <c r="V224" s="518"/>
      <c r="Y224" s="390"/>
      <c r="Z224" s="438">
        <f>+Z221*T224</f>
        <v>0</v>
      </c>
      <c r="AA224" s="86"/>
      <c r="AB224" s="94"/>
      <c r="AC224" s="94"/>
      <c r="AD224" s="94"/>
      <c r="AE224" s="386" t="s">
        <v>133</v>
      </c>
    </row>
    <row r="225" spans="3:31" s="260" customFormat="1" x14ac:dyDescent="0.25">
      <c r="M225" s="515" t="s">
        <v>19</v>
      </c>
      <c r="N225" s="516"/>
      <c r="O225" s="516"/>
      <c r="P225" s="516"/>
      <c r="Q225" s="516"/>
      <c r="R225" s="516"/>
      <c r="S225" s="516"/>
      <c r="T225" s="437">
        <v>0.05</v>
      </c>
      <c r="U225" s="517">
        <f>+ROUND(U221*T225,$AA$5)</f>
        <v>1336.33</v>
      </c>
      <c r="V225" s="518"/>
      <c r="Y225" s="390"/>
      <c r="Z225" s="438">
        <f>+Z221*T225</f>
        <v>406151.23050000006</v>
      </c>
      <c r="AA225" s="86"/>
      <c r="AB225" s="94"/>
      <c r="AC225" s="94"/>
      <c r="AD225" s="94"/>
      <c r="AE225" s="386" t="s">
        <v>133</v>
      </c>
    </row>
    <row r="226" spans="3:31" s="260" customFormat="1" x14ac:dyDescent="0.25">
      <c r="M226" s="515" t="s">
        <v>20</v>
      </c>
      <c r="N226" s="516"/>
      <c r="O226" s="516"/>
      <c r="P226" s="516"/>
      <c r="Q226" s="516"/>
      <c r="R226" s="516"/>
      <c r="S226" s="516"/>
      <c r="T226" s="437">
        <v>0</v>
      </c>
      <c r="U226" s="517">
        <f>+ROUND(U221*T226,$AA$5)</f>
        <v>0</v>
      </c>
      <c r="V226" s="518"/>
      <c r="Y226" s="390"/>
      <c r="Z226" s="438">
        <f>+Z221*T226</f>
        <v>0</v>
      </c>
      <c r="AA226" s="86"/>
      <c r="AB226" s="94"/>
      <c r="AC226" s="94"/>
      <c r="AD226" s="94"/>
      <c r="AE226" s="386" t="s">
        <v>133</v>
      </c>
    </row>
    <row r="227" spans="3:31" s="260" customFormat="1" x14ac:dyDescent="0.25">
      <c r="M227" s="515" t="s">
        <v>21</v>
      </c>
      <c r="N227" s="516"/>
      <c r="O227" s="516"/>
      <c r="P227" s="516"/>
      <c r="Q227" s="516"/>
      <c r="R227" s="516"/>
      <c r="S227" s="516"/>
      <c r="T227" s="437">
        <f>$AA$9</f>
        <v>0</v>
      </c>
      <c r="U227" s="517">
        <f>+ROUND(U221*T227,$AA$5)</f>
        <v>0</v>
      </c>
      <c r="V227" s="518"/>
      <c r="Y227" s="390"/>
      <c r="Z227" s="438">
        <f>+Z226*T227</f>
        <v>0</v>
      </c>
      <c r="AA227" s="86"/>
      <c r="AB227" s="94"/>
      <c r="AC227" s="94"/>
      <c r="AD227" s="94"/>
      <c r="AE227" s="386" t="s">
        <v>133</v>
      </c>
    </row>
    <row r="228" spans="3:31" s="260" customFormat="1" ht="15.75" thickBot="1" x14ac:dyDescent="0.3">
      <c r="M228" s="519" t="s">
        <v>349</v>
      </c>
      <c r="N228" s="520"/>
      <c r="O228" s="520"/>
      <c r="P228" s="520"/>
      <c r="Q228" s="520"/>
      <c r="R228" s="520"/>
      <c r="S228" s="520"/>
      <c r="T228" s="520"/>
      <c r="U228" s="521">
        <f>+SUM(U224:V227)</f>
        <v>1336.33</v>
      </c>
      <c r="V228" s="522"/>
      <c r="Y228" s="390"/>
      <c r="Z228" s="439">
        <f>+SUM(Z224:Z227)</f>
        <v>406151.23050000006</v>
      </c>
      <c r="AA228" s="86"/>
      <c r="AB228" s="94"/>
      <c r="AC228" s="94"/>
      <c r="AD228" s="94"/>
      <c r="AE228" s="386" t="s">
        <v>133</v>
      </c>
    </row>
    <row r="229" spans="3:31" s="260" customFormat="1" ht="15.75" thickBot="1" x14ac:dyDescent="0.3">
      <c r="D229" s="375" t="s">
        <v>128</v>
      </c>
      <c r="E229" s="376" t="s">
        <v>129</v>
      </c>
      <c r="F229" s="376" t="s">
        <v>130</v>
      </c>
      <c r="G229" s="376" t="s">
        <v>131</v>
      </c>
      <c r="H229" s="376" t="s">
        <v>132</v>
      </c>
      <c r="I229" s="376" t="s">
        <v>133</v>
      </c>
      <c r="J229" s="377" t="s">
        <v>134</v>
      </c>
      <c r="M229" s="86"/>
      <c r="N229" s="94"/>
      <c r="O229" s="94"/>
      <c r="P229" s="94"/>
      <c r="Q229" s="86"/>
      <c r="R229" s="86"/>
      <c r="S229" s="86"/>
      <c r="T229" s="440"/>
      <c r="U229" s="523"/>
      <c r="V229" s="523"/>
      <c r="Y229" s="390"/>
      <c r="Z229" s="385"/>
      <c r="AA229" s="86"/>
      <c r="AB229" s="94"/>
      <c r="AC229" s="94"/>
      <c r="AD229" s="94"/>
      <c r="AE229" s="386" t="s">
        <v>133</v>
      </c>
    </row>
    <row r="230" spans="3:31" s="260" customFormat="1" ht="15.75" thickBot="1" x14ac:dyDescent="0.3">
      <c r="D230" s="355"/>
      <c r="E230" s="367"/>
      <c r="F230" s="367"/>
      <c r="G230" s="367"/>
      <c r="H230" s="412"/>
      <c r="I230" s="412">
        <f>H221</f>
        <v>1.01</v>
      </c>
      <c r="J230" s="422"/>
      <c r="M230" s="524" t="s">
        <v>11</v>
      </c>
      <c r="N230" s="525"/>
      <c r="O230" s="525"/>
      <c r="P230" s="525"/>
      <c r="Q230" s="525"/>
      <c r="R230" s="525"/>
      <c r="S230" s="525"/>
      <c r="T230" s="526"/>
      <c r="U230" s="527">
        <f>+U228+U221</f>
        <v>28062.959999999999</v>
      </c>
      <c r="V230" s="528"/>
      <c r="Y230" s="429"/>
      <c r="Z230" s="441">
        <f>+Z228+Z221</f>
        <v>8529175.8405000009</v>
      </c>
      <c r="AA230" s="86"/>
      <c r="AB230" s="94"/>
      <c r="AC230" s="94"/>
      <c r="AD230" s="94"/>
      <c r="AE230" s="405" t="s">
        <v>133</v>
      </c>
    </row>
    <row r="231" spans="3:31" s="260" customFormat="1" x14ac:dyDescent="0.25"/>
    <row r="232" spans="3:31" s="260" customFormat="1" ht="15.75" thickBot="1" x14ac:dyDescent="0.3"/>
    <row r="233" spans="3:31" s="260" customFormat="1" ht="15.75" thickBot="1" x14ac:dyDescent="0.3">
      <c r="M233" s="363" t="s">
        <v>88</v>
      </c>
      <c r="N233" s="436" t="str">
        <f>+N184</f>
        <v>CAP.1</v>
      </c>
      <c r="O233" s="550" t="str">
        <f>IFERROR(VLOOKUP(N233,PPTO!C:H,2,0),"----")</f>
        <v>PRELIMINARES Y REPARACIONES</v>
      </c>
      <c r="P233" s="551"/>
      <c r="Q233" s="551"/>
      <c r="R233" s="551"/>
      <c r="S233" s="551"/>
      <c r="T233" s="551"/>
      <c r="U233" s="552"/>
      <c r="V233" s="74" t="s">
        <v>91</v>
      </c>
      <c r="Y233" s="365" t="s">
        <v>104</v>
      </c>
      <c r="Z233" s="94"/>
      <c r="AA233" s="188"/>
      <c r="AB233" s="553"/>
      <c r="AC233" s="553"/>
      <c r="AD233" s="553"/>
      <c r="AE233" s="94"/>
    </row>
    <row r="234" spans="3:31" s="260" customFormat="1" ht="15.75" thickBot="1" x14ac:dyDescent="0.3">
      <c r="C234" s="369">
        <f>+N234</f>
        <v>1.02</v>
      </c>
      <c r="D234" s="86"/>
      <c r="E234" s="86"/>
      <c r="F234" s="86"/>
      <c r="G234" s="86"/>
      <c r="H234" s="86"/>
      <c r="I234" s="86"/>
      <c r="J234" s="86"/>
      <c r="K234" s="370"/>
      <c r="M234" s="75" t="s">
        <v>92</v>
      </c>
      <c r="N234" s="371">
        <f>+ROUNDUP(N185+0.01,2)</f>
        <v>1.02</v>
      </c>
      <c r="O234" s="554" t="str">
        <f>IFERROR(VLOOKUP(N234,PPTO!C:H,2,0),"----")</f>
        <v>Desmonte de redes sanitarias existentes (incluye manipulacion de cielo raso)</v>
      </c>
      <c r="P234" s="555"/>
      <c r="Q234" s="555"/>
      <c r="R234" s="555"/>
      <c r="S234" s="555"/>
      <c r="T234" s="555"/>
      <c r="U234" s="556"/>
      <c r="V234" s="76" t="str">
        <f>IFERROR(VLOOKUP(N234,PPTO!C:H,3,0),"----")</f>
        <v>ML</v>
      </c>
      <c r="Y234" s="373">
        <f>SUMIFS(PPTO!F:F,PPTO!C:C,APUS!N234)</f>
        <v>212.3</v>
      </c>
      <c r="Z234" s="94"/>
      <c r="AA234" s="86"/>
      <c r="AB234" s="94"/>
      <c r="AC234" s="94"/>
      <c r="AD234" s="94"/>
      <c r="AE234" s="94"/>
    </row>
    <row r="235" spans="3:31" s="260" customFormat="1" ht="15.75" thickBot="1" x14ac:dyDescent="0.3">
      <c r="C235" s="84"/>
      <c r="D235" s="86"/>
      <c r="E235" s="86"/>
      <c r="F235" s="86"/>
      <c r="G235" s="86"/>
      <c r="H235" s="86"/>
      <c r="I235" s="86"/>
      <c r="J235" s="86"/>
      <c r="K235" s="88"/>
      <c r="M235" s="557"/>
      <c r="N235" s="557"/>
      <c r="O235" s="557"/>
      <c r="P235" s="557"/>
      <c r="Q235" s="557"/>
      <c r="R235" s="557"/>
      <c r="S235" s="557"/>
      <c r="T235" s="557"/>
      <c r="U235" s="557"/>
      <c r="V235" s="557"/>
      <c r="Y235" s="374"/>
      <c r="Z235" s="94"/>
      <c r="AA235" s="86"/>
      <c r="AB235" s="94"/>
      <c r="AC235" s="94"/>
      <c r="AD235" s="94"/>
      <c r="AE235" s="94"/>
    </row>
    <row r="236" spans="3:31" s="260" customFormat="1" ht="15.75" thickBot="1" x14ac:dyDescent="0.3">
      <c r="C236" s="84"/>
      <c r="D236" s="375" t="s">
        <v>128</v>
      </c>
      <c r="E236" s="376" t="s">
        <v>129</v>
      </c>
      <c r="F236" s="376" t="s">
        <v>130</v>
      </c>
      <c r="G236" s="376" t="s">
        <v>131</v>
      </c>
      <c r="H236" s="376" t="s">
        <v>132</v>
      </c>
      <c r="I236" s="376" t="s">
        <v>133</v>
      </c>
      <c r="J236" s="377" t="s">
        <v>134</v>
      </c>
      <c r="K236" s="88"/>
      <c r="M236" s="558" t="s">
        <v>93</v>
      </c>
      <c r="N236" s="559"/>
      <c r="O236" s="559"/>
      <c r="P236" s="559"/>
      <c r="Q236" s="559"/>
      <c r="R236" s="559"/>
      <c r="S236" s="559"/>
      <c r="T236" s="559"/>
      <c r="U236" s="559"/>
      <c r="V236" s="560"/>
      <c r="Y236" s="378"/>
      <c r="Z236" s="121"/>
      <c r="AA236" s="86"/>
      <c r="AB236" s="513"/>
      <c r="AC236" s="514"/>
      <c r="AD236" s="94"/>
      <c r="AE236" s="379"/>
    </row>
    <row r="237" spans="3:31" s="260" customFormat="1" x14ac:dyDescent="0.25">
      <c r="C237" s="84"/>
      <c r="D237" s="380"/>
      <c r="E237" s="381"/>
      <c r="F237" s="381"/>
      <c r="G237" s="381"/>
      <c r="H237" s="381"/>
      <c r="I237" s="381"/>
      <c r="J237" s="382"/>
      <c r="K237" s="88"/>
      <c r="M237" s="99" t="s">
        <v>94</v>
      </c>
      <c r="N237" s="561" t="s">
        <v>95</v>
      </c>
      <c r="O237" s="561"/>
      <c r="P237" s="561"/>
      <c r="Q237" s="561"/>
      <c r="R237" s="95" t="s">
        <v>96</v>
      </c>
      <c r="S237" s="95" t="s">
        <v>97</v>
      </c>
      <c r="T237" s="562" t="s">
        <v>8</v>
      </c>
      <c r="U237" s="562"/>
      <c r="V237" s="100" t="s">
        <v>98</v>
      </c>
      <c r="Y237" s="383" t="s">
        <v>104</v>
      </c>
      <c r="Z237" s="119" t="s">
        <v>9</v>
      </c>
      <c r="AA237" s="86"/>
      <c r="AB237" s="384"/>
      <c r="AC237" s="385"/>
      <c r="AD237" s="94"/>
      <c r="AE237" s="386"/>
    </row>
    <row r="238" spans="3:31" s="260" customFormat="1" x14ac:dyDescent="0.25">
      <c r="C238" s="84"/>
      <c r="D238" s="85"/>
      <c r="E238" s="86"/>
      <c r="F238" s="86"/>
      <c r="G238" s="86"/>
      <c r="H238" s="86"/>
      <c r="I238" s="86"/>
      <c r="J238" s="87"/>
      <c r="K238" s="88"/>
      <c r="M238" s="102"/>
      <c r="N238" s="533" t="s">
        <v>99</v>
      </c>
      <c r="O238" s="533"/>
      <c r="P238" s="533"/>
      <c r="Q238" s="533"/>
      <c r="R238" s="78" t="s">
        <v>100</v>
      </c>
      <c r="S238" s="387">
        <f>+$AA$10</f>
        <v>0.05</v>
      </c>
      <c r="T238" s="563">
        <f>V267</f>
        <v>31817.42</v>
      </c>
      <c r="U238" s="563"/>
      <c r="V238" s="389">
        <f>+IFERROR(T238*S238,0)</f>
        <v>1590.8710000000001</v>
      </c>
      <c r="Y238" s="390"/>
      <c r="Z238" s="391">
        <f>Y234*V238</f>
        <v>337741.91330000001</v>
      </c>
      <c r="AA238" s="86"/>
      <c r="AB238" s="384"/>
      <c r="AC238" s="385"/>
      <c r="AD238" s="94"/>
      <c r="AE238" s="386" t="str">
        <f>+IF(V238=0,"CERO","NO")</f>
        <v>NO</v>
      </c>
    </row>
    <row r="239" spans="3:31" s="260" customFormat="1" x14ac:dyDescent="0.25">
      <c r="C239" s="84"/>
      <c r="D239" s="85"/>
      <c r="E239" s="86"/>
      <c r="F239" s="86"/>
      <c r="G239" s="86"/>
      <c r="H239" s="86"/>
      <c r="I239" s="86"/>
      <c r="J239" s="87"/>
      <c r="K239" s="88"/>
      <c r="M239" s="106"/>
      <c r="N239" s="533" t="str">
        <f>IFERROR(VLOOKUP(M239,INSUMOS!$C$8:$K$928,2,0),"-----")</f>
        <v>-----</v>
      </c>
      <c r="O239" s="533"/>
      <c r="P239" s="533"/>
      <c r="Q239" s="533"/>
      <c r="R239" s="78" t="str">
        <f>IFERROR(VLOOKUP(M239,INSUMOS!$C$8:$K$928,6,0),"-----")</f>
        <v>-----</v>
      </c>
      <c r="S239" s="396"/>
      <c r="T239" s="529" t="str">
        <f>IFERROR(VLOOKUP(M239,INSUMOS!$C$8:$K$928,7,0),"0")</f>
        <v>0</v>
      </c>
      <c r="U239" s="529"/>
      <c r="V239" s="389">
        <f>+IFERROR(T239*S239,0)</f>
        <v>0</v>
      </c>
      <c r="Y239" s="393">
        <f>+IFERROR(Y234*S239,0)</f>
        <v>0</v>
      </c>
      <c r="Z239" s="391">
        <f>Y234*V239</f>
        <v>0</v>
      </c>
      <c r="AA239" s="394"/>
      <c r="AB239" s="395">
        <f>+Y239*T239</f>
        <v>0</v>
      </c>
      <c r="AC239" s="93">
        <f>+AB239-Z239</f>
        <v>0</v>
      </c>
      <c r="AD239" s="94"/>
      <c r="AE239" s="386" t="str">
        <f>+IF(V239=0,"CERO","NO")</f>
        <v>CERO</v>
      </c>
    </row>
    <row r="240" spans="3:31" s="260" customFormat="1" x14ac:dyDescent="0.25">
      <c r="C240" s="84"/>
      <c r="D240" s="85"/>
      <c r="E240" s="86"/>
      <c r="F240" s="86"/>
      <c r="G240" s="86"/>
      <c r="H240" s="86"/>
      <c r="I240" s="86"/>
      <c r="J240" s="87"/>
      <c r="K240" s="88"/>
      <c r="M240" s="102"/>
      <c r="N240" s="533" t="str">
        <f>IFERROR(VLOOKUP(M240,INSUMOS!$C$8:$K$928,2,0),"-----")</f>
        <v>-----</v>
      </c>
      <c r="O240" s="533"/>
      <c r="P240" s="533"/>
      <c r="Q240" s="533"/>
      <c r="R240" s="78" t="str">
        <f>IFERROR(VLOOKUP(M240,INSUMOS!$C$8:$K$928,6,0),"-----")</f>
        <v>-----</v>
      </c>
      <c r="S240" s="396"/>
      <c r="T240" s="529" t="str">
        <f>IFERROR(VLOOKUP(M240,INSUMOS!$C$8:$K$928,7,0),"0")</f>
        <v>0</v>
      </c>
      <c r="U240" s="529"/>
      <c r="V240" s="389">
        <f>+IFERROR(T240*S240,0)</f>
        <v>0</v>
      </c>
      <c r="Y240" s="393">
        <f>+IFERROR(Y234*S240,0)</f>
        <v>0</v>
      </c>
      <c r="Z240" s="391">
        <f>Y234*V240</f>
        <v>0</v>
      </c>
      <c r="AA240" s="394"/>
      <c r="AB240" s="395">
        <f>+Y240*T240</f>
        <v>0</v>
      </c>
      <c r="AC240" s="93">
        <f>+AB240-Z240</f>
        <v>0</v>
      </c>
      <c r="AD240" s="94"/>
      <c r="AE240" s="386" t="str">
        <f>+IF(V240=0,"CERO","NO")</f>
        <v>CERO</v>
      </c>
    </row>
    <row r="241" spans="3:31" s="260" customFormat="1" x14ac:dyDescent="0.25">
      <c r="C241" s="84"/>
      <c r="D241" s="85"/>
      <c r="E241" s="86"/>
      <c r="F241" s="86"/>
      <c r="G241" s="86"/>
      <c r="H241" s="86"/>
      <c r="I241" s="86"/>
      <c r="J241" s="87"/>
      <c r="K241" s="88"/>
      <c r="M241" s="102">
        <v>0</v>
      </c>
      <c r="N241" s="533"/>
      <c r="O241" s="533"/>
      <c r="P241" s="533"/>
      <c r="Q241" s="533"/>
      <c r="R241" s="78"/>
      <c r="S241" s="396"/>
      <c r="T241" s="529"/>
      <c r="U241" s="529"/>
      <c r="V241" s="397"/>
      <c r="Y241" s="393">
        <f>+IFERROR(Y234*S241,0)</f>
        <v>0</v>
      </c>
      <c r="Z241" s="391">
        <f>Y234*V241</f>
        <v>0</v>
      </c>
      <c r="AA241" s="394"/>
      <c r="AB241" s="395">
        <f>+Y241*T241</f>
        <v>0</v>
      </c>
      <c r="AC241" s="93">
        <f>+AB241-Z241</f>
        <v>0</v>
      </c>
      <c r="AD241" s="94"/>
      <c r="AE241" s="386" t="str">
        <f>+IF(V241=0,"CERO","NO")</f>
        <v>CERO</v>
      </c>
    </row>
    <row r="242" spans="3:31" s="260" customFormat="1" ht="15.75" thickBot="1" x14ac:dyDescent="0.3">
      <c r="C242" s="84"/>
      <c r="D242" s="85"/>
      <c r="E242" s="86"/>
      <c r="F242" s="86"/>
      <c r="G242" s="86"/>
      <c r="H242" s="86"/>
      <c r="I242" s="86"/>
      <c r="J242" s="87"/>
      <c r="K242" s="88"/>
      <c r="M242" s="102">
        <v>0</v>
      </c>
      <c r="N242" s="564"/>
      <c r="O242" s="564"/>
      <c r="P242" s="564"/>
      <c r="Q242" s="564"/>
      <c r="R242" s="96"/>
      <c r="S242" s="96"/>
      <c r="T242" s="565"/>
      <c r="U242" s="565"/>
      <c r="V242" s="101"/>
      <c r="Y242" s="393">
        <f>+IFERROR(Y234*S242,0)</f>
        <v>0</v>
      </c>
      <c r="Z242" s="391">
        <f>Y234*V242</f>
        <v>0</v>
      </c>
      <c r="AA242" s="394"/>
      <c r="AB242" s="395">
        <f>+Y242*T242</f>
        <v>0</v>
      </c>
      <c r="AC242" s="93">
        <f>+AB242-Z242</f>
        <v>0</v>
      </c>
      <c r="AD242" s="94"/>
      <c r="AE242" s="386" t="str">
        <f>+IF(V242=0,"CERO","NO")</f>
        <v>CERO</v>
      </c>
    </row>
    <row r="243" spans="3:31" s="260" customFormat="1" ht="15.75" thickBot="1" x14ac:dyDescent="0.3">
      <c r="C243" s="84"/>
      <c r="D243" s="375" t="s">
        <v>128</v>
      </c>
      <c r="E243" s="376" t="s">
        <v>129</v>
      </c>
      <c r="F243" s="376" t="s">
        <v>130</v>
      </c>
      <c r="G243" s="376" t="s">
        <v>131</v>
      </c>
      <c r="H243" s="376" t="s">
        <v>132</v>
      </c>
      <c r="I243" s="376" t="s">
        <v>133</v>
      </c>
      <c r="J243" s="377" t="s">
        <v>134</v>
      </c>
      <c r="K243" s="88"/>
      <c r="M243" s="534"/>
      <c r="N243" s="536" t="s">
        <v>101</v>
      </c>
      <c r="O243" s="536"/>
      <c r="P243" s="536"/>
      <c r="Q243" s="536"/>
      <c r="R243" s="536"/>
      <c r="S243" s="536"/>
      <c r="T243" s="536"/>
      <c r="U243" s="536"/>
      <c r="V243" s="389">
        <f>+SUM(V238:V242)</f>
        <v>1590.8710000000001</v>
      </c>
      <c r="Y243" s="398" t="s">
        <v>135</v>
      </c>
      <c r="Z243" s="397">
        <f>+SUM(Z238:Z242)</f>
        <v>337741.91330000001</v>
      </c>
      <c r="AA243" s="86"/>
      <c r="AB243" s="384"/>
      <c r="AC243" s="385"/>
      <c r="AD243" s="94"/>
      <c r="AE243" s="399"/>
    </row>
    <row r="244" spans="3:31" s="260" customFormat="1" ht="15.75" thickBot="1" x14ac:dyDescent="0.3">
      <c r="C244" s="84"/>
      <c r="D244" s="375">
        <f>C234</f>
        <v>1.02</v>
      </c>
      <c r="E244" s="376"/>
      <c r="F244" s="376"/>
      <c r="G244" s="376"/>
      <c r="H244" s="376"/>
      <c r="I244" s="376"/>
      <c r="J244" s="377"/>
      <c r="K244" s="88"/>
      <c r="M244" s="566"/>
      <c r="N244" s="567" t="s">
        <v>102</v>
      </c>
      <c r="O244" s="567"/>
      <c r="P244" s="567"/>
      <c r="Q244" s="567"/>
      <c r="R244" s="567"/>
      <c r="S244" s="567"/>
      <c r="T244" s="567"/>
      <c r="U244" s="567"/>
      <c r="V244" s="400">
        <f>+ROUND(V243,$AA$5)</f>
        <v>1590.87</v>
      </c>
      <c r="Y244" s="401" t="s">
        <v>136</v>
      </c>
      <c r="Z244" s="402">
        <f>+ROUND(Z243,$AA$5)</f>
        <v>337741.91</v>
      </c>
      <c r="AA244" s="86"/>
      <c r="AB244" s="403">
        <f>+V244*Y234</f>
        <v>337741.701</v>
      </c>
      <c r="AC244" s="404">
        <f>+AB244-Z244</f>
        <v>-0.20899999997345731</v>
      </c>
      <c r="AD244" s="94"/>
      <c r="AE244" s="405"/>
    </row>
    <row r="245" spans="3:31" s="260" customFormat="1" x14ac:dyDescent="0.25">
      <c r="C245" s="84"/>
      <c r="D245" s="380"/>
      <c r="E245" s="381"/>
      <c r="F245" s="381"/>
      <c r="G245" s="381"/>
      <c r="H245" s="381"/>
      <c r="I245" s="381"/>
      <c r="J245" s="382"/>
      <c r="K245" s="88"/>
      <c r="M245" s="510" t="s">
        <v>103</v>
      </c>
      <c r="N245" s="511"/>
      <c r="O245" s="511"/>
      <c r="P245" s="511"/>
      <c r="Q245" s="511"/>
      <c r="R245" s="511"/>
      <c r="S245" s="511"/>
      <c r="T245" s="511"/>
      <c r="U245" s="511"/>
      <c r="V245" s="512"/>
      <c r="Y245" s="378"/>
      <c r="Z245" s="121"/>
      <c r="AA245" s="86"/>
      <c r="AB245" s="513"/>
      <c r="AC245" s="514"/>
      <c r="AD245" s="94"/>
      <c r="AE245" s="126"/>
    </row>
    <row r="246" spans="3:31" s="260" customFormat="1" x14ac:dyDescent="0.25">
      <c r="C246" s="84"/>
      <c r="D246" s="85"/>
      <c r="E246" s="86"/>
      <c r="F246" s="86"/>
      <c r="G246" s="86"/>
      <c r="H246" s="86"/>
      <c r="I246" s="86"/>
      <c r="J246" s="87"/>
      <c r="K246" s="88"/>
      <c r="M246" s="99" t="s">
        <v>94</v>
      </c>
      <c r="N246" s="561" t="s">
        <v>95</v>
      </c>
      <c r="O246" s="561"/>
      <c r="P246" s="561"/>
      <c r="Q246" s="561"/>
      <c r="R246" s="95" t="s">
        <v>96</v>
      </c>
      <c r="S246" s="95" t="s">
        <v>104</v>
      </c>
      <c r="T246" s="356" t="s">
        <v>105</v>
      </c>
      <c r="U246" s="356" t="s">
        <v>8</v>
      </c>
      <c r="V246" s="100" t="s">
        <v>98</v>
      </c>
      <c r="Y246" s="383" t="s">
        <v>104</v>
      </c>
      <c r="Z246" s="119" t="s">
        <v>9</v>
      </c>
      <c r="AA246" s="86"/>
      <c r="AB246" s="384"/>
      <c r="AC246" s="385"/>
      <c r="AD246" s="94"/>
      <c r="AE246" s="406"/>
    </row>
    <row r="247" spans="3:31" s="260" customFormat="1" x14ac:dyDescent="0.25">
      <c r="C247" s="84"/>
      <c r="D247" s="85"/>
      <c r="E247" s="86"/>
      <c r="F247" s="86"/>
      <c r="G247" s="86"/>
      <c r="H247" s="86"/>
      <c r="I247" s="86"/>
      <c r="J247" s="87"/>
      <c r="K247" s="88"/>
      <c r="M247" s="102"/>
      <c r="N247" s="533" t="str">
        <f>IFERROR(VLOOKUP(M247,INSUMOS!$C$8:$K$928,2,0),"-----")</f>
        <v>-----</v>
      </c>
      <c r="O247" s="533"/>
      <c r="P247" s="533"/>
      <c r="Q247" s="533"/>
      <c r="R247" s="78" t="str">
        <f>IFERROR(VLOOKUP(M247,INSUMOS!$C$8:$K$928,6,0),"-----")</f>
        <v>-----</v>
      </c>
      <c r="S247" s="396"/>
      <c r="T247" s="387">
        <v>0</v>
      </c>
      <c r="U247" s="388" t="str">
        <f>IFERROR(VLOOKUP(M247,INSUMOS!$C$8:$K$928,7,0),"0")</f>
        <v>0</v>
      </c>
      <c r="V247" s="389">
        <f>+IFERROR(U247*(S247*(1+T247)),0)</f>
        <v>0</v>
      </c>
      <c r="Y247" s="393">
        <f>+IFERROR(Y234*(S247*(1+T247)),0)</f>
        <v>0</v>
      </c>
      <c r="Z247" s="391">
        <f>Y234*V247</f>
        <v>0</v>
      </c>
      <c r="AA247" s="394"/>
      <c r="AB247" s="395">
        <f>+Y247*U247</f>
        <v>0</v>
      </c>
      <c r="AC247" s="93">
        <f>+AB247-Z247</f>
        <v>0</v>
      </c>
      <c r="AD247" s="94"/>
      <c r="AE247" s="406" t="str">
        <f>+IF(V247=0,"CERO","NO")</f>
        <v>CERO</v>
      </c>
    </row>
    <row r="248" spans="3:31" s="260" customFormat="1" x14ac:dyDescent="0.25">
      <c r="C248" s="84"/>
      <c r="D248" s="85"/>
      <c r="E248" s="86"/>
      <c r="F248" s="86"/>
      <c r="G248" s="86"/>
      <c r="H248" s="86"/>
      <c r="I248" s="86"/>
      <c r="J248" s="87"/>
      <c r="K248" s="88"/>
      <c r="M248" s="102"/>
      <c r="N248" s="533" t="str">
        <f>IFERROR(VLOOKUP(M248,INSUMOS!$C$8:$K$928,2,0),"-----")</f>
        <v>-----</v>
      </c>
      <c r="O248" s="533"/>
      <c r="P248" s="533"/>
      <c r="Q248" s="533"/>
      <c r="R248" s="78" t="str">
        <f>IFERROR(VLOOKUP(M248,INSUMOS!$C$8:$K$928,6,0),"-----")</f>
        <v>-----</v>
      </c>
      <c r="S248" s="396"/>
      <c r="T248" s="387">
        <v>0</v>
      </c>
      <c r="U248" s="388" t="str">
        <f>IFERROR(VLOOKUP(M248,INSUMOS!$C$8:$K$928,7,0),"0")</f>
        <v>0</v>
      </c>
      <c r="V248" s="389">
        <f>+IFERROR(U248*(S248*(1+T248)),0)</f>
        <v>0</v>
      </c>
      <c r="Y248" s="393">
        <f>+IFERROR(Y234*(S248*(1+T248)),0)</f>
        <v>0</v>
      </c>
      <c r="Z248" s="391">
        <f>Y234*V248</f>
        <v>0</v>
      </c>
      <c r="AA248" s="394"/>
      <c r="AB248" s="395">
        <f>+Y248*U248</f>
        <v>0</v>
      </c>
      <c r="AC248" s="93">
        <f>+AB248-Z248</f>
        <v>0</v>
      </c>
      <c r="AD248" s="94"/>
      <c r="AE248" s="406" t="str">
        <f>+IF(V248=0,"CERO","NO")</f>
        <v>CERO</v>
      </c>
    </row>
    <row r="249" spans="3:31" s="260" customFormat="1" x14ac:dyDescent="0.25">
      <c r="C249" s="84"/>
      <c r="D249" s="85"/>
      <c r="E249" s="86"/>
      <c r="F249" s="86"/>
      <c r="G249" s="86"/>
      <c r="H249" s="86"/>
      <c r="I249" s="86"/>
      <c r="J249" s="87"/>
      <c r="K249" s="88"/>
      <c r="M249" s="102"/>
      <c r="N249" s="533" t="str">
        <f>IFERROR(VLOOKUP(M249,INSUMOS!$C$8:$K$928,2,0),"-----")</f>
        <v>-----</v>
      </c>
      <c r="O249" s="533"/>
      <c r="P249" s="533"/>
      <c r="Q249" s="533"/>
      <c r="R249" s="78" t="str">
        <f>IFERROR(VLOOKUP(M249,INSUMOS!$C$8:$K$928,6,0),"-----")</f>
        <v>-----</v>
      </c>
      <c r="S249" s="396"/>
      <c r="T249" s="387">
        <v>0</v>
      </c>
      <c r="U249" s="388" t="str">
        <f>IFERROR(VLOOKUP(M249,INSUMOS!$C$8:$K$928,7,0),"0")</f>
        <v>0</v>
      </c>
      <c r="V249" s="389">
        <f>+IFERROR(U249*(S249*(1+T249)),0)</f>
        <v>0</v>
      </c>
      <c r="Y249" s="393">
        <f>+IFERROR(Y234*(S249*(1+T249)),0)</f>
        <v>0</v>
      </c>
      <c r="Z249" s="391">
        <f>Y234*V249</f>
        <v>0</v>
      </c>
      <c r="AA249" s="394"/>
      <c r="AB249" s="395">
        <f>+Y249*U249</f>
        <v>0</v>
      </c>
      <c r="AC249" s="93">
        <f>+AB249-Z249</f>
        <v>0</v>
      </c>
      <c r="AD249" s="94"/>
      <c r="AE249" s="406" t="str">
        <f>+IF(V249=0,"CERO","NO")</f>
        <v>CERO</v>
      </c>
    </row>
    <row r="250" spans="3:31" s="260" customFormat="1" x14ac:dyDescent="0.25">
      <c r="C250" s="84"/>
      <c r="D250" s="85"/>
      <c r="E250" s="86"/>
      <c r="F250" s="86"/>
      <c r="G250" s="86"/>
      <c r="H250" s="86"/>
      <c r="I250" s="86"/>
      <c r="J250" s="87"/>
      <c r="K250" s="88"/>
      <c r="M250" s="102">
        <v>0</v>
      </c>
      <c r="N250" s="533" t="str">
        <f>IFERROR(VLOOKUP(M250,INSUMOS!$C$8:$K$928,2,0),"-----")</f>
        <v>-----</v>
      </c>
      <c r="O250" s="533"/>
      <c r="P250" s="533"/>
      <c r="Q250" s="533"/>
      <c r="R250" s="78" t="str">
        <f>IFERROR(VLOOKUP(M250,INSUMOS!$C$8:$K$928,6,0),"-----")</f>
        <v>-----</v>
      </c>
      <c r="S250" s="396"/>
      <c r="T250" s="387">
        <v>0</v>
      </c>
      <c r="U250" s="388" t="str">
        <f>IFERROR(VLOOKUP(M250,INSUMOS!$C$8:$K$928,7,0),"0")</f>
        <v>0</v>
      </c>
      <c r="V250" s="389">
        <f>+IFERROR(U250*(S250*(1+T250)),0)</f>
        <v>0</v>
      </c>
      <c r="Y250" s="393">
        <f>+IFERROR(Y234*(S250*(1+T250)),0)</f>
        <v>0</v>
      </c>
      <c r="Z250" s="391">
        <f>Y234*V250</f>
        <v>0</v>
      </c>
      <c r="AA250" s="394"/>
      <c r="AB250" s="395">
        <f>+Y250*U250</f>
        <v>0</v>
      </c>
      <c r="AC250" s="93">
        <f>+AB250-Z250</f>
        <v>0</v>
      </c>
      <c r="AD250" s="94"/>
      <c r="AE250" s="406" t="str">
        <f>+IF(V250=0,"CERO","NO")</f>
        <v>CERO</v>
      </c>
    </row>
    <row r="251" spans="3:31" s="260" customFormat="1" ht="15.75" thickBot="1" x14ac:dyDescent="0.3">
      <c r="C251" s="84"/>
      <c r="D251" s="85"/>
      <c r="E251" s="86"/>
      <c r="F251" s="86"/>
      <c r="G251" s="86"/>
      <c r="H251" s="86"/>
      <c r="I251" s="86"/>
      <c r="J251" s="87"/>
      <c r="K251" s="88"/>
      <c r="M251" s="102">
        <v>0</v>
      </c>
      <c r="N251" s="564"/>
      <c r="O251" s="564"/>
      <c r="P251" s="564"/>
      <c r="Q251" s="564"/>
      <c r="R251" s="96"/>
      <c r="S251" s="79"/>
      <c r="T251" s="97"/>
      <c r="U251" s="358"/>
      <c r="V251" s="397"/>
      <c r="Y251" s="393">
        <f>+IFERROR(Y234*(S251*(1+T251)),0)</f>
        <v>0</v>
      </c>
      <c r="Z251" s="391">
        <f>Y234*V251</f>
        <v>0</v>
      </c>
      <c r="AA251" s="394"/>
      <c r="AB251" s="395">
        <f>+Y251*U251</f>
        <v>0</v>
      </c>
      <c r="AC251" s="93">
        <f>+AB251-Z251</f>
        <v>0</v>
      </c>
      <c r="AD251" s="94"/>
      <c r="AE251" s="406" t="str">
        <f>+IF(V251=0,"CERO","NO")</f>
        <v>CERO</v>
      </c>
    </row>
    <row r="252" spans="3:31" s="260" customFormat="1" ht="15.75" thickBot="1" x14ac:dyDescent="0.3">
      <c r="C252" s="84"/>
      <c r="D252" s="375" t="s">
        <v>128</v>
      </c>
      <c r="E252" s="376" t="s">
        <v>129</v>
      </c>
      <c r="F252" s="376" t="s">
        <v>130</v>
      </c>
      <c r="G252" s="376" t="s">
        <v>131</v>
      </c>
      <c r="H252" s="376" t="s">
        <v>132</v>
      </c>
      <c r="I252" s="376" t="s">
        <v>133</v>
      </c>
      <c r="J252" s="377" t="s">
        <v>134</v>
      </c>
      <c r="K252" s="88"/>
      <c r="M252" s="534"/>
      <c r="N252" s="536" t="s">
        <v>106</v>
      </c>
      <c r="O252" s="536"/>
      <c r="P252" s="536"/>
      <c r="Q252" s="536"/>
      <c r="R252" s="536"/>
      <c r="S252" s="536"/>
      <c r="T252" s="536"/>
      <c r="U252" s="536"/>
      <c r="V252" s="389">
        <f>+SUM(V247:V251)</f>
        <v>0</v>
      </c>
      <c r="Y252" s="398" t="s">
        <v>135</v>
      </c>
      <c r="Z252" s="397">
        <f>+SUM(Z247:Z251)</f>
        <v>0</v>
      </c>
      <c r="AA252" s="86"/>
      <c r="AB252" s="384"/>
      <c r="AC252" s="385"/>
      <c r="AD252" s="94"/>
      <c r="AE252" s="399"/>
    </row>
    <row r="253" spans="3:31" s="260" customFormat="1" ht="15.75" thickBot="1" x14ac:dyDescent="0.3">
      <c r="C253" s="84"/>
      <c r="D253" s="375"/>
      <c r="E253" s="407">
        <f>+D244</f>
        <v>1.02</v>
      </c>
      <c r="F253" s="376"/>
      <c r="G253" s="376"/>
      <c r="H253" s="376"/>
      <c r="I253" s="376"/>
      <c r="J253" s="377"/>
      <c r="K253" s="88"/>
      <c r="M253" s="535"/>
      <c r="N253" s="537" t="s">
        <v>107</v>
      </c>
      <c r="O253" s="537"/>
      <c r="P253" s="537"/>
      <c r="Q253" s="537"/>
      <c r="R253" s="537"/>
      <c r="S253" s="537"/>
      <c r="T253" s="537"/>
      <c r="U253" s="537"/>
      <c r="V253" s="408">
        <f>+ROUND(V252,$AA$5)</f>
        <v>0</v>
      </c>
      <c r="Y253" s="401" t="s">
        <v>136</v>
      </c>
      <c r="Z253" s="402">
        <f>+ROUND(Z252,$AA$5)</f>
        <v>0</v>
      </c>
      <c r="AA253" s="86"/>
      <c r="AB253" s="403">
        <f>+V253*Y234</f>
        <v>0</v>
      </c>
      <c r="AC253" s="404">
        <f>+AB253-Z253</f>
        <v>0</v>
      </c>
      <c r="AD253" s="94"/>
      <c r="AE253" s="405"/>
    </row>
    <row r="254" spans="3:31" s="260" customFormat="1" x14ac:dyDescent="0.25">
      <c r="C254" s="84"/>
      <c r="D254" s="380"/>
      <c r="E254" s="381"/>
      <c r="F254" s="381"/>
      <c r="G254" s="381"/>
      <c r="H254" s="381"/>
      <c r="I254" s="381"/>
      <c r="J254" s="382"/>
      <c r="K254" s="88"/>
      <c r="M254" s="568" t="s">
        <v>108</v>
      </c>
      <c r="N254" s="569"/>
      <c r="O254" s="569"/>
      <c r="P254" s="569"/>
      <c r="Q254" s="569"/>
      <c r="R254" s="569"/>
      <c r="S254" s="569"/>
      <c r="T254" s="569"/>
      <c r="U254" s="569"/>
      <c r="V254" s="570"/>
      <c r="Y254" s="378"/>
      <c r="Z254" s="121"/>
      <c r="AA254" s="86"/>
      <c r="AB254" s="409"/>
      <c r="AC254" s="121"/>
      <c r="AD254" s="94"/>
      <c r="AE254" s="126"/>
    </row>
    <row r="255" spans="3:31" s="260" customFormat="1" ht="25.5" x14ac:dyDescent="0.25">
      <c r="C255" s="84"/>
      <c r="D255" s="85"/>
      <c r="E255" s="86"/>
      <c r="F255" s="86"/>
      <c r="G255" s="86"/>
      <c r="H255" s="86"/>
      <c r="I255" s="86"/>
      <c r="J255" s="87"/>
      <c r="K255" s="88"/>
      <c r="M255" s="99" t="s">
        <v>94</v>
      </c>
      <c r="N255" s="561" t="s">
        <v>95</v>
      </c>
      <c r="O255" s="561"/>
      <c r="P255" s="561"/>
      <c r="Q255" s="95" t="s">
        <v>109</v>
      </c>
      <c r="R255" s="95" t="s">
        <v>110</v>
      </c>
      <c r="S255" s="95" t="s">
        <v>111</v>
      </c>
      <c r="T255" s="562" t="s">
        <v>112</v>
      </c>
      <c r="U255" s="562"/>
      <c r="V255" s="100" t="s">
        <v>98</v>
      </c>
      <c r="Y255" s="383" t="s">
        <v>104</v>
      </c>
      <c r="Z255" s="119" t="s">
        <v>9</v>
      </c>
      <c r="AA255" s="86"/>
      <c r="AB255" s="384"/>
      <c r="AC255" s="385"/>
      <c r="AD255" s="94"/>
      <c r="AE255" s="410"/>
    </row>
    <row r="256" spans="3:31" s="260" customFormat="1" x14ac:dyDescent="0.25">
      <c r="C256" s="84"/>
      <c r="D256" s="85"/>
      <c r="E256" s="86"/>
      <c r="F256" s="86"/>
      <c r="G256" s="86"/>
      <c r="H256" s="86"/>
      <c r="I256" s="86"/>
      <c r="J256" s="87"/>
      <c r="K256" s="88"/>
      <c r="M256" s="102"/>
      <c r="N256" s="530" t="str">
        <f>IFERROR(VLOOKUP(M256,INSUMOS!$C$8:$K$928,2,0),"-----")</f>
        <v>-----</v>
      </c>
      <c r="O256" s="531"/>
      <c r="P256" s="532"/>
      <c r="Q256" s="78" t="str">
        <f>IFERROR(VLOOKUP(M256,INSUMOS!$C$8:$K$928,5,0),"-----")</f>
        <v>-----</v>
      </c>
      <c r="R256" s="80"/>
      <c r="S256" s="80" t="str">
        <f>IFERROR(VLOOKUP(M256,INSUMOS!$C$8:$K$928,6,0),"0")</f>
        <v>0</v>
      </c>
      <c r="T256" s="529" t="str">
        <f>IFERROR(VLOOKUP(M256,INSUMOS!$C$8:$K$928,7,0),"0")</f>
        <v>0</v>
      </c>
      <c r="U256" s="529"/>
      <c r="V256" s="82">
        <f>+T256*S256*R256</f>
        <v>0</v>
      </c>
      <c r="Y256" s="393">
        <f>+IFERROR((R256*S256)*Y234,0)</f>
        <v>0</v>
      </c>
      <c r="Z256" s="391">
        <f>Y234*V256</f>
        <v>0</v>
      </c>
      <c r="AA256" s="86"/>
      <c r="AB256" s="92">
        <f>+Y256*T256</f>
        <v>0</v>
      </c>
      <c r="AC256" s="93">
        <f>+AB256-Z256</f>
        <v>0</v>
      </c>
      <c r="AD256" s="94"/>
      <c r="AE256" s="406" t="str">
        <f>+IF(V256=0,"CERO","NO")</f>
        <v>CERO</v>
      </c>
    </row>
    <row r="257" spans="3:31" s="260" customFormat="1" x14ac:dyDescent="0.25">
      <c r="C257" s="84"/>
      <c r="D257" s="85"/>
      <c r="E257" s="86"/>
      <c r="F257" s="86"/>
      <c r="G257" s="86"/>
      <c r="H257" s="86"/>
      <c r="I257" s="86"/>
      <c r="J257" s="87"/>
      <c r="K257" s="88"/>
      <c r="M257" s="102"/>
      <c r="N257" s="530" t="str">
        <f>IFERROR(VLOOKUP(M257,INSUMOS!$C$8:$K$928,2,0),"-----")</f>
        <v>-----</v>
      </c>
      <c r="O257" s="531"/>
      <c r="P257" s="532"/>
      <c r="Q257" s="78" t="str">
        <f>IFERROR(VLOOKUP(M257,INSUMOS!$C$8:$K$928,5,0),"-----")</f>
        <v>-----</v>
      </c>
      <c r="R257" s="80"/>
      <c r="S257" s="80" t="str">
        <f>IFERROR(VLOOKUP(M257,INSUMOS!$C$8:$K$928,6,0),"0")</f>
        <v>0</v>
      </c>
      <c r="T257" s="529" t="str">
        <f>IFERROR(VLOOKUP(M257,INSUMOS!$C$8:$K$928,7,0),"0")</f>
        <v>0</v>
      </c>
      <c r="U257" s="529"/>
      <c r="V257" s="82">
        <f>+T257*S257*R257</f>
        <v>0</v>
      </c>
      <c r="Y257" s="393">
        <f>+IFERROR((R257*S257)*Y234,0)</f>
        <v>0</v>
      </c>
      <c r="Z257" s="391">
        <f>Y234*V257</f>
        <v>0</v>
      </c>
      <c r="AA257" s="86"/>
      <c r="AB257" s="92">
        <f>+Y257*T257</f>
        <v>0</v>
      </c>
      <c r="AC257" s="93">
        <f>+AB257-Z257</f>
        <v>0</v>
      </c>
      <c r="AD257" s="94"/>
      <c r="AE257" s="406" t="str">
        <f>+IF(V257=0,"CERO","NO")</f>
        <v>CERO</v>
      </c>
    </row>
    <row r="258" spans="3:31" s="260" customFormat="1" x14ac:dyDescent="0.25">
      <c r="C258" s="84"/>
      <c r="D258" s="85"/>
      <c r="E258" s="86"/>
      <c r="F258" s="86"/>
      <c r="G258" s="86"/>
      <c r="H258" s="86"/>
      <c r="I258" s="86"/>
      <c r="J258" s="87"/>
      <c r="K258" s="88"/>
      <c r="M258" s="102">
        <v>0</v>
      </c>
      <c r="N258" s="530" t="str">
        <f>IFERROR(VLOOKUP(M258,INSUMOS!$C$8:$K$928,2,0),"-----")</f>
        <v>-----</v>
      </c>
      <c r="O258" s="531"/>
      <c r="P258" s="532"/>
      <c r="Q258" s="78" t="str">
        <f>IFERROR(VLOOKUP(M258,INSUMOS!$C$8:$K$928,5,0),"-----")</f>
        <v>-----</v>
      </c>
      <c r="R258" s="80"/>
      <c r="S258" s="80" t="str">
        <f>IFERROR(VLOOKUP(M258,INSUMOS!$C$8:$K$928,6,0),"0")</f>
        <v>0</v>
      </c>
      <c r="T258" s="529" t="str">
        <f>IFERROR(VLOOKUP(M258,INSUMOS!$C$8:$K$928,7,0),"0")</f>
        <v>0</v>
      </c>
      <c r="U258" s="529"/>
      <c r="V258" s="82">
        <f>+T258*S258*R258</f>
        <v>0</v>
      </c>
      <c r="Y258" s="393">
        <f>+IFERROR((R258*S258)*Y234,0)</f>
        <v>0</v>
      </c>
      <c r="Z258" s="391">
        <f>Y234*V258</f>
        <v>0</v>
      </c>
      <c r="AA258" s="86"/>
      <c r="AB258" s="92">
        <f>+Y258*T258</f>
        <v>0</v>
      </c>
      <c r="AC258" s="93">
        <f>+AB258-Z258</f>
        <v>0</v>
      </c>
      <c r="AD258" s="94"/>
      <c r="AE258" s="406" t="str">
        <f>+IF(V258=0,"CERO","NO")</f>
        <v>CERO</v>
      </c>
    </row>
    <row r="259" spans="3:31" s="260" customFormat="1" ht="15.75" thickBot="1" x14ac:dyDescent="0.3">
      <c r="C259" s="84"/>
      <c r="D259" s="89"/>
      <c r="E259" s="90"/>
      <c r="F259" s="90"/>
      <c r="G259" s="90"/>
      <c r="H259" s="90"/>
      <c r="I259" s="90"/>
      <c r="J259" s="91"/>
      <c r="K259" s="88"/>
      <c r="M259" s="102">
        <v>0</v>
      </c>
      <c r="N259" s="533"/>
      <c r="O259" s="533"/>
      <c r="P259" s="533"/>
      <c r="Q259" s="79"/>
      <c r="R259" s="78"/>
      <c r="S259" s="81"/>
      <c r="T259" s="529"/>
      <c r="U259" s="529"/>
      <c r="V259" s="82"/>
      <c r="Y259" s="393">
        <f>+IFERROR((R259*S259)*Y234,0)</f>
        <v>0</v>
      </c>
      <c r="Z259" s="391">
        <f>Y234*V259</f>
        <v>0</v>
      </c>
      <c r="AA259" s="86"/>
      <c r="AB259" s="92">
        <f>+Y259*T259</f>
        <v>0</v>
      </c>
      <c r="AC259" s="93">
        <f>+AB259-Z259</f>
        <v>0</v>
      </c>
      <c r="AD259" s="94"/>
      <c r="AE259" s="406" t="str">
        <f>+IF(V259=0,"CERO","NO")</f>
        <v>CERO</v>
      </c>
    </row>
    <row r="260" spans="3:31" s="260" customFormat="1" ht="15.75" thickBot="1" x14ac:dyDescent="0.3">
      <c r="C260" s="84"/>
      <c r="D260" s="375" t="s">
        <v>128</v>
      </c>
      <c r="E260" s="376" t="s">
        <v>129</v>
      </c>
      <c r="F260" s="376" t="s">
        <v>130</v>
      </c>
      <c r="G260" s="376" t="s">
        <v>131</v>
      </c>
      <c r="H260" s="376" t="s">
        <v>132</v>
      </c>
      <c r="I260" s="376" t="s">
        <v>133</v>
      </c>
      <c r="J260" s="377" t="s">
        <v>134</v>
      </c>
      <c r="K260" s="88"/>
      <c r="M260" s="534"/>
      <c r="N260" s="536" t="s">
        <v>113</v>
      </c>
      <c r="O260" s="536"/>
      <c r="P260" s="536"/>
      <c r="Q260" s="536"/>
      <c r="R260" s="536"/>
      <c r="S260" s="536"/>
      <c r="T260" s="536"/>
      <c r="U260" s="536"/>
      <c r="V260" s="411">
        <f>+SUM(V256:V259)</f>
        <v>0</v>
      </c>
      <c r="Y260" s="398" t="s">
        <v>135</v>
      </c>
      <c r="Z260" s="397">
        <f>+SUM(Z256:Z259)</f>
        <v>0</v>
      </c>
      <c r="AA260" s="86"/>
      <c r="AB260" s="384"/>
      <c r="AC260" s="385"/>
      <c r="AD260" s="94"/>
      <c r="AE260" s="399"/>
    </row>
    <row r="261" spans="3:31" s="260" customFormat="1" ht="15.75" thickBot="1" x14ac:dyDescent="0.3">
      <c r="C261" s="84"/>
      <c r="D261" s="355"/>
      <c r="E261" s="367"/>
      <c r="F261" s="412">
        <f>+E253</f>
        <v>1.02</v>
      </c>
      <c r="G261" s="367"/>
      <c r="H261" s="367"/>
      <c r="I261" s="367"/>
      <c r="J261" s="368"/>
      <c r="K261" s="88"/>
      <c r="M261" s="535"/>
      <c r="N261" s="537" t="s">
        <v>114</v>
      </c>
      <c r="O261" s="537"/>
      <c r="P261" s="537"/>
      <c r="Q261" s="537"/>
      <c r="R261" s="537"/>
      <c r="S261" s="537"/>
      <c r="T261" s="537"/>
      <c r="U261" s="537"/>
      <c r="V261" s="413">
        <f>+ROUND(V260,$AA$5)</f>
        <v>0</v>
      </c>
      <c r="Y261" s="401" t="s">
        <v>136</v>
      </c>
      <c r="Z261" s="402">
        <f>+ROUND(Z260,$AA$5)</f>
        <v>0</v>
      </c>
      <c r="AA261" s="86"/>
      <c r="AB261" s="403">
        <f>+V261*Y234</f>
        <v>0</v>
      </c>
      <c r="AC261" s="414"/>
      <c r="AD261" s="94"/>
      <c r="AE261" s="405"/>
    </row>
    <row r="262" spans="3:31" s="260" customFormat="1" ht="15.75" thickBot="1" x14ac:dyDescent="0.3">
      <c r="C262" s="84"/>
      <c r="D262" s="415"/>
      <c r="E262" s="416"/>
      <c r="F262" s="416"/>
      <c r="G262" s="416"/>
      <c r="H262" s="416"/>
      <c r="I262" s="416"/>
      <c r="J262" s="417"/>
      <c r="K262" s="88"/>
      <c r="M262" s="538" t="s">
        <v>115</v>
      </c>
      <c r="N262" s="539"/>
      <c r="O262" s="539"/>
      <c r="P262" s="539"/>
      <c r="Q262" s="539"/>
      <c r="R262" s="539"/>
      <c r="S262" s="539"/>
      <c r="T262" s="539"/>
      <c r="U262" s="539"/>
      <c r="V262" s="540"/>
      <c r="Y262" s="378"/>
      <c r="Z262" s="121"/>
      <c r="AA262" s="86"/>
      <c r="AB262" s="409"/>
      <c r="AC262" s="121"/>
      <c r="AD262" s="94"/>
      <c r="AE262" s="126"/>
    </row>
    <row r="263" spans="3:31" s="260" customFormat="1" ht="15.75" thickBot="1" x14ac:dyDescent="0.3">
      <c r="C263" s="84"/>
      <c r="D263" s="375" t="s">
        <v>128</v>
      </c>
      <c r="E263" s="376" t="s">
        <v>129</v>
      </c>
      <c r="F263" s="376" t="s">
        <v>130</v>
      </c>
      <c r="G263" s="376" t="s">
        <v>131</v>
      </c>
      <c r="H263" s="376" t="s">
        <v>132</v>
      </c>
      <c r="I263" s="376" t="s">
        <v>133</v>
      </c>
      <c r="J263" s="377" t="s">
        <v>134</v>
      </c>
      <c r="K263" s="88"/>
      <c r="M263" s="99" t="s">
        <v>94</v>
      </c>
      <c r="N263" s="98" t="s">
        <v>95</v>
      </c>
      <c r="O263" s="95" t="s">
        <v>96</v>
      </c>
      <c r="P263" s="359" t="s">
        <v>104</v>
      </c>
      <c r="Q263" s="95" t="s">
        <v>116</v>
      </c>
      <c r="R263" s="418" t="s">
        <v>117</v>
      </c>
      <c r="S263" s="95" t="s">
        <v>347</v>
      </c>
      <c r="T263" s="419" t="s">
        <v>118</v>
      </c>
      <c r="U263" s="189" t="s">
        <v>119</v>
      </c>
      <c r="V263" s="100" t="s">
        <v>98</v>
      </c>
      <c r="Y263" s="383" t="s">
        <v>104</v>
      </c>
      <c r="Z263" s="119" t="s">
        <v>9</v>
      </c>
      <c r="AA263" s="86"/>
      <c r="AB263" s="384"/>
      <c r="AC263" s="385"/>
      <c r="AD263" s="94"/>
      <c r="AE263" s="410"/>
    </row>
    <row r="264" spans="3:31" s="260" customFormat="1" ht="25.5" x14ac:dyDescent="0.25">
      <c r="C264" s="84"/>
      <c r="D264" s="354"/>
      <c r="E264" s="96"/>
      <c r="F264" s="96"/>
      <c r="G264" s="96"/>
      <c r="H264" s="96"/>
      <c r="I264" s="96"/>
      <c r="J264" s="420">
        <f>+F261</f>
        <v>1.02</v>
      </c>
      <c r="K264" s="88"/>
      <c r="M264" s="102">
        <v>201</v>
      </c>
      <c r="N264" s="347" t="str">
        <f>IFERROR(VLOOKUP(M264,INSUMOS!$C$8:$K$928,2,0),"-----")</f>
        <v>Oficial Albañileria</v>
      </c>
      <c r="O264" s="78" t="str">
        <f>IFERROR(VLOOKUP(M264,INSUMOS!$C$8:$K$928,3,0),"-----")</f>
        <v>JORNAL+PS</v>
      </c>
      <c r="P264" s="80">
        <v>1</v>
      </c>
      <c r="Q264" s="79">
        <v>12</v>
      </c>
      <c r="R264" s="190">
        <f>IFERROR(VLOOKUP(M264,INSUMOS!$C$8:$K$928,4,0),"-----")</f>
        <v>85136</v>
      </c>
      <c r="S264" s="190">
        <f>IFERROR(VLOOKUP(M264,INSUMOS!$C$8:$K$928,6,0),"-----")</f>
        <v>68109</v>
      </c>
      <c r="T264" s="190">
        <f>IFERROR(VLOOKUP(M264,INSUMOS!$C$8:$K$928,5,0),"-----")</f>
        <v>0</v>
      </c>
      <c r="U264" s="388">
        <f>SUM(R264:T264)</f>
        <v>153245</v>
      </c>
      <c r="V264" s="82">
        <f>+IFERROR((P264/Q264)*U264,0)</f>
        <v>12770.416666666666</v>
      </c>
      <c r="Y264" s="393">
        <f>+IFERROR((Y234/Q264*P264),0)</f>
        <v>17.691666666666666</v>
      </c>
      <c r="Z264" s="391">
        <f>Y234*V264</f>
        <v>2711159.4583333335</v>
      </c>
      <c r="AA264" s="86"/>
      <c r="AB264" s="92">
        <f>+(U264)*Y264</f>
        <v>2711159.4583333335</v>
      </c>
      <c r="AC264" s="93">
        <f>+AB264-Z264</f>
        <v>0</v>
      </c>
      <c r="AD264" s="421"/>
      <c r="AE264" s="410" t="str">
        <f>+IF(V264=0,"CERO","NO")</f>
        <v>NO</v>
      </c>
    </row>
    <row r="265" spans="3:31" s="260" customFormat="1" ht="26.25" thickBot="1" x14ac:dyDescent="0.3">
      <c r="C265" s="84"/>
      <c r="D265" s="355"/>
      <c r="E265" s="367"/>
      <c r="F265" s="367"/>
      <c r="G265" s="367"/>
      <c r="H265" s="367"/>
      <c r="I265" s="367"/>
      <c r="J265" s="422">
        <f>+J264</f>
        <v>1.02</v>
      </c>
      <c r="K265" s="88"/>
      <c r="M265" s="102">
        <v>202</v>
      </c>
      <c r="N265" s="347" t="str">
        <f>IFERROR(VLOOKUP(M265,INSUMOS!$C$8:$K$928,2,0),"-----")</f>
        <v>Ayudante Albañileria</v>
      </c>
      <c r="O265" s="78" t="str">
        <f>IFERROR(VLOOKUP(M265,INSUMOS!$C$8:$K$928,3,0),"-----")</f>
        <v>JORNAL+PS</v>
      </c>
      <c r="P265" s="80">
        <v>2</v>
      </c>
      <c r="Q265" s="79">
        <v>12</v>
      </c>
      <c r="R265" s="190">
        <f>IFERROR(VLOOKUP(M265,INSUMOS!$C$8:$K$928,4,0),"-----")</f>
        <v>63490</v>
      </c>
      <c r="S265" s="190">
        <f>IFERROR(VLOOKUP(M265,INSUMOS!$C$8:$K$928,6,0),"-----")</f>
        <v>50792</v>
      </c>
      <c r="T265" s="190">
        <f>IFERROR(VLOOKUP(M265,INSUMOS!$C$8:$K$928,5,0),"-----")</f>
        <v>0</v>
      </c>
      <c r="U265" s="388">
        <f>SUM(R265:T265)</f>
        <v>114282</v>
      </c>
      <c r="V265" s="82">
        <f>+IFERROR((P265/Q265)*U265,0)</f>
        <v>19047</v>
      </c>
      <c r="Y265" s="393">
        <f>+IFERROR((Y234/Q265*P265),0)</f>
        <v>35.383333333333333</v>
      </c>
      <c r="Z265" s="391">
        <f>Y234*V265</f>
        <v>4043678.1</v>
      </c>
      <c r="AA265" s="86"/>
      <c r="AB265" s="92">
        <f>+U265*Y265</f>
        <v>4043678.1</v>
      </c>
      <c r="AC265" s="93">
        <f>+AB265-Z265</f>
        <v>0</v>
      </c>
      <c r="AD265" s="94"/>
      <c r="AE265" s="410" t="str">
        <f>+IF(V265=0,"CERO","NO")</f>
        <v>NO</v>
      </c>
    </row>
    <row r="266" spans="3:31" s="260" customFormat="1" ht="15.75" thickBot="1" x14ac:dyDescent="0.3">
      <c r="C266" s="84"/>
      <c r="D266" s="375" t="s">
        <v>128</v>
      </c>
      <c r="E266" s="376" t="s">
        <v>129</v>
      </c>
      <c r="F266" s="376" t="s">
        <v>130</v>
      </c>
      <c r="G266" s="376" t="s">
        <v>131</v>
      </c>
      <c r="H266" s="376" t="s">
        <v>132</v>
      </c>
      <c r="I266" s="376" t="s">
        <v>133</v>
      </c>
      <c r="J266" s="377" t="s">
        <v>134</v>
      </c>
      <c r="K266" s="88"/>
      <c r="M266" s="534"/>
      <c r="N266" s="536" t="s">
        <v>120</v>
      </c>
      <c r="O266" s="536"/>
      <c r="P266" s="536"/>
      <c r="Q266" s="536"/>
      <c r="R266" s="536"/>
      <c r="S266" s="536"/>
      <c r="T266" s="536"/>
      <c r="U266" s="536"/>
      <c r="V266" s="82">
        <f>+SUM(V264:V265)</f>
        <v>31817.416666666664</v>
      </c>
      <c r="Y266" s="398" t="s">
        <v>135</v>
      </c>
      <c r="Z266" s="397">
        <f>+SUM(Z264:Z265)</f>
        <v>6754837.5583333336</v>
      </c>
      <c r="AA266" s="86"/>
      <c r="AB266" s="384"/>
      <c r="AC266" s="385"/>
      <c r="AD266" s="94"/>
      <c r="AE266" s="399"/>
    </row>
    <row r="267" spans="3:31" s="260" customFormat="1" ht="15.75" thickBot="1" x14ac:dyDescent="0.3">
      <c r="C267" s="84"/>
      <c r="D267" s="354"/>
      <c r="E267" s="96"/>
      <c r="F267" s="96"/>
      <c r="G267" s="107">
        <f>+F261</f>
        <v>1.02</v>
      </c>
      <c r="H267" s="96"/>
      <c r="I267" s="96"/>
      <c r="J267" s="427"/>
      <c r="K267" s="88"/>
      <c r="M267" s="535"/>
      <c r="N267" s="537" t="s">
        <v>121</v>
      </c>
      <c r="O267" s="537"/>
      <c r="P267" s="537"/>
      <c r="Q267" s="537"/>
      <c r="R267" s="537"/>
      <c r="S267" s="537"/>
      <c r="T267" s="537"/>
      <c r="U267" s="537"/>
      <c r="V267" s="413">
        <f>+ROUND(V266,$AA$5)</f>
        <v>31817.42</v>
      </c>
      <c r="Y267" s="401" t="s">
        <v>136</v>
      </c>
      <c r="Z267" s="402">
        <f>+ROUND(Z266,$AA$5)</f>
        <v>6754837.5599999996</v>
      </c>
      <c r="AA267" s="86"/>
      <c r="AB267" s="403">
        <f>+V267*Y234</f>
        <v>6754838.2659999998</v>
      </c>
      <c r="AC267" s="404">
        <f>+AB267-Z267</f>
        <v>0.70600000023841858</v>
      </c>
      <c r="AD267" s="94"/>
      <c r="AE267" s="405"/>
    </row>
    <row r="268" spans="3:31" s="260" customFormat="1" ht="15.75" thickBot="1" x14ac:dyDescent="0.3">
      <c r="C268" s="84"/>
      <c r="D268" s="375" t="s">
        <v>128</v>
      </c>
      <c r="E268" s="376" t="s">
        <v>129</v>
      </c>
      <c r="F268" s="376" t="s">
        <v>130</v>
      </c>
      <c r="G268" s="376" t="s">
        <v>131</v>
      </c>
      <c r="H268" s="376" t="s">
        <v>132</v>
      </c>
      <c r="I268" s="376" t="s">
        <v>133</v>
      </c>
      <c r="J268" s="377" t="s">
        <v>134</v>
      </c>
      <c r="K268" s="88"/>
      <c r="M268" s="541"/>
      <c r="N268" s="542"/>
      <c r="O268" s="542"/>
      <c r="P268" s="542"/>
      <c r="Q268" s="542"/>
      <c r="R268" s="542"/>
      <c r="S268" s="542"/>
      <c r="T268" s="542"/>
      <c r="U268" s="542"/>
      <c r="V268" s="543"/>
      <c r="Y268" s="378"/>
      <c r="Z268" s="121"/>
      <c r="AA268" s="86"/>
      <c r="AB268" s="409"/>
      <c r="AC268" s="121"/>
      <c r="AD268" s="94"/>
      <c r="AE268" s="428"/>
    </row>
    <row r="269" spans="3:31" s="260" customFormat="1" ht="15.75" thickBot="1" x14ac:dyDescent="0.3">
      <c r="C269" s="84"/>
      <c r="D269" s="355"/>
      <c r="E269" s="367"/>
      <c r="F269" s="367"/>
      <c r="G269" s="367"/>
      <c r="H269" s="412">
        <f>G267</f>
        <v>1.02</v>
      </c>
      <c r="I269" s="412"/>
      <c r="J269" s="422"/>
      <c r="K269" s="88"/>
      <c r="M269" s="544" t="s">
        <v>122</v>
      </c>
      <c r="N269" s="537"/>
      <c r="O269" s="537"/>
      <c r="P269" s="537"/>
      <c r="Q269" s="537"/>
      <c r="R269" s="537"/>
      <c r="S269" s="537"/>
      <c r="T269" s="537"/>
      <c r="U269" s="545">
        <f>+V267+V261+V253+V244</f>
        <v>33408.29</v>
      </c>
      <c r="V269" s="546"/>
      <c r="Y269" s="429"/>
      <c r="Z269" s="430">
        <f>+Z267+Z261+Z253+Z244</f>
        <v>7092579.4699999997</v>
      </c>
      <c r="AA269" s="86"/>
      <c r="AB269" s="431">
        <f>+AB267+AB261+AB253+AB244</f>
        <v>7092579.9670000002</v>
      </c>
      <c r="AC269" s="404">
        <f>+AB269-Z269</f>
        <v>0.49700000043958426</v>
      </c>
      <c r="AD269" s="94"/>
      <c r="AE269" s="432"/>
    </row>
    <row r="270" spans="3:31" s="260" customFormat="1" ht="15.75" thickBot="1" x14ac:dyDescent="0.3"/>
    <row r="271" spans="3:31" s="260" customFormat="1" x14ac:dyDescent="0.25">
      <c r="M271" s="547" t="s">
        <v>348</v>
      </c>
      <c r="N271" s="548"/>
      <c r="O271" s="548"/>
      <c r="P271" s="548"/>
      <c r="Q271" s="548"/>
      <c r="R271" s="548"/>
      <c r="S271" s="548"/>
      <c r="T271" s="548"/>
      <c r="U271" s="548"/>
      <c r="V271" s="549"/>
      <c r="Y271" s="378"/>
      <c r="Z271" s="121"/>
      <c r="AA271" s="86"/>
      <c r="AB271" s="94"/>
      <c r="AC271" s="94"/>
      <c r="AD271" s="94"/>
      <c r="AE271" s="126" t="s">
        <v>133</v>
      </c>
    </row>
    <row r="272" spans="3:31" s="260" customFormat="1" x14ac:dyDescent="0.25">
      <c r="M272" s="515" t="s">
        <v>138</v>
      </c>
      <c r="N272" s="516"/>
      <c r="O272" s="516"/>
      <c r="P272" s="516"/>
      <c r="Q272" s="516"/>
      <c r="R272" s="516"/>
      <c r="S272" s="516"/>
      <c r="T272" s="437">
        <v>0</v>
      </c>
      <c r="U272" s="517">
        <f>+ROUND(U269*T272,$AA$5)</f>
        <v>0</v>
      </c>
      <c r="V272" s="518"/>
      <c r="Y272" s="390"/>
      <c r="Z272" s="438">
        <f>+Z269*T272</f>
        <v>0</v>
      </c>
      <c r="AA272" s="86"/>
      <c r="AB272" s="94"/>
      <c r="AC272" s="94"/>
      <c r="AD272" s="94"/>
      <c r="AE272" s="386" t="s">
        <v>133</v>
      </c>
    </row>
    <row r="273" spans="3:31" s="260" customFormat="1" x14ac:dyDescent="0.25">
      <c r="M273" s="515" t="s">
        <v>19</v>
      </c>
      <c r="N273" s="516"/>
      <c r="O273" s="516"/>
      <c r="P273" s="516"/>
      <c r="Q273" s="516"/>
      <c r="R273" s="516"/>
      <c r="S273" s="516"/>
      <c r="T273" s="437">
        <v>0.05</v>
      </c>
      <c r="U273" s="517">
        <f>+ROUND(U269*T273,$AA$5)</f>
        <v>1670.41</v>
      </c>
      <c r="V273" s="518"/>
      <c r="Y273" s="390"/>
      <c r="Z273" s="438">
        <f>+Z269*T273</f>
        <v>354628.97350000002</v>
      </c>
      <c r="AA273" s="86"/>
      <c r="AB273" s="94"/>
      <c r="AC273" s="94"/>
      <c r="AD273" s="94"/>
      <c r="AE273" s="386" t="s">
        <v>133</v>
      </c>
    </row>
    <row r="274" spans="3:31" s="260" customFormat="1" x14ac:dyDescent="0.25">
      <c r="M274" s="515" t="s">
        <v>20</v>
      </c>
      <c r="N274" s="516"/>
      <c r="O274" s="516"/>
      <c r="P274" s="516"/>
      <c r="Q274" s="516"/>
      <c r="R274" s="516"/>
      <c r="S274" s="516"/>
      <c r="T274" s="437">
        <v>0</v>
      </c>
      <c r="U274" s="517">
        <f>+ROUND(U269*T274,$AA$5)</f>
        <v>0</v>
      </c>
      <c r="V274" s="518"/>
      <c r="Y274" s="390"/>
      <c r="Z274" s="438">
        <f>+Z269*T274</f>
        <v>0</v>
      </c>
      <c r="AA274" s="86"/>
      <c r="AB274" s="94"/>
      <c r="AC274" s="94"/>
      <c r="AD274" s="94"/>
      <c r="AE274" s="386" t="s">
        <v>133</v>
      </c>
    </row>
    <row r="275" spans="3:31" s="260" customFormat="1" x14ac:dyDescent="0.25">
      <c r="M275" s="515" t="s">
        <v>21</v>
      </c>
      <c r="N275" s="516"/>
      <c r="O275" s="516"/>
      <c r="P275" s="516"/>
      <c r="Q275" s="516"/>
      <c r="R275" s="516"/>
      <c r="S275" s="516"/>
      <c r="T275" s="437">
        <f>$AA$9</f>
        <v>0</v>
      </c>
      <c r="U275" s="517">
        <f>+ROUND(U269*T275,$AA$5)</f>
        <v>0</v>
      </c>
      <c r="V275" s="518"/>
      <c r="Y275" s="390"/>
      <c r="Z275" s="438">
        <f>+Z274*T275</f>
        <v>0</v>
      </c>
      <c r="AA275" s="86"/>
      <c r="AB275" s="94"/>
      <c r="AC275" s="94"/>
      <c r="AD275" s="94"/>
      <c r="AE275" s="386" t="s">
        <v>133</v>
      </c>
    </row>
    <row r="276" spans="3:31" s="260" customFormat="1" ht="15.75" thickBot="1" x14ac:dyDescent="0.3">
      <c r="M276" s="519" t="s">
        <v>349</v>
      </c>
      <c r="N276" s="520"/>
      <c r="O276" s="520"/>
      <c r="P276" s="520"/>
      <c r="Q276" s="520"/>
      <c r="R276" s="520"/>
      <c r="S276" s="520"/>
      <c r="T276" s="520"/>
      <c r="U276" s="521">
        <f>+SUM(U272:V275)</f>
        <v>1670.41</v>
      </c>
      <c r="V276" s="522"/>
      <c r="Y276" s="390"/>
      <c r="Z276" s="439">
        <f>+SUM(Z272:Z275)</f>
        <v>354628.97350000002</v>
      </c>
      <c r="AA276" s="86"/>
      <c r="AB276" s="94"/>
      <c r="AC276" s="94"/>
      <c r="AD276" s="94"/>
      <c r="AE276" s="386" t="s">
        <v>133</v>
      </c>
    </row>
    <row r="277" spans="3:31" s="260" customFormat="1" ht="15.75" thickBot="1" x14ac:dyDescent="0.3">
      <c r="D277" s="375" t="s">
        <v>128</v>
      </c>
      <c r="E277" s="376" t="s">
        <v>129</v>
      </c>
      <c r="F277" s="376" t="s">
        <v>130</v>
      </c>
      <c r="G277" s="376" t="s">
        <v>131</v>
      </c>
      <c r="H277" s="376" t="s">
        <v>132</v>
      </c>
      <c r="I277" s="376" t="s">
        <v>133</v>
      </c>
      <c r="J277" s="377" t="s">
        <v>134</v>
      </c>
      <c r="M277" s="86"/>
      <c r="N277" s="94"/>
      <c r="O277" s="94"/>
      <c r="P277" s="94"/>
      <c r="Q277" s="86"/>
      <c r="R277" s="86"/>
      <c r="S277" s="86"/>
      <c r="T277" s="440"/>
      <c r="U277" s="523"/>
      <c r="V277" s="523"/>
      <c r="Y277" s="390"/>
      <c r="Z277" s="385"/>
      <c r="AA277" s="86"/>
      <c r="AB277" s="94"/>
      <c r="AC277" s="94"/>
      <c r="AD277" s="94"/>
      <c r="AE277" s="386" t="s">
        <v>133</v>
      </c>
    </row>
    <row r="278" spans="3:31" s="260" customFormat="1" ht="15.75" thickBot="1" x14ac:dyDescent="0.3">
      <c r="D278" s="355"/>
      <c r="E278" s="367"/>
      <c r="F278" s="367"/>
      <c r="G278" s="367"/>
      <c r="H278" s="412"/>
      <c r="I278" s="412">
        <f>H269</f>
        <v>1.02</v>
      </c>
      <c r="J278" s="422"/>
      <c r="M278" s="524" t="s">
        <v>11</v>
      </c>
      <c r="N278" s="525"/>
      <c r="O278" s="525"/>
      <c r="P278" s="525"/>
      <c r="Q278" s="525"/>
      <c r="R278" s="525"/>
      <c r="S278" s="525"/>
      <c r="T278" s="526"/>
      <c r="U278" s="527">
        <f>+U276+U269</f>
        <v>35078.700000000004</v>
      </c>
      <c r="V278" s="528"/>
      <c r="Y278" s="429"/>
      <c r="Z278" s="441">
        <f>+Z276+Z269</f>
        <v>7447208.4435000001</v>
      </c>
      <c r="AA278" s="86"/>
      <c r="AB278" s="94"/>
      <c r="AC278" s="94"/>
      <c r="AD278" s="94"/>
      <c r="AE278" s="405" t="s">
        <v>133</v>
      </c>
    </row>
    <row r="279" spans="3:31" s="260" customFormat="1" x14ac:dyDescent="0.25"/>
    <row r="280" spans="3:31" s="260" customFormat="1" ht="15.75" thickBot="1" x14ac:dyDescent="0.3"/>
    <row r="281" spans="3:31" s="260" customFormat="1" ht="15.75" thickBot="1" x14ac:dyDescent="0.3">
      <c r="M281" s="363" t="s">
        <v>88</v>
      </c>
      <c r="N281" s="436" t="str">
        <f>+N233</f>
        <v>CAP.1</v>
      </c>
      <c r="O281" s="550" t="str">
        <f>IFERROR(VLOOKUP(N281,PPTO!C:H,2,0),"----")</f>
        <v>PRELIMINARES Y REPARACIONES</v>
      </c>
      <c r="P281" s="551"/>
      <c r="Q281" s="551"/>
      <c r="R281" s="551"/>
      <c r="S281" s="551"/>
      <c r="T281" s="551"/>
      <c r="U281" s="552"/>
      <c r="V281" s="74" t="s">
        <v>91</v>
      </c>
      <c r="Y281" s="365" t="s">
        <v>104</v>
      </c>
      <c r="Z281" s="94"/>
      <c r="AA281" s="188"/>
      <c r="AB281" s="553"/>
      <c r="AC281" s="553"/>
      <c r="AD281" s="553"/>
      <c r="AE281" s="94"/>
    </row>
    <row r="282" spans="3:31" s="260" customFormat="1" ht="15.75" thickBot="1" x14ac:dyDescent="0.3">
      <c r="C282" s="369">
        <f>+N282</f>
        <v>1.03</v>
      </c>
      <c r="D282" s="86"/>
      <c r="E282" s="86"/>
      <c r="F282" s="86"/>
      <c r="G282" s="86"/>
      <c r="H282" s="86"/>
      <c r="I282" s="86"/>
      <c r="J282" s="86"/>
      <c r="K282" s="370"/>
      <c r="M282" s="75" t="s">
        <v>92</v>
      </c>
      <c r="N282" s="371">
        <f>+ROUNDUP(N234+0.01,2)</f>
        <v>1.03</v>
      </c>
      <c r="O282" s="554" t="str">
        <f>IFERROR(VLOOKUP(N282,PPTO!C:H,2,0),"----")</f>
        <v>Demolicion de piso para instalacion de redes sanitarias y drenaje</v>
      </c>
      <c r="P282" s="555"/>
      <c r="Q282" s="555"/>
      <c r="R282" s="555"/>
      <c r="S282" s="555"/>
      <c r="T282" s="555"/>
      <c r="U282" s="556"/>
      <c r="V282" s="76" t="str">
        <f>IFERROR(VLOOKUP(N282,PPTO!C:H,3,0),"----")</f>
        <v>M2</v>
      </c>
      <c r="Y282" s="373">
        <f>SUMIFS(PPTO!F:F,PPTO!C:C,APUS!N282)</f>
        <v>108.36</v>
      </c>
      <c r="Z282" s="94"/>
      <c r="AA282" s="86"/>
      <c r="AB282" s="94"/>
      <c r="AC282" s="94"/>
      <c r="AD282" s="94"/>
      <c r="AE282" s="94"/>
    </row>
    <row r="283" spans="3:31" s="260" customFormat="1" ht="15.75" thickBot="1" x14ac:dyDescent="0.3">
      <c r="C283" s="84"/>
      <c r="D283" s="86"/>
      <c r="E283" s="86"/>
      <c r="F283" s="86"/>
      <c r="G283" s="86"/>
      <c r="H283" s="86"/>
      <c r="I283" s="86"/>
      <c r="J283" s="86"/>
      <c r="K283" s="88"/>
      <c r="M283" s="557"/>
      <c r="N283" s="557"/>
      <c r="O283" s="557"/>
      <c r="P283" s="557"/>
      <c r="Q283" s="557"/>
      <c r="R283" s="557"/>
      <c r="S283" s="557"/>
      <c r="T283" s="557"/>
      <c r="U283" s="557"/>
      <c r="V283" s="557"/>
      <c r="Y283" s="374"/>
      <c r="Z283" s="94"/>
      <c r="AA283" s="86"/>
      <c r="AB283" s="94"/>
      <c r="AC283" s="94"/>
      <c r="AD283" s="94"/>
      <c r="AE283" s="94"/>
    </row>
    <row r="284" spans="3:31" s="260" customFormat="1" ht="15.75" thickBot="1" x14ac:dyDescent="0.3">
      <c r="C284" s="84"/>
      <c r="D284" s="375" t="s">
        <v>128</v>
      </c>
      <c r="E284" s="376" t="s">
        <v>129</v>
      </c>
      <c r="F284" s="376" t="s">
        <v>130</v>
      </c>
      <c r="G284" s="376" t="s">
        <v>131</v>
      </c>
      <c r="H284" s="376" t="s">
        <v>132</v>
      </c>
      <c r="I284" s="376" t="s">
        <v>133</v>
      </c>
      <c r="J284" s="377" t="s">
        <v>134</v>
      </c>
      <c r="K284" s="88"/>
      <c r="M284" s="558" t="s">
        <v>93</v>
      </c>
      <c r="N284" s="559"/>
      <c r="O284" s="559"/>
      <c r="P284" s="559"/>
      <c r="Q284" s="559"/>
      <c r="R284" s="559"/>
      <c r="S284" s="559"/>
      <c r="T284" s="559"/>
      <c r="U284" s="559"/>
      <c r="V284" s="560"/>
      <c r="Y284" s="378"/>
      <c r="Z284" s="121"/>
      <c r="AA284" s="86"/>
      <c r="AB284" s="513"/>
      <c r="AC284" s="514"/>
      <c r="AD284" s="94"/>
      <c r="AE284" s="379"/>
    </row>
    <row r="285" spans="3:31" s="260" customFormat="1" x14ac:dyDescent="0.25">
      <c r="C285" s="84"/>
      <c r="D285" s="380"/>
      <c r="E285" s="381"/>
      <c r="F285" s="381"/>
      <c r="G285" s="381"/>
      <c r="H285" s="381"/>
      <c r="I285" s="381"/>
      <c r="J285" s="382"/>
      <c r="K285" s="88"/>
      <c r="M285" s="99" t="s">
        <v>94</v>
      </c>
      <c r="N285" s="561" t="s">
        <v>95</v>
      </c>
      <c r="O285" s="561"/>
      <c r="P285" s="561"/>
      <c r="Q285" s="561"/>
      <c r="R285" s="95" t="s">
        <v>96</v>
      </c>
      <c r="S285" s="95" t="s">
        <v>97</v>
      </c>
      <c r="T285" s="562" t="s">
        <v>8</v>
      </c>
      <c r="U285" s="562"/>
      <c r="V285" s="100" t="s">
        <v>98</v>
      </c>
      <c r="Y285" s="383" t="s">
        <v>104</v>
      </c>
      <c r="Z285" s="119" t="s">
        <v>9</v>
      </c>
      <c r="AA285" s="86"/>
      <c r="AB285" s="384"/>
      <c r="AC285" s="385"/>
      <c r="AD285" s="94"/>
      <c r="AE285" s="386"/>
    </row>
    <row r="286" spans="3:31" s="260" customFormat="1" x14ac:dyDescent="0.25">
      <c r="C286" s="84"/>
      <c r="D286" s="85"/>
      <c r="E286" s="86"/>
      <c r="F286" s="86"/>
      <c r="G286" s="86"/>
      <c r="H286" s="86"/>
      <c r="I286" s="86"/>
      <c r="J286" s="87"/>
      <c r="K286" s="88"/>
      <c r="M286" s="102"/>
      <c r="N286" s="533" t="s">
        <v>99</v>
      </c>
      <c r="O286" s="533"/>
      <c r="P286" s="533"/>
      <c r="Q286" s="533"/>
      <c r="R286" s="78" t="s">
        <v>100</v>
      </c>
      <c r="S286" s="387">
        <f>+$AA$10</f>
        <v>0.05</v>
      </c>
      <c r="T286" s="563">
        <f>V315</f>
        <v>23863.06</v>
      </c>
      <c r="U286" s="563"/>
      <c r="V286" s="389">
        <f>+IFERROR(T286*S286,0)</f>
        <v>1193.153</v>
      </c>
      <c r="Y286" s="390"/>
      <c r="Z286" s="391">
        <f>Y282*V286</f>
        <v>129290.05908000001</v>
      </c>
      <c r="AA286" s="86"/>
      <c r="AB286" s="384"/>
      <c r="AC286" s="385"/>
      <c r="AD286" s="94"/>
      <c r="AE286" s="386" t="str">
        <f>+IF(V286=0,"CERO","NO")</f>
        <v>NO</v>
      </c>
    </row>
    <row r="287" spans="3:31" s="260" customFormat="1" x14ac:dyDescent="0.25">
      <c r="C287" s="84"/>
      <c r="D287" s="85"/>
      <c r="E287" s="86"/>
      <c r="F287" s="86"/>
      <c r="G287" s="86"/>
      <c r="H287" s="86"/>
      <c r="I287" s="86"/>
      <c r="J287" s="87"/>
      <c r="K287" s="88"/>
      <c r="M287" s="106">
        <v>5</v>
      </c>
      <c r="N287" s="533" t="str">
        <f>IFERROR(VLOOKUP(M287,INSUMOS!$C$8:$K$928,2,0),"-----")</f>
        <v>MARTILLO NEUMATICO CON COMPRESOR</v>
      </c>
      <c r="O287" s="533"/>
      <c r="P287" s="533"/>
      <c r="Q287" s="533"/>
      <c r="R287" s="78" t="str">
        <f>IFERROR(VLOOKUP(M287,INSUMOS!$C$8:$K$928,6,0),"-----")</f>
        <v>dia</v>
      </c>
      <c r="S287" s="396">
        <f>1/Q312</f>
        <v>6.25E-2</v>
      </c>
      <c r="T287" s="529">
        <f>IFERROR(VLOOKUP(M287,INSUMOS!$C$8:$K$928,7,0),"0")</f>
        <v>150000</v>
      </c>
      <c r="U287" s="529"/>
      <c r="V287" s="389">
        <f>+IFERROR(T287*S287,0)</f>
        <v>9375</v>
      </c>
      <c r="Y287" s="393">
        <f>+IFERROR(Y282*S287,0)</f>
        <v>6.7725</v>
      </c>
      <c r="Z287" s="391">
        <f>Y282*V287</f>
        <v>1015875</v>
      </c>
      <c r="AA287" s="394"/>
      <c r="AB287" s="395">
        <f>+Y287*T287</f>
        <v>1015875</v>
      </c>
      <c r="AC287" s="93">
        <f>+AB287-Z287</f>
        <v>0</v>
      </c>
      <c r="AD287" s="94"/>
      <c r="AE287" s="386" t="str">
        <f>+IF(V287=0,"CERO","NO")</f>
        <v>NO</v>
      </c>
    </row>
    <row r="288" spans="3:31" s="260" customFormat="1" x14ac:dyDescent="0.25">
      <c r="C288" s="84"/>
      <c r="D288" s="85"/>
      <c r="E288" s="86"/>
      <c r="F288" s="86"/>
      <c r="G288" s="86"/>
      <c r="H288" s="86"/>
      <c r="I288" s="86"/>
      <c r="J288" s="87"/>
      <c r="K288" s="88"/>
      <c r="M288" s="102"/>
      <c r="N288" s="533" t="str">
        <f>IFERROR(VLOOKUP(M288,INSUMOS!$C$8:$K$928,2,0),"-----")</f>
        <v>-----</v>
      </c>
      <c r="O288" s="533"/>
      <c r="P288" s="533"/>
      <c r="Q288" s="533"/>
      <c r="R288" s="78" t="str">
        <f>IFERROR(VLOOKUP(M288,INSUMOS!$C$8:$K$928,6,0),"-----")</f>
        <v>-----</v>
      </c>
      <c r="S288" s="396"/>
      <c r="T288" s="529" t="str">
        <f>IFERROR(VLOOKUP(M288,INSUMOS!$C$8:$K$928,7,0),"0")</f>
        <v>0</v>
      </c>
      <c r="U288" s="529"/>
      <c r="V288" s="389">
        <f>+IFERROR(T288*S288,0)</f>
        <v>0</v>
      </c>
      <c r="Y288" s="393">
        <f>+IFERROR(Y282*S288,0)</f>
        <v>0</v>
      </c>
      <c r="Z288" s="391">
        <f>Y282*V288</f>
        <v>0</v>
      </c>
      <c r="AA288" s="394"/>
      <c r="AB288" s="395">
        <f>+Y288*T288</f>
        <v>0</v>
      </c>
      <c r="AC288" s="93">
        <f>+AB288-Z288</f>
        <v>0</v>
      </c>
      <c r="AD288" s="94"/>
      <c r="AE288" s="386" t="str">
        <f>+IF(V288=0,"CERO","NO")</f>
        <v>CERO</v>
      </c>
    </row>
    <row r="289" spans="3:31" s="260" customFormat="1" x14ac:dyDescent="0.25">
      <c r="C289" s="84"/>
      <c r="D289" s="85"/>
      <c r="E289" s="86"/>
      <c r="F289" s="86"/>
      <c r="G289" s="86"/>
      <c r="H289" s="86"/>
      <c r="I289" s="86"/>
      <c r="J289" s="87"/>
      <c r="K289" s="88"/>
      <c r="M289" s="102">
        <v>0</v>
      </c>
      <c r="N289" s="533"/>
      <c r="O289" s="533"/>
      <c r="P289" s="533"/>
      <c r="Q289" s="533"/>
      <c r="R289" s="78"/>
      <c r="S289" s="396"/>
      <c r="T289" s="529"/>
      <c r="U289" s="529"/>
      <c r="V289" s="397"/>
      <c r="Y289" s="393">
        <f>+IFERROR(Y282*S289,0)</f>
        <v>0</v>
      </c>
      <c r="Z289" s="391">
        <f>Y282*V289</f>
        <v>0</v>
      </c>
      <c r="AA289" s="394"/>
      <c r="AB289" s="395">
        <f>+Y289*T289</f>
        <v>0</v>
      </c>
      <c r="AC289" s="93">
        <f>+AB289-Z289</f>
        <v>0</v>
      </c>
      <c r="AD289" s="94"/>
      <c r="AE289" s="386" t="str">
        <f>+IF(V289=0,"CERO","NO")</f>
        <v>CERO</v>
      </c>
    </row>
    <row r="290" spans="3:31" s="260" customFormat="1" ht="15.75" thickBot="1" x14ac:dyDescent="0.3">
      <c r="C290" s="84"/>
      <c r="D290" s="85"/>
      <c r="E290" s="86"/>
      <c r="F290" s="86"/>
      <c r="G290" s="86"/>
      <c r="H290" s="86"/>
      <c r="I290" s="86"/>
      <c r="J290" s="87"/>
      <c r="K290" s="88"/>
      <c r="M290" s="102">
        <v>0</v>
      </c>
      <c r="N290" s="564"/>
      <c r="O290" s="564"/>
      <c r="P290" s="564"/>
      <c r="Q290" s="564"/>
      <c r="R290" s="96"/>
      <c r="S290" s="96"/>
      <c r="T290" s="565"/>
      <c r="U290" s="565"/>
      <c r="V290" s="101"/>
      <c r="Y290" s="393">
        <f>+IFERROR(Y282*S290,0)</f>
        <v>0</v>
      </c>
      <c r="Z290" s="391">
        <f>Y282*V290</f>
        <v>0</v>
      </c>
      <c r="AA290" s="394"/>
      <c r="AB290" s="395">
        <f>+Y290*T290</f>
        <v>0</v>
      </c>
      <c r="AC290" s="93">
        <f>+AB290-Z290</f>
        <v>0</v>
      </c>
      <c r="AD290" s="94"/>
      <c r="AE290" s="386" t="str">
        <f>+IF(V290=0,"CERO","NO")</f>
        <v>CERO</v>
      </c>
    </row>
    <row r="291" spans="3:31" s="260" customFormat="1" ht="15.75" thickBot="1" x14ac:dyDescent="0.3">
      <c r="C291" s="84"/>
      <c r="D291" s="375" t="s">
        <v>128</v>
      </c>
      <c r="E291" s="376" t="s">
        <v>129</v>
      </c>
      <c r="F291" s="376" t="s">
        <v>130</v>
      </c>
      <c r="G291" s="376" t="s">
        <v>131</v>
      </c>
      <c r="H291" s="376" t="s">
        <v>132</v>
      </c>
      <c r="I291" s="376" t="s">
        <v>133</v>
      </c>
      <c r="J291" s="377" t="s">
        <v>134</v>
      </c>
      <c r="K291" s="88"/>
      <c r="M291" s="534"/>
      <c r="N291" s="536" t="s">
        <v>101</v>
      </c>
      <c r="O291" s="536"/>
      <c r="P291" s="536"/>
      <c r="Q291" s="536"/>
      <c r="R291" s="536"/>
      <c r="S291" s="536"/>
      <c r="T291" s="536"/>
      <c r="U291" s="536"/>
      <c r="V291" s="389">
        <f>+SUM(V286:V290)</f>
        <v>10568.153</v>
      </c>
      <c r="Y291" s="398" t="s">
        <v>135</v>
      </c>
      <c r="Z291" s="397">
        <f>+SUM(Z286:Z290)</f>
        <v>1145165.05908</v>
      </c>
      <c r="AA291" s="86"/>
      <c r="AB291" s="384"/>
      <c r="AC291" s="385"/>
      <c r="AD291" s="94"/>
      <c r="AE291" s="399"/>
    </row>
    <row r="292" spans="3:31" s="260" customFormat="1" ht="15.75" thickBot="1" x14ac:dyDescent="0.3">
      <c r="C292" s="84"/>
      <c r="D292" s="375">
        <f>C282</f>
        <v>1.03</v>
      </c>
      <c r="E292" s="376"/>
      <c r="F292" s="376"/>
      <c r="G292" s="376"/>
      <c r="H292" s="376"/>
      <c r="I292" s="376"/>
      <c r="J292" s="377"/>
      <c r="K292" s="88"/>
      <c r="M292" s="566"/>
      <c r="N292" s="567" t="s">
        <v>102</v>
      </c>
      <c r="O292" s="567"/>
      <c r="P292" s="567"/>
      <c r="Q292" s="567"/>
      <c r="R292" s="567"/>
      <c r="S292" s="567"/>
      <c r="T292" s="567"/>
      <c r="U292" s="567"/>
      <c r="V292" s="400">
        <f>+ROUND(V291,$AA$5)</f>
        <v>10568.15</v>
      </c>
      <c r="Y292" s="401" t="s">
        <v>136</v>
      </c>
      <c r="Z292" s="402">
        <f>+ROUND(Z291,$AA$5)</f>
        <v>1145165.06</v>
      </c>
      <c r="AA292" s="86"/>
      <c r="AB292" s="403">
        <f>+V292*Y282</f>
        <v>1145164.7339999999</v>
      </c>
      <c r="AC292" s="404">
        <f>+AB292-Z292</f>
        <v>-0.32600000011734664</v>
      </c>
      <c r="AD292" s="94"/>
      <c r="AE292" s="405"/>
    </row>
    <row r="293" spans="3:31" s="260" customFormat="1" x14ac:dyDescent="0.25">
      <c r="C293" s="84"/>
      <c r="D293" s="380"/>
      <c r="E293" s="381"/>
      <c r="F293" s="381"/>
      <c r="G293" s="381"/>
      <c r="H293" s="381"/>
      <c r="I293" s="381"/>
      <c r="J293" s="382"/>
      <c r="K293" s="88"/>
      <c r="M293" s="510" t="s">
        <v>103</v>
      </c>
      <c r="N293" s="511"/>
      <c r="O293" s="511"/>
      <c r="P293" s="511"/>
      <c r="Q293" s="511"/>
      <c r="R293" s="511"/>
      <c r="S293" s="511"/>
      <c r="T293" s="511"/>
      <c r="U293" s="511"/>
      <c r="V293" s="512"/>
      <c r="Y293" s="378"/>
      <c r="Z293" s="121"/>
      <c r="AA293" s="86"/>
      <c r="AB293" s="513"/>
      <c r="AC293" s="514"/>
      <c r="AD293" s="94"/>
      <c r="AE293" s="126"/>
    </row>
    <row r="294" spans="3:31" s="260" customFormat="1" x14ac:dyDescent="0.25">
      <c r="C294" s="84"/>
      <c r="D294" s="85"/>
      <c r="E294" s="86"/>
      <c r="F294" s="86"/>
      <c r="G294" s="86"/>
      <c r="H294" s="86"/>
      <c r="I294" s="86"/>
      <c r="J294" s="87"/>
      <c r="K294" s="88"/>
      <c r="M294" s="99" t="s">
        <v>94</v>
      </c>
      <c r="N294" s="561" t="s">
        <v>95</v>
      </c>
      <c r="O294" s="561"/>
      <c r="P294" s="561"/>
      <c r="Q294" s="561"/>
      <c r="R294" s="95" t="s">
        <v>96</v>
      </c>
      <c r="S294" s="95" t="s">
        <v>104</v>
      </c>
      <c r="T294" s="356" t="s">
        <v>105</v>
      </c>
      <c r="U294" s="356" t="s">
        <v>8</v>
      </c>
      <c r="V294" s="100" t="s">
        <v>98</v>
      </c>
      <c r="Y294" s="383" t="s">
        <v>104</v>
      </c>
      <c r="Z294" s="119" t="s">
        <v>9</v>
      </c>
      <c r="AA294" s="86"/>
      <c r="AB294" s="384"/>
      <c r="AC294" s="385"/>
      <c r="AD294" s="94"/>
      <c r="AE294" s="406"/>
    </row>
    <row r="295" spans="3:31" s="260" customFormat="1" x14ac:dyDescent="0.25">
      <c r="C295" s="84"/>
      <c r="D295" s="85"/>
      <c r="E295" s="86"/>
      <c r="F295" s="86"/>
      <c r="G295" s="86"/>
      <c r="H295" s="86"/>
      <c r="I295" s="86"/>
      <c r="J295" s="87"/>
      <c r="K295" s="88"/>
      <c r="M295" s="102"/>
      <c r="N295" s="533" t="str">
        <f>IFERROR(VLOOKUP(M295,INSUMOS!$C$8:$K$928,2,0),"-----")</f>
        <v>-----</v>
      </c>
      <c r="O295" s="533"/>
      <c r="P295" s="533"/>
      <c r="Q295" s="533"/>
      <c r="R295" s="78" t="str">
        <f>IFERROR(VLOOKUP(M295,INSUMOS!$C$8:$K$928,6,0),"-----")</f>
        <v>-----</v>
      </c>
      <c r="S295" s="396"/>
      <c r="T295" s="387">
        <v>0</v>
      </c>
      <c r="U295" s="388" t="str">
        <f>IFERROR(VLOOKUP(M295,INSUMOS!$C$8:$K$928,7,0),"0")</f>
        <v>0</v>
      </c>
      <c r="V295" s="389">
        <f>+IFERROR(U295*(S295*(1+T295)),0)</f>
        <v>0</v>
      </c>
      <c r="Y295" s="393">
        <f>+IFERROR(Y282*(S295*(1+T295)),0)</f>
        <v>0</v>
      </c>
      <c r="Z295" s="391">
        <f>Y282*V295</f>
        <v>0</v>
      </c>
      <c r="AA295" s="394"/>
      <c r="AB295" s="395">
        <f>+Y295*U295</f>
        <v>0</v>
      </c>
      <c r="AC295" s="93">
        <f>+AB295-Z295</f>
        <v>0</v>
      </c>
      <c r="AD295" s="94"/>
      <c r="AE295" s="406" t="str">
        <f>+IF(V295=0,"CERO","NO")</f>
        <v>CERO</v>
      </c>
    </row>
    <row r="296" spans="3:31" s="260" customFormat="1" x14ac:dyDescent="0.25">
      <c r="C296" s="84"/>
      <c r="D296" s="85"/>
      <c r="E296" s="86"/>
      <c r="F296" s="86"/>
      <c r="G296" s="86"/>
      <c r="H296" s="86"/>
      <c r="I296" s="86"/>
      <c r="J296" s="87"/>
      <c r="K296" s="88"/>
      <c r="M296" s="102"/>
      <c r="N296" s="533" t="str">
        <f>IFERROR(VLOOKUP(M296,INSUMOS!$C$8:$K$928,2,0),"-----")</f>
        <v>-----</v>
      </c>
      <c r="O296" s="533"/>
      <c r="P296" s="533"/>
      <c r="Q296" s="533"/>
      <c r="R296" s="78" t="str">
        <f>IFERROR(VLOOKUP(M296,INSUMOS!$C$8:$K$928,6,0),"-----")</f>
        <v>-----</v>
      </c>
      <c r="S296" s="396"/>
      <c r="T296" s="387">
        <v>0</v>
      </c>
      <c r="U296" s="388" t="str">
        <f>IFERROR(VLOOKUP(M296,INSUMOS!$C$8:$K$928,7,0),"0")</f>
        <v>0</v>
      </c>
      <c r="V296" s="389">
        <f>+IFERROR(U296*(S296*(1+T296)),0)</f>
        <v>0</v>
      </c>
      <c r="Y296" s="393">
        <f>+IFERROR(Y282*(S296*(1+T296)),0)</f>
        <v>0</v>
      </c>
      <c r="Z296" s="391">
        <f>Y282*V296</f>
        <v>0</v>
      </c>
      <c r="AA296" s="394"/>
      <c r="AB296" s="395">
        <f>+Y296*U296</f>
        <v>0</v>
      </c>
      <c r="AC296" s="93">
        <f>+AB296-Z296</f>
        <v>0</v>
      </c>
      <c r="AD296" s="94"/>
      <c r="AE296" s="406" t="str">
        <f>+IF(V296=0,"CERO","NO")</f>
        <v>CERO</v>
      </c>
    </row>
    <row r="297" spans="3:31" s="260" customFormat="1" x14ac:dyDescent="0.25">
      <c r="C297" s="84"/>
      <c r="D297" s="85"/>
      <c r="E297" s="86"/>
      <c r="F297" s="86"/>
      <c r="G297" s="86"/>
      <c r="H297" s="86"/>
      <c r="I297" s="86"/>
      <c r="J297" s="87"/>
      <c r="K297" s="88"/>
      <c r="M297" s="102"/>
      <c r="N297" s="533" t="str">
        <f>IFERROR(VLOOKUP(M297,INSUMOS!$C$8:$K$928,2,0),"-----")</f>
        <v>-----</v>
      </c>
      <c r="O297" s="533"/>
      <c r="P297" s="533"/>
      <c r="Q297" s="533"/>
      <c r="R297" s="78" t="str">
        <f>IFERROR(VLOOKUP(M297,INSUMOS!$C$8:$K$928,6,0),"-----")</f>
        <v>-----</v>
      </c>
      <c r="S297" s="396"/>
      <c r="T297" s="387">
        <v>0</v>
      </c>
      <c r="U297" s="388" t="str">
        <f>IFERROR(VLOOKUP(M297,INSUMOS!$C$8:$K$928,7,0),"0")</f>
        <v>0</v>
      </c>
      <c r="V297" s="389">
        <f>+IFERROR(U297*(S297*(1+T297)),0)</f>
        <v>0</v>
      </c>
      <c r="Y297" s="393">
        <f>+IFERROR(Y282*(S297*(1+T297)),0)</f>
        <v>0</v>
      </c>
      <c r="Z297" s="391">
        <f>Y282*V297</f>
        <v>0</v>
      </c>
      <c r="AA297" s="394"/>
      <c r="AB297" s="395">
        <f>+Y297*U297</f>
        <v>0</v>
      </c>
      <c r="AC297" s="93">
        <f>+AB297-Z297</f>
        <v>0</v>
      </c>
      <c r="AD297" s="94"/>
      <c r="AE297" s="406" t="str">
        <f>+IF(V297=0,"CERO","NO")</f>
        <v>CERO</v>
      </c>
    </row>
    <row r="298" spans="3:31" s="260" customFormat="1" x14ac:dyDescent="0.25">
      <c r="C298" s="84"/>
      <c r="D298" s="85"/>
      <c r="E298" s="86"/>
      <c r="F298" s="86"/>
      <c r="G298" s="86"/>
      <c r="H298" s="86"/>
      <c r="I298" s="86"/>
      <c r="J298" s="87"/>
      <c r="K298" s="88"/>
      <c r="M298" s="102">
        <v>0</v>
      </c>
      <c r="N298" s="533" t="str">
        <f>IFERROR(VLOOKUP(M298,INSUMOS!$C$8:$K$928,2,0),"-----")</f>
        <v>-----</v>
      </c>
      <c r="O298" s="533"/>
      <c r="P298" s="533"/>
      <c r="Q298" s="533"/>
      <c r="R298" s="78" t="str">
        <f>IFERROR(VLOOKUP(M298,INSUMOS!$C$8:$K$928,6,0),"-----")</f>
        <v>-----</v>
      </c>
      <c r="S298" s="396"/>
      <c r="T298" s="387">
        <v>0</v>
      </c>
      <c r="U298" s="388" t="str">
        <f>IFERROR(VLOOKUP(M298,INSUMOS!$C$8:$K$928,7,0),"0")</f>
        <v>0</v>
      </c>
      <c r="V298" s="389">
        <f>+IFERROR(U298*(S298*(1+T298)),0)</f>
        <v>0</v>
      </c>
      <c r="Y298" s="393">
        <f>+IFERROR(Y282*(S298*(1+T298)),0)</f>
        <v>0</v>
      </c>
      <c r="Z298" s="391">
        <f>Y282*V298</f>
        <v>0</v>
      </c>
      <c r="AA298" s="394"/>
      <c r="AB298" s="395">
        <f>+Y298*U298</f>
        <v>0</v>
      </c>
      <c r="AC298" s="93">
        <f>+AB298-Z298</f>
        <v>0</v>
      </c>
      <c r="AD298" s="94"/>
      <c r="AE298" s="406" t="str">
        <f>+IF(V298=0,"CERO","NO")</f>
        <v>CERO</v>
      </c>
    </row>
    <row r="299" spans="3:31" s="260" customFormat="1" ht="15.75" thickBot="1" x14ac:dyDescent="0.3">
      <c r="C299" s="84"/>
      <c r="D299" s="85"/>
      <c r="E299" s="86"/>
      <c r="F299" s="86"/>
      <c r="G299" s="86"/>
      <c r="H299" s="86"/>
      <c r="I299" s="86"/>
      <c r="J299" s="87"/>
      <c r="K299" s="88"/>
      <c r="M299" s="102">
        <v>0</v>
      </c>
      <c r="N299" s="564"/>
      <c r="O299" s="564"/>
      <c r="P299" s="564"/>
      <c r="Q299" s="564"/>
      <c r="R299" s="96"/>
      <c r="S299" s="79"/>
      <c r="T299" s="97"/>
      <c r="U299" s="358"/>
      <c r="V299" s="397"/>
      <c r="Y299" s="393">
        <f>+IFERROR(Y282*(S299*(1+T299)),0)</f>
        <v>0</v>
      </c>
      <c r="Z299" s="391">
        <f>Y282*V299</f>
        <v>0</v>
      </c>
      <c r="AA299" s="394"/>
      <c r="AB299" s="395">
        <f>+Y299*U299</f>
        <v>0</v>
      </c>
      <c r="AC299" s="93">
        <f>+AB299-Z299</f>
        <v>0</v>
      </c>
      <c r="AD299" s="94"/>
      <c r="AE299" s="406" t="str">
        <f>+IF(V299=0,"CERO","NO")</f>
        <v>CERO</v>
      </c>
    </row>
    <row r="300" spans="3:31" s="260" customFormat="1" ht="15.75" thickBot="1" x14ac:dyDescent="0.3">
      <c r="C300" s="84"/>
      <c r="D300" s="375" t="s">
        <v>128</v>
      </c>
      <c r="E300" s="376" t="s">
        <v>129</v>
      </c>
      <c r="F300" s="376" t="s">
        <v>130</v>
      </c>
      <c r="G300" s="376" t="s">
        <v>131</v>
      </c>
      <c r="H300" s="376" t="s">
        <v>132</v>
      </c>
      <c r="I300" s="376" t="s">
        <v>133</v>
      </c>
      <c r="J300" s="377" t="s">
        <v>134</v>
      </c>
      <c r="K300" s="88"/>
      <c r="M300" s="534"/>
      <c r="N300" s="536" t="s">
        <v>106</v>
      </c>
      <c r="O300" s="536"/>
      <c r="P300" s="536"/>
      <c r="Q300" s="536"/>
      <c r="R300" s="536"/>
      <c r="S300" s="536"/>
      <c r="T300" s="536"/>
      <c r="U300" s="536"/>
      <c r="V300" s="389">
        <f>+SUM(V295:V299)</f>
        <v>0</v>
      </c>
      <c r="Y300" s="398" t="s">
        <v>135</v>
      </c>
      <c r="Z300" s="397">
        <f>+SUM(Z295:Z299)</f>
        <v>0</v>
      </c>
      <c r="AA300" s="86"/>
      <c r="AB300" s="384"/>
      <c r="AC300" s="385"/>
      <c r="AD300" s="94"/>
      <c r="AE300" s="399"/>
    </row>
    <row r="301" spans="3:31" s="260" customFormat="1" ht="15.75" thickBot="1" x14ac:dyDescent="0.3">
      <c r="C301" s="84"/>
      <c r="D301" s="375"/>
      <c r="E301" s="407">
        <f>+D292</f>
        <v>1.03</v>
      </c>
      <c r="F301" s="376"/>
      <c r="G301" s="376"/>
      <c r="H301" s="376"/>
      <c r="I301" s="376"/>
      <c r="J301" s="377"/>
      <c r="K301" s="88"/>
      <c r="M301" s="535"/>
      <c r="N301" s="537" t="s">
        <v>107</v>
      </c>
      <c r="O301" s="537"/>
      <c r="P301" s="537"/>
      <c r="Q301" s="537"/>
      <c r="R301" s="537"/>
      <c r="S301" s="537"/>
      <c r="T301" s="537"/>
      <c r="U301" s="537"/>
      <c r="V301" s="408">
        <f>+ROUND(V300,$AA$5)</f>
        <v>0</v>
      </c>
      <c r="Y301" s="401" t="s">
        <v>136</v>
      </c>
      <c r="Z301" s="402">
        <f>+ROUND(Z300,$AA$5)</f>
        <v>0</v>
      </c>
      <c r="AA301" s="86"/>
      <c r="AB301" s="403">
        <f>+V301*Y282</f>
        <v>0</v>
      </c>
      <c r="AC301" s="404">
        <f>+AB301-Z301</f>
        <v>0</v>
      </c>
      <c r="AD301" s="94"/>
      <c r="AE301" s="405"/>
    </row>
    <row r="302" spans="3:31" s="260" customFormat="1" x14ac:dyDescent="0.25">
      <c r="C302" s="84"/>
      <c r="D302" s="380"/>
      <c r="E302" s="381"/>
      <c r="F302" s="381"/>
      <c r="G302" s="381"/>
      <c r="H302" s="381"/>
      <c r="I302" s="381"/>
      <c r="J302" s="382"/>
      <c r="K302" s="88"/>
      <c r="M302" s="568" t="s">
        <v>108</v>
      </c>
      <c r="N302" s="569"/>
      <c r="O302" s="569"/>
      <c r="P302" s="569"/>
      <c r="Q302" s="569"/>
      <c r="R302" s="569"/>
      <c r="S302" s="569"/>
      <c r="T302" s="569"/>
      <c r="U302" s="569"/>
      <c r="V302" s="570"/>
      <c r="Y302" s="378"/>
      <c r="Z302" s="121"/>
      <c r="AA302" s="86"/>
      <c r="AB302" s="409"/>
      <c r="AC302" s="121"/>
      <c r="AD302" s="94"/>
      <c r="AE302" s="126"/>
    </row>
    <row r="303" spans="3:31" s="260" customFormat="1" ht="25.5" x14ac:dyDescent="0.25">
      <c r="C303" s="84"/>
      <c r="D303" s="85"/>
      <c r="E303" s="86"/>
      <c r="F303" s="86"/>
      <c r="G303" s="86"/>
      <c r="H303" s="86"/>
      <c r="I303" s="86"/>
      <c r="J303" s="87"/>
      <c r="K303" s="88"/>
      <c r="M303" s="99" t="s">
        <v>94</v>
      </c>
      <c r="N303" s="561" t="s">
        <v>95</v>
      </c>
      <c r="O303" s="561"/>
      <c r="P303" s="561"/>
      <c r="Q303" s="95" t="s">
        <v>109</v>
      </c>
      <c r="R303" s="95" t="s">
        <v>110</v>
      </c>
      <c r="S303" s="95" t="s">
        <v>111</v>
      </c>
      <c r="T303" s="562" t="s">
        <v>112</v>
      </c>
      <c r="U303" s="562"/>
      <c r="V303" s="100" t="s">
        <v>98</v>
      </c>
      <c r="Y303" s="383" t="s">
        <v>104</v>
      </c>
      <c r="Z303" s="119" t="s">
        <v>9</v>
      </c>
      <c r="AA303" s="86"/>
      <c r="AB303" s="384"/>
      <c r="AC303" s="385"/>
      <c r="AD303" s="94"/>
      <c r="AE303" s="410"/>
    </row>
    <row r="304" spans="3:31" s="260" customFormat="1" x14ac:dyDescent="0.25">
      <c r="C304" s="84"/>
      <c r="D304" s="85"/>
      <c r="E304" s="86"/>
      <c r="F304" s="86"/>
      <c r="G304" s="86"/>
      <c r="H304" s="86"/>
      <c r="I304" s="86"/>
      <c r="J304" s="87"/>
      <c r="K304" s="88"/>
      <c r="M304" s="102"/>
      <c r="N304" s="530" t="str">
        <f>IFERROR(VLOOKUP(M304,INSUMOS!$C$8:$K$928,2,0),"-----")</f>
        <v>-----</v>
      </c>
      <c r="O304" s="531"/>
      <c r="P304" s="532"/>
      <c r="Q304" s="78" t="str">
        <f>IFERROR(VLOOKUP(M304,INSUMOS!$C$8:$K$928,5,0),"-----")</f>
        <v>-----</v>
      </c>
      <c r="R304" s="80"/>
      <c r="S304" s="80" t="str">
        <f>IFERROR(VLOOKUP(M304,INSUMOS!$C$8:$K$928,6,0),"0")</f>
        <v>0</v>
      </c>
      <c r="T304" s="529" t="str">
        <f>IFERROR(VLOOKUP(M304,INSUMOS!$C$8:$K$928,7,0),"0")</f>
        <v>0</v>
      </c>
      <c r="U304" s="529"/>
      <c r="V304" s="82">
        <f>+T304*S304*R304</f>
        <v>0</v>
      </c>
      <c r="Y304" s="393">
        <f>+IFERROR((R304*S304)*Y282,0)</f>
        <v>0</v>
      </c>
      <c r="Z304" s="391">
        <f>Y282*V304</f>
        <v>0</v>
      </c>
      <c r="AA304" s="86"/>
      <c r="AB304" s="92">
        <f>+Y304*T304</f>
        <v>0</v>
      </c>
      <c r="AC304" s="93">
        <f>+AB304-Z304</f>
        <v>0</v>
      </c>
      <c r="AD304" s="94"/>
      <c r="AE304" s="406" t="str">
        <f>+IF(V304=0,"CERO","NO")</f>
        <v>CERO</v>
      </c>
    </row>
    <row r="305" spans="3:31" s="260" customFormat="1" x14ac:dyDescent="0.25">
      <c r="C305" s="84"/>
      <c r="D305" s="85"/>
      <c r="E305" s="86"/>
      <c r="F305" s="86"/>
      <c r="G305" s="86"/>
      <c r="H305" s="86"/>
      <c r="I305" s="86"/>
      <c r="J305" s="87"/>
      <c r="K305" s="88"/>
      <c r="M305" s="102"/>
      <c r="N305" s="530" t="str">
        <f>IFERROR(VLOOKUP(M305,INSUMOS!$C$8:$K$928,2,0),"-----")</f>
        <v>-----</v>
      </c>
      <c r="O305" s="531"/>
      <c r="P305" s="532"/>
      <c r="Q305" s="78" t="str">
        <f>IFERROR(VLOOKUP(M305,INSUMOS!$C$8:$K$928,5,0),"-----")</f>
        <v>-----</v>
      </c>
      <c r="R305" s="80"/>
      <c r="S305" s="80" t="str">
        <f>IFERROR(VLOOKUP(M305,INSUMOS!$C$8:$K$928,6,0),"0")</f>
        <v>0</v>
      </c>
      <c r="T305" s="529" t="str">
        <f>IFERROR(VLOOKUP(M305,INSUMOS!$C$8:$K$928,7,0),"0")</f>
        <v>0</v>
      </c>
      <c r="U305" s="529"/>
      <c r="V305" s="82">
        <f>+T305*S305*R305</f>
        <v>0</v>
      </c>
      <c r="Y305" s="393">
        <f>+IFERROR((R305*S305)*Y282,0)</f>
        <v>0</v>
      </c>
      <c r="Z305" s="391">
        <f>Y282*V305</f>
        <v>0</v>
      </c>
      <c r="AA305" s="86"/>
      <c r="AB305" s="92">
        <f>+Y305*T305</f>
        <v>0</v>
      </c>
      <c r="AC305" s="93">
        <f>+AB305-Z305</f>
        <v>0</v>
      </c>
      <c r="AD305" s="94"/>
      <c r="AE305" s="406" t="str">
        <f>+IF(V305=0,"CERO","NO")</f>
        <v>CERO</v>
      </c>
    </row>
    <row r="306" spans="3:31" s="260" customFormat="1" x14ac:dyDescent="0.25">
      <c r="C306" s="84"/>
      <c r="D306" s="85"/>
      <c r="E306" s="86"/>
      <c r="F306" s="86"/>
      <c r="G306" s="86"/>
      <c r="H306" s="86"/>
      <c r="I306" s="86"/>
      <c r="J306" s="87"/>
      <c r="K306" s="88"/>
      <c r="M306" s="102">
        <v>0</v>
      </c>
      <c r="N306" s="530" t="str">
        <f>IFERROR(VLOOKUP(M306,INSUMOS!$C$8:$K$928,2,0),"-----")</f>
        <v>-----</v>
      </c>
      <c r="O306" s="531"/>
      <c r="P306" s="532"/>
      <c r="Q306" s="78" t="str">
        <f>IFERROR(VLOOKUP(M306,INSUMOS!$C$8:$K$928,5,0),"-----")</f>
        <v>-----</v>
      </c>
      <c r="R306" s="80"/>
      <c r="S306" s="80" t="str">
        <f>IFERROR(VLOOKUP(M306,INSUMOS!$C$8:$K$928,6,0),"0")</f>
        <v>0</v>
      </c>
      <c r="T306" s="529" t="str">
        <f>IFERROR(VLOOKUP(M306,INSUMOS!$C$8:$K$928,7,0),"0")</f>
        <v>0</v>
      </c>
      <c r="U306" s="529"/>
      <c r="V306" s="82">
        <f>+T306*S306*R306</f>
        <v>0</v>
      </c>
      <c r="Y306" s="393">
        <f>+IFERROR((R306*S306)*Y282,0)</f>
        <v>0</v>
      </c>
      <c r="Z306" s="391">
        <f>Y282*V306</f>
        <v>0</v>
      </c>
      <c r="AA306" s="86"/>
      <c r="AB306" s="92">
        <f>+Y306*T306</f>
        <v>0</v>
      </c>
      <c r="AC306" s="93">
        <f>+AB306-Z306</f>
        <v>0</v>
      </c>
      <c r="AD306" s="94"/>
      <c r="AE306" s="406" t="str">
        <f>+IF(V306=0,"CERO","NO")</f>
        <v>CERO</v>
      </c>
    </row>
    <row r="307" spans="3:31" s="260" customFormat="1" ht="15.75" thickBot="1" x14ac:dyDescent="0.3">
      <c r="C307" s="84"/>
      <c r="D307" s="89"/>
      <c r="E307" s="90"/>
      <c r="F307" s="90"/>
      <c r="G307" s="90"/>
      <c r="H307" s="90"/>
      <c r="I307" s="90"/>
      <c r="J307" s="91"/>
      <c r="K307" s="88"/>
      <c r="M307" s="102">
        <v>0</v>
      </c>
      <c r="N307" s="533"/>
      <c r="O307" s="533"/>
      <c r="P307" s="533"/>
      <c r="Q307" s="79"/>
      <c r="R307" s="78"/>
      <c r="S307" s="81"/>
      <c r="T307" s="529"/>
      <c r="U307" s="529"/>
      <c r="V307" s="82"/>
      <c r="Y307" s="393">
        <f>+IFERROR((R307*S307)*Y282,0)</f>
        <v>0</v>
      </c>
      <c r="Z307" s="391">
        <f>Y282*V307</f>
        <v>0</v>
      </c>
      <c r="AA307" s="86"/>
      <c r="AB307" s="92">
        <f>+Y307*T307</f>
        <v>0</v>
      </c>
      <c r="AC307" s="93">
        <f>+AB307-Z307</f>
        <v>0</v>
      </c>
      <c r="AD307" s="94"/>
      <c r="AE307" s="406" t="str">
        <f>+IF(V307=0,"CERO","NO")</f>
        <v>CERO</v>
      </c>
    </row>
    <row r="308" spans="3:31" s="260" customFormat="1" ht="15.75" thickBot="1" x14ac:dyDescent="0.3">
      <c r="C308" s="84"/>
      <c r="D308" s="375" t="s">
        <v>128</v>
      </c>
      <c r="E308" s="376" t="s">
        <v>129</v>
      </c>
      <c r="F308" s="376" t="s">
        <v>130</v>
      </c>
      <c r="G308" s="376" t="s">
        <v>131</v>
      </c>
      <c r="H308" s="376" t="s">
        <v>132</v>
      </c>
      <c r="I308" s="376" t="s">
        <v>133</v>
      </c>
      <c r="J308" s="377" t="s">
        <v>134</v>
      </c>
      <c r="K308" s="88"/>
      <c r="M308" s="534"/>
      <c r="N308" s="536" t="s">
        <v>113</v>
      </c>
      <c r="O308" s="536"/>
      <c r="P308" s="536"/>
      <c r="Q308" s="536"/>
      <c r="R308" s="536"/>
      <c r="S308" s="536"/>
      <c r="T308" s="536"/>
      <c r="U308" s="536"/>
      <c r="V308" s="411">
        <f>+SUM(V304:V307)</f>
        <v>0</v>
      </c>
      <c r="Y308" s="398" t="s">
        <v>135</v>
      </c>
      <c r="Z308" s="397">
        <f>+SUM(Z304:Z307)</f>
        <v>0</v>
      </c>
      <c r="AA308" s="86"/>
      <c r="AB308" s="384"/>
      <c r="AC308" s="385"/>
      <c r="AD308" s="94"/>
      <c r="AE308" s="399"/>
    </row>
    <row r="309" spans="3:31" s="260" customFormat="1" ht="15.75" thickBot="1" x14ac:dyDescent="0.3">
      <c r="C309" s="84"/>
      <c r="D309" s="355"/>
      <c r="E309" s="367"/>
      <c r="F309" s="412">
        <f>+E301</f>
        <v>1.03</v>
      </c>
      <c r="G309" s="367"/>
      <c r="H309" s="367"/>
      <c r="I309" s="367"/>
      <c r="J309" s="368"/>
      <c r="K309" s="88"/>
      <c r="M309" s="535"/>
      <c r="N309" s="537" t="s">
        <v>114</v>
      </c>
      <c r="O309" s="537"/>
      <c r="P309" s="537"/>
      <c r="Q309" s="537"/>
      <c r="R309" s="537"/>
      <c r="S309" s="537"/>
      <c r="T309" s="537"/>
      <c r="U309" s="537"/>
      <c r="V309" s="413">
        <f>+ROUND(V308,$AA$5)</f>
        <v>0</v>
      </c>
      <c r="Y309" s="401" t="s">
        <v>136</v>
      </c>
      <c r="Z309" s="402">
        <f>+ROUND(Z308,$AA$5)</f>
        <v>0</v>
      </c>
      <c r="AA309" s="86"/>
      <c r="AB309" s="403">
        <f>+V309*Y282</f>
        <v>0</v>
      </c>
      <c r="AC309" s="414"/>
      <c r="AD309" s="94"/>
      <c r="AE309" s="405"/>
    </row>
    <row r="310" spans="3:31" s="260" customFormat="1" ht="15.75" thickBot="1" x14ac:dyDescent="0.3">
      <c r="C310" s="84"/>
      <c r="D310" s="415"/>
      <c r="E310" s="416"/>
      <c r="F310" s="416"/>
      <c r="G310" s="416"/>
      <c r="H310" s="416"/>
      <c r="I310" s="416"/>
      <c r="J310" s="417"/>
      <c r="K310" s="88"/>
      <c r="M310" s="538" t="s">
        <v>115</v>
      </c>
      <c r="N310" s="539"/>
      <c r="O310" s="539"/>
      <c r="P310" s="539"/>
      <c r="Q310" s="539"/>
      <c r="R310" s="539"/>
      <c r="S310" s="539"/>
      <c r="T310" s="539"/>
      <c r="U310" s="539"/>
      <c r="V310" s="540"/>
      <c r="Y310" s="378"/>
      <c r="Z310" s="121"/>
      <c r="AA310" s="86"/>
      <c r="AB310" s="409"/>
      <c r="AC310" s="121"/>
      <c r="AD310" s="94"/>
      <c r="AE310" s="126"/>
    </row>
    <row r="311" spans="3:31" s="260" customFormat="1" ht="15.75" thickBot="1" x14ac:dyDescent="0.3">
      <c r="C311" s="84"/>
      <c r="D311" s="375" t="s">
        <v>128</v>
      </c>
      <c r="E311" s="376" t="s">
        <v>129</v>
      </c>
      <c r="F311" s="376" t="s">
        <v>130</v>
      </c>
      <c r="G311" s="376" t="s">
        <v>131</v>
      </c>
      <c r="H311" s="376" t="s">
        <v>132</v>
      </c>
      <c r="I311" s="376" t="s">
        <v>133</v>
      </c>
      <c r="J311" s="377" t="s">
        <v>134</v>
      </c>
      <c r="K311" s="88"/>
      <c r="M311" s="99" t="s">
        <v>94</v>
      </c>
      <c r="N311" s="98" t="s">
        <v>95</v>
      </c>
      <c r="O311" s="95" t="s">
        <v>96</v>
      </c>
      <c r="P311" s="359" t="s">
        <v>104</v>
      </c>
      <c r="Q311" s="95" t="s">
        <v>116</v>
      </c>
      <c r="R311" s="418" t="s">
        <v>117</v>
      </c>
      <c r="S311" s="95" t="s">
        <v>347</v>
      </c>
      <c r="T311" s="419" t="s">
        <v>118</v>
      </c>
      <c r="U311" s="189" t="s">
        <v>119</v>
      </c>
      <c r="V311" s="100" t="s">
        <v>98</v>
      </c>
      <c r="Y311" s="383" t="s">
        <v>104</v>
      </c>
      <c r="Z311" s="119" t="s">
        <v>9</v>
      </c>
      <c r="AA311" s="86"/>
      <c r="AB311" s="384"/>
      <c r="AC311" s="385"/>
      <c r="AD311" s="94"/>
      <c r="AE311" s="410"/>
    </row>
    <row r="312" spans="3:31" s="260" customFormat="1" ht="25.5" x14ac:dyDescent="0.25">
      <c r="C312" s="84"/>
      <c r="D312" s="354"/>
      <c r="E312" s="96"/>
      <c r="F312" s="96"/>
      <c r="G312" s="96"/>
      <c r="H312" s="96"/>
      <c r="I312" s="96"/>
      <c r="J312" s="420">
        <f>+F309</f>
        <v>1.03</v>
      </c>
      <c r="K312" s="88"/>
      <c r="M312" s="102">
        <v>201</v>
      </c>
      <c r="N312" s="347" t="str">
        <f>IFERROR(VLOOKUP(M312,INSUMOS!$C$8:$K$928,2,0),"-----")</f>
        <v>Oficial Albañileria</v>
      </c>
      <c r="O312" s="78" t="str">
        <f>IFERROR(VLOOKUP(M312,INSUMOS!$C$8:$K$928,3,0),"-----")</f>
        <v>JORNAL+PS</v>
      </c>
      <c r="P312" s="80">
        <v>1</v>
      </c>
      <c r="Q312" s="79">
        <v>16</v>
      </c>
      <c r="R312" s="190">
        <f>IFERROR(VLOOKUP(M312,INSUMOS!$C$8:$K$928,4,0),"-----")</f>
        <v>85136</v>
      </c>
      <c r="S312" s="190">
        <f>IFERROR(VLOOKUP(M312,INSUMOS!$C$8:$K$928,6,0),"-----")</f>
        <v>68109</v>
      </c>
      <c r="T312" s="190">
        <f>IFERROR(VLOOKUP(M312,INSUMOS!$C$8:$K$928,5,0),"-----")</f>
        <v>0</v>
      </c>
      <c r="U312" s="388">
        <f>SUM(R312:T312)</f>
        <v>153245</v>
      </c>
      <c r="V312" s="82">
        <f>+IFERROR((P312/Q312)*U312,0)</f>
        <v>9577.8125</v>
      </c>
      <c r="Y312" s="393">
        <f>+IFERROR((Y282/Q312*P312),0)</f>
        <v>6.7725</v>
      </c>
      <c r="Z312" s="391">
        <f>Y282*V312</f>
        <v>1037851.7625</v>
      </c>
      <c r="AA312" s="86"/>
      <c r="AB312" s="92">
        <f>+(U312)*Y312</f>
        <v>1037851.7625</v>
      </c>
      <c r="AC312" s="93">
        <f>+AB312-Z312</f>
        <v>0</v>
      </c>
      <c r="AD312" s="421"/>
      <c r="AE312" s="410" t="str">
        <f>+IF(V312=0,"CERO","NO")</f>
        <v>NO</v>
      </c>
    </row>
    <row r="313" spans="3:31" s="260" customFormat="1" ht="26.25" thickBot="1" x14ac:dyDescent="0.3">
      <c r="C313" s="84"/>
      <c r="D313" s="355"/>
      <c r="E313" s="367"/>
      <c r="F313" s="367"/>
      <c r="G313" s="367"/>
      <c r="H313" s="367"/>
      <c r="I313" s="367"/>
      <c r="J313" s="422">
        <f>+J312</f>
        <v>1.03</v>
      </c>
      <c r="K313" s="88"/>
      <c r="M313" s="102">
        <v>202</v>
      </c>
      <c r="N313" s="347" t="str">
        <f>IFERROR(VLOOKUP(M313,INSUMOS!$C$8:$K$928,2,0),"-----")</f>
        <v>Ayudante Albañileria</v>
      </c>
      <c r="O313" s="78" t="str">
        <f>IFERROR(VLOOKUP(M313,INSUMOS!$C$8:$K$928,3,0),"-----")</f>
        <v>JORNAL+PS</v>
      </c>
      <c r="P313" s="80">
        <v>2</v>
      </c>
      <c r="Q313" s="79">
        <v>16</v>
      </c>
      <c r="R313" s="190">
        <f>IFERROR(VLOOKUP(M313,INSUMOS!$C$8:$K$928,4,0),"-----")</f>
        <v>63490</v>
      </c>
      <c r="S313" s="190">
        <f>IFERROR(VLOOKUP(M313,INSUMOS!$C$8:$K$928,6,0),"-----")</f>
        <v>50792</v>
      </c>
      <c r="T313" s="190">
        <f>IFERROR(VLOOKUP(M313,INSUMOS!$C$8:$K$928,5,0),"-----")</f>
        <v>0</v>
      </c>
      <c r="U313" s="388">
        <f>SUM(R313:T313)</f>
        <v>114282</v>
      </c>
      <c r="V313" s="82">
        <f>+IFERROR((P313/Q313)*U313,0)</f>
        <v>14285.25</v>
      </c>
      <c r="Y313" s="393">
        <f>+IFERROR((Y282/Q313*P313),0)</f>
        <v>13.545</v>
      </c>
      <c r="Z313" s="391">
        <f>Y282*V313</f>
        <v>1547949.69</v>
      </c>
      <c r="AA313" s="86"/>
      <c r="AB313" s="92">
        <f>+U313*Y313</f>
        <v>1547949.69</v>
      </c>
      <c r="AC313" s="93">
        <f>+AB313-Z313</f>
        <v>0</v>
      </c>
      <c r="AD313" s="94"/>
      <c r="AE313" s="410" t="str">
        <f>+IF(V313=0,"CERO","NO")</f>
        <v>NO</v>
      </c>
    </row>
    <row r="314" spans="3:31" s="260" customFormat="1" ht="15.75" thickBot="1" x14ac:dyDescent="0.3">
      <c r="C314" s="84"/>
      <c r="D314" s="375" t="s">
        <v>128</v>
      </c>
      <c r="E314" s="376" t="s">
        <v>129</v>
      </c>
      <c r="F314" s="376" t="s">
        <v>130</v>
      </c>
      <c r="G314" s="376" t="s">
        <v>131</v>
      </c>
      <c r="H314" s="376" t="s">
        <v>132</v>
      </c>
      <c r="I314" s="376" t="s">
        <v>133</v>
      </c>
      <c r="J314" s="377" t="s">
        <v>134</v>
      </c>
      <c r="K314" s="88"/>
      <c r="M314" s="534"/>
      <c r="N314" s="536" t="s">
        <v>120</v>
      </c>
      <c r="O314" s="536"/>
      <c r="P314" s="536"/>
      <c r="Q314" s="536"/>
      <c r="R314" s="536"/>
      <c r="S314" s="536"/>
      <c r="T314" s="536"/>
      <c r="U314" s="536"/>
      <c r="V314" s="82">
        <f>+SUM(V312:V313)</f>
        <v>23863.0625</v>
      </c>
      <c r="Y314" s="398" t="s">
        <v>135</v>
      </c>
      <c r="Z314" s="397">
        <f>+SUM(Z312:Z313)</f>
        <v>2585801.4524999997</v>
      </c>
      <c r="AA314" s="86"/>
      <c r="AB314" s="384"/>
      <c r="AC314" s="385"/>
      <c r="AD314" s="94"/>
      <c r="AE314" s="399"/>
    </row>
    <row r="315" spans="3:31" s="260" customFormat="1" ht="15.75" thickBot="1" x14ac:dyDescent="0.3">
      <c r="C315" s="84"/>
      <c r="D315" s="354"/>
      <c r="E315" s="96"/>
      <c r="F315" s="96"/>
      <c r="G315" s="107">
        <f>+F309</f>
        <v>1.03</v>
      </c>
      <c r="H315" s="96"/>
      <c r="I315" s="96"/>
      <c r="J315" s="427"/>
      <c r="K315" s="88"/>
      <c r="M315" s="535"/>
      <c r="N315" s="537" t="s">
        <v>121</v>
      </c>
      <c r="O315" s="537"/>
      <c r="P315" s="537"/>
      <c r="Q315" s="537"/>
      <c r="R315" s="537"/>
      <c r="S315" s="537"/>
      <c r="T315" s="537"/>
      <c r="U315" s="537"/>
      <c r="V315" s="413">
        <f>+ROUND(V314,$AA$5)</f>
        <v>23863.06</v>
      </c>
      <c r="Y315" s="401" t="s">
        <v>136</v>
      </c>
      <c r="Z315" s="402">
        <f>+ROUND(Z314,$AA$5)</f>
        <v>2585801.4500000002</v>
      </c>
      <c r="AA315" s="86"/>
      <c r="AB315" s="403">
        <f>+V315*Y282</f>
        <v>2585801.1816000002</v>
      </c>
      <c r="AC315" s="404">
        <f>+AB315-Z315</f>
        <v>-0.26839999994263053</v>
      </c>
      <c r="AD315" s="94"/>
      <c r="AE315" s="405"/>
    </row>
    <row r="316" spans="3:31" s="260" customFormat="1" ht="15.75" thickBot="1" x14ac:dyDescent="0.3">
      <c r="C316" s="84"/>
      <c r="D316" s="375" t="s">
        <v>128</v>
      </c>
      <c r="E316" s="376" t="s">
        <v>129</v>
      </c>
      <c r="F316" s="376" t="s">
        <v>130</v>
      </c>
      <c r="G316" s="376" t="s">
        <v>131</v>
      </c>
      <c r="H316" s="376" t="s">
        <v>132</v>
      </c>
      <c r="I316" s="376" t="s">
        <v>133</v>
      </c>
      <c r="J316" s="377" t="s">
        <v>134</v>
      </c>
      <c r="K316" s="88"/>
      <c r="M316" s="541"/>
      <c r="N316" s="542"/>
      <c r="O316" s="542"/>
      <c r="P316" s="542"/>
      <c r="Q316" s="542"/>
      <c r="R316" s="542"/>
      <c r="S316" s="542"/>
      <c r="T316" s="542"/>
      <c r="U316" s="542"/>
      <c r="V316" s="543"/>
      <c r="Y316" s="378"/>
      <c r="Z316" s="121"/>
      <c r="AA316" s="86"/>
      <c r="AB316" s="409"/>
      <c r="AC316" s="121"/>
      <c r="AD316" s="94"/>
      <c r="AE316" s="428"/>
    </row>
    <row r="317" spans="3:31" s="260" customFormat="1" ht="15.75" thickBot="1" x14ac:dyDescent="0.3">
      <c r="C317" s="84"/>
      <c r="D317" s="355"/>
      <c r="E317" s="367"/>
      <c r="F317" s="367"/>
      <c r="G317" s="367"/>
      <c r="H317" s="412">
        <f>G315</f>
        <v>1.03</v>
      </c>
      <c r="I317" s="412"/>
      <c r="J317" s="422"/>
      <c r="K317" s="88"/>
      <c r="M317" s="544" t="s">
        <v>122</v>
      </c>
      <c r="N317" s="537"/>
      <c r="O317" s="537"/>
      <c r="P317" s="537"/>
      <c r="Q317" s="537"/>
      <c r="R317" s="537"/>
      <c r="S317" s="537"/>
      <c r="T317" s="537"/>
      <c r="U317" s="545">
        <f>+V315+V309+V301+V292</f>
        <v>34431.21</v>
      </c>
      <c r="V317" s="546"/>
      <c r="Y317" s="429"/>
      <c r="Z317" s="430">
        <f>+Z315+Z309+Z301+Z292</f>
        <v>3730966.5100000002</v>
      </c>
      <c r="AA317" s="86"/>
      <c r="AB317" s="431">
        <f>+AB315+AB309+AB301+AB292</f>
        <v>3730965.9155999999</v>
      </c>
      <c r="AC317" s="404">
        <f>+AB317-Z317</f>
        <v>-0.59440000029280782</v>
      </c>
      <c r="AD317" s="94"/>
      <c r="AE317" s="432"/>
    </row>
    <row r="318" spans="3:31" s="260" customFormat="1" ht="15.75" thickBot="1" x14ac:dyDescent="0.3"/>
    <row r="319" spans="3:31" s="260" customFormat="1" x14ac:dyDescent="0.25">
      <c r="M319" s="547" t="s">
        <v>348</v>
      </c>
      <c r="N319" s="548"/>
      <c r="O319" s="548"/>
      <c r="P319" s="548"/>
      <c r="Q319" s="548"/>
      <c r="R319" s="548"/>
      <c r="S319" s="548"/>
      <c r="T319" s="548"/>
      <c r="U319" s="548"/>
      <c r="V319" s="549"/>
      <c r="Y319" s="378"/>
      <c r="Z319" s="121"/>
      <c r="AA319" s="86"/>
      <c r="AB319" s="94"/>
      <c r="AC319" s="94"/>
      <c r="AD319" s="94"/>
      <c r="AE319" s="126" t="s">
        <v>133</v>
      </c>
    </row>
    <row r="320" spans="3:31" s="260" customFormat="1" x14ac:dyDescent="0.25">
      <c r="M320" s="515" t="s">
        <v>138</v>
      </c>
      <c r="N320" s="516"/>
      <c r="O320" s="516"/>
      <c r="P320" s="516"/>
      <c r="Q320" s="516"/>
      <c r="R320" s="516"/>
      <c r="S320" s="516"/>
      <c r="T320" s="437">
        <v>0</v>
      </c>
      <c r="U320" s="517">
        <f>+ROUND(U317*T320,$AA$5)</f>
        <v>0</v>
      </c>
      <c r="V320" s="518"/>
      <c r="Y320" s="390"/>
      <c r="Z320" s="438">
        <f>+Z317*T320</f>
        <v>0</v>
      </c>
      <c r="AA320" s="86"/>
      <c r="AB320" s="94"/>
      <c r="AC320" s="94"/>
      <c r="AD320" s="94"/>
      <c r="AE320" s="386" t="s">
        <v>133</v>
      </c>
    </row>
    <row r="321" spans="3:31" s="260" customFormat="1" x14ac:dyDescent="0.25">
      <c r="M321" s="515" t="s">
        <v>19</v>
      </c>
      <c r="N321" s="516"/>
      <c r="O321" s="516"/>
      <c r="P321" s="516"/>
      <c r="Q321" s="516"/>
      <c r="R321" s="516"/>
      <c r="S321" s="516"/>
      <c r="T321" s="437">
        <v>0.05</v>
      </c>
      <c r="U321" s="517">
        <f>+ROUND(U317*T321,$AA$5)</f>
        <v>1721.56</v>
      </c>
      <c r="V321" s="518"/>
      <c r="Y321" s="390"/>
      <c r="Z321" s="438">
        <f>+Z317*T321</f>
        <v>186548.32550000004</v>
      </c>
      <c r="AA321" s="86"/>
      <c r="AB321" s="94"/>
      <c r="AC321" s="94"/>
      <c r="AD321" s="94"/>
      <c r="AE321" s="386" t="s">
        <v>133</v>
      </c>
    </row>
    <row r="322" spans="3:31" s="260" customFormat="1" x14ac:dyDescent="0.25">
      <c r="M322" s="515" t="s">
        <v>20</v>
      </c>
      <c r="N322" s="516"/>
      <c r="O322" s="516"/>
      <c r="P322" s="516"/>
      <c r="Q322" s="516"/>
      <c r="R322" s="516"/>
      <c r="S322" s="516"/>
      <c r="T322" s="437">
        <v>0</v>
      </c>
      <c r="U322" s="517">
        <f>+ROUND(U317*T322,$AA$5)</f>
        <v>0</v>
      </c>
      <c r="V322" s="518"/>
      <c r="Y322" s="390"/>
      <c r="Z322" s="438">
        <f>+Z317*T322</f>
        <v>0</v>
      </c>
      <c r="AA322" s="86"/>
      <c r="AB322" s="94"/>
      <c r="AC322" s="94"/>
      <c r="AD322" s="94"/>
      <c r="AE322" s="386" t="s">
        <v>133</v>
      </c>
    </row>
    <row r="323" spans="3:31" s="260" customFormat="1" x14ac:dyDescent="0.25">
      <c r="M323" s="515" t="s">
        <v>21</v>
      </c>
      <c r="N323" s="516"/>
      <c r="O323" s="516"/>
      <c r="P323" s="516"/>
      <c r="Q323" s="516"/>
      <c r="R323" s="516"/>
      <c r="S323" s="516"/>
      <c r="T323" s="437">
        <f>$AA$9</f>
        <v>0</v>
      </c>
      <c r="U323" s="517">
        <f>+ROUND(U317*T323,$AA$5)</f>
        <v>0</v>
      </c>
      <c r="V323" s="518"/>
      <c r="Y323" s="390"/>
      <c r="Z323" s="438">
        <f>+Z322*T323</f>
        <v>0</v>
      </c>
      <c r="AA323" s="86"/>
      <c r="AB323" s="94"/>
      <c r="AC323" s="94"/>
      <c r="AD323" s="94"/>
      <c r="AE323" s="386" t="s">
        <v>133</v>
      </c>
    </row>
    <row r="324" spans="3:31" s="260" customFormat="1" ht="15.75" thickBot="1" x14ac:dyDescent="0.3">
      <c r="M324" s="519" t="s">
        <v>349</v>
      </c>
      <c r="N324" s="520"/>
      <c r="O324" s="520"/>
      <c r="P324" s="520"/>
      <c r="Q324" s="520"/>
      <c r="R324" s="520"/>
      <c r="S324" s="520"/>
      <c r="T324" s="520"/>
      <c r="U324" s="521">
        <f>+SUM(U320:V323)</f>
        <v>1721.56</v>
      </c>
      <c r="V324" s="522"/>
      <c r="Y324" s="390"/>
      <c r="Z324" s="439">
        <f>+SUM(Z320:Z323)</f>
        <v>186548.32550000004</v>
      </c>
      <c r="AA324" s="86"/>
      <c r="AB324" s="94"/>
      <c r="AC324" s="94"/>
      <c r="AD324" s="94"/>
      <c r="AE324" s="386" t="s">
        <v>133</v>
      </c>
    </row>
    <row r="325" spans="3:31" s="260" customFormat="1" ht="15.75" thickBot="1" x14ac:dyDescent="0.3">
      <c r="D325" s="375" t="s">
        <v>128</v>
      </c>
      <c r="E325" s="376" t="s">
        <v>129</v>
      </c>
      <c r="F325" s="376" t="s">
        <v>130</v>
      </c>
      <c r="G325" s="376" t="s">
        <v>131</v>
      </c>
      <c r="H325" s="376" t="s">
        <v>132</v>
      </c>
      <c r="I325" s="376" t="s">
        <v>133</v>
      </c>
      <c r="J325" s="377" t="s">
        <v>134</v>
      </c>
      <c r="M325" s="86"/>
      <c r="N325" s="94"/>
      <c r="O325" s="94"/>
      <c r="P325" s="94"/>
      <c r="Q325" s="86"/>
      <c r="R325" s="86"/>
      <c r="S325" s="86"/>
      <c r="T325" s="440"/>
      <c r="U325" s="523"/>
      <c r="V325" s="523"/>
      <c r="Y325" s="390"/>
      <c r="Z325" s="385"/>
      <c r="AA325" s="86"/>
      <c r="AB325" s="94"/>
      <c r="AC325" s="94"/>
      <c r="AD325" s="94"/>
      <c r="AE325" s="386" t="s">
        <v>133</v>
      </c>
    </row>
    <row r="326" spans="3:31" s="260" customFormat="1" ht="15.75" thickBot="1" x14ac:dyDescent="0.3">
      <c r="D326" s="355"/>
      <c r="E326" s="367"/>
      <c r="F326" s="367"/>
      <c r="G326" s="367"/>
      <c r="H326" s="412"/>
      <c r="I326" s="412">
        <f>H317</f>
        <v>1.03</v>
      </c>
      <c r="J326" s="422"/>
      <c r="M326" s="524" t="s">
        <v>11</v>
      </c>
      <c r="N326" s="525"/>
      <c r="O326" s="525"/>
      <c r="P326" s="525"/>
      <c r="Q326" s="525"/>
      <c r="R326" s="525"/>
      <c r="S326" s="525"/>
      <c r="T326" s="526"/>
      <c r="U326" s="527">
        <f>+U324+U317</f>
        <v>36152.769999999997</v>
      </c>
      <c r="V326" s="528"/>
      <c r="Y326" s="429"/>
      <c r="Z326" s="441">
        <f>+Z324+Z317</f>
        <v>3917514.8355</v>
      </c>
      <c r="AA326" s="86"/>
      <c r="AB326" s="94"/>
      <c r="AC326" s="94"/>
      <c r="AD326" s="94"/>
      <c r="AE326" s="405" t="s">
        <v>133</v>
      </c>
    </row>
    <row r="327" spans="3:31" s="260" customFormat="1" x14ac:dyDescent="0.25"/>
    <row r="328" spans="3:31" s="260" customFormat="1" ht="15.75" thickBot="1" x14ac:dyDescent="0.3"/>
    <row r="329" spans="3:31" s="260" customFormat="1" ht="15.75" thickBot="1" x14ac:dyDescent="0.3">
      <c r="M329" s="363" t="s">
        <v>88</v>
      </c>
      <c r="N329" s="436" t="str">
        <f>+N281</f>
        <v>CAP.1</v>
      </c>
      <c r="O329" s="550" t="str">
        <f>IFERROR(VLOOKUP(N329,PPTO!C:H,2,0),"----")</f>
        <v>PRELIMINARES Y REPARACIONES</v>
      </c>
      <c r="P329" s="551"/>
      <c r="Q329" s="551"/>
      <c r="R329" s="551"/>
      <c r="S329" s="551"/>
      <c r="T329" s="551"/>
      <c r="U329" s="552"/>
      <c r="V329" s="74" t="s">
        <v>91</v>
      </c>
      <c r="Y329" s="365" t="s">
        <v>104</v>
      </c>
      <c r="Z329" s="94"/>
      <c r="AA329" s="188"/>
      <c r="AB329" s="553"/>
      <c r="AC329" s="553"/>
      <c r="AD329" s="553"/>
      <c r="AE329" s="94"/>
    </row>
    <row r="330" spans="3:31" s="260" customFormat="1" ht="15.75" thickBot="1" x14ac:dyDescent="0.3">
      <c r="C330" s="369">
        <f>+N330</f>
        <v>1.04</v>
      </c>
      <c r="D330" s="86"/>
      <c r="E330" s="86"/>
      <c r="F330" s="86"/>
      <c r="G330" s="86"/>
      <c r="H330" s="86"/>
      <c r="I330" s="86"/>
      <c r="J330" s="86"/>
      <c r="K330" s="370"/>
      <c r="M330" s="75" t="s">
        <v>92</v>
      </c>
      <c r="N330" s="371">
        <f>+ROUNDUP(N282+0.01,2)</f>
        <v>1.04</v>
      </c>
      <c r="O330" s="554" t="str">
        <f>IFERROR(VLOOKUP(N330,PPTO!C:H,2,0),"----")</f>
        <v>Reparacion de piso para instalacion de redes sanitarias y drenaje</v>
      </c>
      <c r="P330" s="555"/>
      <c r="Q330" s="555"/>
      <c r="R330" s="555"/>
      <c r="S330" s="555"/>
      <c r="T330" s="555"/>
      <c r="U330" s="556"/>
      <c r="V330" s="76" t="str">
        <f>IFERROR(VLOOKUP(N330,PPTO!C:H,3,0),"----")</f>
        <v>M2</v>
      </c>
      <c r="Y330" s="373">
        <f>SUMIFS(PPTO!F:F,PPTO!C:C,APUS!N330)</f>
        <v>88.98</v>
      </c>
      <c r="Z330" s="94"/>
      <c r="AA330" s="86"/>
      <c r="AB330" s="94"/>
      <c r="AC330" s="94"/>
      <c r="AD330" s="94"/>
      <c r="AE330" s="94"/>
    </row>
    <row r="331" spans="3:31" s="260" customFormat="1" ht="15.75" thickBot="1" x14ac:dyDescent="0.3">
      <c r="C331" s="84"/>
      <c r="D331" s="86"/>
      <c r="E331" s="86"/>
      <c r="F331" s="86"/>
      <c r="G331" s="86"/>
      <c r="H331" s="86"/>
      <c r="I331" s="86"/>
      <c r="J331" s="86"/>
      <c r="K331" s="88"/>
      <c r="M331" s="557"/>
      <c r="N331" s="557"/>
      <c r="O331" s="557"/>
      <c r="P331" s="557"/>
      <c r="Q331" s="557"/>
      <c r="R331" s="557"/>
      <c r="S331" s="557"/>
      <c r="T331" s="557"/>
      <c r="U331" s="557"/>
      <c r="V331" s="557"/>
      <c r="Y331" s="374"/>
      <c r="Z331" s="94"/>
      <c r="AA331" s="86"/>
      <c r="AB331" s="94"/>
      <c r="AC331" s="94"/>
      <c r="AD331" s="94"/>
      <c r="AE331" s="94"/>
    </row>
    <row r="332" spans="3:31" s="260" customFormat="1" ht="15.75" thickBot="1" x14ac:dyDescent="0.3">
      <c r="C332" s="84"/>
      <c r="D332" s="375" t="s">
        <v>128</v>
      </c>
      <c r="E332" s="376" t="s">
        <v>129</v>
      </c>
      <c r="F332" s="376" t="s">
        <v>130</v>
      </c>
      <c r="G332" s="376" t="s">
        <v>131</v>
      </c>
      <c r="H332" s="376" t="s">
        <v>132</v>
      </c>
      <c r="I332" s="376" t="s">
        <v>133</v>
      </c>
      <c r="J332" s="377" t="s">
        <v>134</v>
      </c>
      <c r="K332" s="88"/>
      <c r="M332" s="558" t="s">
        <v>93</v>
      </c>
      <c r="N332" s="559"/>
      <c r="O332" s="559"/>
      <c r="P332" s="559"/>
      <c r="Q332" s="559"/>
      <c r="R332" s="559"/>
      <c r="S332" s="559"/>
      <c r="T332" s="559"/>
      <c r="U332" s="559"/>
      <c r="V332" s="560"/>
      <c r="Y332" s="378"/>
      <c r="Z332" s="121"/>
      <c r="AA332" s="86"/>
      <c r="AB332" s="513"/>
      <c r="AC332" s="514"/>
      <c r="AD332" s="94"/>
      <c r="AE332" s="379"/>
    </row>
    <row r="333" spans="3:31" s="260" customFormat="1" x14ac:dyDescent="0.25">
      <c r="C333" s="84"/>
      <c r="D333" s="380"/>
      <c r="E333" s="381"/>
      <c r="F333" s="381"/>
      <c r="G333" s="381"/>
      <c r="H333" s="381"/>
      <c r="I333" s="381"/>
      <c r="J333" s="382"/>
      <c r="K333" s="88"/>
      <c r="M333" s="99" t="s">
        <v>94</v>
      </c>
      <c r="N333" s="561" t="s">
        <v>95</v>
      </c>
      <c r="O333" s="561"/>
      <c r="P333" s="561"/>
      <c r="Q333" s="561"/>
      <c r="R333" s="95" t="s">
        <v>96</v>
      </c>
      <c r="S333" s="95" t="s">
        <v>97</v>
      </c>
      <c r="T333" s="562" t="s">
        <v>8</v>
      </c>
      <c r="U333" s="562"/>
      <c r="V333" s="100" t="s">
        <v>98</v>
      </c>
      <c r="Y333" s="383" t="s">
        <v>104</v>
      </c>
      <c r="Z333" s="119" t="s">
        <v>9</v>
      </c>
      <c r="AA333" s="86"/>
      <c r="AB333" s="384"/>
      <c r="AC333" s="385"/>
      <c r="AD333" s="94"/>
      <c r="AE333" s="386"/>
    </row>
    <row r="334" spans="3:31" s="260" customFormat="1" x14ac:dyDescent="0.25">
      <c r="C334" s="84"/>
      <c r="D334" s="85"/>
      <c r="E334" s="86"/>
      <c r="F334" s="86"/>
      <c r="G334" s="86"/>
      <c r="H334" s="86"/>
      <c r="I334" s="86"/>
      <c r="J334" s="87"/>
      <c r="K334" s="88"/>
      <c r="M334" s="102"/>
      <c r="N334" s="533" t="s">
        <v>99</v>
      </c>
      <c r="O334" s="533"/>
      <c r="P334" s="533"/>
      <c r="Q334" s="533"/>
      <c r="R334" s="78" t="s">
        <v>100</v>
      </c>
      <c r="S334" s="387">
        <f>+$AA$10</f>
        <v>0.05</v>
      </c>
      <c r="T334" s="563">
        <f>V363</f>
        <v>17835.13</v>
      </c>
      <c r="U334" s="563"/>
      <c r="V334" s="389">
        <f>+IFERROR(T334*S334,0)</f>
        <v>891.75650000000007</v>
      </c>
      <c r="Y334" s="390"/>
      <c r="Z334" s="391">
        <f>Y330*V334</f>
        <v>79348.493370000011</v>
      </c>
      <c r="AA334" s="86"/>
      <c r="AB334" s="384"/>
      <c r="AC334" s="385"/>
      <c r="AD334" s="94"/>
      <c r="AE334" s="386" t="str">
        <f>+IF(V334=0,"CERO","NO")</f>
        <v>NO</v>
      </c>
    </row>
    <row r="335" spans="3:31" s="260" customFormat="1" x14ac:dyDescent="0.25">
      <c r="C335" s="84"/>
      <c r="D335" s="85"/>
      <c r="E335" s="86"/>
      <c r="F335" s="86"/>
      <c r="G335" s="86"/>
      <c r="H335" s="86"/>
      <c r="I335" s="86"/>
      <c r="J335" s="87"/>
      <c r="K335" s="88"/>
      <c r="M335" s="106"/>
      <c r="N335" s="533" t="str">
        <f>IFERROR(VLOOKUP(M335,INSUMOS!$C$8:$K$928,2,0),"-----")</f>
        <v>-----</v>
      </c>
      <c r="O335" s="533"/>
      <c r="P335" s="533"/>
      <c r="Q335" s="533"/>
      <c r="R335" s="78" t="str">
        <f>IFERROR(VLOOKUP(M335,INSUMOS!$C$8:$K$928,6,0),"-----")</f>
        <v>-----</v>
      </c>
      <c r="S335" s="396"/>
      <c r="T335" s="529" t="str">
        <f>IFERROR(VLOOKUP(M335,INSUMOS!$C$8:$K$928,7,0),"0")</f>
        <v>0</v>
      </c>
      <c r="U335" s="529"/>
      <c r="V335" s="389">
        <f>+IFERROR(T335*S335,0)</f>
        <v>0</v>
      </c>
      <c r="Y335" s="393">
        <f>+IFERROR(Y330*S335,0)</f>
        <v>0</v>
      </c>
      <c r="Z335" s="391">
        <f>Y330*V335</f>
        <v>0</v>
      </c>
      <c r="AA335" s="394"/>
      <c r="AB335" s="395">
        <f>+Y335*T335</f>
        <v>0</v>
      </c>
      <c r="AC335" s="93">
        <f>+AB335-Z335</f>
        <v>0</v>
      </c>
      <c r="AD335" s="94"/>
      <c r="AE335" s="386" t="str">
        <f>+IF(V335=0,"CERO","NO")</f>
        <v>CERO</v>
      </c>
    </row>
    <row r="336" spans="3:31" s="260" customFormat="1" x14ac:dyDescent="0.25">
      <c r="C336" s="84"/>
      <c r="D336" s="85"/>
      <c r="E336" s="86"/>
      <c r="F336" s="86"/>
      <c r="G336" s="86"/>
      <c r="H336" s="86"/>
      <c r="I336" s="86"/>
      <c r="J336" s="87"/>
      <c r="K336" s="88"/>
      <c r="M336" s="102"/>
      <c r="N336" s="533" t="str">
        <f>IFERROR(VLOOKUP(M336,INSUMOS!$C$8:$K$928,2,0),"-----")</f>
        <v>-----</v>
      </c>
      <c r="O336" s="533"/>
      <c r="P336" s="533"/>
      <c r="Q336" s="533"/>
      <c r="R336" s="78" t="str">
        <f>IFERROR(VLOOKUP(M336,INSUMOS!$C$8:$K$928,6,0),"-----")</f>
        <v>-----</v>
      </c>
      <c r="S336" s="396"/>
      <c r="T336" s="529" t="str">
        <f>IFERROR(VLOOKUP(M336,INSUMOS!$C$8:$K$928,7,0),"0")</f>
        <v>0</v>
      </c>
      <c r="U336" s="529"/>
      <c r="V336" s="389">
        <f>+IFERROR(T336*S336,0)</f>
        <v>0</v>
      </c>
      <c r="Y336" s="393">
        <f>+IFERROR(Y330*S336,0)</f>
        <v>0</v>
      </c>
      <c r="Z336" s="391">
        <f>Y330*V336</f>
        <v>0</v>
      </c>
      <c r="AA336" s="394"/>
      <c r="AB336" s="395">
        <f>+Y336*T336</f>
        <v>0</v>
      </c>
      <c r="AC336" s="93">
        <f>+AB336-Z336</f>
        <v>0</v>
      </c>
      <c r="AD336" s="94"/>
      <c r="AE336" s="386" t="str">
        <f>+IF(V336=0,"CERO","NO")</f>
        <v>CERO</v>
      </c>
    </row>
    <row r="337" spans="3:31" s="260" customFormat="1" x14ac:dyDescent="0.25">
      <c r="C337" s="84"/>
      <c r="D337" s="85"/>
      <c r="E337" s="86"/>
      <c r="F337" s="86"/>
      <c r="G337" s="86"/>
      <c r="H337" s="86"/>
      <c r="I337" s="86"/>
      <c r="J337" s="87"/>
      <c r="K337" s="88"/>
      <c r="M337" s="102">
        <v>0</v>
      </c>
      <c r="N337" s="533"/>
      <c r="O337" s="533"/>
      <c r="P337" s="533"/>
      <c r="Q337" s="533"/>
      <c r="R337" s="78"/>
      <c r="S337" s="396"/>
      <c r="T337" s="529"/>
      <c r="U337" s="529"/>
      <c r="V337" s="397"/>
      <c r="Y337" s="393">
        <f>+IFERROR(Y330*S337,0)</f>
        <v>0</v>
      </c>
      <c r="Z337" s="391">
        <f>Y330*V337</f>
        <v>0</v>
      </c>
      <c r="AA337" s="394"/>
      <c r="AB337" s="395">
        <f>+Y337*T337</f>
        <v>0</v>
      </c>
      <c r="AC337" s="93">
        <f>+AB337-Z337</f>
        <v>0</v>
      </c>
      <c r="AD337" s="94"/>
      <c r="AE337" s="386" t="str">
        <f>+IF(V337=0,"CERO","NO")</f>
        <v>CERO</v>
      </c>
    </row>
    <row r="338" spans="3:31" s="260" customFormat="1" ht="15.75" thickBot="1" x14ac:dyDescent="0.3">
      <c r="C338" s="84"/>
      <c r="D338" s="85"/>
      <c r="E338" s="86"/>
      <c r="F338" s="86"/>
      <c r="G338" s="86"/>
      <c r="H338" s="86"/>
      <c r="I338" s="86"/>
      <c r="J338" s="87"/>
      <c r="K338" s="88"/>
      <c r="M338" s="102">
        <v>0</v>
      </c>
      <c r="N338" s="564"/>
      <c r="O338" s="564"/>
      <c r="P338" s="564"/>
      <c r="Q338" s="564"/>
      <c r="R338" s="96"/>
      <c r="S338" s="96"/>
      <c r="T338" s="565"/>
      <c r="U338" s="565"/>
      <c r="V338" s="101"/>
      <c r="Y338" s="393">
        <f>+IFERROR(Y330*S338,0)</f>
        <v>0</v>
      </c>
      <c r="Z338" s="391">
        <f>Y330*V338</f>
        <v>0</v>
      </c>
      <c r="AA338" s="394"/>
      <c r="AB338" s="395">
        <f>+Y338*T338</f>
        <v>0</v>
      </c>
      <c r="AC338" s="93">
        <f>+AB338-Z338</f>
        <v>0</v>
      </c>
      <c r="AD338" s="94"/>
      <c r="AE338" s="386" t="str">
        <f>+IF(V338=0,"CERO","NO")</f>
        <v>CERO</v>
      </c>
    </row>
    <row r="339" spans="3:31" s="260" customFormat="1" ht="15.75" thickBot="1" x14ac:dyDescent="0.3">
      <c r="C339" s="84"/>
      <c r="D339" s="375" t="s">
        <v>128</v>
      </c>
      <c r="E339" s="376" t="s">
        <v>129</v>
      </c>
      <c r="F339" s="376" t="s">
        <v>130</v>
      </c>
      <c r="G339" s="376" t="s">
        <v>131</v>
      </c>
      <c r="H339" s="376" t="s">
        <v>132</v>
      </c>
      <c r="I339" s="376" t="s">
        <v>133</v>
      </c>
      <c r="J339" s="377" t="s">
        <v>134</v>
      </c>
      <c r="K339" s="88"/>
      <c r="M339" s="534"/>
      <c r="N339" s="536" t="s">
        <v>101</v>
      </c>
      <c r="O339" s="536"/>
      <c r="P339" s="536"/>
      <c r="Q339" s="536"/>
      <c r="R339" s="536"/>
      <c r="S339" s="536"/>
      <c r="T339" s="536"/>
      <c r="U339" s="536"/>
      <c r="V339" s="389">
        <f>+SUM(V334:V338)</f>
        <v>891.75650000000007</v>
      </c>
      <c r="Y339" s="398" t="s">
        <v>135</v>
      </c>
      <c r="Z339" s="397">
        <f>+SUM(Z334:Z338)</f>
        <v>79348.493370000011</v>
      </c>
      <c r="AA339" s="86"/>
      <c r="AB339" s="384"/>
      <c r="AC339" s="385"/>
      <c r="AD339" s="94"/>
      <c r="AE339" s="399"/>
    </row>
    <row r="340" spans="3:31" s="260" customFormat="1" ht="15.75" thickBot="1" x14ac:dyDescent="0.3">
      <c r="C340" s="84"/>
      <c r="D340" s="375">
        <f>C330</f>
        <v>1.04</v>
      </c>
      <c r="E340" s="376"/>
      <c r="F340" s="376"/>
      <c r="G340" s="376"/>
      <c r="H340" s="376"/>
      <c r="I340" s="376"/>
      <c r="J340" s="377"/>
      <c r="K340" s="88"/>
      <c r="M340" s="566"/>
      <c r="N340" s="567" t="s">
        <v>102</v>
      </c>
      <c r="O340" s="567"/>
      <c r="P340" s="567"/>
      <c r="Q340" s="567"/>
      <c r="R340" s="567"/>
      <c r="S340" s="567"/>
      <c r="T340" s="567"/>
      <c r="U340" s="567"/>
      <c r="V340" s="400">
        <f>+ROUND(V339,$AA$5)</f>
        <v>891.76</v>
      </c>
      <c r="Y340" s="401" t="s">
        <v>136</v>
      </c>
      <c r="Z340" s="402">
        <f>+ROUND(Z339,$AA$5)</f>
        <v>79348.490000000005</v>
      </c>
      <c r="AA340" s="86"/>
      <c r="AB340" s="403">
        <f>+V340*Y330</f>
        <v>79348.804799999998</v>
      </c>
      <c r="AC340" s="404">
        <f>+AB340-Z340</f>
        <v>0.31479999999282882</v>
      </c>
      <c r="AD340" s="94"/>
      <c r="AE340" s="405"/>
    </row>
    <row r="341" spans="3:31" s="260" customFormat="1" x14ac:dyDescent="0.25">
      <c r="C341" s="84"/>
      <c r="D341" s="380"/>
      <c r="E341" s="381"/>
      <c r="F341" s="381"/>
      <c r="G341" s="381"/>
      <c r="H341" s="381"/>
      <c r="I341" s="381"/>
      <c r="J341" s="382"/>
      <c r="K341" s="88"/>
      <c r="M341" s="510" t="s">
        <v>103</v>
      </c>
      <c r="N341" s="511"/>
      <c r="O341" s="511"/>
      <c r="P341" s="511"/>
      <c r="Q341" s="511"/>
      <c r="R341" s="511"/>
      <c r="S341" s="511"/>
      <c r="T341" s="511"/>
      <c r="U341" s="511"/>
      <c r="V341" s="512"/>
      <c r="Y341" s="378"/>
      <c r="Z341" s="121"/>
      <c r="AA341" s="86"/>
      <c r="AB341" s="513"/>
      <c r="AC341" s="514"/>
      <c r="AD341" s="94"/>
      <c r="AE341" s="126"/>
    </row>
    <row r="342" spans="3:31" s="260" customFormat="1" x14ac:dyDescent="0.25">
      <c r="C342" s="84"/>
      <c r="D342" s="85"/>
      <c r="E342" s="86"/>
      <c r="F342" s="86"/>
      <c r="G342" s="86"/>
      <c r="H342" s="86"/>
      <c r="I342" s="86"/>
      <c r="J342" s="87"/>
      <c r="K342" s="88"/>
      <c r="M342" s="99" t="s">
        <v>94</v>
      </c>
      <c r="N342" s="561" t="s">
        <v>95</v>
      </c>
      <c r="O342" s="561"/>
      <c r="P342" s="561"/>
      <c r="Q342" s="561"/>
      <c r="R342" s="95" t="s">
        <v>96</v>
      </c>
      <c r="S342" s="95" t="s">
        <v>104</v>
      </c>
      <c r="T342" s="356" t="s">
        <v>105</v>
      </c>
      <c r="U342" s="356" t="s">
        <v>8</v>
      </c>
      <c r="V342" s="100" t="s">
        <v>98</v>
      </c>
      <c r="Y342" s="383" t="s">
        <v>104</v>
      </c>
      <c r="Z342" s="119" t="s">
        <v>9</v>
      </c>
      <c r="AA342" s="86"/>
      <c r="AB342" s="384"/>
      <c r="AC342" s="385"/>
      <c r="AD342" s="94"/>
      <c r="AE342" s="406"/>
    </row>
    <row r="343" spans="3:31" s="260" customFormat="1" x14ac:dyDescent="0.25">
      <c r="C343" s="84"/>
      <c r="D343" s="85"/>
      <c r="E343" s="86"/>
      <c r="F343" s="86"/>
      <c r="G343" s="86"/>
      <c r="H343" s="86"/>
      <c r="I343" s="86"/>
      <c r="J343" s="87"/>
      <c r="K343" s="88"/>
      <c r="M343" s="102" t="s">
        <v>893</v>
      </c>
      <c r="N343" s="533" t="str">
        <f>IFERROR(VLOOKUP(M343,INSUMOS!$C$8:$K$928,2,0),"-----")</f>
        <v>CONCRETO DE 4.000 PSI</v>
      </c>
      <c r="O343" s="533"/>
      <c r="P343" s="533"/>
      <c r="Q343" s="533"/>
      <c r="R343" s="78" t="str">
        <f>IFERROR(VLOOKUP(M343,INSUMOS!$C$8:$K$928,6,0),"-----")</f>
        <v>m3</v>
      </c>
      <c r="S343" s="396">
        <f>1*1*0.15</f>
        <v>0.15</v>
      </c>
      <c r="T343" s="387">
        <v>0.02</v>
      </c>
      <c r="U343" s="388">
        <f>IFERROR(VLOOKUP(M343,INSUMOS!$C$8:$K$928,7,0),"0")</f>
        <v>812856.43</v>
      </c>
      <c r="V343" s="389">
        <f>+IFERROR(U343*(S343*(1+T343)),0)</f>
        <v>124367.03379</v>
      </c>
      <c r="Y343" s="393">
        <f>+IFERROR(Y330*(S343*(1+T343)),0)</f>
        <v>13.613939999999999</v>
      </c>
      <c r="Z343" s="391">
        <f>Y330*V343</f>
        <v>11066178.6666342</v>
      </c>
      <c r="AA343" s="394"/>
      <c r="AB343" s="395">
        <f>+Y343*U343</f>
        <v>11066178.6666342</v>
      </c>
      <c r="AC343" s="93">
        <f>+AB343-Z343</f>
        <v>0</v>
      </c>
      <c r="AD343" s="94"/>
      <c r="AE343" s="406" t="str">
        <f>+IF(V343=0,"CERO","NO")</f>
        <v>NO</v>
      </c>
    </row>
    <row r="344" spans="3:31" s="260" customFormat="1" x14ac:dyDescent="0.25">
      <c r="C344" s="84"/>
      <c r="D344" s="85"/>
      <c r="E344" s="86"/>
      <c r="F344" s="86"/>
      <c r="G344" s="86"/>
      <c r="H344" s="86"/>
      <c r="I344" s="86"/>
      <c r="J344" s="87"/>
      <c r="K344" s="88"/>
      <c r="M344" s="102">
        <v>439</v>
      </c>
      <c r="N344" s="533" t="str">
        <f>IFERROR(VLOOKUP(M344,INSUMOS!$C$8:$K$928,2,0),"-----")</f>
        <v>MALLA ELECTROSOLDADA</v>
      </c>
      <c r="O344" s="533"/>
      <c r="P344" s="533"/>
      <c r="Q344" s="533"/>
      <c r="R344" s="78" t="str">
        <f>IFERROR(VLOOKUP(M344,INSUMOS!$C$8:$K$928,6,0),"-----")</f>
        <v>M2</v>
      </c>
      <c r="S344" s="396">
        <v>1</v>
      </c>
      <c r="T344" s="387">
        <v>0.02</v>
      </c>
      <c r="U344" s="388">
        <f>IFERROR(VLOOKUP(M344,INSUMOS!$C$8:$K$928,7,0),"0")</f>
        <v>18991.5</v>
      </c>
      <c r="V344" s="389">
        <f>+IFERROR(U344*(S344*(1+T344)),0)</f>
        <v>19371.330000000002</v>
      </c>
      <c r="Y344" s="393">
        <f>+IFERROR(Y330*(S344*(1+T344)),0)</f>
        <v>90.759600000000006</v>
      </c>
      <c r="Z344" s="391">
        <f>Y330*V344</f>
        <v>1723660.9434000002</v>
      </c>
      <c r="AA344" s="394"/>
      <c r="AB344" s="395">
        <f>+Y344*U344</f>
        <v>1723660.9434000002</v>
      </c>
      <c r="AC344" s="93">
        <f>+AB344-Z344</f>
        <v>0</v>
      </c>
      <c r="AD344" s="94"/>
      <c r="AE344" s="406" t="str">
        <f>+IF(V344=0,"CERO","NO")</f>
        <v>NO</v>
      </c>
    </row>
    <row r="345" spans="3:31" s="260" customFormat="1" x14ac:dyDescent="0.25">
      <c r="C345" s="84"/>
      <c r="D345" s="85"/>
      <c r="E345" s="86"/>
      <c r="F345" s="86"/>
      <c r="G345" s="86"/>
      <c r="H345" s="86"/>
      <c r="I345" s="86"/>
      <c r="J345" s="87"/>
      <c r="K345" s="88"/>
      <c r="M345" s="102">
        <v>447</v>
      </c>
      <c r="N345" s="533" t="str">
        <f>IFERROR(VLOOKUP(M345,INSUMOS!$C$8:$K$928,2,0),"-----")</f>
        <v>ALAMBRE DE AMARRE No 18</v>
      </c>
      <c r="O345" s="533"/>
      <c r="P345" s="533"/>
      <c r="Q345" s="533"/>
      <c r="R345" s="78" t="str">
        <f>IFERROR(VLOOKUP(M345,INSUMOS!$C$8:$K$928,6,0),"-----")</f>
        <v>Kg</v>
      </c>
      <c r="S345" s="396">
        <v>0.1</v>
      </c>
      <c r="T345" s="387">
        <v>0.02</v>
      </c>
      <c r="U345" s="388">
        <f>IFERROR(VLOOKUP(M345,INSUMOS!$C$8:$K$928,7,0),"0")</f>
        <v>5500</v>
      </c>
      <c r="V345" s="389">
        <f>+IFERROR(U345*(S345*(1+T345)),0)</f>
        <v>561</v>
      </c>
      <c r="Y345" s="393">
        <f>+IFERROR(Y330*(S345*(1+T345)),0)</f>
        <v>9.0759600000000002</v>
      </c>
      <c r="Z345" s="391">
        <f>Y330*V345</f>
        <v>49917.78</v>
      </c>
      <c r="AA345" s="394"/>
      <c r="AB345" s="395">
        <f>+Y345*U345</f>
        <v>49917.78</v>
      </c>
      <c r="AC345" s="93">
        <f>+AB345-Z345</f>
        <v>0</v>
      </c>
      <c r="AD345" s="94"/>
      <c r="AE345" s="406" t="str">
        <f>+IF(V345=0,"CERO","NO")</f>
        <v>NO</v>
      </c>
    </row>
    <row r="346" spans="3:31" s="260" customFormat="1" x14ac:dyDescent="0.25">
      <c r="C346" s="84"/>
      <c r="D346" s="85"/>
      <c r="E346" s="86"/>
      <c r="F346" s="86"/>
      <c r="G346" s="86"/>
      <c r="H346" s="86"/>
      <c r="I346" s="86"/>
      <c r="J346" s="87"/>
      <c r="K346" s="88"/>
      <c r="M346" s="102">
        <v>842</v>
      </c>
      <c r="N346" s="533" t="str">
        <f>IFERROR(VLOOKUP(M346,INSUMOS!$C$8:$K$928,2,0),"-----")</f>
        <v>SIKAFLEX 1A 300 mm</v>
      </c>
      <c r="O346" s="533"/>
      <c r="P346" s="533"/>
      <c r="Q346" s="533"/>
      <c r="R346" s="78" t="str">
        <f>IFERROR(VLOOKUP(M346,INSUMOS!$C$8:$K$928,6,0),"-----")</f>
        <v>und</v>
      </c>
      <c r="S346" s="396">
        <v>0.01</v>
      </c>
      <c r="T346" s="387">
        <v>0</v>
      </c>
      <c r="U346" s="388">
        <f>IFERROR(VLOOKUP(M346,INSUMOS!$C$8:$K$928,7,0),"0")</f>
        <v>53900</v>
      </c>
      <c r="V346" s="389">
        <f>+IFERROR(U346*(S346*(1+T346)),0)</f>
        <v>539</v>
      </c>
      <c r="Y346" s="393">
        <f>+IFERROR(Y330*(S346*(1+T346)),0)</f>
        <v>0.88980000000000004</v>
      </c>
      <c r="Z346" s="391">
        <f>Y330*V346</f>
        <v>47960.22</v>
      </c>
      <c r="AA346" s="394"/>
      <c r="AB346" s="395">
        <f>+Y346*U346</f>
        <v>47960.22</v>
      </c>
      <c r="AC346" s="93">
        <f>+AB346-Z346</f>
        <v>0</v>
      </c>
      <c r="AD346" s="94"/>
      <c r="AE346" s="406" t="str">
        <f>+IF(V346=0,"CERO","NO")</f>
        <v>NO</v>
      </c>
    </row>
    <row r="347" spans="3:31" s="260" customFormat="1" ht="15.75" thickBot="1" x14ac:dyDescent="0.3">
      <c r="C347" s="84"/>
      <c r="D347" s="85"/>
      <c r="E347" s="86"/>
      <c r="F347" s="86"/>
      <c r="G347" s="86"/>
      <c r="H347" s="86"/>
      <c r="I347" s="86"/>
      <c r="J347" s="87"/>
      <c r="K347" s="88"/>
      <c r="M347" s="102">
        <v>847</v>
      </c>
      <c r="N347" s="533" t="str">
        <f>IFERROR(VLOOKUP(M347,INSUMOS!$C$8:$K$928,2,0),"-----")</f>
        <v>PLASTOCRETE (Impermeabilizante Concreto)</v>
      </c>
      <c r="O347" s="533"/>
      <c r="P347" s="533"/>
      <c r="Q347" s="533"/>
      <c r="R347" s="78" t="str">
        <f>IFERROR(VLOOKUP(M347,INSUMOS!$C$8:$K$928,6,0),"-----")</f>
        <v>Kg</v>
      </c>
      <c r="S347" s="396">
        <v>0.2</v>
      </c>
      <c r="T347" s="387">
        <v>0</v>
      </c>
      <c r="U347" s="388">
        <f>IFERROR(VLOOKUP(M347,INSUMOS!$C$8:$K$928,7,0),"0")</f>
        <v>21945</v>
      </c>
      <c r="V347" s="389">
        <f>+IFERROR(U347*(S347*(1+T347)),0)</f>
        <v>4389</v>
      </c>
      <c r="Y347" s="393">
        <f>+IFERROR(Y330*(S347*(1+T347)),0)</f>
        <v>17.796000000000003</v>
      </c>
      <c r="Z347" s="391">
        <f>Y330*V347</f>
        <v>390533.22000000003</v>
      </c>
      <c r="AA347" s="394"/>
      <c r="AB347" s="395">
        <f>+Y347*U347</f>
        <v>390533.22000000009</v>
      </c>
      <c r="AC347" s="93">
        <f>+AB347-Z347</f>
        <v>0</v>
      </c>
      <c r="AD347" s="94"/>
      <c r="AE347" s="406" t="str">
        <f>+IF(V347=0,"CERO","NO")</f>
        <v>NO</v>
      </c>
    </row>
    <row r="348" spans="3:31" s="260" customFormat="1" ht="15.75" thickBot="1" x14ac:dyDescent="0.3">
      <c r="C348" s="84"/>
      <c r="D348" s="375" t="s">
        <v>128</v>
      </c>
      <c r="E348" s="376" t="s">
        <v>129</v>
      </c>
      <c r="F348" s="376" t="s">
        <v>130</v>
      </c>
      <c r="G348" s="376" t="s">
        <v>131</v>
      </c>
      <c r="H348" s="376" t="s">
        <v>132</v>
      </c>
      <c r="I348" s="376" t="s">
        <v>133</v>
      </c>
      <c r="J348" s="377" t="s">
        <v>134</v>
      </c>
      <c r="K348" s="88"/>
      <c r="M348" s="534"/>
      <c r="N348" s="536" t="s">
        <v>106</v>
      </c>
      <c r="O348" s="536"/>
      <c r="P348" s="536"/>
      <c r="Q348" s="536"/>
      <c r="R348" s="536"/>
      <c r="S348" s="536"/>
      <c r="T348" s="536"/>
      <c r="U348" s="536"/>
      <c r="V348" s="389">
        <f>+SUM(V343:V347)</f>
        <v>149227.36379</v>
      </c>
      <c r="Y348" s="398" t="s">
        <v>135</v>
      </c>
      <c r="Z348" s="397">
        <f>+SUM(Z343:Z347)</f>
        <v>13278250.830034202</v>
      </c>
      <c r="AA348" s="86"/>
      <c r="AB348" s="384"/>
      <c r="AC348" s="385"/>
      <c r="AD348" s="94"/>
      <c r="AE348" s="399"/>
    </row>
    <row r="349" spans="3:31" s="260" customFormat="1" ht="15.75" thickBot="1" x14ac:dyDescent="0.3">
      <c r="C349" s="84"/>
      <c r="D349" s="375"/>
      <c r="E349" s="407">
        <f>+D340</f>
        <v>1.04</v>
      </c>
      <c r="F349" s="376"/>
      <c r="G349" s="376"/>
      <c r="H349" s="376"/>
      <c r="I349" s="376"/>
      <c r="J349" s="377"/>
      <c r="K349" s="88"/>
      <c r="M349" s="535"/>
      <c r="N349" s="537" t="s">
        <v>107</v>
      </c>
      <c r="O349" s="537"/>
      <c r="P349" s="537"/>
      <c r="Q349" s="537"/>
      <c r="R349" s="537"/>
      <c r="S349" s="537"/>
      <c r="T349" s="537"/>
      <c r="U349" s="537"/>
      <c r="V349" s="408">
        <f>+ROUND(V348,$AA$5)</f>
        <v>149227.35999999999</v>
      </c>
      <c r="Y349" s="401" t="s">
        <v>136</v>
      </c>
      <c r="Z349" s="402">
        <f>+ROUND(Z348,$AA$5)</f>
        <v>13278250.83</v>
      </c>
      <c r="AA349" s="86"/>
      <c r="AB349" s="403">
        <f>+V349*Y330</f>
        <v>13278250.492799999</v>
      </c>
      <c r="AC349" s="404">
        <f>+AB349-Z349</f>
        <v>-0.33720000088214874</v>
      </c>
      <c r="AD349" s="94"/>
      <c r="AE349" s="405"/>
    </row>
    <row r="350" spans="3:31" s="260" customFormat="1" x14ac:dyDescent="0.25">
      <c r="C350" s="84"/>
      <c r="D350" s="380"/>
      <c r="E350" s="381"/>
      <c r="F350" s="381"/>
      <c r="G350" s="381"/>
      <c r="H350" s="381"/>
      <c r="I350" s="381"/>
      <c r="J350" s="382"/>
      <c r="K350" s="88"/>
      <c r="M350" s="568" t="s">
        <v>108</v>
      </c>
      <c r="N350" s="569"/>
      <c r="O350" s="569"/>
      <c r="P350" s="569"/>
      <c r="Q350" s="569"/>
      <c r="R350" s="569"/>
      <c r="S350" s="569"/>
      <c r="T350" s="569"/>
      <c r="U350" s="569"/>
      <c r="V350" s="570"/>
      <c r="Y350" s="378"/>
      <c r="Z350" s="121"/>
      <c r="AA350" s="86"/>
      <c r="AB350" s="409"/>
      <c r="AC350" s="121"/>
      <c r="AD350" s="94"/>
      <c r="AE350" s="126"/>
    </row>
    <row r="351" spans="3:31" s="260" customFormat="1" ht="25.5" x14ac:dyDescent="0.25">
      <c r="C351" s="84"/>
      <c r="D351" s="85"/>
      <c r="E351" s="86"/>
      <c r="F351" s="86"/>
      <c r="G351" s="86"/>
      <c r="H351" s="86"/>
      <c r="I351" s="86"/>
      <c r="J351" s="87"/>
      <c r="K351" s="88"/>
      <c r="M351" s="99" t="s">
        <v>94</v>
      </c>
      <c r="N351" s="561" t="s">
        <v>95</v>
      </c>
      <c r="O351" s="561"/>
      <c r="P351" s="561"/>
      <c r="Q351" s="95" t="s">
        <v>109</v>
      </c>
      <c r="R351" s="95" t="s">
        <v>110</v>
      </c>
      <c r="S351" s="95" t="s">
        <v>111</v>
      </c>
      <c r="T351" s="562" t="s">
        <v>112</v>
      </c>
      <c r="U351" s="562"/>
      <c r="V351" s="100" t="s">
        <v>98</v>
      </c>
      <c r="Y351" s="383" t="s">
        <v>104</v>
      </c>
      <c r="Z351" s="119" t="s">
        <v>9</v>
      </c>
      <c r="AA351" s="86"/>
      <c r="AB351" s="384"/>
      <c r="AC351" s="385"/>
      <c r="AD351" s="94"/>
      <c r="AE351" s="410"/>
    </row>
    <row r="352" spans="3:31" s="260" customFormat="1" x14ac:dyDescent="0.25">
      <c r="C352" s="84"/>
      <c r="D352" s="85"/>
      <c r="E352" s="86"/>
      <c r="F352" s="86"/>
      <c r="G352" s="86"/>
      <c r="H352" s="86"/>
      <c r="I352" s="86"/>
      <c r="J352" s="87"/>
      <c r="K352" s="88"/>
      <c r="M352" s="102"/>
      <c r="N352" s="530" t="str">
        <f>IFERROR(VLOOKUP(M352,INSUMOS!$C$8:$K$928,2,0),"-----")</f>
        <v>-----</v>
      </c>
      <c r="O352" s="531"/>
      <c r="P352" s="532"/>
      <c r="Q352" s="78" t="str">
        <f>IFERROR(VLOOKUP(M352,INSUMOS!$C$8:$K$928,5,0),"-----")</f>
        <v>-----</v>
      </c>
      <c r="R352" s="80"/>
      <c r="S352" s="80" t="str">
        <f>IFERROR(VLOOKUP(M352,INSUMOS!$C$8:$K$928,6,0),"0")</f>
        <v>0</v>
      </c>
      <c r="T352" s="529" t="str">
        <f>IFERROR(VLOOKUP(M352,INSUMOS!$C$8:$K$928,7,0),"0")</f>
        <v>0</v>
      </c>
      <c r="U352" s="529"/>
      <c r="V352" s="82">
        <f>+T352*S352*R352</f>
        <v>0</v>
      </c>
      <c r="Y352" s="393">
        <f>+IFERROR((R352*S352)*Y330,0)</f>
        <v>0</v>
      </c>
      <c r="Z352" s="391">
        <f>Y330*V352</f>
        <v>0</v>
      </c>
      <c r="AA352" s="86"/>
      <c r="AB352" s="92">
        <f>+Y352*T352</f>
        <v>0</v>
      </c>
      <c r="AC352" s="93">
        <f>+AB352-Z352</f>
        <v>0</v>
      </c>
      <c r="AD352" s="94"/>
      <c r="AE352" s="406" t="str">
        <f>+IF(V352=0,"CERO","NO")</f>
        <v>CERO</v>
      </c>
    </row>
    <row r="353" spans="3:31" s="260" customFormat="1" x14ac:dyDescent="0.25">
      <c r="C353" s="84"/>
      <c r="D353" s="85"/>
      <c r="E353" s="86"/>
      <c r="F353" s="86"/>
      <c r="G353" s="86"/>
      <c r="H353" s="86"/>
      <c r="I353" s="86"/>
      <c r="J353" s="87"/>
      <c r="K353" s="88"/>
      <c r="M353" s="102"/>
      <c r="N353" s="530" t="str">
        <f>IFERROR(VLOOKUP(M353,INSUMOS!$C$8:$K$928,2,0),"-----")</f>
        <v>-----</v>
      </c>
      <c r="O353" s="531"/>
      <c r="P353" s="532"/>
      <c r="Q353" s="78" t="str">
        <f>IFERROR(VLOOKUP(M353,INSUMOS!$C$8:$K$928,5,0),"-----")</f>
        <v>-----</v>
      </c>
      <c r="R353" s="80"/>
      <c r="S353" s="80" t="str">
        <f>IFERROR(VLOOKUP(M353,INSUMOS!$C$8:$K$928,6,0),"0")</f>
        <v>0</v>
      </c>
      <c r="T353" s="529" t="str">
        <f>IFERROR(VLOOKUP(M353,INSUMOS!$C$8:$K$928,7,0),"0")</f>
        <v>0</v>
      </c>
      <c r="U353" s="529"/>
      <c r="V353" s="82">
        <f>+T353*S353*R353</f>
        <v>0</v>
      </c>
      <c r="Y353" s="393">
        <f>+IFERROR((R353*S353)*Y330,0)</f>
        <v>0</v>
      </c>
      <c r="Z353" s="391">
        <f>Y330*V353</f>
        <v>0</v>
      </c>
      <c r="AA353" s="86"/>
      <c r="AB353" s="92">
        <f>+Y353*T353</f>
        <v>0</v>
      </c>
      <c r="AC353" s="93">
        <f>+AB353-Z353</f>
        <v>0</v>
      </c>
      <c r="AD353" s="94"/>
      <c r="AE353" s="406" t="str">
        <f>+IF(V353=0,"CERO","NO")</f>
        <v>CERO</v>
      </c>
    </row>
    <row r="354" spans="3:31" s="260" customFormat="1" x14ac:dyDescent="0.25">
      <c r="C354" s="84"/>
      <c r="D354" s="85"/>
      <c r="E354" s="86"/>
      <c r="F354" s="86"/>
      <c r="G354" s="86"/>
      <c r="H354" s="86"/>
      <c r="I354" s="86"/>
      <c r="J354" s="87"/>
      <c r="K354" s="88"/>
      <c r="M354" s="102">
        <v>0</v>
      </c>
      <c r="N354" s="530" t="str">
        <f>IFERROR(VLOOKUP(M354,INSUMOS!$C$8:$K$928,2,0),"-----")</f>
        <v>-----</v>
      </c>
      <c r="O354" s="531"/>
      <c r="P354" s="532"/>
      <c r="Q354" s="78" t="str">
        <f>IFERROR(VLOOKUP(M354,INSUMOS!$C$8:$K$928,5,0),"-----")</f>
        <v>-----</v>
      </c>
      <c r="R354" s="80"/>
      <c r="S354" s="80" t="str">
        <f>IFERROR(VLOOKUP(M354,INSUMOS!$C$8:$K$928,6,0),"0")</f>
        <v>0</v>
      </c>
      <c r="T354" s="529" t="str">
        <f>IFERROR(VLOOKUP(M354,INSUMOS!$C$8:$K$928,7,0),"0")</f>
        <v>0</v>
      </c>
      <c r="U354" s="529"/>
      <c r="V354" s="82">
        <f>+T354*S354*R354</f>
        <v>0</v>
      </c>
      <c r="Y354" s="393">
        <f>+IFERROR((R354*S354)*Y330,0)</f>
        <v>0</v>
      </c>
      <c r="Z354" s="391">
        <f>Y330*V354</f>
        <v>0</v>
      </c>
      <c r="AA354" s="86"/>
      <c r="AB354" s="92">
        <f>+Y354*T354</f>
        <v>0</v>
      </c>
      <c r="AC354" s="93">
        <f>+AB354-Z354</f>
        <v>0</v>
      </c>
      <c r="AD354" s="94"/>
      <c r="AE354" s="406" t="str">
        <f>+IF(V354=0,"CERO","NO")</f>
        <v>CERO</v>
      </c>
    </row>
    <row r="355" spans="3:31" s="260" customFormat="1" ht="15.75" thickBot="1" x14ac:dyDescent="0.3">
      <c r="C355" s="84"/>
      <c r="D355" s="89"/>
      <c r="E355" s="90"/>
      <c r="F355" s="90"/>
      <c r="G355" s="90"/>
      <c r="H355" s="90"/>
      <c r="I355" s="90"/>
      <c r="J355" s="91"/>
      <c r="K355" s="88"/>
      <c r="M355" s="102">
        <v>0</v>
      </c>
      <c r="N355" s="533"/>
      <c r="O355" s="533"/>
      <c r="P355" s="533"/>
      <c r="Q355" s="79"/>
      <c r="R355" s="78"/>
      <c r="S355" s="81"/>
      <c r="T355" s="529"/>
      <c r="U355" s="529"/>
      <c r="V355" s="82"/>
      <c r="Y355" s="393">
        <f>+IFERROR((R355*S355)*Y330,0)</f>
        <v>0</v>
      </c>
      <c r="Z355" s="391">
        <f>Y330*V355</f>
        <v>0</v>
      </c>
      <c r="AA355" s="86"/>
      <c r="AB355" s="92">
        <f>+Y355*T355</f>
        <v>0</v>
      </c>
      <c r="AC355" s="93">
        <f>+AB355-Z355</f>
        <v>0</v>
      </c>
      <c r="AD355" s="94"/>
      <c r="AE355" s="406" t="str">
        <f>+IF(V355=0,"CERO","NO")</f>
        <v>CERO</v>
      </c>
    </row>
    <row r="356" spans="3:31" s="260" customFormat="1" ht="15.75" thickBot="1" x14ac:dyDescent="0.3">
      <c r="C356" s="84"/>
      <c r="D356" s="375" t="s">
        <v>128</v>
      </c>
      <c r="E356" s="376" t="s">
        <v>129</v>
      </c>
      <c r="F356" s="376" t="s">
        <v>130</v>
      </c>
      <c r="G356" s="376" t="s">
        <v>131</v>
      </c>
      <c r="H356" s="376" t="s">
        <v>132</v>
      </c>
      <c r="I356" s="376" t="s">
        <v>133</v>
      </c>
      <c r="J356" s="377" t="s">
        <v>134</v>
      </c>
      <c r="K356" s="88"/>
      <c r="M356" s="534"/>
      <c r="N356" s="536" t="s">
        <v>113</v>
      </c>
      <c r="O356" s="536"/>
      <c r="P356" s="536"/>
      <c r="Q356" s="536"/>
      <c r="R356" s="536"/>
      <c r="S356" s="536"/>
      <c r="T356" s="536"/>
      <c r="U356" s="536"/>
      <c r="V356" s="411">
        <f>+SUM(V352:V355)</f>
        <v>0</v>
      </c>
      <c r="Y356" s="398" t="s">
        <v>135</v>
      </c>
      <c r="Z356" s="397">
        <f>+SUM(Z352:Z355)</f>
        <v>0</v>
      </c>
      <c r="AA356" s="86"/>
      <c r="AB356" s="384"/>
      <c r="AC356" s="385"/>
      <c r="AD356" s="94"/>
      <c r="AE356" s="399"/>
    </row>
    <row r="357" spans="3:31" s="260" customFormat="1" ht="15.75" thickBot="1" x14ac:dyDescent="0.3">
      <c r="C357" s="84"/>
      <c r="D357" s="355"/>
      <c r="E357" s="367"/>
      <c r="F357" s="412">
        <f>+E349</f>
        <v>1.04</v>
      </c>
      <c r="G357" s="367"/>
      <c r="H357" s="367"/>
      <c r="I357" s="367"/>
      <c r="J357" s="368"/>
      <c r="K357" s="88"/>
      <c r="M357" s="535"/>
      <c r="N357" s="537" t="s">
        <v>114</v>
      </c>
      <c r="O357" s="537"/>
      <c r="P357" s="537"/>
      <c r="Q357" s="537"/>
      <c r="R357" s="537"/>
      <c r="S357" s="537"/>
      <c r="T357" s="537"/>
      <c r="U357" s="537"/>
      <c r="V357" s="413">
        <f>+ROUND(V356,$AA$5)</f>
        <v>0</v>
      </c>
      <c r="Y357" s="401" t="s">
        <v>136</v>
      </c>
      <c r="Z357" s="402">
        <f>+ROUND(Z356,$AA$5)</f>
        <v>0</v>
      </c>
      <c r="AA357" s="86"/>
      <c r="AB357" s="403">
        <f>+V357*Y330</f>
        <v>0</v>
      </c>
      <c r="AC357" s="414"/>
      <c r="AD357" s="94"/>
      <c r="AE357" s="405"/>
    </row>
    <row r="358" spans="3:31" s="260" customFormat="1" ht="15.75" thickBot="1" x14ac:dyDescent="0.3">
      <c r="C358" s="84"/>
      <c r="D358" s="415"/>
      <c r="E358" s="416"/>
      <c r="F358" s="416"/>
      <c r="G358" s="416"/>
      <c r="H358" s="416"/>
      <c r="I358" s="416"/>
      <c r="J358" s="417"/>
      <c r="K358" s="88"/>
      <c r="M358" s="538" t="s">
        <v>115</v>
      </c>
      <c r="N358" s="539"/>
      <c r="O358" s="539"/>
      <c r="P358" s="539"/>
      <c r="Q358" s="539"/>
      <c r="R358" s="539"/>
      <c r="S358" s="539"/>
      <c r="T358" s="539"/>
      <c r="U358" s="539"/>
      <c r="V358" s="540"/>
      <c r="Y358" s="378"/>
      <c r="Z358" s="121"/>
      <c r="AA358" s="86"/>
      <c r="AB358" s="409"/>
      <c r="AC358" s="121"/>
      <c r="AD358" s="94"/>
      <c r="AE358" s="126"/>
    </row>
    <row r="359" spans="3:31" s="260" customFormat="1" ht="15.75" thickBot="1" x14ac:dyDescent="0.3">
      <c r="C359" s="84"/>
      <c r="D359" s="375" t="s">
        <v>128</v>
      </c>
      <c r="E359" s="376" t="s">
        <v>129</v>
      </c>
      <c r="F359" s="376" t="s">
        <v>130</v>
      </c>
      <c r="G359" s="376" t="s">
        <v>131</v>
      </c>
      <c r="H359" s="376" t="s">
        <v>132</v>
      </c>
      <c r="I359" s="376" t="s">
        <v>133</v>
      </c>
      <c r="J359" s="377" t="s">
        <v>134</v>
      </c>
      <c r="K359" s="88"/>
      <c r="M359" s="99" t="s">
        <v>94</v>
      </c>
      <c r="N359" s="98" t="s">
        <v>95</v>
      </c>
      <c r="O359" s="95" t="s">
        <v>96</v>
      </c>
      <c r="P359" s="359" t="s">
        <v>104</v>
      </c>
      <c r="Q359" s="95" t="s">
        <v>116</v>
      </c>
      <c r="R359" s="418" t="s">
        <v>117</v>
      </c>
      <c r="S359" s="95" t="s">
        <v>347</v>
      </c>
      <c r="T359" s="419" t="s">
        <v>118</v>
      </c>
      <c r="U359" s="189" t="s">
        <v>119</v>
      </c>
      <c r="V359" s="100" t="s">
        <v>98</v>
      </c>
      <c r="Y359" s="383" t="s">
        <v>104</v>
      </c>
      <c r="Z359" s="119" t="s">
        <v>9</v>
      </c>
      <c r="AA359" s="86"/>
      <c r="AB359" s="384"/>
      <c r="AC359" s="385"/>
      <c r="AD359" s="94"/>
      <c r="AE359" s="410"/>
    </row>
    <row r="360" spans="3:31" s="260" customFormat="1" ht="25.5" x14ac:dyDescent="0.25">
      <c r="C360" s="84"/>
      <c r="D360" s="354"/>
      <c r="E360" s="96"/>
      <c r="F360" s="96"/>
      <c r="G360" s="96"/>
      <c r="H360" s="96"/>
      <c r="I360" s="96"/>
      <c r="J360" s="420">
        <f>+F357</f>
        <v>1.04</v>
      </c>
      <c r="K360" s="88"/>
      <c r="M360" s="102">
        <v>201</v>
      </c>
      <c r="N360" s="347" t="str">
        <f>IFERROR(VLOOKUP(M360,INSUMOS!$C$8:$K$928,2,0),"-----")</f>
        <v>Oficial Albañileria</v>
      </c>
      <c r="O360" s="78" t="str">
        <f>IFERROR(VLOOKUP(M360,INSUMOS!$C$8:$K$928,3,0),"-----")</f>
        <v>JORNAL+PS</v>
      </c>
      <c r="P360" s="80">
        <v>1</v>
      </c>
      <c r="Q360" s="79">
        <v>15</v>
      </c>
      <c r="R360" s="190">
        <f>IFERROR(VLOOKUP(M360,INSUMOS!$C$8:$K$928,4,0),"-----")</f>
        <v>85136</v>
      </c>
      <c r="S360" s="190">
        <f>IFERROR(VLOOKUP(M360,INSUMOS!$C$8:$K$928,6,0),"-----")</f>
        <v>68109</v>
      </c>
      <c r="T360" s="190">
        <f>IFERROR(VLOOKUP(M360,INSUMOS!$C$8:$K$928,5,0),"-----")</f>
        <v>0</v>
      </c>
      <c r="U360" s="388">
        <f>SUM(R360:T360)</f>
        <v>153245</v>
      </c>
      <c r="V360" s="82">
        <f>+IFERROR((P360/Q360)*U360,0)</f>
        <v>10216.333333333334</v>
      </c>
      <c r="Y360" s="393">
        <f>+IFERROR((Y330/Q360*P360),0)</f>
        <v>5.9320000000000004</v>
      </c>
      <c r="Z360" s="391">
        <f>Y330*V360</f>
        <v>909049.34000000008</v>
      </c>
      <c r="AA360" s="86"/>
      <c r="AB360" s="92">
        <f>+(U360)*Y360</f>
        <v>909049.34000000008</v>
      </c>
      <c r="AC360" s="93">
        <f>+AB360-Z360</f>
        <v>0</v>
      </c>
      <c r="AD360" s="421"/>
      <c r="AE360" s="410" t="str">
        <f>+IF(V360=0,"CERO","NO")</f>
        <v>NO</v>
      </c>
    </row>
    <row r="361" spans="3:31" s="260" customFormat="1" ht="26.25" thickBot="1" x14ac:dyDescent="0.3">
      <c r="C361" s="84"/>
      <c r="D361" s="355"/>
      <c r="E361" s="367"/>
      <c r="F361" s="367"/>
      <c r="G361" s="367"/>
      <c r="H361" s="367"/>
      <c r="I361" s="367"/>
      <c r="J361" s="422">
        <f>+J360</f>
        <v>1.04</v>
      </c>
      <c r="K361" s="88"/>
      <c r="M361" s="102">
        <v>202</v>
      </c>
      <c r="N361" s="347" t="str">
        <f>IFERROR(VLOOKUP(M361,INSUMOS!$C$8:$K$928,2,0),"-----")</f>
        <v>Ayudante Albañileria</v>
      </c>
      <c r="O361" s="78" t="str">
        <f>IFERROR(VLOOKUP(M361,INSUMOS!$C$8:$K$928,3,0),"-----")</f>
        <v>JORNAL+PS</v>
      </c>
      <c r="P361" s="80">
        <v>1</v>
      </c>
      <c r="Q361" s="79">
        <v>15</v>
      </c>
      <c r="R361" s="190">
        <f>IFERROR(VLOOKUP(M361,INSUMOS!$C$8:$K$928,4,0),"-----")</f>
        <v>63490</v>
      </c>
      <c r="S361" s="190">
        <f>IFERROR(VLOOKUP(M361,INSUMOS!$C$8:$K$928,6,0),"-----")</f>
        <v>50792</v>
      </c>
      <c r="T361" s="190">
        <f>IFERROR(VLOOKUP(M361,INSUMOS!$C$8:$K$928,5,0),"-----")</f>
        <v>0</v>
      </c>
      <c r="U361" s="388">
        <f>SUM(R361:T361)</f>
        <v>114282</v>
      </c>
      <c r="V361" s="82">
        <f>+IFERROR((P361/Q361)*U361,0)</f>
        <v>7618.8</v>
      </c>
      <c r="Y361" s="393">
        <f>+IFERROR((Y330/Q361*P361),0)</f>
        <v>5.9320000000000004</v>
      </c>
      <c r="Z361" s="391">
        <f>Y330*V361</f>
        <v>677920.82400000002</v>
      </c>
      <c r="AA361" s="86"/>
      <c r="AB361" s="92">
        <f>+U361*Y361</f>
        <v>677920.82400000002</v>
      </c>
      <c r="AC361" s="93">
        <f>+AB361-Z361</f>
        <v>0</v>
      </c>
      <c r="AD361" s="94"/>
      <c r="AE361" s="410" t="str">
        <f>+IF(V361=0,"CERO","NO")</f>
        <v>NO</v>
      </c>
    </row>
    <row r="362" spans="3:31" s="260" customFormat="1" ht="15.75" thickBot="1" x14ac:dyDescent="0.3">
      <c r="C362" s="84"/>
      <c r="D362" s="375" t="s">
        <v>128</v>
      </c>
      <c r="E362" s="376" t="s">
        <v>129</v>
      </c>
      <c r="F362" s="376" t="s">
        <v>130</v>
      </c>
      <c r="G362" s="376" t="s">
        <v>131</v>
      </c>
      <c r="H362" s="376" t="s">
        <v>132</v>
      </c>
      <c r="I362" s="376" t="s">
        <v>133</v>
      </c>
      <c r="J362" s="377" t="s">
        <v>134</v>
      </c>
      <c r="K362" s="88"/>
      <c r="M362" s="534"/>
      <c r="N362" s="536" t="s">
        <v>120</v>
      </c>
      <c r="O362" s="536"/>
      <c r="P362" s="536"/>
      <c r="Q362" s="536"/>
      <c r="R362" s="536"/>
      <c r="S362" s="536"/>
      <c r="T362" s="536"/>
      <c r="U362" s="536"/>
      <c r="V362" s="82">
        <f>+SUM(V360:V361)</f>
        <v>17835.133333333335</v>
      </c>
      <c r="Y362" s="398" t="s">
        <v>135</v>
      </c>
      <c r="Z362" s="397">
        <f>+SUM(Z360:Z361)</f>
        <v>1586970.1640000001</v>
      </c>
      <c r="AA362" s="86"/>
      <c r="AB362" s="384"/>
      <c r="AC362" s="385"/>
      <c r="AD362" s="94"/>
      <c r="AE362" s="399"/>
    </row>
    <row r="363" spans="3:31" s="260" customFormat="1" ht="15.75" thickBot="1" x14ac:dyDescent="0.3">
      <c r="C363" s="84"/>
      <c r="D363" s="354"/>
      <c r="E363" s="96"/>
      <c r="F363" s="96"/>
      <c r="G363" s="107">
        <f>+F357</f>
        <v>1.04</v>
      </c>
      <c r="H363" s="96"/>
      <c r="I363" s="96"/>
      <c r="J363" s="427"/>
      <c r="K363" s="88"/>
      <c r="M363" s="535"/>
      <c r="N363" s="537" t="s">
        <v>121</v>
      </c>
      <c r="O363" s="537"/>
      <c r="P363" s="537"/>
      <c r="Q363" s="537"/>
      <c r="R363" s="537"/>
      <c r="S363" s="537"/>
      <c r="T363" s="537"/>
      <c r="U363" s="537"/>
      <c r="V363" s="413">
        <f>+ROUND(V362,$AA$5)</f>
        <v>17835.13</v>
      </c>
      <c r="Y363" s="401" t="s">
        <v>136</v>
      </c>
      <c r="Z363" s="402">
        <f>+ROUND(Z362,$AA$5)</f>
        <v>1586970.16</v>
      </c>
      <c r="AA363" s="86"/>
      <c r="AB363" s="403">
        <f>+V363*Y330</f>
        <v>1586969.8674000001</v>
      </c>
      <c r="AC363" s="404">
        <f>+AB363-Z363</f>
        <v>-0.29259999981150031</v>
      </c>
      <c r="AD363" s="94"/>
      <c r="AE363" s="405"/>
    </row>
    <row r="364" spans="3:31" s="260" customFormat="1" ht="15.75" thickBot="1" x14ac:dyDescent="0.3">
      <c r="C364" s="84"/>
      <c r="D364" s="375" t="s">
        <v>128</v>
      </c>
      <c r="E364" s="376" t="s">
        <v>129</v>
      </c>
      <c r="F364" s="376" t="s">
        <v>130</v>
      </c>
      <c r="G364" s="376" t="s">
        <v>131</v>
      </c>
      <c r="H364" s="376" t="s">
        <v>132</v>
      </c>
      <c r="I364" s="376" t="s">
        <v>133</v>
      </c>
      <c r="J364" s="377" t="s">
        <v>134</v>
      </c>
      <c r="K364" s="88"/>
      <c r="M364" s="541"/>
      <c r="N364" s="542"/>
      <c r="O364" s="542"/>
      <c r="P364" s="542"/>
      <c r="Q364" s="542"/>
      <c r="R364" s="542"/>
      <c r="S364" s="542"/>
      <c r="T364" s="542"/>
      <c r="U364" s="542"/>
      <c r="V364" s="543"/>
      <c r="Y364" s="378"/>
      <c r="Z364" s="121"/>
      <c r="AA364" s="86"/>
      <c r="AB364" s="409"/>
      <c r="AC364" s="121"/>
      <c r="AD364" s="94"/>
      <c r="AE364" s="428"/>
    </row>
    <row r="365" spans="3:31" s="260" customFormat="1" ht="15.75" thickBot="1" x14ac:dyDescent="0.3">
      <c r="C365" s="84"/>
      <c r="D365" s="355"/>
      <c r="E365" s="367"/>
      <c r="F365" s="367"/>
      <c r="G365" s="367"/>
      <c r="H365" s="412">
        <f>G363</f>
        <v>1.04</v>
      </c>
      <c r="I365" s="412"/>
      <c r="J365" s="422"/>
      <c r="K365" s="88"/>
      <c r="M365" s="544" t="s">
        <v>122</v>
      </c>
      <c r="N365" s="537"/>
      <c r="O365" s="537"/>
      <c r="P365" s="537"/>
      <c r="Q365" s="537"/>
      <c r="R365" s="537"/>
      <c r="S365" s="537"/>
      <c r="T365" s="537"/>
      <c r="U365" s="545">
        <f>+V363+V357+V349+V340</f>
        <v>167954.25</v>
      </c>
      <c r="V365" s="546"/>
      <c r="Y365" s="429"/>
      <c r="Z365" s="430">
        <f>+Z363+Z357+Z349+Z340</f>
        <v>14944569.48</v>
      </c>
      <c r="AA365" s="86"/>
      <c r="AB365" s="431">
        <f>+AB363+AB357+AB349+AB340</f>
        <v>14944569.164999999</v>
      </c>
      <c r="AC365" s="404">
        <f>+AB365-Z365</f>
        <v>-0.31500000134110451</v>
      </c>
      <c r="AD365" s="94"/>
      <c r="AE365" s="432"/>
    </row>
    <row r="366" spans="3:31" s="260" customFormat="1" ht="15.75" thickBot="1" x14ac:dyDescent="0.3"/>
    <row r="367" spans="3:31" s="260" customFormat="1" x14ac:dyDescent="0.25">
      <c r="M367" s="547" t="s">
        <v>348</v>
      </c>
      <c r="N367" s="548"/>
      <c r="O367" s="548"/>
      <c r="P367" s="548"/>
      <c r="Q367" s="548"/>
      <c r="R367" s="548"/>
      <c r="S367" s="548"/>
      <c r="T367" s="548"/>
      <c r="U367" s="548"/>
      <c r="V367" s="549"/>
      <c r="Y367" s="378"/>
      <c r="Z367" s="121"/>
      <c r="AA367" s="86"/>
      <c r="AB367" s="94"/>
      <c r="AC367" s="94"/>
      <c r="AD367" s="94"/>
      <c r="AE367" s="126" t="s">
        <v>133</v>
      </c>
    </row>
    <row r="368" spans="3:31" s="260" customFormat="1" x14ac:dyDescent="0.25">
      <c r="M368" s="515" t="s">
        <v>138</v>
      </c>
      <c r="N368" s="516"/>
      <c r="O368" s="516"/>
      <c r="P368" s="516"/>
      <c r="Q368" s="516"/>
      <c r="R368" s="516"/>
      <c r="S368" s="516"/>
      <c r="T368" s="437">
        <v>0</v>
      </c>
      <c r="U368" s="517">
        <f>+ROUND(U365*T368,$AA$5)</f>
        <v>0</v>
      </c>
      <c r="V368" s="518"/>
      <c r="Y368" s="390"/>
      <c r="Z368" s="438">
        <f>+Z365*T368</f>
        <v>0</v>
      </c>
      <c r="AA368" s="86"/>
      <c r="AB368" s="94"/>
      <c r="AC368" s="94"/>
      <c r="AD368" s="94"/>
      <c r="AE368" s="386" t="s">
        <v>133</v>
      </c>
    </row>
    <row r="369" spans="3:31" s="260" customFormat="1" x14ac:dyDescent="0.25">
      <c r="M369" s="515" t="s">
        <v>19</v>
      </c>
      <c r="N369" s="516"/>
      <c r="O369" s="516"/>
      <c r="P369" s="516"/>
      <c r="Q369" s="516"/>
      <c r="R369" s="516"/>
      <c r="S369" s="516"/>
      <c r="T369" s="437">
        <v>0.05</v>
      </c>
      <c r="U369" s="517">
        <f>+ROUND(U365*T369,$AA$5)</f>
        <v>8397.7099999999991</v>
      </c>
      <c r="V369" s="518"/>
      <c r="Y369" s="390"/>
      <c r="Z369" s="438">
        <f>+Z365*T369</f>
        <v>747228.47400000005</v>
      </c>
      <c r="AA369" s="86"/>
      <c r="AB369" s="94"/>
      <c r="AC369" s="94"/>
      <c r="AD369" s="94"/>
      <c r="AE369" s="386" t="s">
        <v>133</v>
      </c>
    </row>
    <row r="370" spans="3:31" s="260" customFormat="1" x14ac:dyDescent="0.25">
      <c r="M370" s="515" t="s">
        <v>20</v>
      </c>
      <c r="N370" s="516"/>
      <c r="O370" s="516"/>
      <c r="P370" s="516"/>
      <c r="Q370" s="516"/>
      <c r="R370" s="516"/>
      <c r="S370" s="516"/>
      <c r="T370" s="437">
        <v>0</v>
      </c>
      <c r="U370" s="517">
        <f>+ROUND(U365*T370,$AA$5)</f>
        <v>0</v>
      </c>
      <c r="V370" s="518"/>
      <c r="Y370" s="390"/>
      <c r="Z370" s="438">
        <f>+Z365*T370</f>
        <v>0</v>
      </c>
      <c r="AA370" s="86"/>
      <c r="AB370" s="94"/>
      <c r="AC370" s="94"/>
      <c r="AD370" s="94"/>
      <c r="AE370" s="386" t="s">
        <v>133</v>
      </c>
    </row>
    <row r="371" spans="3:31" s="260" customFormat="1" x14ac:dyDescent="0.25">
      <c r="M371" s="515" t="s">
        <v>21</v>
      </c>
      <c r="N371" s="516"/>
      <c r="O371" s="516"/>
      <c r="P371" s="516"/>
      <c r="Q371" s="516"/>
      <c r="R371" s="516"/>
      <c r="S371" s="516"/>
      <c r="T371" s="437">
        <f>$AA$9</f>
        <v>0</v>
      </c>
      <c r="U371" s="517">
        <f>+ROUND(U365*T371,$AA$5)</f>
        <v>0</v>
      </c>
      <c r="V371" s="518"/>
      <c r="Y371" s="390"/>
      <c r="Z371" s="438">
        <f>+Z370*T371</f>
        <v>0</v>
      </c>
      <c r="AA371" s="86"/>
      <c r="AB371" s="94"/>
      <c r="AC371" s="94"/>
      <c r="AD371" s="94"/>
      <c r="AE371" s="386" t="s">
        <v>133</v>
      </c>
    </row>
    <row r="372" spans="3:31" s="260" customFormat="1" ht="15.75" thickBot="1" x14ac:dyDescent="0.3">
      <c r="M372" s="519" t="s">
        <v>349</v>
      </c>
      <c r="N372" s="520"/>
      <c r="O372" s="520"/>
      <c r="P372" s="520"/>
      <c r="Q372" s="520"/>
      <c r="R372" s="520"/>
      <c r="S372" s="520"/>
      <c r="T372" s="520"/>
      <c r="U372" s="521">
        <f>+SUM(U368:V371)</f>
        <v>8397.7099999999991</v>
      </c>
      <c r="V372" s="522"/>
      <c r="Y372" s="390"/>
      <c r="Z372" s="439">
        <f>+SUM(Z368:Z371)</f>
        <v>747228.47400000005</v>
      </c>
      <c r="AA372" s="86"/>
      <c r="AB372" s="94"/>
      <c r="AC372" s="94"/>
      <c r="AD372" s="94"/>
      <c r="AE372" s="386" t="s">
        <v>133</v>
      </c>
    </row>
    <row r="373" spans="3:31" s="260" customFormat="1" ht="15.75" thickBot="1" x14ac:dyDescent="0.3">
      <c r="D373" s="375" t="s">
        <v>128</v>
      </c>
      <c r="E373" s="376" t="s">
        <v>129</v>
      </c>
      <c r="F373" s="376" t="s">
        <v>130</v>
      </c>
      <c r="G373" s="376" t="s">
        <v>131</v>
      </c>
      <c r="H373" s="376" t="s">
        <v>132</v>
      </c>
      <c r="I373" s="376" t="s">
        <v>133</v>
      </c>
      <c r="J373" s="377" t="s">
        <v>134</v>
      </c>
      <c r="M373" s="86"/>
      <c r="N373" s="94"/>
      <c r="O373" s="94"/>
      <c r="P373" s="94"/>
      <c r="Q373" s="86"/>
      <c r="R373" s="86"/>
      <c r="S373" s="86"/>
      <c r="T373" s="440"/>
      <c r="U373" s="523"/>
      <c r="V373" s="523"/>
      <c r="Y373" s="390"/>
      <c r="Z373" s="385"/>
      <c r="AA373" s="86"/>
      <c r="AB373" s="94"/>
      <c r="AC373" s="94"/>
      <c r="AD373" s="94"/>
      <c r="AE373" s="386" t="s">
        <v>133</v>
      </c>
    </row>
    <row r="374" spans="3:31" s="260" customFormat="1" ht="15.75" thickBot="1" x14ac:dyDescent="0.3">
      <c r="D374" s="355"/>
      <c r="E374" s="367"/>
      <c r="F374" s="367"/>
      <c r="G374" s="367"/>
      <c r="H374" s="412"/>
      <c r="I374" s="412">
        <f>H365</f>
        <v>1.04</v>
      </c>
      <c r="J374" s="422"/>
      <c r="M374" s="524" t="s">
        <v>11</v>
      </c>
      <c r="N374" s="525"/>
      <c r="O374" s="525"/>
      <c r="P374" s="525"/>
      <c r="Q374" s="525"/>
      <c r="R374" s="525"/>
      <c r="S374" s="525"/>
      <c r="T374" s="526"/>
      <c r="U374" s="527">
        <f>+U372+U365</f>
        <v>176351.96</v>
      </c>
      <c r="V374" s="528"/>
      <c r="Y374" s="429"/>
      <c r="Z374" s="441">
        <f>+Z372+Z365</f>
        <v>15691797.954</v>
      </c>
      <c r="AA374" s="86"/>
      <c r="AB374" s="94"/>
      <c r="AC374" s="94"/>
      <c r="AD374" s="94"/>
      <c r="AE374" s="405" t="s">
        <v>133</v>
      </c>
    </row>
    <row r="375" spans="3:31" s="260" customFormat="1" x14ac:dyDescent="0.25"/>
    <row r="376" spans="3:31" s="260" customFormat="1" ht="15.75" thickBot="1" x14ac:dyDescent="0.3"/>
    <row r="377" spans="3:31" s="260" customFormat="1" ht="15.75" thickBot="1" x14ac:dyDescent="0.3">
      <c r="M377" s="363" t="s">
        <v>88</v>
      </c>
      <c r="N377" s="436" t="str">
        <f>+N329</f>
        <v>CAP.1</v>
      </c>
      <c r="O377" s="550" t="str">
        <f>IFERROR(VLOOKUP(N377,PPTO!C:H,2,0),"----")</f>
        <v>PRELIMINARES Y REPARACIONES</v>
      </c>
      <c r="P377" s="551"/>
      <c r="Q377" s="551"/>
      <c r="R377" s="551"/>
      <c r="S377" s="551"/>
      <c r="T377" s="551"/>
      <c r="U377" s="552"/>
      <c r="V377" s="74" t="s">
        <v>91</v>
      </c>
      <c r="Y377" s="365" t="s">
        <v>104</v>
      </c>
      <c r="Z377" s="94"/>
      <c r="AA377" s="188"/>
      <c r="AB377" s="553"/>
      <c r="AC377" s="553"/>
      <c r="AD377" s="553"/>
      <c r="AE377" s="94"/>
    </row>
    <row r="378" spans="3:31" s="260" customFormat="1" ht="15.75" thickBot="1" x14ac:dyDescent="0.3">
      <c r="C378" s="369">
        <f>+N378</f>
        <v>1.05</v>
      </c>
      <c r="D378" s="86"/>
      <c r="E378" s="86"/>
      <c r="F378" s="86"/>
      <c r="G378" s="86"/>
      <c r="H378" s="86"/>
      <c r="I378" s="86"/>
      <c r="J378" s="86"/>
      <c r="K378" s="370"/>
      <c r="M378" s="75" t="s">
        <v>92</v>
      </c>
      <c r="N378" s="371">
        <f>+ROUNDUP(N330+0.01,2)</f>
        <v>1.05</v>
      </c>
      <c r="O378" s="554" t="str">
        <f>IFERROR(VLOOKUP(N378,PPTO!C:H,2,0),"----")</f>
        <v>Reparacion de regatas existentes</v>
      </c>
      <c r="P378" s="555"/>
      <c r="Q378" s="555"/>
      <c r="R378" s="555"/>
      <c r="S378" s="555"/>
      <c r="T378" s="555"/>
      <c r="U378" s="556"/>
      <c r="V378" s="76" t="str">
        <f>IFERROR(VLOOKUP(N378,PPTO!C:H,3,0),"----")</f>
        <v>ML</v>
      </c>
      <c r="Y378" s="373">
        <f>SUMIFS(PPTO!F:F,PPTO!C:C,APUS!N378)</f>
        <v>177.3</v>
      </c>
      <c r="Z378" s="94"/>
      <c r="AA378" s="86"/>
      <c r="AB378" s="94"/>
      <c r="AC378" s="94"/>
      <c r="AD378" s="94"/>
      <c r="AE378" s="94"/>
    </row>
    <row r="379" spans="3:31" s="260" customFormat="1" ht="15.75" thickBot="1" x14ac:dyDescent="0.3">
      <c r="C379" s="84"/>
      <c r="D379" s="86"/>
      <c r="E379" s="86"/>
      <c r="F379" s="86"/>
      <c r="G379" s="86"/>
      <c r="H379" s="86"/>
      <c r="I379" s="86"/>
      <c r="J379" s="86"/>
      <c r="K379" s="88"/>
      <c r="M379" s="557"/>
      <c r="N379" s="557"/>
      <c r="O379" s="557"/>
      <c r="P379" s="557"/>
      <c r="Q379" s="557"/>
      <c r="R379" s="557"/>
      <c r="S379" s="557"/>
      <c r="T379" s="557"/>
      <c r="U379" s="557"/>
      <c r="V379" s="557"/>
      <c r="Y379" s="374"/>
      <c r="Z379" s="94"/>
      <c r="AA379" s="86"/>
      <c r="AB379" s="94"/>
      <c r="AC379" s="94"/>
      <c r="AD379" s="94"/>
      <c r="AE379" s="94"/>
    </row>
    <row r="380" spans="3:31" s="260" customFormat="1" ht="15.75" thickBot="1" x14ac:dyDescent="0.3">
      <c r="C380" s="84"/>
      <c r="D380" s="375" t="s">
        <v>128</v>
      </c>
      <c r="E380" s="376" t="s">
        <v>129</v>
      </c>
      <c r="F380" s="376" t="s">
        <v>130</v>
      </c>
      <c r="G380" s="376" t="s">
        <v>131</v>
      </c>
      <c r="H380" s="376" t="s">
        <v>132</v>
      </c>
      <c r="I380" s="376" t="s">
        <v>133</v>
      </c>
      <c r="J380" s="377" t="s">
        <v>134</v>
      </c>
      <c r="K380" s="88"/>
      <c r="M380" s="558" t="s">
        <v>93</v>
      </c>
      <c r="N380" s="559"/>
      <c r="O380" s="559"/>
      <c r="P380" s="559"/>
      <c r="Q380" s="559"/>
      <c r="R380" s="559"/>
      <c r="S380" s="559"/>
      <c r="T380" s="559"/>
      <c r="U380" s="559"/>
      <c r="V380" s="560"/>
      <c r="Y380" s="378"/>
      <c r="Z380" s="121"/>
      <c r="AA380" s="86"/>
      <c r="AB380" s="513"/>
      <c r="AC380" s="514"/>
      <c r="AD380" s="94"/>
      <c r="AE380" s="379"/>
    </row>
    <row r="381" spans="3:31" s="260" customFormat="1" x14ac:dyDescent="0.25">
      <c r="C381" s="84"/>
      <c r="D381" s="380"/>
      <c r="E381" s="381"/>
      <c r="F381" s="381"/>
      <c r="G381" s="381"/>
      <c r="H381" s="381"/>
      <c r="I381" s="381"/>
      <c r="J381" s="382"/>
      <c r="K381" s="88"/>
      <c r="M381" s="99" t="s">
        <v>94</v>
      </c>
      <c r="N381" s="561" t="s">
        <v>95</v>
      </c>
      <c r="O381" s="561"/>
      <c r="P381" s="561"/>
      <c r="Q381" s="561"/>
      <c r="R381" s="95" t="s">
        <v>96</v>
      </c>
      <c r="S381" s="95" t="s">
        <v>97</v>
      </c>
      <c r="T381" s="562" t="s">
        <v>8</v>
      </c>
      <c r="U381" s="562"/>
      <c r="V381" s="100" t="s">
        <v>98</v>
      </c>
      <c r="Y381" s="383" t="s">
        <v>104</v>
      </c>
      <c r="Z381" s="119" t="s">
        <v>9</v>
      </c>
      <c r="AA381" s="86"/>
      <c r="AB381" s="384"/>
      <c r="AC381" s="385"/>
      <c r="AD381" s="94"/>
      <c r="AE381" s="386"/>
    </row>
    <row r="382" spans="3:31" s="260" customFormat="1" x14ac:dyDescent="0.25">
      <c r="C382" s="84"/>
      <c r="D382" s="85"/>
      <c r="E382" s="86"/>
      <c r="F382" s="86"/>
      <c r="G382" s="86"/>
      <c r="H382" s="86"/>
      <c r="I382" s="86"/>
      <c r="J382" s="87"/>
      <c r="K382" s="88"/>
      <c r="M382" s="102"/>
      <c r="N382" s="533" t="s">
        <v>99</v>
      </c>
      <c r="O382" s="533"/>
      <c r="P382" s="533"/>
      <c r="Q382" s="533"/>
      <c r="R382" s="78" t="s">
        <v>100</v>
      </c>
      <c r="S382" s="387">
        <f>+$AA$10</f>
        <v>0.05</v>
      </c>
      <c r="T382" s="563">
        <f>V411</f>
        <v>8917.57</v>
      </c>
      <c r="U382" s="563"/>
      <c r="V382" s="389">
        <f>+IFERROR(T382*S382,0)</f>
        <v>445.87850000000003</v>
      </c>
      <c r="Y382" s="390"/>
      <c r="Z382" s="391">
        <f>Y378*V382</f>
        <v>79054.258050000004</v>
      </c>
      <c r="AA382" s="86"/>
      <c r="AB382" s="384"/>
      <c r="AC382" s="385"/>
      <c r="AD382" s="94"/>
      <c r="AE382" s="386" t="str">
        <f>+IF(V382=0,"CERO","NO")</f>
        <v>NO</v>
      </c>
    </row>
    <row r="383" spans="3:31" s="260" customFormat="1" x14ac:dyDescent="0.25">
      <c r="C383" s="84"/>
      <c r="D383" s="85"/>
      <c r="E383" s="86"/>
      <c r="F383" s="86"/>
      <c r="G383" s="86"/>
      <c r="H383" s="86"/>
      <c r="I383" s="86"/>
      <c r="J383" s="87"/>
      <c r="K383" s="88"/>
      <c r="M383" s="106"/>
      <c r="N383" s="533" t="str">
        <f>IFERROR(VLOOKUP(M383,INSUMOS!$C$8:$K$928,2,0),"-----")</f>
        <v>-----</v>
      </c>
      <c r="O383" s="533"/>
      <c r="P383" s="533"/>
      <c r="Q383" s="533"/>
      <c r="R383" s="78" t="str">
        <f>IFERROR(VLOOKUP(M383,INSUMOS!$C$8:$K$928,6,0),"-----")</f>
        <v>-----</v>
      </c>
      <c r="S383" s="396"/>
      <c r="T383" s="529" t="str">
        <f>IFERROR(VLOOKUP(M383,INSUMOS!$C$8:$K$928,7,0),"0")</f>
        <v>0</v>
      </c>
      <c r="U383" s="529"/>
      <c r="V383" s="389">
        <f>+IFERROR(T383*S383,0)</f>
        <v>0</v>
      </c>
      <c r="Y383" s="393">
        <f>+IFERROR(Y378*S383,0)</f>
        <v>0</v>
      </c>
      <c r="Z383" s="391">
        <f>Y378*V383</f>
        <v>0</v>
      </c>
      <c r="AA383" s="394"/>
      <c r="AB383" s="395">
        <f>+Y383*T383</f>
        <v>0</v>
      </c>
      <c r="AC383" s="93">
        <f>+AB383-Z383</f>
        <v>0</v>
      </c>
      <c r="AD383" s="94"/>
      <c r="AE383" s="386" t="str">
        <f>+IF(V383=0,"CERO","NO")</f>
        <v>CERO</v>
      </c>
    </row>
    <row r="384" spans="3:31" s="260" customFormat="1" x14ac:dyDescent="0.25">
      <c r="C384" s="84"/>
      <c r="D384" s="85"/>
      <c r="E384" s="86"/>
      <c r="F384" s="86"/>
      <c r="G384" s="86"/>
      <c r="H384" s="86"/>
      <c r="I384" s="86"/>
      <c r="J384" s="87"/>
      <c r="K384" s="88"/>
      <c r="M384" s="102"/>
      <c r="N384" s="533" t="str">
        <f>IFERROR(VLOOKUP(M384,INSUMOS!$C$8:$K$928,2,0),"-----")</f>
        <v>-----</v>
      </c>
      <c r="O384" s="533"/>
      <c r="P384" s="533"/>
      <c r="Q384" s="533"/>
      <c r="R384" s="78" t="str">
        <f>IFERROR(VLOOKUP(M384,INSUMOS!$C$8:$K$928,6,0),"-----")</f>
        <v>-----</v>
      </c>
      <c r="S384" s="396"/>
      <c r="T384" s="529" t="str">
        <f>IFERROR(VLOOKUP(M384,INSUMOS!$C$8:$K$928,7,0),"0")</f>
        <v>0</v>
      </c>
      <c r="U384" s="529"/>
      <c r="V384" s="389">
        <f>+IFERROR(T384*S384,0)</f>
        <v>0</v>
      </c>
      <c r="Y384" s="393">
        <f>+IFERROR(Y378*S384,0)</f>
        <v>0</v>
      </c>
      <c r="Z384" s="391">
        <f>Y378*V384</f>
        <v>0</v>
      </c>
      <c r="AA384" s="394"/>
      <c r="AB384" s="395">
        <f>+Y384*T384</f>
        <v>0</v>
      </c>
      <c r="AC384" s="93">
        <f>+AB384-Z384</f>
        <v>0</v>
      </c>
      <c r="AD384" s="94"/>
      <c r="AE384" s="386" t="str">
        <f>+IF(V384=0,"CERO","NO")</f>
        <v>CERO</v>
      </c>
    </row>
    <row r="385" spans="3:31" s="260" customFormat="1" x14ac:dyDescent="0.25">
      <c r="C385" s="84"/>
      <c r="D385" s="85"/>
      <c r="E385" s="86"/>
      <c r="F385" s="86"/>
      <c r="G385" s="86"/>
      <c r="H385" s="86"/>
      <c r="I385" s="86"/>
      <c r="J385" s="87"/>
      <c r="K385" s="88"/>
      <c r="M385" s="102">
        <v>0</v>
      </c>
      <c r="N385" s="533"/>
      <c r="O385" s="533"/>
      <c r="P385" s="533"/>
      <c r="Q385" s="533"/>
      <c r="R385" s="78"/>
      <c r="S385" s="396"/>
      <c r="T385" s="529"/>
      <c r="U385" s="529"/>
      <c r="V385" s="397"/>
      <c r="Y385" s="393">
        <f>+IFERROR(Y378*S385,0)</f>
        <v>0</v>
      </c>
      <c r="Z385" s="391">
        <f>Y378*V385</f>
        <v>0</v>
      </c>
      <c r="AA385" s="394"/>
      <c r="AB385" s="395">
        <f>+Y385*T385</f>
        <v>0</v>
      </c>
      <c r="AC385" s="93">
        <f>+AB385-Z385</f>
        <v>0</v>
      </c>
      <c r="AD385" s="94"/>
      <c r="AE385" s="386" t="str">
        <f>+IF(V385=0,"CERO","NO")</f>
        <v>CERO</v>
      </c>
    </row>
    <row r="386" spans="3:31" s="260" customFormat="1" ht="15.75" thickBot="1" x14ac:dyDescent="0.3">
      <c r="C386" s="84"/>
      <c r="D386" s="85"/>
      <c r="E386" s="86"/>
      <c r="F386" s="86"/>
      <c r="G386" s="86"/>
      <c r="H386" s="86"/>
      <c r="I386" s="86"/>
      <c r="J386" s="87"/>
      <c r="K386" s="88"/>
      <c r="M386" s="102">
        <v>0</v>
      </c>
      <c r="N386" s="564"/>
      <c r="O386" s="564"/>
      <c r="P386" s="564"/>
      <c r="Q386" s="564"/>
      <c r="R386" s="96"/>
      <c r="S386" s="96"/>
      <c r="T386" s="565"/>
      <c r="U386" s="565"/>
      <c r="V386" s="101"/>
      <c r="Y386" s="393">
        <f>+IFERROR(Y378*S386,0)</f>
        <v>0</v>
      </c>
      <c r="Z386" s="391">
        <f>Y378*V386</f>
        <v>0</v>
      </c>
      <c r="AA386" s="394"/>
      <c r="AB386" s="395">
        <f>+Y386*T386</f>
        <v>0</v>
      </c>
      <c r="AC386" s="93">
        <f>+AB386-Z386</f>
        <v>0</v>
      </c>
      <c r="AD386" s="94"/>
      <c r="AE386" s="386" t="str">
        <f>+IF(V386=0,"CERO","NO")</f>
        <v>CERO</v>
      </c>
    </row>
    <row r="387" spans="3:31" s="260" customFormat="1" ht="15.75" thickBot="1" x14ac:dyDescent="0.3">
      <c r="C387" s="84"/>
      <c r="D387" s="375" t="s">
        <v>128</v>
      </c>
      <c r="E387" s="376" t="s">
        <v>129</v>
      </c>
      <c r="F387" s="376" t="s">
        <v>130</v>
      </c>
      <c r="G387" s="376" t="s">
        <v>131</v>
      </c>
      <c r="H387" s="376" t="s">
        <v>132</v>
      </c>
      <c r="I387" s="376" t="s">
        <v>133</v>
      </c>
      <c r="J387" s="377" t="s">
        <v>134</v>
      </c>
      <c r="K387" s="88"/>
      <c r="M387" s="534"/>
      <c r="N387" s="536" t="s">
        <v>101</v>
      </c>
      <c r="O387" s="536"/>
      <c r="P387" s="536"/>
      <c r="Q387" s="536"/>
      <c r="R387" s="536"/>
      <c r="S387" s="536"/>
      <c r="T387" s="536"/>
      <c r="U387" s="536"/>
      <c r="V387" s="389">
        <f>+SUM(V382:V386)</f>
        <v>445.87850000000003</v>
      </c>
      <c r="Y387" s="398" t="s">
        <v>135</v>
      </c>
      <c r="Z387" s="397">
        <f>+SUM(Z382:Z386)</f>
        <v>79054.258050000004</v>
      </c>
      <c r="AA387" s="86"/>
      <c r="AB387" s="384"/>
      <c r="AC387" s="385"/>
      <c r="AD387" s="94"/>
      <c r="AE387" s="399"/>
    </row>
    <row r="388" spans="3:31" s="260" customFormat="1" ht="15.75" thickBot="1" x14ac:dyDescent="0.3">
      <c r="C388" s="84"/>
      <c r="D388" s="375">
        <f>C378</f>
        <v>1.05</v>
      </c>
      <c r="E388" s="376"/>
      <c r="F388" s="376"/>
      <c r="G388" s="376"/>
      <c r="H388" s="376"/>
      <c r="I388" s="376"/>
      <c r="J388" s="377"/>
      <c r="K388" s="88"/>
      <c r="M388" s="566"/>
      <c r="N388" s="567" t="s">
        <v>102</v>
      </c>
      <c r="O388" s="567"/>
      <c r="P388" s="567"/>
      <c r="Q388" s="567"/>
      <c r="R388" s="567"/>
      <c r="S388" s="567"/>
      <c r="T388" s="567"/>
      <c r="U388" s="567"/>
      <c r="V388" s="400">
        <f>+ROUND(V387,$AA$5)</f>
        <v>445.88</v>
      </c>
      <c r="Y388" s="401" t="s">
        <v>136</v>
      </c>
      <c r="Z388" s="402">
        <f>+ROUND(Z387,$AA$5)</f>
        <v>79054.259999999995</v>
      </c>
      <c r="AA388" s="86"/>
      <c r="AB388" s="403">
        <f>+V388*Y378</f>
        <v>79054.524000000005</v>
      </c>
      <c r="AC388" s="404">
        <f>+AB388-Z388</f>
        <v>0.26400000001012813</v>
      </c>
      <c r="AD388" s="94"/>
      <c r="AE388" s="405"/>
    </row>
    <row r="389" spans="3:31" s="260" customFormat="1" x14ac:dyDescent="0.25">
      <c r="C389" s="84"/>
      <c r="D389" s="380"/>
      <c r="E389" s="381"/>
      <c r="F389" s="381"/>
      <c r="G389" s="381"/>
      <c r="H389" s="381"/>
      <c r="I389" s="381"/>
      <c r="J389" s="382"/>
      <c r="K389" s="88"/>
      <c r="M389" s="510" t="s">
        <v>103</v>
      </c>
      <c r="N389" s="511"/>
      <c r="O389" s="511"/>
      <c r="P389" s="511"/>
      <c r="Q389" s="511"/>
      <c r="R389" s="511"/>
      <c r="S389" s="511"/>
      <c r="T389" s="511"/>
      <c r="U389" s="511"/>
      <c r="V389" s="512"/>
      <c r="Y389" s="378"/>
      <c r="Z389" s="121"/>
      <c r="AA389" s="86"/>
      <c r="AB389" s="513"/>
      <c r="AC389" s="514"/>
      <c r="AD389" s="94"/>
      <c r="AE389" s="126"/>
    </row>
    <row r="390" spans="3:31" s="260" customFormat="1" x14ac:dyDescent="0.25">
      <c r="C390" s="84"/>
      <c r="D390" s="85"/>
      <c r="E390" s="86"/>
      <c r="F390" s="86"/>
      <c r="G390" s="86"/>
      <c r="H390" s="86"/>
      <c r="I390" s="86"/>
      <c r="J390" s="87"/>
      <c r="K390" s="88"/>
      <c r="M390" s="99" t="s">
        <v>94</v>
      </c>
      <c r="N390" s="561" t="s">
        <v>95</v>
      </c>
      <c r="O390" s="561"/>
      <c r="P390" s="561"/>
      <c r="Q390" s="561"/>
      <c r="R390" s="95" t="s">
        <v>96</v>
      </c>
      <c r="S390" s="95" t="s">
        <v>104</v>
      </c>
      <c r="T390" s="356" t="s">
        <v>105</v>
      </c>
      <c r="U390" s="356" t="s">
        <v>8</v>
      </c>
      <c r="V390" s="100" t="s">
        <v>98</v>
      </c>
      <c r="Y390" s="383" t="s">
        <v>104</v>
      </c>
      <c r="Z390" s="119" t="s">
        <v>9</v>
      </c>
      <c r="AA390" s="86"/>
      <c r="AB390" s="384"/>
      <c r="AC390" s="385"/>
      <c r="AD390" s="94"/>
      <c r="AE390" s="406"/>
    </row>
    <row r="391" spans="3:31" s="260" customFormat="1" x14ac:dyDescent="0.25">
      <c r="C391" s="84"/>
      <c r="D391" s="85"/>
      <c r="E391" s="86"/>
      <c r="F391" s="86"/>
      <c r="G391" s="86"/>
      <c r="H391" s="86"/>
      <c r="I391" s="86"/>
      <c r="J391" s="87"/>
      <c r="K391" s="88"/>
      <c r="M391" s="102">
        <v>848</v>
      </c>
      <c r="N391" s="533" t="str">
        <f>IFERROR(VLOOKUP(M391,INSUMOS!$C$8:$K$928,2,0),"-----")</f>
        <v>PINTURA EPOXICA</v>
      </c>
      <c r="O391" s="533"/>
      <c r="P391" s="533"/>
      <c r="Q391" s="533"/>
      <c r="R391" s="78" t="str">
        <f>IFERROR(VLOOKUP(M391,INSUMOS!$C$8:$K$928,6,0),"-----")</f>
        <v>gl</v>
      </c>
      <c r="S391" s="396">
        <v>0.01</v>
      </c>
      <c r="T391" s="387">
        <v>0.02</v>
      </c>
      <c r="U391" s="388">
        <f>IFERROR(VLOOKUP(M391,INSUMOS!$C$8:$K$928,7,0),"0")</f>
        <v>214900</v>
      </c>
      <c r="V391" s="389">
        <f>+IFERROR(U391*(S391*(1+T391)),0)</f>
        <v>2191.98</v>
      </c>
      <c r="Y391" s="393">
        <f>+IFERROR(Y378*(S391*(1+T391)),0)</f>
        <v>1.8084600000000002</v>
      </c>
      <c r="Z391" s="391">
        <f>Y378*V391</f>
        <v>388638.054</v>
      </c>
      <c r="AA391" s="394"/>
      <c r="AB391" s="395">
        <f>+Y391*U391</f>
        <v>388638.05400000006</v>
      </c>
      <c r="AC391" s="93">
        <f>+AB391-Z391</f>
        <v>0</v>
      </c>
      <c r="AD391" s="94"/>
      <c r="AE391" s="406" t="str">
        <f>+IF(V391=0,"CERO","NO")</f>
        <v>NO</v>
      </c>
    </row>
    <row r="392" spans="3:31" s="260" customFormat="1" x14ac:dyDescent="0.25">
      <c r="C392" s="84"/>
      <c r="D392" s="85"/>
      <c r="E392" s="86"/>
      <c r="F392" s="86"/>
      <c r="G392" s="86"/>
      <c r="H392" s="86"/>
      <c r="I392" s="86"/>
      <c r="J392" s="87"/>
      <c r="K392" s="88"/>
      <c r="M392" s="102">
        <v>603</v>
      </c>
      <c r="N392" s="533" t="str">
        <f>IFERROR(VLOOKUP(M392,INSUMOS!$C$8:$K$928,2,0),"-----")</f>
        <v>Grouting</v>
      </c>
      <c r="O392" s="533"/>
      <c r="P392" s="533"/>
      <c r="Q392" s="533"/>
      <c r="R392" s="78" t="str">
        <f>IFERROR(VLOOKUP(M392,INSUMOS!$C$8:$K$928,6,0),"-----")</f>
        <v>KG</v>
      </c>
      <c r="S392" s="396">
        <v>1</v>
      </c>
      <c r="T392" s="387">
        <v>0.02</v>
      </c>
      <c r="U392" s="388">
        <f>IFERROR(VLOOKUP(M392,INSUMOS!$C$8:$K$928,7,0),"0")</f>
        <v>8630</v>
      </c>
      <c r="V392" s="389">
        <f>+IFERROR(U392*(S392*(1+T392)),0)</f>
        <v>8802.6</v>
      </c>
      <c r="Y392" s="393">
        <f>+IFERROR(Y378*(S392*(1+T392)),0)</f>
        <v>180.846</v>
      </c>
      <c r="Z392" s="391">
        <f>Y378*V392</f>
        <v>1560700.9800000002</v>
      </c>
      <c r="AA392" s="394"/>
      <c r="AB392" s="395">
        <f>+Y392*U392</f>
        <v>1560700.98</v>
      </c>
      <c r="AC392" s="93">
        <f>+AB392-Z392</f>
        <v>0</v>
      </c>
      <c r="AD392" s="94"/>
      <c r="AE392" s="406" t="str">
        <f>+IF(V392=0,"CERO","NO")</f>
        <v>NO</v>
      </c>
    </row>
    <row r="393" spans="3:31" s="260" customFormat="1" x14ac:dyDescent="0.25">
      <c r="C393" s="84"/>
      <c r="D393" s="85"/>
      <c r="E393" s="86"/>
      <c r="F393" s="86"/>
      <c r="G393" s="86"/>
      <c r="H393" s="86"/>
      <c r="I393" s="86"/>
      <c r="J393" s="87"/>
      <c r="K393" s="88"/>
      <c r="M393" s="102"/>
      <c r="N393" s="533" t="str">
        <f>IFERROR(VLOOKUP(M393,INSUMOS!$C$8:$K$928,2,0),"-----")</f>
        <v>-----</v>
      </c>
      <c r="O393" s="533"/>
      <c r="P393" s="533"/>
      <c r="Q393" s="533"/>
      <c r="R393" s="78" t="str">
        <f>IFERROR(VLOOKUP(M393,INSUMOS!$C$8:$K$928,6,0),"-----")</f>
        <v>-----</v>
      </c>
      <c r="S393" s="396"/>
      <c r="T393" s="387"/>
      <c r="U393" s="388" t="str">
        <f>IFERROR(VLOOKUP(M393,INSUMOS!$C$8:$K$928,7,0),"0")</f>
        <v>0</v>
      </c>
      <c r="V393" s="389">
        <f>+IFERROR(U393*(S393*(1+T393)),0)</f>
        <v>0</v>
      </c>
      <c r="Y393" s="393">
        <f>+IFERROR(Y378*(S393*(1+T393)),0)</f>
        <v>0</v>
      </c>
      <c r="Z393" s="391">
        <f>Y378*V393</f>
        <v>0</v>
      </c>
      <c r="AA393" s="394"/>
      <c r="AB393" s="395">
        <f>+Y393*U393</f>
        <v>0</v>
      </c>
      <c r="AC393" s="93">
        <f>+AB393-Z393</f>
        <v>0</v>
      </c>
      <c r="AD393" s="94"/>
      <c r="AE393" s="406" t="str">
        <f>+IF(V393=0,"CERO","NO")</f>
        <v>CERO</v>
      </c>
    </row>
    <row r="394" spans="3:31" s="260" customFormat="1" x14ac:dyDescent="0.25">
      <c r="C394" s="84"/>
      <c r="D394" s="85"/>
      <c r="E394" s="86"/>
      <c r="F394" s="86"/>
      <c r="G394" s="86"/>
      <c r="H394" s="86"/>
      <c r="I394" s="86"/>
      <c r="J394" s="87"/>
      <c r="K394" s="88"/>
      <c r="M394" s="102"/>
      <c r="N394" s="533" t="str">
        <f>IFERROR(VLOOKUP(M394,INSUMOS!$C$8:$K$928,2,0),"-----")</f>
        <v>-----</v>
      </c>
      <c r="O394" s="533"/>
      <c r="P394" s="533"/>
      <c r="Q394" s="533"/>
      <c r="R394" s="78" t="str">
        <f>IFERROR(VLOOKUP(M394,INSUMOS!$C$8:$K$928,6,0),"-----")</f>
        <v>-----</v>
      </c>
      <c r="S394" s="396"/>
      <c r="T394" s="387"/>
      <c r="U394" s="388" t="str">
        <f>IFERROR(VLOOKUP(M394,INSUMOS!$C$8:$K$928,7,0),"0")</f>
        <v>0</v>
      </c>
      <c r="V394" s="389">
        <f>+IFERROR(U394*(S394*(1+T394)),0)</f>
        <v>0</v>
      </c>
      <c r="Y394" s="393">
        <f>+IFERROR(Y378*(S394*(1+T394)),0)</f>
        <v>0</v>
      </c>
      <c r="Z394" s="391">
        <f>Y378*V394</f>
        <v>0</v>
      </c>
      <c r="AA394" s="394"/>
      <c r="AB394" s="395">
        <f>+Y394*U394</f>
        <v>0</v>
      </c>
      <c r="AC394" s="93">
        <f>+AB394-Z394</f>
        <v>0</v>
      </c>
      <c r="AD394" s="94"/>
      <c r="AE394" s="406" t="str">
        <f>+IF(V394=0,"CERO","NO")</f>
        <v>CERO</v>
      </c>
    </row>
    <row r="395" spans="3:31" s="260" customFormat="1" ht="15.75" thickBot="1" x14ac:dyDescent="0.3">
      <c r="C395" s="84"/>
      <c r="D395" s="85"/>
      <c r="E395" s="86"/>
      <c r="F395" s="86"/>
      <c r="G395" s="86"/>
      <c r="H395" s="86"/>
      <c r="I395" s="86"/>
      <c r="J395" s="87"/>
      <c r="K395" s="88"/>
      <c r="M395" s="102">
        <v>0</v>
      </c>
      <c r="N395" s="564"/>
      <c r="O395" s="564"/>
      <c r="P395" s="564"/>
      <c r="Q395" s="564"/>
      <c r="R395" s="96"/>
      <c r="S395" s="79"/>
      <c r="T395" s="97"/>
      <c r="U395" s="358"/>
      <c r="V395" s="397"/>
      <c r="Y395" s="393">
        <f>+IFERROR(Y378*(S395*(1+T395)),0)</f>
        <v>0</v>
      </c>
      <c r="Z395" s="391">
        <f>Y378*V395</f>
        <v>0</v>
      </c>
      <c r="AA395" s="394"/>
      <c r="AB395" s="395">
        <f>+Y395*U395</f>
        <v>0</v>
      </c>
      <c r="AC395" s="93">
        <f>+AB395-Z395</f>
        <v>0</v>
      </c>
      <c r="AD395" s="94"/>
      <c r="AE395" s="406" t="str">
        <f>+IF(V395=0,"CERO","NO")</f>
        <v>CERO</v>
      </c>
    </row>
    <row r="396" spans="3:31" s="260" customFormat="1" ht="15.75" thickBot="1" x14ac:dyDescent="0.3">
      <c r="C396" s="84"/>
      <c r="D396" s="375" t="s">
        <v>128</v>
      </c>
      <c r="E396" s="376" t="s">
        <v>129</v>
      </c>
      <c r="F396" s="376" t="s">
        <v>130</v>
      </c>
      <c r="G396" s="376" t="s">
        <v>131</v>
      </c>
      <c r="H396" s="376" t="s">
        <v>132</v>
      </c>
      <c r="I396" s="376" t="s">
        <v>133</v>
      </c>
      <c r="J396" s="377" t="s">
        <v>134</v>
      </c>
      <c r="K396" s="88"/>
      <c r="M396" s="534"/>
      <c r="N396" s="536" t="s">
        <v>106</v>
      </c>
      <c r="O396" s="536"/>
      <c r="P396" s="536"/>
      <c r="Q396" s="536"/>
      <c r="R396" s="536"/>
      <c r="S396" s="536"/>
      <c r="T396" s="536"/>
      <c r="U396" s="536"/>
      <c r="V396" s="389">
        <f>+SUM(V391:V395)</f>
        <v>10994.58</v>
      </c>
      <c r="Y396" s="398" t="s">
        <v>135</v>
      </c>
      <c r="Z396" s="397">
        <f>+SUM(Z391:Z395)</f>
        <v>1949339.0340000002</v>
      </c>
      <c r="AA396" s="86"/>
      <c r="AB396" s="384"/>
      <c r="AC396" s="385"/>
      <c r="AD396" s="94"/>
      <c r="AE396" s="399"/>
    </row>
    <row r="397" spans="3:31" s="260" customFormat="1" ht="15.75" thickBot="1" x14ac:dyDescent="0.3">
      <c r="C397" s="84"/>
      <c r="D397" s="375"/>
      <c r="E397" s="407">
        <f>+D388</f>
        <v>1.05</v>
      </c>
      <c r="F397" s="376"/>
      <c r="G397" s="376"/>
      <c r="H397" s="376"/>
      <c r="I397" s="376"/>
      <c r="J397" s="377"/>
      <c r="K397" s="88"/>
      <c r="M397" s="535"/>
      <c r="N397" s="537" t="s">
        <v>107</v>
      </c>
      <c r="O397" s="537"/>
      <c r="P397" s="537"/>
      <c r="Q397" s="537"/>
      <c r="R397" s="537"/>
      <c r="S397" s="537"/>
      <c r="T397" s="537"/>
      <c r="U397" s="537"/>
      <c r="V397" s="408">
        <f>+ROUND(V396,$AA$5)</f>
        <v>10994.58</v>
      </c>
      <c r="Y397" s="401" t="s">
        <v>136</v>
      </c>
      <c r="Z397" s="402">
        <f>+ROUND(Z396,$AA$5)</f>
        <v>1949339.03</v>
      </c>
      <c r="AA397" s="86"/>
      <c r="AB397" s="403">
        <f>+V397*Y378</f>
        <v>1949339.0340000002</v>
      </c>
      <c r="AC397" s="404">
        <f>+AB397-Z397</f>
        <v>4.0000001899898052E-3</v>
      </c>
      <c r="AD397" s="94"/>
      <c r="AE397" s="405"/>
    </row>
    <row r="398" spans="3:31" s="260" customFormat="1" x14ac:dyDescent="0.25">
      <c r="C398" s="84"/>
      <c r="D398" s="380"/>
      <c r="E398" s="381"/>
      <c r="F398" s="381"/>
      <c r="G398" s="381"/>
      <c r="H398" s="381"/>
      <c r="I398" s="381"/>
      <c r="J398" s="382"/>
      <c r="K398" s="88"/>
      <c r="M398" s="568" t="s">
        <v>108</v>
      </c>
      <c r="N398" s="569"/>
      <c r="O398" s="569"/>
      <c r="P398" s="569"/>
      <c r="Q398" s="569"/>
      <c r="R398" s="569"/>
      <c r="S398" s="569"/>
      <c r="T398" s="569"/>
      <c r="U398" s="569"/>
      <c r="V398" s="570"/>
      <c r="Y398" s="378"/>
      <c r="Z398" s="121"/>
      <c r="AA398" s="86"/>
      <c r="AB398" s="409"/>
      <c r="AC398" s="121"/>
      <c r="AD398" s="94"/>
      <c r="AE398" s="126"/>
    </row>
    <row r="399" spans="3:31" s="260" customFormat="1" ht="25.5" x14ac:dyDescent="0.25">
      <c r="C399" s="84"/>
      <c r="D399" s="85"/>
      <c r="E399" s="86"/>
      <c r="F399" s="86"/>
      <c r="G399" s="86"/>
      <c r="H399" s="86"/>
      <c r="I399" s="86"/>
      <c r="J399" s="87"/>
      <c r="K399" s="88"/>
      <c r="M399" s="99" t="s">
        <v>94</v>
      </c>
      <c r="N399" s="561" t="s">
        <v>95</v>
      </c>
      <c r="O399" s="561"/>
      <c r="P399" s="561"/>
      <c r="Q399" s="95" t="s">
        <v>109</v>
      </c>
      <c r="R399" s="95" t="s">
        <v>110</v>
      </c>
      <c r="S399" s="95" t="s">
        <v>111</v>
      </c>
      <c r="T399" s="562" t="s">
        <v>112</v>
      </c>
      <c r="U399" s="562"/>
      <c r="V399" s="100" t="s">
        <v>98</v>
      </c>
      <c r="Y399" s="383" t="s">
        <v>104</v>
      </c>
      <c r="Z399" s="119" t="s">
        <v>9</v>
      </c>
      <c r="AA399" s="86"/>
      <c r="AB399" s="384"/>
      <c r="AC399" s="385"/>
      <c r="AD399" s="94"/>
      <c r="AE399" s="410"/>
    </row>
    <row r="400" spans="3:31" s="260" customFormat="1" x14ac:dyDescent="0.25">
      <c r="C400" s="84"/>
      <c r="D400" s="85"/>
      <c r="E400" s="86"/>
      <c r="F400" s="86"/>
      <c r="G400" s="86"/>
      <c r="H400" s="86"/>
      <c r="I400" s="86"/>
      <c r="J400" s="87"/>
      <c r="K400" s="88"/>
      <c r="M400" s="102"/>
      <c r="N400" s="530" t="str">
        <f>IFERROR(VLOOKUP(M400,INSUMOS!$C$8:$K$928,2,0),"-----")</f>
        <v>-----</v>
      </c>
      <c r="O400" s="531"/>
      <c r="P400" s="532"/>
      <c r="Q400" s="78" t="str">
        <f>IFERROR(VLOOKUP(M400,INSUMOS!$C$8:$K$928,5,0),"-----")</f>
        <v>-----</v>
      </c>
      <c r="R400" s="80"/>
      <c r="S400" s="80" t="str">
        <f>IFERROR(VLOOKUP(M400,INSUMOS!$C$8:$K$928,6,0),"0")</f>
        <v>0</v>
      </c>
      <c r="T400" s="529" t="str">
        <f>IFERROR(VLOOKUP(M400,INSUMOS!$C$8:$K$928,7,0),"0")</f>
        <v>0</v>
      </c>
      <c r="U400" s="529"/>
      <c r="V400" s="82">
        <f>+T400*S400*R400</f>
        <v>0</v>
      </c>
      <c r="Y400" s="393">
        <f>+IFERROR((R400*S400)*Y378,0)</f>
        <v>0</v>
      </c>
      <c r="Z400" s="391">
        <f>Y378*V400</f>
        <v>0</v>
      </c>
      <c r="AA400" s="86"/>
      <c r="AB400" s="92">
        <f>+Y400*T400</f>
        <v>0</v>
      </c>
      <c r="AC400" s="93">
        <f>+AB400-Z400</f>
        <v>0</v>
      </c>
      <c r="AD400" s="94"/>
      <c r="AE400" s="406" t="str">
        <f>+IF(V400=0,"CERO","NO")</f>
        <v>CERO</v>
      </c>
    </row>
    <row r="401" spans="3:31" s="260" customFormat="1" x14ac:dyDescent="0.25">
      <c r="C401" s="84"/>
      <c r="D401" s="85"/>
      <c r="E401" s="86"/>
      <c r="F401" s="86"/>
      <c r="G401" s="86"/>
      <c r="H401" s="86"/>
      <c r="I401" s="86"/>
      <c r="J401" s="87"/>
      <c r="K401" s="88"/>
      <c r="M401" s="102"/>
      <c r="N401" s="530" t="str">
        <f>IFERROR(VLOOKUP(M401,INSUMOS!$C$8:$K$928,2,0),"-----")</f>
        <v>-----</v>
      </c>
      <c r="O401" s="531"/>
      <c r="P401" s="532"/>
      <c r="Q401" s="78" t="str">
        <f>IFERROR(VLOOKUP(M401,INSUMOS!$C$8:$K$928,5,0),"-----")</f>
        <v>-----</v>
      </c>
      <c r="R401" s="80"/>
      <c r="S401" s="80" t="str">
        <f>IFERROR(VLOOKUP(M401,INSUMOS!$C$8:$K$928,6,0),"0")</f>
        <v>0</v>
      </c>
      <c r="T401" s="529" t="str">
        <f>IFERROR(VLOOKUP(M401,INSUMOS!$C$8:$K$928,7,0),"0")</f>
        <v>0</v>
      </c>
      <c r="U401" s="529"/>
      <c r="V401" s="82">
        <f>+T401*S401*R401</f>
        <v>0</v>
      </c>
      <c r="Y401" s="393">
        <f>+IFERROR((R401*S401)*Y378,0)</f>
        <v>0</v>
      </c>
      <c r="Z401" s="391">
        <f>Y378*V401</f>
        <v>0</v>
      </c>
      <c r="AA401" s="86"/>
      <c r="AB401" s="92">
        <f>+Y401*T401</f>
        <v>0</v>
      </c>
      <c r="AC401" s="93">
        <f>+AB401-Z401</f>
        <v>0</v>
      </c>
      <c r="AD401" s="94"/>
      <c r="AE401" s="406" t="str">
        <f>+IF(V401=0,"CERO","NO")</f>
        <v>CERO</v>
      </c>
    </row>
    <row r="402" spans="3:31" s="260" customFormat="1" x14ac:dyDescent="0.25">
      <c r="C402" s="84"/>
      <c r="D402" s="85"/>
      <c r="E402" s="86"/>
      <c r="F402" s="86"/>
      <c r="G402" s="86"/>
      <c r="H402" s="86"/>
      <c r="I402" s="86"/>
      <c r="J402" s="87"/>
      <c r="K402" s="88"/>
      <c r="M402" s="102">
        <v>0</v>
      </c>
      <c r="N402" s="530" t="str">
        <f>IFERROR(VLOOKUP(M402,INSUMOS!$C$8:$K$928,2,0),"-----")</f>
        <v>-----</v>
      </c>
      <c r="O402" s="531"/>
      <c r="P402" s="532"/>
      <c r="Q402" s="78" t="str">
        <f>IFERROR(VLOOKUP(M402,INSUMOS!$C$8:$K$928,5,0),"-----")</f>
        <v>-----</v>
      </c>
      <c r="R402" s="80"/>
      <c r="S402" s="80" t="str">
        <f>IFERROR(VLOOKUP(M402,INSUMOS!$C$8:$K$928,6,0),"0")</f>
        <v>0</v>
      </c>
      <c r="T402" s="529" t="str">
        <f>IFERROR(VLOOKUP(M402,INSUMOS!$C$8:$K$928,7,0),"0")</f>
        <v>0</v>
      </c>
      <c r="U402" s="529"/>
      <c r="V402" s="82">
        <f>+T402*S402*R402</f>
        <v>0</v>
      </c>
      <c r="Y402" s="393">
        <f>+IFERROR((R402*S402)*Y378,0)</f>
        <v>0</v>
      </c>
      <c r="Z402" s="391">
        <f>Y378*V402</f>
        <v>0</v>
      </c>
      <c r="AA402" s="86"/>
      <c r="AB402" s="92">
        <f>+Y402*T402</f>
        <v>0</v>
      </c>
      <c r="AC402" s="93">
        <f>+AB402-Z402</f>
        <v>0</v>
      </c>
      <c r="AD402" s="94"/>
      <c r="AE402" s="406" t="str">
        <f>+IF(V402=0,"CERO","NO")</f>
        <v>CERO</v>
      </c>
    </row>
    <row r="403" spans="3:31" s="260" customFormat="1" ht="15.75" thickBot="1" x14ac:dyDescent="0.3">
      <c r="C403" s="84"/>
      <c r="D403" s="89"/>
      <c r="E403" s="90"/>
      <c r="F403" s="90"/>
      <c r="G403" s="90"/>
      <c r="H403" s="90"/>
      <c r="I403" s="90"/>
      <c r="J403" s="91"/>
      <c r="K403" s="88"/>
      <c r="M403" s="102">
        <v>0</v>
      </c>
      <c r="N403" s="533"/>
      <c r="O403" s="533"/>
      <c r="P403" s="533"/>
      <c r="Q403" s="79"/>
      <c r="R403" s="78"/>
      <c r="S403" s="81"/>
      <c r="T403" s="529"/>
      <c r="U403" s="529"/>
      <c r="V403" s="82"/>
      <c r="Y403" s="393">
        <f>+IFERROR((R403*S403)*Y378,0)</f>
        <v>0</v>
      </c>
      <c r="Z403" s="391">
        <f>Y378*V403</f>
        <v>0</v>
      </c>
      <c r="AA403" s="86"/>
      <c r="AB403" s="92">
        <f>+Y403*T403</f>
        <v>0</v>
      </c>
      <c r="AC403" s="93">
        <f>+AB403-Z403</f>
        <v>0</v>
      </c>
      <c r="AD403" s="94"/>
      <c r="AE403" s="406" t="str">
        <f>+IF(V403=0,"CERO","NO")</f>
        <v>CERO</v>
      </c>
    </row>
    <row r="404" spans="3:31" s="260" customFormat="1" ht="15.75" thickBot="1" x14ac:dyDescent="0.3">
      <c r="C404" s="84"/>
      <c r="D404" s="375" t="s">
        <v>128</v>
      </c>
      <c r="E404" s="376" t="s">
        <v>129</v>
      </c>
      <c r="F404" s="376" t="s">
        <v>130</v>
      </c>
      <c r="G404" s="376" t="s">
        <v>131</v>
      </c>
      <c r="H404" s="376" t="s">
        <v>132</v>
      </c>
      <c r="I404" s="376" t="s">
        <v>133</v>
      </c>
      <c r="J404" s="377" t="s">
        <v>134</v>
      </c>
      <c r="K404" s="88"/>
      <c r="M404" s="534"/>
      <c r="N404" s="536" t="s">
        <v>113</v>
      </c>
      <c r="O404" s="536"/>
      <c r="P404" s="536"/>
      <c r="Q404" s="536"/>
      <c r="R404" s="536"/>
      <c r="S404" s="536"/>
      <c r="T404" s="536"/>
      <c r="U404" s="536"/>
      <c r="V404" s="411">
        <f>+SUM(V400:V403)</f>
        <v>0</v>
      </c>
      <c r="Y404" s="398" t="s">
        <v>135</v>
      </c>
      <c r="Z404" s="397">
        <f>+SUM(Z400:Z403)</f>
        <v>0</v>
      </c>
      <c r="AA404" s="86"/>
      <c r="AB404" s="384"/>
      <c r="AC404" s="385"/>
      <c r="AD404" s="94"/>
      <c r="AE404" s="399"/>
    </row>
    <row r="405" spans="3:31" s="260" customFormat="1" ht="15.75" thickBot="1" x14ac:dyDescent="0.3">
      <c r="C405" s="84"/>
      <c r="D405" s="355"/>
      <c r="E405" s="367"/>
      <c r="F405" s="412">
        <f>+E397</f>
        <v>1.05</v>
      </c>
      <c r="G405" s="367"/>
      <c r="H405" s="367"/>
      <c r="I405" s="367"/>
      <c r="J405" s="368"/>
      <c r="K405" s="88"/>
      <c r="M405" s="535"/>
      <c r="N405" s="537" t="s">
        <v>114</v>
      </c>
      <c r="O405" s="537"/>
      <c r="P405" s="537"/>
      <c r="Q405" s="537"/>
      <c r="R405" s="537"/>
      <c r="S405" s="537"/>
      <c r="T405" s="537"/>
      <c r="U405" s="537"/>
      <c r="V405" s="413">
        <f>+ROUND(V404,$AA$5)</f>
        <v>0</v>
      </c>
      <c r="Y405" s="401" t="s">
        <v>136</v>
      </c>
      <c r="Z405" s="402">
        <f>+ROUND(Z404,$AA$5)</f>
        <v>0</v>
      </c>
      <c r="AA405" s="86"/>
      <c r="AB405" s="403">
        <f>+V405*Y378</f>
        <v>0</v>
      </c>
      <c r="AC405" s="414"/>
      <c r="AD405" s="94"/>
      <c r="AE405" s="405"/>
    </row>
    <row r="406" spans="3:31" s="260" customFormat="1" ht="15.75" thickBot="1" x14ac:dyDescent="0.3">
      <c r="C406" s="84"/>
      <c r="D406" s="415"/>
      <c r="E406" s="416"/>
      <c r="F406" s="416"/>
      <c r="G406" s="416"/>
      <c r="H406" s="416"/>
      <c r="I406" s="416"/>
      <c r="J406" s="417"/>
      <c r="K406" s="88"/>
      <c r="M406" s="538" t="s">
        <v>115</v>
      </c>
      <c r="N406" s="539"/>
      <c r="O406" s="539"/>
      <c r="P406" s="539"/>
      <c r="Q406" s="539"/>
      <c r="R406" s="539"/>
      <c r="S406" s="539"/>
      <c r="T406" s="539"/>
      <c r="U406" s="539"/>
      <c r="V406" s="540"/>
      <c r="Y406" s="378"/>
      <c r="Z406" s="121"/>
      <c r="AA406" s="86"/>
      <c r="AB406" s="409"/>
      <c r="AC406" s="121"/>
      <c r="AD406" s="94"/>
      <c r="AE406" s="126"/>
    </row>
    <row r="407" spans="3:31" s="260" customFormat="1" ht="15.75" thickBot="1" x14ac:dyDescent="0.3">
      <c r="C407" s="84"/>
      <c r="D407" s="375" t="s">
        <v>128</v>
      </c>
      <c r="E407" s="376" t="s">
        <v>129</v>
      </c>
      <c r="F407" s="376" t="s">
        <v>130</v>
      </c>
      <c r="G407" s="376" t="s">
        <v>131</v>
      </c>
      <c r="H407" s="376" t="s">
        <v>132</v>
      </c>
      <c r="I407" s="376" t="s">
        <v>133</v>
      </c>
      <c r="J407" s="377" t="s">
        <v>134</v>
      </c>
      <c r="K407" s="88"/>
      <c r="M407" s="99" t="s">
        <v>94</v>
      </c>
      <c r="N407" s="98" t="s">
        <v>95</v>
      </c>
      <c r="O407" s="95" t="s">
        <v>96</v>
      </c>
      <c r="P407" s="359" t="s">
        <v>104</v>
      </c>
      <c r="Q407" s="95" t="s">
        <v>116</v>
      </c>
      <c r="R407" s="418" t="s">
        <v>117</v>
      </c>
      <c r="S407" s="95" t="s">
        <v>347</v>
      </c>
      <c r="T407" s="419" t="s">
        <v>118</v>
      </c>
      <c r="U407" s="189" t="s">
        <v>119</v>
      </c>
      <c r="V407" s="100" t="s">
        <v>98</v>
      </c>
      <c r="Y407" s="383" t="s">
        <v>104</v>
      </c>
      <c r="Z407" s="119" t="s">
        <v>9</v>
      </c>
      <c r="AA407" s="86"/>
      <c r="AB407" s="384"/>
      <c r="AC407" s="385"/>
      <c r="AD407" s="94"/>
      <c r="AE407" s="410"/>
    </row>
    <row r="408" spans="3:31" s="260" customFormat="1" ht="25.5" x14ac:dyDescent="0.25">
      <c r="C408" s="84"/>
      <c r="D408" s="354"/>
      <c r="E408" s="96"/>
      <c r="F408" s="96"/>
      <c r="G408" s="96"/>
      <c r="H408" s="96"/>
      <c r="I408" s="96"/>
      <c r="J408" s="420">
        <f>+F405</f>
        <v>1.05</v>
      </c>
      <c r="K408" s="88"/>
      <c r="M408" s="102">
        <v>201</v>
      </c>
      <c r="N408" s="347" t="str">
        <f>IFERROR(VLOOKUP(M408,INSUMOS!$C$8:$K$928,2,0),"-----")</f>
        <v>Oficial Albañileria</v>
      </c>
      <c r="O408" s="78" t="str">
        <f>IFERROR(VLOOKUP(M408,INSUMOS!$C$8:$K$928,3,0),"-----")</f>
        <v>JORNAL+PS</v>
      </c>
      <c r="P408" s="80">
        <v>1</v>
      </c>
      <c r="Q408" s="79">
        <v>30</v>
      </c>
      <c r="R408" s="190">
        <f>IFERROR(VLOOKUP(M408,INSUMOS!$C$8:$K$928,4,0),"-----")</f>
        <v>85136</v>
      </c>
      <c r="S408" s="190">
        <f>IFERROR(VLOOKUP(M408,INSUMOS!$C$8:$K$928,6,0),"-----")</f>
        <v>68109</v>
      </c>
      <c r="T408" s="190">
        <f>IFERROR(VLOOKUP(M408,INSUMOS!$C$8:$K$928,5,0),"-----")</f>
        <v>0</v>
      </c>
      <c r="U408" s="388">
        <f>SUM(R408:T408)</f>
        <v>153245</v>
      </c>
      <c r="V408" s="82">
        <f>+IFERROR((P408/Q408)*U408,0)</f>
        <v>5108.166666666667</v>
      </c>
      <c r="Y408" s="393">
        <f>+IFERROR((Y378/Q408*P408),0)</f>
        <v>5.91</v>
      </c>
      <c r="Z408" s="391">
        <f>Y378*V408</f>
        <v>905677.95000000007</v>
      </c>
      <c r="AA408" s="86"/>
      <c r="AB408" s="92">
        <f>+(U408)*Y408</f>
        <v>905677.95000000007</v>
      </c>
      <c r="AC408" s="93">
        <f>+AB408-Z408</f>
        <v>0</v>
      </c>
      <c r="AD408" s="421"/>
      <c r="AE408" s="410" t="str">
        <f>+IF(V408=0,"CERO","NO")</f>
        <v>NO</v>
      </c>
    </row>
    <row r="409" spans="3:31" s="260" customFormat="1" ht="26.25" thickBot="1" x14ac:dyDescent="0.3">
      <c r="C409" s="84"/>
      <c r="D409" s="355"/>
      <c r="E409" s="367"/>
      <c r="F409" s="367"/>
      <c r="G409" s="367"/>
      <c r="H409" s="367"/>
      <c r="I409" s="367"/>
      <c r="J409" s="422">
        <f>+J408</f>
        <v>1.05</v>
      </c>
      <c r="K409" s="88"/>
      <c r="M409" s="102">
        <v>202</v>
      </c>
      <c r="N409" s="347" t="str">
        <f>IFERROR(VLOOKUP(M409,INSUMOS!$C$8:$K$928,2,0),"-----")</f>
        <v>Ayudante Albañileria</v>
      </c>
      <c r="O409" s="78" t="str">
        <f>IFERROR(VLOOKUP(M409,INSUMOS!$C$8:$K$928,3,0),"-----")</f>
        <v>JORNAL+PS</v>
      </c>
      <c r="P409" s="80">
        <v>1</v>
      </c>
      <c r="Q409" s="79">
        <v>30</v>
      </c>
      <c r="R409" s="190">
        <f>IFERROR(VLOOKUP(M409,INSUMOS!$C$8:$K$928,4,0),"-----")</f>
        <v>63490</v>
      </c>
      <c r="S409" s="190">
        <f>IFERROR(VLOOKUP(M409,INSUMOS!$C$8:$K$928,6,0),"-----")</f>
        <v>50792</v>
      </c>
      <c r="T409" s="190">
        <f>IFERROR(VLOOKUP(M409,INSUMOS!$C$8:$K$928,5,0),"-----")</f>
        <v>0</v>
      </c>
      <c r="U409" s="388">
        <f>SUM(R409:T409)</f>
        <v>114282</v>
      </c>
      <c r="V409" s="82">
        <f>+IFERROR((P409/Q409)*U409,0)</f>
        <v>3809.4</v>
      </c>
      <c r="Y409" s="393">
        <f>+IFERROR((Y378/Q409*P409),0)</f>
        <v>5.91</v>
      </c>
      <c r="Z409" s="391">
        <f>Y378*V409</f>
        <v>675406.62000000011</v>
      </c>
      <c r="AA409" s="86"/>
      <c r="AB409" s="92">
        <f>+U409*Y409</f>
        <v>675406.62</v>
      </c>
      <c r="AC409" s="93">
        <f>+AB409-Z409</f>
        <v>0</v>
      </c>
      <c r="AD409" s="94"/>
      <c r="AE409" s="410" t="str">
        <f>+IF(V409=0,"CERO","NO")</f>
        <v>NO</v>
      </c>
    </row>
    <row r="410" spans="3:31" s="260" customFormat="1" ht="15.75" thickBot="1" x14ac:dyDescent="0.3">
      <c r="C410" s="84"/>
      <c r="D410" s="375" t="s">
        <v>128</v>
      </c>
      <c r="E410" s="376" t="s">
        <v>129</v>
      </c>
      <c r="F410" s="376" t="s">
        <v>130</v>
      </c>
      <c r="G410" s="376" t="s">
        <v>131</v>
      </c>
      <c r="H410" s="376" t="s">
        <v>132</v>
      </c>
      <c r="I410" s="376" t="s">
        <v>133</v>
      </c>
      <c r="J410" s="377" t="s">
        <v>134</v>
      </c>
      <c r="K410" s="88"/>
      <c r="M410" s="534"/>
      <c r="N410" s="536" t="s">
        <v>120</v>
      </c>
      <c r="O410" s="536"/>
      <c r="P410" s="536"/>
      <c r="Q410" s="536"/>
      <c r="R410" s="536"/>
      <c r="S410" s="536"/>
      <c r="T410" s="536"/>
      <c r="U410" s="536"/>
      <c r="V410" s="82">
        <f>+SUM(V408:V409)</f>
        <v>8917.5666666666675</v>
      </c>
      <c r="Y410" s="398" t="s">
        <v>135</v>
      </c>
      <c r="Z410" s="397">
        <f>+SUM(Z408:Z409)</f>
        <v>1581084.5700000003</v>
      </c>
      <c r="AA410" s="86"/>
      <c r="AB410" s="384"/>
      <c r="AC410" s="385"/>
      <c r="AD410" s="94"/>
      <c r="AE410" s="399"/>
    </row>
    <row r="411" spans="3:31" s="260" customFormat="1" ht="15.75" thickBot="1" x14ac:dyDescent="0.3">
      <c r="C411" s="84"/>
      <c r="D411" s="354"/>
      <c r="E411" s="96"/>
      <c r="F411" s="96"/>
      <c r="G411" s="107">
        <f>+F405</f>
        <v>1.05</v>
      </c>
      <c r="H411" s="96"/>
      <c r="I411" s="96"/>
      <c r="J411" s="427"/>
      <c r="K411" s="88"/>
      <c r="M411" s="535"/>
      <c r="N411" s="537" t="s">
        <v>121</v>
      </c>
      <c r="O411" s="537"/>
      <c r="P411" s="537"/>
      <c r="Q411" s="537"/>
      <c r="R411" s="537"/>
      <c r="S411" s="537"/>
      <c r="T411" s="537"/>
      <c r="U411" s="537"/>
      <c r="V411" s="413">
        <f>+ROUND(V410,$AA$5)</f>
        <v>8917.57</v>
      </c>
      <c r="Y411" s="401" t="s">
        <v>136</v>
      </c>
      <c r="Z411" s="402">
        <f>+ROUND(Z410,$AA$5)</f>
        <v>1581084.57</v>
      </c>
      <c r="AA411" s="86"/>
      <c r="AB411" s="403">
        <f>+V411*Y378</f>
        <v>1581085.1610000001</v>
      </c>
      <c r="AC411" s="404">
        <f>+AB411-Z411</f>
        <v>0.59100000001490116</v>
      </c>
      <c r="AD411" s="94"/>
      <c r="AE411" s="405"/>
    </row>
    <row r="412" spans="3:31" s="260" customFormat="1" ht="15.75" thickBot="1" x14ac:dyDescent="0.3">
      <c r="C412" s="84"/>
      <c r="D412" s="375" t="s">
        <v>128</v>
      </c>
      <c r="E412" s="376" t="s">
        <v>129</v>
      </c>
      <c r="F412" s="376" t="s">
        <v>130</v>
      </c>
      <c r="G412" s="376" t="s">
        <v>131</v>
      </c>
      <c r="H412" s="376" t="s">
        <v>132</v>
      </c>
      <c r="I412" s="376" t="s">
        <v>133</v>
      </c>
      <c r="J412" s="377" t="s">
        <v>134</v>
      </c>
      <c r="K412" s="88"/>
      <c r="M412" s="541"/>
      <c r="N412" s="542"/>
      <c r="O412" s="542"/>
      <c r="P412" s="542"/>
      <c r="Q412" s="542"/>
      <c r="R412" s="542"/>
      <c r="S412" s="542"/>
      <c r="T412" s="542"/>
      <c r="U412" s="542"/>
      <c r="V412" s="543"/>
      <c r="Y412" s="378"/>
      <c r="Z412" s="121"/>
      <c r="AA412" s="86"/>
      <c r="AB412" s="409"/>
      <c r="AC412" s="121"/>
      <c r="AD412" s="94"/>
      <c r="AE412" s="428"/>
    </row>
    <row r="413" spans="3:31" s="260" customFormat="1" ht="15.75" thickBot="1" x14ac:dyDescent="0.3">
      <c r="C413" s="84"/>
      <c r="D413" s="355"/>
      <c r="E413" s="367"/>
      <c r="F413" s="367"/>
      <c r="G413" s="367"/>
      <c r="H413" s="412">
        <f>G411</f>
        <v>1.05</v>
      </c>
      <c r="I413" s="412"/>
      <c r="J413" s="422"/>
      <c r="K413" s="88"/>
      <c r="M413" s="544" t="s">
        <v>122</v>
      </c>
      <c r="N413" s="537"/>
      <c r="O413" s="537"/>
      <c r="P413" s="537"/>
      <c r="Q413" s="537"/>
      <c r="R413" s="537"/>
      <c r="S413" s="537"/>
      <c r="T413" s="537"/>
      <c r="U413" s="545">
        <f>+V411+V405+V397+V388</f>
        <v>20358.030000000002</v>
      </c>
      <c r="V413" s="546"/>
      <c r="Y413" s="429"/>
      <c r="Z413" s="430">
        <f>+Z411+Z405+Z397+Z388</f>
        <v>3609477.86</v>
      </c>
      <c r="AA413" s="86"/>
      <c r="AB413" s="431">
        <f>+AB411+AB405+AB397+AB388</f>
        <v>3609478.7190000005</v>
      </c>
      <c r="AC413" s="404">
        <f>+AB413-Z413</f>
        <v>0.85900000063702464</v>
      </c>
      <c r="AD413" s="94"/>
      <c r="AE413" s="432"/>
    </row>
    <row r="414" spans="3:31" s="260" customFormat="1" ht="15.75" thickBot="1" x14ac:dyDescent="0.3"/>
    <row r="415" spans="3:31" s="260" customFormat="1" x14ac:dyDescent="0.25">
      <c r="M415" s="547" t="s">
        <v>348</v>
      </c>
      <c r="N415" s="548"/>
      <c r="O415" s="548"/>
      <c r="P415" s="548"/>
      <c r="Q415" s="548"/>
      <c r="R415" s="548"/>
      <c r="S415" s="548"/>
      <c r="T415" s="548"/>
      <c r="U415" s="548"/>
      <c r="V415" s="549"/>
      <c r="Y415" s="378"/>
      <c r="Z415" s="121"/>
      <c r="AA415" s="86"/>
      <c r="AB415" s="94"/>
      <c r="AC415" s="94"/>
      <c r="AD415" s="94"/>
      <c r="AE415" s="126" t="s">
        <v>133</v>
      </c>
    </row>
    <row r="416" spans="3:31" s="260" customFormat="1" x14ac:dyDescent="0.25">
      <c r="M416" s="515" t="s">
        <v>138</v>
      </c>
      <c r="N416" s="516"/>
      <c r="O416" s="516"/>
      <c r="P416" s="516"/>
      <c r="Q416" s="516"/>
      <c r="R416" s="516"/>
      <c r="S416" s="516"/>
      <c r="T416" s="437">
        <v>0</v>
      </c>
      <c r="U416" s="517">
        <f>+ROUND(U413*T416,$AA$5)</f>
        <v>0</v>
      </c>
      <c r="V416" s="518"/>
      <c r="Y416" s="390"/>
      <c r="Z416" s="438">
        <f>+Z413*T416</f>
        <v>0</v>
      </c>
      <c r="AA416" s="86"/>
      <c r="AB416" s="94"/>
      <c r="AC416" s="94"/>
      <c r="AD416" s="94"/>
      <c r="AE416" s="386" t="s">
        <v>133</v>
      </c>
    </row>
    <row r="417" spans="3:31" s="260" customFormat="1" x14ac:dyDescent="0.25">
      <c r="M417" s="515" t="s">
        <v>19</v>
      </c>
      <c r="N417" s="516"/>
      <c r="O417" s="516"/>
      <c r="P417" s="516"/>
      <c r="Q417" s="516"/>
      <c r="R417" s="516"/>
      <c r="S417" s="516"/>
      <c r="T417" s="437">
        <v>0.05</v>
      </c>
      <c r="U417" s="517">
        <f>+ROUND(U413*T417,$AA$5)</f>
        <v>1017.9</v>
      </c>
      <c r="V417" s="518"/>
      <c r="Y417" s="390"/>
      <c r="Z417" s="438">
        <f>+Z413*T417</f>
        <v>180473.89300000001</v>
      </c>
      <c r="AA417" s="86"/>
      <c r="AB417" s="94"/>
      <c r="AC417" s="94"/>
      <c r="AD417" s="94"/>
      <c r="AE417" s="386" t="s">
        <v>133</v>
      </c>
    </row>
    <row r="418" spans="3:31" s="260" customFormat="1" x14ac:dyDescent="0.25">
      <c r="M418" s="515" t="s">
        <v>20</v>
      </c>
      <c r="N418" s="516"/>
      <c r="O418" s="516"/>
      <c r="P418" s="516"/>
      <c r="Q418" s="516"/>
      <c r="R418" s="516"/>
      <c r="S418" s="516"/>
      <c r="T418" s="437">
        <v>0</v>
      </c>
      <c r="U418" s="517">
        <f>+ROUND(U413*T418,$AA$5)</f>
        <v>0</v>
      </c>
      <c r="V418" s="518"/>
      <c r="Y418" s="390"/>
      <c r="Z418" s="438">
        <f>+Z413*T418</f>
        <v>0</v>
      </c>
      <c r="AA418" s="86"/>
      <c r="AB418" s="94"/>
      <c r="AC418" s="94"/>
      <c r="AD418" s="94"/>
      <c r="AE418" s="386" t="s">
        <v>133</v>
      </c>
    </row>
    <row r="419" spans="3:31" s="260" customFormat="1" x14ac:dyDescent="0.25">
      <c r="M419" s="515" t="s">
        <v>21</v>
      </c>
      <c r="N419" s="516"/>
      <c r="O419" s="516"/>
      <c r="P419" s="516"/>
      <c r="Q419" s="516"/>
      <c r="R419" s="516"/>
      <c r="S419" s="516"/>
      <c r="T419" s="437">
        <f>$AA$9</f>
        <v>0</v>
      </c>
      <c r="U419" s="517">
        <f>+ROUND(U413*T419,$AA$5)</f>
        <v>0</v>
      </c>
      <c r="V419" s="518"/>
      <c r="Y419" s="390"/>
      <c r="Z419" s="438">
        <f>+Z418*T419</f>
        <v>0</v>
      </c>
      <c r="AA419" s="86"/>
      <c r="AB419" s="94"/>
      <c r="AC419" s="94"/>
      <c r="AD419" s="94"/>
      <c r="AE419" s="386" t="s">
        <v>133</v>
      </c>
    </row>
    <row r="420" spans="3:31" s="260" customFormat="1" ht="15.75" thickBot="1" x14ac:dyDescent="0.3">
      <c r="M420" s="519" t="s">
        <v>349</v>
      </c>
      <c r="N420" s="520"/>
      <c r="O420" s="520"/>
      <c r="P420" s="520"/>
      <c r="Q420" s="520"/>
      <c r="R420" s="520"/>
      <c r="S420" s="520"/>
      <c r="T420" s="520"/>
      <c r="U420" s="521">
        <f>+SUM(U416:V419)</f>
        <v>1017.9</v>
      </c>
      <c r="V420" s="522"/>
      <c r="Y420" s="390"/>
      <c r="Z420" s="439">
        <f>+SUM(Z416:Z419)</f>
        <v>180473.89300000001</v>
      </c>
      <c r="AA420" s="86"/>
      <c r="AB420" s="94"/>
      <c r="AC420" s="94"/>
      <c r="AD420" s="94"/>
      <c r="AE420" s="386" t="s">
        <v>133</v>
      </c>
    </row>
    <row r="421" spans="3:31" s="260" customFormat="1" ht="15.75" thickBot="1" x14ac:dyDescent="0.3">
      <c r="D421" s="375" t="s">
        <v>128</v>
      </c>
      <c r="E421" s="376" t="s">
        <v>129</v>
      </c>
      <c r="F421" s="376" t="s">
        <v>130</v>
      </c>
      <c r="G421" s="376" t="s">
        <v>131</v>
      </c>
      <c r="H421" s="376" t="s">
        <v>132</v>
      </c>
      <c r="I421" s="376" t="s">
        <v>133</v>
      </c>
      <c r="J421" s="377" t="s">
        <v>134</v>
      </c>
      <c r="M421" s="86"/>
      <c r="N421" s="94"/>
      <c r="O421" s="94"/>
      <c r="P421" s="94"/>
      <c r="Q421" s="86"/>
      <c r="R421" s="86"/>
      <c r="S421" s="86"/>
      <c r="T421" s="440"/>
      <c r="U421" s="523"/>
      <c r="V421" s="523"/>
      <c r="Y421" s="390"/>
      <c r="Z421" s="385"/>
      <c r="AA421" s="86"/>
      <c r="AB421" s="94"/>
      <c r="AC421" s="94"/>
      <c r="AD421" s="94"/>
      <c r="AE421" s="386" t="s">
        <v>133</v>
      </c>
    </row>
    <row r="422" spans="3:31" s="260" customFormat="1" ht="15.75" thickBot="1" x14ac:dyDescent="0.3">
      <c r="D422" s="355"/>
      <c r="E422" s="367"/>
      <c r="F422" s="367"/>
      <c r="G422" s="367"/>
      <c r="H422" s="412"/>
      <c r="I422" s="412">
        <f>H413</f>
        <v>1.05</v>
      </c>
      <c r="J422" s="422"/>
      <c r="M422" s="524" t="s">
        <v>11</v>
      </c>
      <c r="N422" s="525"/>
      <c r="O422" s="525"/>
      <c r="P422" s="525"/>
      <c r="Q422" s="525"/>
      <c r="R422" s="525"/>
      <c r="S422" s="525"/>
      <c r="T422" s="526"/>
      <c r="U422" s="527">
        <f>+U420+U413</f>
        <v>21375.930000000004</v>
      </c>
      <c r="V422" s="528"/>
      <c r="Y422" s="429"/>
      <c r="Z422" s="441">
        <f>+Z420+Z413</f>
        <v>3789951.753</v>
      </c>
      <c r="AA422" s="86"/>
      <c r="AB422" s="94"/>
      <c r="AC422" s="94"/>
      <c r="AD422" s="94"/>
      <c r="AE422" s="405" t="s">
        <v>133</v>
      </c>
    </row>
    <row r="423" spans="3:31" s="260" customFormat="1" x14ac:dyDescent="0.25"/>
    <row r="424" spans="3:31" s="260" customFormat="1" ht="15.75" thickBot="1" x14ac:dyDescent="0.3"/>
    <row r="425" spans="3:31" s="260" customFormat="1" ht="15.75" thickBot="1" x14ac:dyDescent="0.3">
      <c r="M425" s="363" t="s">
        <v>88</v>
      </c>
      <c r="N425" s="436" t="str">
        <f>+N377</f>
        <v>CAP.1</v>
      </c>
      <c r="O425" s="550" t="str">
        <f>IFERROR(VLOOKUP(N425,PPTO!C:H,2,0),"----")</f>
        <v>PRELIMINARES Y REPARACIONES</v>
      </c>
      <c r="P425" s="551"/>
      <c r="Q425" s="551"/>
      <c r="R425" s="551"/>
      <c r="S425" s="551"/>
      <c r="T425" s="551"/>
      <c r="U425" s="552"/>
      <c r="V425" s="74" t="s">
        <v>91</v>
      </c>
      <c r="Y425" s="365" t="s">
        <v>104</v>
      </c>
      <c r="Z425" s="94"/>
      <c r="AA425" s="188"/>
      <c r="AB425" s="553"/>
      <c r="AC425" s="553"/>
      <c r="AD425" s="553"/>
      <c r="AE425" s="94"/>
    </row>
    <row r="426" spans="3:31" s="260" customFormat="1" ht="15.75" thickBot="1" x14ac:dyDescent="0.3">
      <c r="C426" s="369">
        <f>+N426</f>
        <v>1.06</v>
      </c>
      <c r="D426" s="86"/>
      <c r="E426" s="86"/>
      <c r="F426" s="86"/>
      <c r="G426" s="86"/>
      <c r="H426" s="86"/>
      <c r="I426" s="86"/>
      <c r="J426" s="86"/>
      <c r="K426" s="370"/>
      <c r="M426" s="75" t="s">
        <v>92</v>
      </c>
      <c r="N426" s="371">
        <f>+ROUNDUP(N378+0.01,2)</f>
        <v>1.06</v>
      </c>
      <c r="O426" s="554" t="str">
        <f>IFERROR(VLOOKUP(N426,PPTO!C:H,2,0),"----")</f>
        <v>regatas para nuevas redes hidraulicas</v>
      </c>
      <c r="P426" s="555"/>
      <c r="Q426" s="555"/>
      <c r="R426" s="555"/>
      <c r="S426" s="555"/>
      <c r="T426" s="555"/>
      <c r="U426" s="556"/>
      <c r="V426" s="76" t="str">
        <f>IFERROR(VLOOKUP(N426,PPTO!C:H,3,0),"----")</f>
        <v>ML</v>
      </c>
      <c r="Y426" s="373">
        <f>SUMIFS(PPTO!F:F,PPTO!C:C,APUS!N426)</f>
        <v>67.7</v>
      </c>
      <c r="Z426" s="94"/>
      <c r="AA426" s="86"/>
      <c r="AB426" s="94"/>
      <c r="AC426" s="94"/>
      <c r="AD426" s="94"/>
      <c r="AE426" s="94"/>
    </row>
    <row r="427" spans="3:31" s="260" customFormat="1" ht="15.75" thickBot="1" x14ac:dyDescent="0.3">
      <c r="C427" s="84"/>
      <c r="D427" s="86"/>
      <c r="E427" s="86"/>
      <c r="F427" s="86"/>
      <c r="G427" s="86"/>
      <c r="H427" s="86"/>
      <c r="I427" s="86"/>
      <c r="J427" s="86"/>
      <c r="K427" s="88"/>
      <c r="M427" s="557"/>
      <c r="N427" s="557"/>
      <c r="O427" s="557"/>
      <c r="P427" s="557"/>
      <c r="Q427" s="557"/>
      <c r="R427" s="557"/>
      <c r="S427" s="557"/>
      <c r="T427" s="557"/>
      <c r="U427" s="557"/>
      <c r="V427" s="557"/>
      <c r="Y427" s="374"/>
      <c r="Z427" s="94"/>
      <c r="AA427" s="86"/>
      <c r="AB427" s="94"/>
      <c r="AC427" s="94"/>
      <c r="AD427" s="94"/>
      <c r="AE427" s="94"/>
    </row>
    <row r="428" spans="3:31" s="260" customFormat="1" ht="15.75" thickBot="1" x14ac:dyDescent="0.3">
      <c r="C428" s="84"/>
      <c r="D428" s="375" t="s">
        <v>128</v>
      </c>
      <c r="E428" s="376" t="s">
        <v>129</v>
      </c>
      <c r="F428" s="376" t="s">
        <v>130</v>
      </c>
      <c r="G428" s="376" t="s">
        <v>131</v>
      </c>
      <c r="H428" s="376" t="s">
        <v>132</v>
      </c>
      <c r="I428" s="376" t="s">
        <v>133</v>
      </c>
      <c r="J428" s="377" t="s">
        <v>134</v>
      </c>
      <c r="K428" s="88"/>
      <c r="M428" s="558" t="s">
        <v>93</v>
      </c>
      <c r="N428" s="559"/>
      <c r="O428" s="559"/>
      <c r="P428" s="559"/>
      <c r="Q428" s="559"/>
      <c r="R428" s="559"/>
      <c r="S428" s="559"/>
      <c r="T428" s="559"/>
      <c r="U428" s="559"/>
      <c r="V428" s="560"/>
      <c r="Y428" s="378"/>
      <c r="Z428" s="121"/>
      <c r="AA428" s="86"/>
      <c r="AB428" s="513"/>
      <c r="AC428" s="514"/>
      <c r="AD428" s="94"/>
      <c r="AE428" s="379"/>
    </row>
    <row r="429" spans="3:31" s="260" customFormat="1" x14ac:dyDescent="0.25">
      <c r="C429" s="84"/>
      <c r="D429" s="380"/>
      <c r="E429" s="381"/>
      <c r="F429" s="381"/>
      <c r="G429" s="381"/>
      <c r="H429" s="381"/>
      <c r="I429" s="381"/>
      <c r="J429" s="382"/>
      <c r="K429" s="88"/>
      <c r="M429" s="99" t="s">
        <v>94</v>
      </c>
      <c r="N429" s="561" t="s">
        <v>95</v>
      </c>
      <c r="O429" s="561"/>
      <c r="P429" s="561"/>
      <c r="Q429" s="561"/>
      <c r="R429" s="95" t="s">
        <v>96</v>
      </c>
      <c r="S429" s="95" t="s">
        <v>97</v>
      </c>
      <c r="T429" s="562" t="s">
        <v>8</v>
      </c>
      <c r="U429" s="562"/>
      <c r="V429" s="100" t="s">
        <v>98</v>
      </c>
      <c r="Y429" s="383" t="s">
        <v>104</v>
      </c>
      <c r="Z429" s="119" t="s">
        <v>9</v>
      </c>
      <c r="AA429" s="86"/>
      <c r="AB429" s="384"/>
      <c r="AC429" s="385"/>
      <c r="AD429" s="94"/>
      <c r="AE429" s="386"/>
    </row>
    <row r="430" spans="3:31" s="260" customFormat="1" x14ac:dyDescent="0.25">
      <c r="C430" s="84"/>
      <c r="D430" s="85"/>
      <c r="E430" s="86"/>
      <c r="F430" s="86"/>
      <c r="G430" s="86"/>
      <c r="H430" s="86"/>
      <c r="I430" s="86"/>
      <c r="J430" s="87"/>
      <c r="K430" s="88"/>
      <c r="M430" s="102"/>
      <c r="N430" s="533" t="s">
        <v>99</v>
      </c>
      <c r="O430" s="533"/>
      <c r="P430" s="533"/>
      <c r="Q430" s="533"/>
      <c r="R430" s="78" t="s">
        <v>100</v>
      </c>
      <c r="S430" s="387">
        <f>+$AA$10</f>
        <v>0.05</v>
      </c>
      <c r="T430" s="563">
        <f>V459</f>
        <v>8917.57</v>
      </c>
      <c r="U430" s="563"/>
      <c r="V430" s="389">
        <f>+IFERROR(T430*S430,0)</f>
        <v>445.87850000000003</v>
      </c>
      <c r="Y430" s="390"/>
      <c r="Z430" s="391">
        <f>Y426*V430</f>
        <v>30185.974450000005</v>
      </c>
      <c r="AA430" s="86"/>
      <c r="AB430" s="384"/>
      <c r="AC430" s="385"/>
      <c r="AD430" s="94"/>
      <c r="AE430" s="386" t="str">
        <f>+IF(V430=0,"CERO","NO")</f>
        <v>NO</v>
      </c>
    </row>
    <row r="431" spans="3:31" s="260" customFormat="1" x14ac:dyDescent="0.25">
      <c r="C431" s="84"/>
      <c r="D431" s="85"/>
      <c r="E431" s="86"/>
      <c r="F431" s="86"/>
      <c r="G431" s="86"/>
      <c r="H431" s="86"/>
      <c r="I431" s="86"/>
      <c r="J431" s="87"/>
      <c r="K431" s="88"/>
      <c r="M431" s="106"/>
      <c r="N431" s="533" t="str">
        <f>IFERROR(VLOOKUP(M431,INSUMOS!$C$8:$K$928,2,0),"-----")</f>
        <v>-----</v>
      </c>
      <c r="O431" s="533"/>
      <c r="P431" s="533"/>
      <c r="Q431" s="533"/>
      <c r="R431" s="78" t="str">
        <f>IFERROR(VLOOKUP(M431,INSUMOS!$C$8:$K$928,6,0),"-----")</f>
        <v>-----</v>
      </c>
      <c r="S431" s="396"/>
      <c r="T431" s="529" t="str">
        <f>IFERROR(VLOOKUP(M431,INSUMOS!$C$8:$K$928,7,0),"0")</f>
        <v>0</v>
      </c>
      <c r="U431" s="529"/>
      <c r="V431" s="389">
        <f>+IFERROR(T431*S431,0)</f>
        <v>0</v>
      </c>
      <c r="Y431" s="393">
        <f>+IFERROR(Y426*S431,0)</f>
        <v>0</v>
      </c>
      <c r="Z431" s="391">
        <f>Y426*V431</f>
        <v>0</v>
      </c>
      <c r="AA431" s="394"/>
      <c r="AB431" s="395">
        <f>+Y431*T431</f>
        <v>0</v>
      </c>
      <c r="AC431" s="93">
        <f>+AB431-Z431</f>
        <v>0</v>
      </c>
      <c r="AD431" s="94"/>
      <c r="AE431" s="386" t="str">
        <f>+IF(V431=0,"CERO","NO")</f>
        <v>CERO</v>
      </c>
    </row>
    <row r="432" spans="3:31" s="260" customFormat="1" x14ac:dyDescent="0.25">
      <c r="C432" s="84"/>
      <c r="D432" s="85"/>
      <c r="E432" s="86"/>
      <c r="F432" s="86"/>
      <c r="G432" s="86"/>
      <c r="H432" s="86"/>
      <c r="I432" s="86"/>
      <c r="J432" s="87"/>
      <c r="K432" s="88"/>
      <c r="M432" s="102"/>
      <c r="N432" s="533" t="str">
        <f>IFERROR(VLOOKUP(M432,INSUMOS!$C$8:$K$928,2,0),"-----")</f>
        <v>-----</v>
      </c>
      <c r="O432" s="533"/>
      <c r="P432" s="533"/>
      <c r="Q432" s="533"/>
      <c r="R432" s="78" t="str">
        <f>IFERROR(VLOOKUP(M432,INSUMOS!$C$8:$K$928,6,0),"-----")</f>
        <v>-----</v>
      </c>
      <c r="S432" s="396"/>
      <c r="T432" s="529" t="str">
        <f>IFERROR(VLOOKUP(M432,INSUMOS!$C$8:$K$928,7,0),"0")</f>
        <v>0</v>
      </c>
      <c r="U432" s="529"/>
      <c r="V432" s="389">
        <f>+IFERROR(T432*S432,0)</f>
        <v>0</v>
      </c>
      <c r="Y432" s="393">
        <f>+IFERROR(Y426*S432,0)</f>
        <v>0</v>
      </c>
      <c r="Z432" s="391">
        <f>Y426*V432</f>
        <v>0</v>
      </c>
      <c r="AA432" s="394"/>
      <c r="AB432" s="395">
        <f>+Y432*T432</f>
        <v>0</v>
      </c>
      <c r="AC432" s="93">
        <f>+AB432-Z432</f>
        <v>0</v>
      </c>
      <c r="AD432" s="94"/>
      <c r="AE432" s="386" t="str">
        <f>+IF(V432=0,"CERO","NO")</f>
        <v>CERO</v>
      </c>
    </row>
    <row r="433" spans="3:31" s="260" customFormat="1" x14ac:dyDescent="0.25">
      <c r="C433" s="84"/>
      <c r="D433" s="85"/>
      <c r="E433" s="86"/>
      <c r="F433" s="86"/>
      <c r="G433" s="86"/>
      <c r="H433" s="86"/>
      <c r="I433" s="86"/>
      <c r="J433" s="87"/>
      <c r="K433" s="88"/>
      <c r="M433" s="102">
        <v>0</v>
      </c>
      <c r="N433" s="533"/>
      <c r="O433" s="533"/>
      <c r="P433" s="533"/>
      <c r="Q433" s="533"/>
      <c r="R433" s="78"/>
      <c r="S433" s="396"/>
      <c r="T433" s="529"/>
      <c r="U433" s="529"/>
      <c r="V433" s="397"/>
      <c r="Y433" s="393">
        <f>+IFERROR(Y426*S433,0)</f>
        <v>0</v>
      </c>
      <c r="Z433" s="391">
        <f>Y426*V433</f>
        <v>0</v>
      </c>
      <c r="AA433" s="394"/>
      <c r="AB433" s="395">
        <f>+Y433*T433</f>
        <v>0</v>
      </c>
      <c r="AC433" s="93">
        <f>+AB433-Z433</f>
        <v>0</v>
      </c>
      <c r="AD433" s="94"/>
      <c r="AE433" s="386" t="str">
        <f>+IF(V433=0,"CERO","NO")</f>
        <v>CERO</v>
      </c>
    </row>
    <row r="434" spans="3:31" s="260" customFormat="1" ht="15.75" thickBot="1" x14ac:dyDescent="0.3">
      <c r="C434" s="84"/>
      <c r="D434" s="85"/>
      <c r="E434" s="86"/>
      <c r="F434" s="86"/>
      <c r="G434" s="86"/>
      <c r="H434" s="86"/>
      <c r="I434" s="86"/>
      <c r="J434" s="87"/>
      <c r="K434" s="88"/>
      <c r="M434" s="102">
        <v>0</v>
      </c>
      <c r="N434" s="564"/>
      <c r="O434" s="564"/>
      <c r="P434" s="564"/>
      <c r="Q434" s="564"/>
      <c r="R434" s="96"/>
      <c r="S434" s="96"/>
      <c r="T434" s="565"/>
      <c r="U434" s="565"/>
      <c r="V434" s="101"/>
      <c r="Y434" s="393">
        <f>+IFERROR(Y426*S434,0)</f>
        <v>0</v>
      </c>
      <c r="Z434" s="391">
        <f>Y426*V434</f>
        <v>0</v>
      </c>
      <c r="AA434" s="394"/>
      <c r="AB434" s="395">
        <f>+Y434*T434</f>
        <v>0</v>
      </c>
      <c r="AC434" s="93">
        <f>+AB434-Z434</f>
        <v>0</v>
      </c>
      <c r="AD434" s="94"/>
      <c r="AE434" s="386" t="str">
        <f>+IF(V434=0,"CERO","NO")</f>
        <v>CERO</v>
      </c>
    </row>
    <row r="435" spans="3:31" s="260" customFormat="1" ht="15.75" thickBot="1" x14ac:dyDescent="0.3">
      <c r="C435" s="84"/>
      <c r="D435" s="375" t="s">
        <v>128</v>
      </c>
      <c r="E435" s="376" t="s">
        <v>129</v>
      </c>
      <c r="F435" s="376" t="s">
        <v>130</v>
      </c>
      <c r="G435" s="376" t="s">
        <v>131</v>
      </c>
      <c r="H435" s="376" t="s">
        <v>132</v>
      </c>
      <c r="I435" s="376" t="s">
        <v>133</v>
      </c>
      <c r="J435" s="377" t="s">
        <v>134</v>
      </c>
      <c r="K435" s="88"/>
      <c r="M435" s="534"/>
      <c r="N435" s="536" t="s">
        <v>101</v>
      </c>
      <c r="O435" s="536"/>
      <c r="P435" s="536"/>
      <c r="Q435" s="536"/>
      <c r="R435" s="536"/>
      <c r="S435" s="536"/>
      <c r="T435" s="536"/>
      <c r="U435" s="536"/>
      <c r="V435" s="389">
        <f>+SUM(V430:V434)</f>
        <v>445.87850000000003</v>
      </c>
      <c r="Y435" s="398" t="s">
        <v>135</v>
      </c>
      <c r="Z435" s="397">
        <f>+SUM(Z430:Z434)</f>
        <v>30185.974450000005</v>
      </c>
      <c r="AA435" s="86"/>
      <c r="AB435" s="384"/>
      <c r="AC435" s="385"/>
      <c r="AD435" s="94"/>
      <c r="AE435" s="399"/>
    </row>
    <row r="436" spans="3:31" s="260" customFormat="1" ht="15.75" thickBot="1" x14ac:dyDescent="0.3">
      <c r="C436" s="84"/>
      <c r="D436" s="375">
        <f>C426</f>
        <v>1.06</v>
      </c>
      <c r="E436" s="376"/>
      <c r="F436" s="376"/>
      <c r="G436" s="376"/>
      <c r="H436" s="376"/>
      <c r="I436" s="376"/>
      <c r="J436" s="377"/>
      <c r="K436" s="88"/>
      <c r="M436" s="566"/>
      <c r="N436" s="567" t="s">
        <v>102</v>
      </c>
      <c r="O436" s="567"/>
      <c r="P436" s="567"/>
      <c r="Q436" s="567"/>
      <c r="R436" s="567"/>
      <c r="S436" s="567"/>
      <c r="T436" s="567"/>
      <c r="U436" s="567"/>
      <c r="V436" s="400">
        <f>+ROUND(V435,$AA$5)</f>
        <v>445.88</v>
      </c>
      <c r="Y436" s="401" t="s">
        <v>136</v>
      </c>
      <c r="Z436" s="402">
        <f>+ROUND(Z435,$AA$5)</f>
        <v>30185.97</v>
      </c>
      <c r="AA436" s="86"/>
      <c r="AB436" s="403">
        <f>+V436*Y426</f>
        <v>30186.076000000001</v>
      </c>
      <c r="AC436" s="404">
        <f>+AB436-Z436</f>
        <v>0.10599999999976717</v>
      </c>
      <c r="AD436" s="94"/>
      <c r="AE436" s="405"/>
    </row>
    <row r="437" spans="3:31" s="260" customFormat="1" x14ac:dyDescent="0.25">
      <c r="C437" s="84"/>
      <c r="D437" s="380"/>
      <c r="E437" s="381"/>
      <c r="F437" s="381"/>
      <c r="G437" s="381"/>
      <c r="H437" s="381"/>
      <c r="I437" s="381"/>
      <c r="J437" s="382"/>
      <c r="K437" s="88"/>
      <c r="M437" s="510" t="s">
        <v>103</v>
      </c>
      <c r="N437" s="511"/>
      <c r="O437" s="511"/>
      <c r="P437" s="511"/>
      <c r="Q437" s="511"/>
      <c r="R437" s="511"/>
      <c r="S437" s="511"/>
      <c r="T437" s="511"/>
      <c r="U437" s="511"/>
      <c r="V437" s="512"/>
      <c r="Y437" s="378"/>
      <c r="Z437" s="121"/>
      <c r="AA437" s="86"/>
      <c r="AB437" s="513"/>
      <c r="AC437" s="514"/>
      <c r="AD437" s="94"/>
      <c r="AE437" s="126"/>
    </row>
    <row r="438" spans="3:31" s="260" customFormat="1" x14ac:dyDescent="0.25">
      <c r="C438" s="84"/>
      <c r="D438" s="85"/>
      <c r="E438" s="86"/>
      <c r="F438" s="86"/>
      <c r="G438" s="86"/>
      <c r="H438" s="86"/>
      <c r="I438" s="86"/>
      <c r="J438" s="87"/>
      <c r="K438" s="88"/>
      <c r="M438" s="99" t="s">
        <v>94</v>
      </c>
      <c r="N438" s="561" t="s">
        <v>95</v>
      </c>
      <c r="O438" s="561"/>
      <c r="P438" s="561"/>
      <c r="Q438" s="561"/>
      <c r="R438" s="95" t="s">
        <v>96</v>
      </c>
      <c r="S438" s="95" t="s">
        <v>104</v>
      </c>
      <c r="T438" s="356" t="s">
        <v>105</v>
      </c>
      <c r="U438" s="356" t="s">
        <v>8</v>
      </c>
      <c r="V438" s="100" t="s">
        <v>98</v>
      </c>
      <c r="Y438" s="383" t="s">
        <v>104</v>
      </c>
      <c r="Z438" s="119" t="s">
        <v>9</v>
      </c>
      <c r="AA438" s="86"/>
      <c r="AB438" s="384"/>
      <c r="AC438" s="385"/>
      <c r="AD438" s="94"/>
      <c r="AE438" s="406"/>
    </row>
    <row r="439" spans="3:31" s="260" customFormat="1" x14ac:dyDescent="0.25">
      <c r="C439" s="84"/>
      <c r="D439" s="85"/>
      <c r="E439" s="86"/>
      <c r="F439" s="86"/>
      <c r="G439" s="86"/>
      <c r="H439" s="86"/>
      <c r="I439" s="86"/>
      <c r="J439" s="87"/>
      <c r="K439" s="88"/>
      <c r="M439" s="102">
        <v>848</v>
      </c>
      <c r="N439" s="533" t="str">
        <f>IFERROR(VLOOKUP(M439,INSUMOS!$C$8:$K$928,2,0),"-----")</f>
        <v>PINTURA EPOXICA</v>
      </c>
      <c r="O439" s="533"/>
      <c r="P439" s="533"/>
      <c r="Q439" s="533"/>
      <c r="R439" s="78" t="str">
        <f>IFERROR(VLOOKUP(M439,INSUMOS!$C$8:$K$928,6,0),"-----")</f>
        <v>gl</v>
      </c>
      <c r="S439" s="396">
        <v>0.01</v>
      </c>
      <c r="T439" s="387">
        <v>0.02</v>
      </c>
      <c r="U439" s="388">
        <f>IFERROR(VLOOKUP(M439,INSUMOS!$C$8:$K$928,7,0),"0")</f>
        <v>214900</v>
      </c>
      <c r="V439" s="389">
        <f>+IFERROR(U439*(S439*(1+T439)),0)</f>
        <v>2191.98</v>
      </c>
      <c r="Y439" s="393">
        <f>+IFERROR(Y426*(S439*(1+T439)),0)</f>
        <v>0.69054000000000004</v>
      </c>
      <c r="Z439" s="391">
        <f>Y426*V439</f>
        <v>148397.046</v>
      </c>
      <c r="AA439" s="394"/>
      <c r="AB439" s="395">
        <f>+Y439*U439</f>
        <v>148397.046</v>
      </c>
      <c r="AC439" s="93">
        <f>+AB439-Z439</f>
        <v>0</v>
      </c>
      <c r="AD439" s="94"/>
      <c r="AE439" s="406" t="str">
        <f>+IF(V439=0,"CERO","NO")</f>
        <v>NO</v>
      </c>
    </row>
    <row r="440" spans="3:31" s="260" customFormat="1" x14ac:dyDescent="0.25">
      <c r="C440" s="84"/>
      <c r="D440" s="85"/>
      <c r="E440" s="86"/>
      <c r="F440" s="86"/>
      <c r="G440" s="86"/>
      <c r="H440" s="86"/>
      <c r="I440" s="86"/>
      <c r="J440" s="87"/>
      <c r="K440" s="88"/>
      <c r="M440" s="102">
        <v>603</v>
      </c>
      <c r="N440" s="533" t="str">
        <f>IFERROR(VLOOKUP(M440,INSUMOS!$C$8:$K$928,2,0),"-----")</f>
        <v>Grouting</v>
      </c>
      <c r="O440" s="533"/>
      <c r="P440" s="533"/>
      <c r="Q440" s="533"/>
      <c r="R440" s="78" t="str">
        <f>IFERROR(VLOOKUP(M440,INSUMOS!$C$8:$K$928,6,0),"-----")</f>
        <v>KG</v>
      </c>
      <c r="S440" s="396">
        <v>0.5</v>
      </c>
      <c r="T440" s="387">
        <v>0.02</v>
      </c>
      <c r="U440" s="388">
        <f>IFERROR(VLOOKUP(M440,INSUMOS!$C$8:$K$928,7,0),"0")</f>
        <v>8630</v>
      </c>
      <c r="V440" s="389">
        <f>+IFERROR(U440*(S440*(1+T440)),0)</f>
        <v>4401.3</v>
      </c>
      <c r="Y440" s="393">
        <f>+IFERROR(Y426*(S440*(1+T440)),0)</f>
        <v>34.527000000000001</v>
      </c>
      <c r="Z440" s="391">
        <f>Y426*V440</f>
        <v>297968.01</v>
      </c>
      <c r="AA440" s="394"/>
      <c r="AB440" s="395">
        <f>+Y440*U440</f>
        <v>297968.01</v>
      </c>
      <c r="AC440" s="93">
        <f>+AB440-Z440</f>
        <v>0</v>
      </c>
      <c r="AD440" s="94"/>
      <c r="AE440" s="406" t="str">
        <f>+IF(V440=0,"CERO","NO")</f>
        <v>NO</v>
      </c>
    </row>
    <row r="441" spans="3:31" s="260" customFormat="1" x14ac:dyDescent="0.25">
      <c r="C441" s="84"/>
      <c r="D441" s="85"/>
      <c r="E441" s="86"/>
      <c r="F441" s="86"/>
      <c r="G441" s="86"/>
      <c r="H441" s="86"/>
      <c r="I441" s="86"/>
      <c r="J441" s="87"/>
      <c r="K441" s="88"/>
      <c r="M441" s="102"/>
      <c r="N441" s="533" t="str">
        <f>IFERROR(VLOOKUP(M441,INSUMOS!$C$8:$K$928,2,0),"-----")</f>
        <v>-----</v>
      </c>
      <c r="O441" s="533"/>
      <c r="P441" s="533"/>
      <c r="Q441" s="533"/>
      <c r="R441" s="78" t="str">
        <f>IFERROR(VLOOKUP(M441,INSUMOS!$C$8:$K$928,6,0),"-----")</f>
        <v>-----</v>
      </c>
      <c r="S441" s="396"/>
      <c r="T441" s="387"/>
      <c r="U441" s="388" t="str">
        <f>IFERROR(VLOOKUP(M441,INSUMOS!$C$8:$K$928,7,0),"0")</f>
        <v>0</v>
      </c>
      <c r="V441" s="389">
        <f>+IFERROR(U441*(S441*(1+T441)),0)</f>
        <v>0</v>
      </c>
      <c r="Y441" s="393">
        <f>+IFERROR(Y426*(S441*(1+T441)),0)</f>
        <v>0</v>
      </c>
      <c r="Z441" s="391">
        <f>Y426*V441</f>
        <v>0</v>
      </c>
      <c r="AA441" s="394"/>
      <c r="AB441" s="395">
        <f>+Y441*U441</f>
        <v>0</v>
      </c>
      <c r="AC441" s="93">
        <f>+AB441-Z441</f>
        <v>0</v>
      </c>
      <c r="AD441" s="94"/>
      <c r="AE441" s="406" t="str">
        <f>+IF(V441=0,"CERO","NO")</f>
        <v>CERO</v>
      </c>
    </row>
    <row r="442" spans="3:31" s="260" customFormat="1" x14ac:dyDescent="0.25">
      <c r="C442" s="84"/>
      <c r="D442" s="85"/>
      <c r="E442" s="86"/>
      <c r="F442" s="86"/>
      <c r="G442" s="86"/>
      <c r="H442" s="86"/>
      <c r="I442" s="86"/>
      <c r="J442" s="87"/>
      <c r="K442" s="88"/>
      <c r="M442" s="102"/>
      <c r="N442" s="533" t="str">
        <f>IFERROR(VLOOKUP(M442,INSUMOS!$C$8:$K$928,2,0),"-----")</f>
        <v>-----</v>
      </c>
      <c r="O442" s="533"/>
      <c r="P442" s="533"/>
      <c r="Q442" s="533"/>
      <c r="R442" s="78" t="str">
        <f>IFERROR(VLOOKUP(M442,INSUMOS!$C$8:$K$928,6,0),"-----")</f>
        <v>-----</v>
      </c>
      <c r="S442" s="396"/>
      <c r="T442" s="387"/>
      <c r="U442" s="388" t="str">
        <f>IFERROR(VLOOKUP(M442,INSUMOS!$C$8:$K$928,7,0),"0")</f>
        <v>0</v>
      </c>
      <c r="V442" s="389">
        <f>+IFERROR(U442*(S442*(1+T442)),0)</f>
        <v>0</v>
      </c>
      <c r="Y442" s="393">
        <f>+IFERROR(Y426*(S442*(1+T442)),0)</f>
        <v>0</v>
      </c>
      <c r="Z442" s="391">
        <f>Y426*V442</f>
        <v>0</v>
      </c>
      <c r="AA442" s="394"/>
      <c r="AB442" s="395">
        <f>+Y442*U442</f>
        <v>0</v>
      </c>
      <c r="AC442" s="93">
        <f>+AB442-Z442</f>
        <v>0</v>
      </c>
      <c r="AD442" s="94"/>
      <c r="AE442" s="406" t="str">
        <f>+IF(V442=0,"CERO","NO")</f>
        <v>CERO</v>
      </c>
    </row>
    <row r="443" spans="3:31" s="260" customFormat="1" ht="15.75" thickBot="1" x14ac:dyDescent="0.3">
      <c r="C443" s="84"/>
      <c r="D443" s="85"/>
      <c r="E443" s="86"/>
      <c r="F443" s="86"/>
      <c r="G443" s="86"/>
      <c r="H443" s="86"/>
      <c r="I443" s="86"/>
      <c r="J443" s="87"/>
      <c r="K443" s="88"/>
      <c r="M443" s="102"/>
      <c r="N443" s="564"/>
      <c r="O443" s="564"/>
      <c r="P443" s="564"/>
      <c r="Q443" s="564"/>
      <c r="R443" s="96"/>
      <c r="S443" s="79"/>
      <c r="T443" s="97"/>
      <c r="U443" s="358"/>
      <c r="V443" s="397"/>
      <c r="Y443" s="393">
        <f>+IFERROR(Y426*(S443*(1+T443)),0)</f>
        <v>0</v>
      </c>
      <c r="Z443" s="391">
        <f>Y426*V443</f>
        <v>0</v>
      </c>
      <c r="AA443" s="394"/>
      <c r="AB443" s="395">
        <f>+Y443*U443</f>
        <v>0</v>
      </c>
      <c r="AC443" s="93">
        <f>+AB443-Z443</f>
        <v>0</v>
      </c>
      <c r="AD443" s="94"/>
      <c r="AE443" s="406" t="str">
        <f>+IF(V443=0,"CERO","NO")</f>
        <v>CERO</v>
      </c>
    </row>
    <row r="444" spans="3:31" s="260" customFormat="1" ht="15.75" thickBot="1" x14ac:dyDescent="0.3">
      <c r="C444" s="84"/>
      <c r="D444" s="375" t="s">
        <v>128</v>
      </c>
      <c r="E444" s="376" t="s">
        <v>129</v>
      </c>
      <c r="F444" s="376" t="s">
        <v>130</v>
      </c>
      <c r="G444" s="376" t="s">
        <v>131</v>
      </c>
      <c r="H444" s="376" t="s">
        <v>132</v>
      </c>
      <c r="I444" s="376" t="s">
        <v>133</v>
      </c>
      <c r="J444" s="377" t="s">
        <v>134</v>
      </c>
      <c r="K444" s="88"/>
      <c r="M444" s="534"/>
      <c r="N444" s="536" t="s">
        <v>106</v>
      </c>
      <c r="O444" s="536"/>
      <c r="P444" s="536"/>
      <c r="Q444" s="536"/>
      <c r="R444" s="536"/>
      <c r="S444" s="536"/>
      <c r="T444" s="536"/>
      <c r="U444" s="536"/>
      <c r="V444" s="389">
        <f>+SUM(V439:V443)</f>
        <v>6593.2800000000007</v>
      </c>
      <c r="Y444" s="398" t="s">
        <v>135</v>
      </c>
      <c r="Z444" s="397">
        <f>+SUM(Z439:Z443)</f>
        <v>446365.05599999998</v>
      </c>
      <c r="AA444" s="86"/>
      <c r="AB444" s="384"/>
      <c r="AC444" s="385"/>
      <c r="AD444" s="94"/>
      <c r="AE444" s="399"/>
    </row>
    <row r="445" spans="3:31" s="260" customFormat="1" ht="15.75" thickBot="1" x14ac:dyDescent="0.3">
      <c r="C445" s="84"/>
      <c r="D445" s="375"/>
      <c r="E445" s="407">
        <f>+D436</f>
        <v>1.06</v>
      </c>
      <c r="F445" s="376"/>
      <c r="G445" s="376"/>
      <c r="H445" s="376"/>
      <c r="I445" s="376"/>
      <c r="J445" s="377"/>
      <c r="K445" s="88"/>
      <c r="M445" s="535"/>
      <c r="N445" s="537" t="s">
        <v>107</v>
      </c>
      <c r="O445" s="537"/>
      <c r="P445" s="537"/>
      <c r="Q445" s="537"/>
      <c r="R445" s="537"/>
      <c r="S445" s="537"/>
      <c r="T445" s="537"/>
      <c r="U445" s="537"/>
      <c r="V445" s="408">
        <f>+ROUND(V444,$AA$5)</f>
        <v>6593.28</v>
      </c>
      <c r="Y445" s="401" t="s">
        <v>136</v>
      </c>
      <c r="Z445" s="402">
        <f>+ROUND(Z444,$AA$5)</f>
        <v>446365.06</v>
      </c>
      <c r="AA445" s="86"/>
      <c r="AB445" s="403">
        <f>+V445*Y426</f>
        <v>446365.05599999998</v>
      </c>
      <c r="AC445" s="404">
        <f>+AB445-Z445</f>
        <v>-4.0000000153668225E-3</v>
      </c>
      <c r="AD445" s="94"/>
      <c r="AE445" s="405"/>
    </row>
    <row r="446" spans="3:31" s="260" customFormat="1" x14ac:dyDescent="0.25">
      <c r="C446" s="84"/>
      <c r="D446" s="380"/>
      <c r="E446" s="381"/>
      <c r="F446" s="381"/>
      <c r="G446" s="381"/>
      <c r="H446" s="381"/>
      <c r="I446" s="381"/>
      <c r="J446" s="382"/>
      <c r="K446" s="88"/>
      <c r="M446" s="568" t="s">
        <v>108</v>
      </c>
      <c r="N446" s="569"/>
      <c r="O446" s="569"/>
      <c r="P446" s="569"/>
      <c r="Q446" s="569"/>
      <c r="R446" s="569"/>
      <c r="S446" s="569"/>
      <c r="T446" s="569"/>
      <c r="U446" s="569"/>
      <c r="V446" s="570"/>
      <c r="Y446" s="378"/>
      <c r="Z446" s="121"/>
      <c r="AA446" s="86"/>
      <c r="AB446" s="409"/>
      <c r="AC446" s="121"/>
      <c r="AD446" s="94"/>
      <c r="AE446" s="126"/>
    </row>
    <row r="447" spans="3:31" s="260" customFormat="1" ht="25.5" x14ac:dyDescent="0.25">
      <c r="C447" s="84"/>
      <c r="D447" s="85"/>
      <c r="E447" s="86"/>
      <c r="F447" s="86"/>
      <c r="G447" s="86"/>
      <c r="H447" s="86"/>
      <c r="I447" s="86"/>
      <c r="J447" s="87"/>
      <c r="K447" s="88"/>
      <c r="M447" s="99" t="s">
        <v>94</v>
      </c>
      <c r="N447" s="561" t="s">
        <v>95</v>
      </c>
      <c r="O447" s="561"/>
      <c r="P447" s="561"/>
      <c r="Q447" s="95" t="s">
        <v>109</v>
      </c>
      <c r="R447" s="95" t="s">
        <v>110</v>
      </c>
      <c r="S447" s="95" t="s">
        <v>111</v>
      </c>
      <c r="T447" s="562" t="s">
        <v>112</v>
      </c>
      <c r="U447" s="562"/>
      <c r="V447" s="100" t="s">
        <v>98</v>
      </c>
      <c r="Y447" s="383" t="s">
        <v>104</v>
      </c>
      <c r="Z447" s="119" t="s">
        <v>9</v>
      </c>
      <c r="AA447" s="86"/>
      <c r="AB447" s="384"/>
      <c r="AC447" s="385"/>
      <c r="AD447" s="94"/>
      <c r="AE447" s="410"/>
    </row>
    <row r="448" spans="3:31" s="260" customFormat="1" x14ac:dyDescent="0.25">
      <c r="C448" s="84"/>
      <c r="D448" s="85"/>
      <c r="E448" s="86"/>
      <c r="F448" s="86"/>
      <c r="G448" s="86"/>
      <c r="H448" s="86"/>
      <c r="I448" s="86"/>
      <c r="J448" s="87"/>
      <c r="K448" s="88"/>
      <c r="M448" s="102"/>
      <c r="N448" s="530" t="str">
        <f>IFERROR(VLOOKUP(M448,INSUMOS!$C$8:$K$928,2,0),"-----")</f>
        <v>-----</v>
      </c>
      <c r="O448" s="531"/>
      <c r="P448" s="532"/>
      <c r="Q448" s="78" t="str">
        <f>IFERROR(VLOOKUP(M448,INSUMOS!$C$8:$K$928,5,0),"-----")</f>
        <v>-----</v>
      </c>
      <c r="R448" s="80"/>
      <c r="S448" s="80" t="str">
        <f>IFERROR(VLOOKUP(M448,INSUMOS!$C$8:$K$928,6,0),"0")</f>
        <v>0</v>
      </c>
      <c r="T448" s="529" t="str">
        <f>IFERROR(VLOOKUP(M448,INSUMOS!$C$8:$K$928,7,0),"0")</f>
        <v>0</v>
      </c>
      <c r="U448" s="529"/>
      <c r="V448" s="82">
        <f>+T448*S448*R448</f>
        <v>0</v>
      </c>
      <c r="Y448" s="393">
        <f>+IFERROR((R448*S448)*Y426,0)</f>
        <v>0</v>
      </c>
      <c r="Z448" s="391">
        <f>Y426*V448</f>
        <v>0</v>
      </c>
      <c r="AA448" s="86"/>
      <c r="AB448" s="92">
        <f>+Y448*T448</f>
        <v>0</v>
      </c>
      <c r="AC448" s="93">
        <f>+AB448-Z448</f>
        <v>0</v>
      </c>
      <c r="AD448" s="94"/>
      <c r="AE448" s="406" t="str">
        <f>+IF(V448=0,"CERO","NO")</f>
        <v>CERO</v>
      </c>
    </row>
    <row r="449" spans="3:31" s="260" customFormat="1" x14ac:dyDescent="0.25">
      <c r="C449" s="84"/>
      <c r="D449" s="85"/>
      <c r="E449" s="86"/>
      <c r="F449" s="86"/>
      <c r="G449" s="86"/>
      <c r="H449" s="86"/>
      <c r="I449" s="86"/>
      <c r="J449" s="87"/>
      <c r="K449" s="88"/>
      <c r="M449" s="102"/>
      <c r="N449" s="530" t="str">
        <f>IFERROR(VLOOKUP(M449,INSUMOS!$C$8:$K$928,2,0),"-----")</f>
        <v>-----</v>
      </c>
      <c r="O449" s="531"/>
      <c r="P449" s="532"/>
      <c r="Q449" s="78" t="str">
        <f>IFERROR(VLOOKUP(M449,INSUMOS!$C$8:$K$928,5,0),"-----")</f>
        <v>-----</v>
      </c>
      <c r="R449" s="80"/>
      <c r="S449" s="80" t="str">
        <f>IFERROR(VLOOKUP(M449,INSUMOS!$C$8:$K$928,6,0),"0")</f>
        <v>0</v>
      </c>
      <c r="T449" s="529" t="str">
        <f>IFERROR(VLOOKUP(M449,INSUMOS!$C$8:$K$928,7,0),"0")</f>
        <v>0</v>
      </c>
      <c r="U449" s="529"/>
      <c r="V449" s="82">
        <f>+T449*S449*R449</f>
        <v>0</v>
      </c>
      <c r="Y449" s="393">
        <f>+IFERROR((R449*S449)*Y426,0)</f>
        <v>0</v>
      </c>
      <c r="Z449" s="391">
        <f>Y426*V449</f>
        <v>0</v>
      </c>
      <c r="AA449" s="86"/>
      <c r="AB449" s="92">
        <f>+Y449*T449</f>
        <v>0</v>
      </c>
      <c r="AC449" s="93">
        <f>+AB449-Z449</f>
        <v>0</v>
      </c>
      <c r="AD449" s="94"/>
      <c r="AE449" s="406" t="str">
        <f>+IF(V449=0,"CERO","NO")</f>
        <v>CERO</v>
      </c>
    </row>
    <row r="450" spans="3:31" s="260" customFormat="1" x14ac:dyDescent="0.25">
      <c r="C450" s="84"/>
      <c r="D450" s="85"/>
      <c r="E450" s="86"/>
      <c r="F450" s="86"/>
      <c r="G450" s="86"/>
      <c r="H450" s="86"/>
      <c r="I450" s="86"/>
      <c r="J450" s="87"/>
      <c r="K450" s="88"/>
      <c r="M450" s="102">
        <v>0</v>
      </c>
      <c r="N450" s="530" t="str">
        <f>IFERROR(VLOOKUP(M450,INSUMOS!$C$8:$K$928,2,0),"-----")</f>
        <v>-----</v>
      </c>
      <c r="O450" s="531"/>
      <c r="P450" s="532"/>
      <c r="Q450" s="78" t="str">
        <f>IFERROR(VLOOKUP(M450,INSUMOS!$C$8:$K$928,5,0),"-----")</f>
        <v>-----</v>
      </c>
      <c r="R450" s="80"/>
      <c r="S450" s="80" t="str">
        <f>IFERROR(VLOOKUP(M450,INSUMOS!$C$8:$K$928,6,0),"0")</f>
        <v>0</v>
      </c>
      <c r="T450" s="529" t="str">
        <f>IFERROR(VLOOKUP(M450,INSUMOS!$C$8:$K$928,7,0),"0")</f>
        <v>0</v>
      </c>
      <c r="U450" s="529"/>
      <c r="V450" s="82">
        <f>+T450*S450*R450</f>
        <v>0</v>
      </c>
      <c r="Y450" s="393">
        <f>+IFERROR((R450*S450)*Y426,0)</f>
        <v>0</v>
      </c>
      <c r="Z450" s="391">
        <f>Y426*V450</f>
        <v>0</v>
      </c>
      <c r="AA450" s="86"/>
      <c r="AB450" s="92">
        <f>+Y450*T450</f>
        <v>0</v>
      </c>
      <c r="AC450" s="93">
        <f>+AB450-Z450</f>
        <v>0</v>
      </c>
      <c r="AD450" s="94"/>
      <c r="AE450" s="406" t="str">
        <f>+IF(V450=0,"CERO","NO")</f>
        <v>CERO</v>
      </c>
    </row>
    <row r="451" spans="3:31" s="260" customFormat="1" ht="15.75" thickBot="1" x14ac:dyDescent="0.3">
      <c r="C451" s="84"/>
      <c r="D451" s="89"/>
      <c r="E451" s="90"/>
      <c r="F451" s="90"/>
      <c r="G451" s="90"/>
      <c r="H451" s="90"/>
      <c r="I451" s="90"/>
      <c r="J451" s="91"/>
      <c r="K451" s="88"/>
      <c r="M451" s="102">
        <v>0</v>
      </c>
      <c r="N451" s="533"/>
      <c r="O451" s="533"/>
      <c r="P451" s="533"/>
      <c r="Q451" s="79"/>
      <c r="R451" s="78"/>
      <c r="S451" s="81"/>
      <c r="T451" s="529"/>
      <c r="U451" s="529"/>
      <c r="V451" s="82"/>
      <c r="Y451" s="393">
        <f>+IFERROR((R451*S451)*Y426,0)</f>
        <v>0</v>
      </c>
      <c r="Z451" s="391">
        <f>Y426*V451</f>
        <v>0</v>
      </c>
      <c r="AA451" s="86"/>
      <c r="AB451" s="92">
        <f>+Y451*T451</f>
        <v>0</v>
      </c>
      <c r="AC451" s="93">
        <f>+AB451-Z451</f>
        <v>0</v>
      </c>
      <c r="AD451" s="94"/>
      <c r="AE451" s="406" t="str">
        <f>+IF(V451=0,"CERO","NO")</f>
        <v>CERO</v>
      </c>
    </row>
    <row r="452" spans="3:31" s="260" customFormat="1" ht="15.75" thickBot="1" x14ac:dyDescent="0.3">
      <c r="C452" s="84"/>
      <c r="D452" s="375" t="s">
        <v>128</v>
      </c>
      <c r="E452" s="376" t="s">
        <v>129</v>
      </c>
      <c r="F452" s="376" t="s">
        <v>130</v>
      </c>
      <c r="G452" s="376" t="s">
        <v>131</v>
      </c>
      <c r="H452" s="376" t="s">
        <v>132</v>
      </c>
      <c r="I452" s="376" t="s">
        <v>133</v>
      </c>
      <c r="J452" s="377" t="s">
        <v>134</v>
      </c>
      <c r="K452" s="88"/>
      <c r="M452" s="534"/>
      <c r="N452" s="536" t="s">
        <v>113</v>
      </c>
      <c r="O452" s="536"/>
      <c r="P452" s="536"/>
      <c r="Q452" s="536"/>
      <c r="R452" s="536"/>
      <c r="S452" s="536"/>
      <c r="T452" s="536"/>
      <c r="U452" s="536"/>
      <c r="V452" s="411">
        <f>+SUM(V448:V451)</f>
        <v>0</v>
      </c>
      <c r="Y452" s="398" t="s">
        <v>135</v>
      </c>
      <c r="Z452" s="397">
        <f>+SUM(Z448:Z451)</f>
        <v>0</v>
      </c>
      <c r="AA452" s="86"/>
      <c r="AB452" s="384"/>
      <c r="AC452" s="385"/>
      <c r="AD452" s="94"/>
      <c r="AE452" s="399"/>
    </row>
    <row r="453" spans="3:31" s="260" customFormat="1" ht="15.75" thickBot="1" x14ac:dyDescent="0.3">
      <c r="C453" s="84"/>
      <c r="D453" s="355"/>
      <c r="E453" s="367"/>
      <c r="F453" s="412">
        <f>+E445</f>
        <v>1.06</v>
      </c>
      <c r="G453" s="367"/>
      <c r="H453" s="367"/>
      <c r="I453" s="367"/>
      <c r="J453" s="368"/>
      <c r="K453" s="88"/>
      <c r="M453" s="535"/>
      <c r="N453" s="537" t="s">
        <v>114</v>
      </c>
      <c r="O453" s="537"/>
      <c r="P453" s="537"/>
      <c r="Q453" s="537"/>
      <c r="R453" s="537"/>
      <c r="S453" s="537"/>
      <c r="T453" s="537"/>
      <c r="U453" s="537"/>
      <c r="V453" s="413">
        <f>+ROUND(V452,$AA$5)</f>
        <v>0</v>
      </c>
      <c r="Y453" s="401" t="s">
        <v>136</v>
      </c>
      <c r="Z453" s="402">
        <f>+ROUND(Z452,$AA$5)</f>
        <v>0</v>
      </c>
      <c r="AA453" s="86"/>
      <c r="AB453" s="403">
        <f>+V453*Y426</f>
        <v>0</v>
      </c>
      <c r="AC453" s="414"/>
      <c r="AD453" s="94"/>
      <c r="AE453" s="405"/>
    </row>
    <row r="454" spans="3:31" s="260" customFormat="1" ht="15.75" thickBot="1" x14ac:dyDescent="0.3">
      <c r="C454" s="84"/>
      <c r="D454" s="415"/>
      <c r="E454" s="416"/>
      <c r="F454" s="416"/>
      <c r="G454" s="416"/>
      <c r="H454" s="416"/>
      <c r="I454" s="416"/>
      <c r="J454" s="417"/>
      <c r="K454" s="88"/>
      <c r="M454" s="538" t="s">
        <v>115</v>
      </c>
      <c r="N454" s="539"/>
      <c r="O454" s="539"/>
      <c r="P454" s="539"/>
      <c r="Q454" s="539"/>
      <c r="R454" s="539"/>
      <c r="S454" s="539"/>
      <c r="T454" s="539"/>
      <c r="U454" s="539"/>
      <c r="V454" s="540"/>
      <c r="Y454" s="378"/>
      <c r="Z454" s="121"/>
      <c r="AA454" s="86"/>
      <c r="AB454" s="409"/>
      <c r="AC454" s="121"/>
      <c r="AD454" s="94"/>
      <c r="AE454" s="126"/>
    </row>
    <row r="455" spans="3:31" s="260" customFormat="1" ht="15.75" thickBot="1" x14ac:dyDescent="0.3">
      <c r="C455" s="84"/>
      <c r="D455" s="375" t="s">
        <v>128</v>
      </c>
      <c r="E455" s="376" t="s">
        <v>129</v>
      </c>
      <c r="F455" s="376" t="s">
        <v>130</v>
      </c>
      <c r="G455" s="376" t="s">
        <v>131</v>
      </c>
      <c r="H455" s="376" t="s">
        <v>132</v>
      </c>
      <c r="I455" s="376" t="s">
        <v>133</v>
      </c>
      <c r="J455" s="377" t="s">
        <v>134</v>
      </c>
      <c r="K455" s="88"/>
      <c r="M455" s="99" t="s">
        <v>94</v>
      </c>
      <c r="N455" s="98" t="s">
        <v>95</v>
      </c>
      <c r="O455" s="95" t="s">
        <v>96</v>
      </c>
      <c r="P455" s="359" t="s">
        <v>104</v>
      </c>
      <c r="Q455" s="95" t="s">
        <v>116</v>
      </c>
      <c r="R455" s="418" t="s">
        <v>117</v>
      </c>
      <c r="S455" s="95" t="s">
        <v>347</v>
      </c>
      <c r="T455" s="419" t="s">
        <v>118</v>
      </c>
      <c r="U455" s="189" t="s">
        <v>119</v>
      </c>
      <c r="V455" s="100" t="s">
        <v>98</v>
      </c>
      <c r="Y455" s="383" t="s">
        <v>104</v>
      </c>
      <c r="Z455" s="119" t="s">
        <v>9</v>
      </c>
      <c r="AA455" s="86"/>
      <c r="AB455" s="384"/>
      <c r="AC455" s="385"/>
      <c r="AD455" s="94"/>
      <c r="AE455" s="410"/>
    </row>
    <row r="456" spans="3:31" s="260" customFormat="1" ht="25.5" x14ac:dyDescent="0.25">
      <c r="C456" s="84"/>
      <c r="D456" s="354"/>
      <c r="E456" s="96"/>
      <c r="F456" s="96"/>
      <c r="G456" s="96"/>
      <c r="H456" s="96"/>
      <c r="I456" s="96"/>
      <c r="J456" s="420">
        <f>+F453</f>
        <v>1.06</v>
      </c>
      <c r="K456" s="88"/>
      <c r="M456" s="102">
        <v>201</v>
      </c>
      <c r="N456" s="347" t="str">
        <f>IFERROR(VLOOKUP(M456,INSUMOS!$C$8:$K$928,2,0),"-----")</f>
        <v>Oficial Albañileria</v>
      </c>
      <c r="O456" s="78" t="str">
        <f>IFERROR(VLOOKUP(M456,INSUMOS!$C$8:$K$928,3,0),"-----")</f>
        <v>JORNAL+PS</v>
      </c>
      <c r="P456" s="80">
        <v>1</v>
      </c>
      <c r="Q456" s="79">
        <v>30</v>
      </c>
      <c r="R456" s="190">
        <f>IFERROR(VLOOKUP(M456,INSUMOS!$C$8:$K$928,4,0),"-----")</f>
        <v>85136</v>
      </c>
      <c r="S456" s="190">
        <f>IFERROR(VLOOKUP(M456,INSUMOS!$C$8:$K$928,6,0),"-----")</f>
        <v>68109</v>
      </c>
      <c r="T456" s="190">
        <f>IFERROR(VLOOKUP(M456,INSUMOS!$C$8:$K$928,5,0),"-----")</f>
        <v>0</v>
      </c>
      <c r="U456" s="388">
        <f>SUM(R456:T456)</f>
        <v>153245</v>
      </c>
      <c r="V456" s="82">
        <f>+IFERROR((P456/Q456)*U456,0)</f>
        <v>5108.166666666667</v>
      </c>
      <c r="Y456" s="393">
        <f>+IFERROR((Y426/Q456*P456),0)</f>
        <v>2.2566666666666668</v>
      </c>
      <c r="Z456" s="391">
        <f>Y426*V456</f>
        <v>345822.88333333336</v>
      </c>
      <c r="AA456" s="86"/>
      <c r="AB456" s="92">
        <f>+(U456)*Y456</f>
        <v>345822.88333333336</v>
      </c>
      <c r="AC456" s="93">
        <f>+AB456-Z456</f>
        <v>0</v>
      </c>
      <c r="AD456" s="421"/>
      <c r="AE456" s="410" t="str">
        <f>+IF(V456=0,"CERO","NO")</f>
        <v>NO</v>
      </c>
    </row>
    <row r="457" spans="3:31" s="260" customFormat="1" ht="26.25" thickBot="1" x14ac:dyDescent="0.3">
      <c r="C457" s="84"/>
      <c r="D457" s="355"/>
      <c r="E457" s="367"/>
      <c r="F457" s="367"/>
      <c r="G457" s="367"/>
      <c r="H457" s="367"/>
      <c r="I457" s="367"/>
      <c r="J457" s="422">
        <f>+J456</f>
        <v>1.06</v>
      </c>
      <c r="K457" s="88"/>
      <c r="M457" s="102">
        <v>202</v>
      </c>
      <c r="N457" s="347" t="str">
        <f>IFERROR(VLOOKUP(M457,INSUMOS!$C$8:$K$928,2,0),"-----")</f>
        <v>Ayudante Albañileria</v>
      </c>
      <c r="O457" s="78" t="str">
        <f>IFERROR(VLOOKUP(M457,INSUMOS!$C$8:$K$928,3,0),"-----")</f>
        <v>JORNAL+PS</v>
      </c>
      <c r="P457" s="80">
        <v>1</v>
      </c>
      <c r="Q457" s="79">
        <v>30</v>
      </c>
      <c r="R457" s="190">
        <f>IFERROR(VLOOKUP(M457,INSUMOS!$C$8:$K$928,4,0),"-----")</f>
        <v>63490</v>
      </c>
      <c r="S457" s="190">
        <f>IFERROR(VLOOKUP(M457,INSUMOS!$C$8:$K$928,6,0),"-----")</f>
        <v>50792</v>
      </c>
      <c r="T457" s="190">
        <f>IFERROR(VLOOKUP(M457,INSUMOS!$C$8:$K$928,5,0),"-----")</f>
        <v>0</v>
      </c>
      <c r="U457" s="388">
        <f>SUM(R457:T457)</f>
        <v>114282</v>
      </c>
      <c r="V457" s="82">
        <f>+IFERROR((P457/Q457)*U457,0)</f>
        <v>3809.4</v>
      </c>
      <c r="Y457" s="393">
        <f>+IFERROR((Y426/Q457*P457),0)</f>
        <v>2.2566666666666668</v>
      </c>
      <c r="Z457" s="391">
        <f>Y426*V457</f>
        <v>257896.38</v>
      </c>
      <c r="AA457" s="86"/>
      <c r="AB457" s="92">
        <f>+U457*Y457</f>
        <v>257896.38</v>
      </c>
      <c r="AC457" s="93">
        <f>+AB457-Z457</f>
        <v>0</v>
      </c>
      <c r="AD457" s="94"/>
      <c r="AE457" s="410" t="str">
        <f>+IF(V457=0,"CERO","NO")</f>
        <v>NO</v>
      </c>
    </row>
    <row r="458" spans="3:31" s="260" customFormat="1" ht="15.75" thickBot="1" x14ac:dyDescent="0.3">
      <c r="C458" s="84"/>
      <c r="D458" s="375" t="s">
        <v>128</v>
      </c>
      <c r="E458" s="376" t="s">
        <v>129</v>
      </c>
      <c r="F458" s="376" t="s">
        <v>130</v>
      </c>
      <c r="G458" s="376" t="s">
        <v>131</v>
      </c>
      <c r="H458" s="376" t="s">
        <v>132</v>
      </c>
      <c r="I458" s="376" t="s">
        <v>133</v>
      </c>
      <c r="J458" s="377" t="s">
        <v>134</v>
      </c>
      <c r="K458" s="88"/>
      <c r="M458" s="534"/>
      <c r="N458" s="536" t="s">
        <v>120</v>
      </c>
      <c r="O458" s="536"/>
      <c r="P458" s="536"/>
      <c r="Q458" s="536"/>
      <c r="R458" s="536"/>
      <c r="S458" s="536"/>
      <c r="T458" s="536"/>
      <c r="U458" s="536"/>
      <c r="V458" s="82">
        <f>+SUM(V456:V457)</f>
        <v>8917.5666666666675</v>
      </c>
      <c r="Y458" s="398" t="s">
        <v>135</v>
      </c>
      <c r="Z458" s="397">
        <f>+SUM(Z456:Z457)</f>
        <v>603719.26333333342</v>
      </c>
      <c r="AA458" s="86"/>
      <c r="AB458" s="384"/>
      <c r="AC458" s="385"/>
      <c r="AD458" s="94"/>
      <c r="AE458" s="399"/>
    </row>
    <row r="459" spans="3:31" s="260" customFormat="1" ht="15.75" thickBot="1" x14ac:dyDescent="0.3">
      <c r="C459" s="84"/>
      <c r="D459" s="354"/>
      <c r="E459" s="96"/>
      <c r="F459" s="96"/>
      <c r="G459" s="107">
        <f>+F453</f>
        <v>1.06</v>
      </c>
      <c r="H459" s="96"/>
      <c r="I459" s="96"/>
      <c r="J459" s="427"/>
      <c r="K459" s="88"/>
      <c r="M459" s="535"/>
      <c r="N459" s="537" t="s">
        <v>121</v>
      </c>
      <c r="O459" s="537"/>
      <c r="P459" s="537"/>
      <c r="Q459" s="537"/>
      <c r="R459" s="537"/>
      <c r="S459" s="537"/>
      <c r="T459" s="537"/>
      <c r="U459" s="537"/>
      <c r="V459" s="413">
        <f>+ROUND(V458,$AA$5)</f>
        <v>8917.57</v>
      </c>
      <c r="Y459" s="401" t="s">
        <v>136</v>
      </c>
      <c r="Z459" s="402">
        <f>+ROUND(Z458,$AA$5)</f>
        <v>603719.26</v>
      </c>
      <c r="AA459" s="86"/>
      <c r="AB459" s="403">
        <f>+V459*Y426</f>
        <v>603719.48900000006</v>
      </c>
      <c r="AC459" s="404">
        <f>+AB459-Z459</f>
        <v>0.22900000005029142</v>
      </c>
      <c r="AD459" s="94"/>
      <c r="AE459" s="405"/>
    </row>
    <row r="460" spans="3:31" s="260" customFormat="1" ht="15.75" thickBot="1" x14ac:dyDescent="0.3">
      <c r="C460" s="84"/>
      <c r="D460" s="375" t="s">
        <v>128</v>
      </c>
      <c r="E460" s="376" t="s">
        <v>129</v>
      </c>
      <c r="F460" s="376" t="s">
        <v>130</v>
      </c>
      <c r="G460" s="376" t="s">
        <v>131</v>
      </c>
      <c r="H460" s="376" t="s">
        <v>132</v>
      </c>
      <c r="I460" s="376" t="s">
        <v>133</v>
      </c>
      <c r="J460" s="377" t="s">
        <v>134</v>
      </c>
      <c r="K460" s="88"/>
      <c r="M460" s="541"/>
      <c r="N460" s="542"/>
      <c r="O460" s="542"/>
      <c r="P460" s="542"/>
      <c r="Q460" s="542"/>
      <c r="R460" s="542"/>
      <c r="S460" s="542"/>
      <c r="T460" s="542"/>
      <c r="U460" s="542"/>
      <c r="V460" s="543"/>
      <c r="Y460" s="378"/>
      <c r="Z460" s="121"/>
      <c r="AA460" s="86"/>
      <c r="AB460" s="409"/>
      <c r="AC460" s="121"/>
      <c r="AD460" s="94"/>
      <c r="AE460" s="428"/>
    </row>
    <row r="461" spans="3:31" s="260" customFormat="1" ht="15.75" thickBot="1" x14ac:dyDescent="0.3">
      <c r="C461" s="84"/>
      <c r="D461" s="355"/>
      <c r="E461" s="367"/>
      <c r="F461" s="367"/>
      <c r="G461" s="367"/>
      <c r="H461" s="412">
        <f>G459</f>
        <v>1.06</v>
      </c>
      <c r="I461" s="412"/>
      <c r="J461" s="422"/>
      <c r="K461" s="88"/>
      <c r="M461" s="544" t="s">
        <v>122</v>
      </c>
      <c r="N461" s="537"/>
      <c r="O461" s="537"/>
      <c r="P461" s="537"/>
      <c r="Q461" s="537"/>
      <c r="R461" s="537"/>
      <c r="S461" s="537"/>
      <c r="T461" s="537"/>
      <c r="U461" s="545">
        <f>+V459+V453+V445+V436</f>
        <v>15956.729999999998</v>
      </c>
      <c r="V461" s="546"/>
      <c r="Y461" s="429"/>
      <c r="Z461" s="430">
        <f>+Z459+Z453+Z445+Z436</f>
        <v>1080270.29</v>
      </c>
      <c r="AA461" s="86"/>
      <c r="AB461" s="431">
        <f>+AB459+AB453+AB445+AB436</f>
        <v>1080270.6209999998</v>
      </c>
      <c r="AC461" s="404">
        <f>+AB461-Z461</f>
        <v>0.33099999977275729</v>
      </c>
      <c r="AD461" s="94"/>
      <c r="AE461" s="432"/>
    </row>
    <row r="462" spans="3:31" s="260" customFormat="1" ht="15.75" thickBot="1" x14ac:dyDescent="0.3"/>
    <row r="463" spans="3:31" s="260" customFormat="1" x14ac:dyDescent="0.25">
      <c r="M463" s="547" t="s">
        <v>348</v>
      </c>
      <c r="N463" s="548"/>
      <c r="O463" s="548"/>
      <c r="P463" s="548"/>
      <c r="Q463" s="548"/>
      <c r="R463" s="548"/>
      <c r="S463" s="548"/>
      <c r="T463" s="548"/>
      <c r="U463" s="548"/>
      <c r="V463" s="549"/>
      <c r="Y463" s="378"/>
      <c r="Z463" s="121"/>
      <c r="AA463" s="86"/>
      <c r="AB463" s="94"/>
      <c r="AC463" s="94"/>
      <c r="AD463" s="94"/>
      <c r="AE463" s="126" t="s">
        <v>133</v>
      </c>
    </row>
    <row r="464" spans="3:31" s="260" customFormat="1" x14ac:dyDescent="0.25">
      <c r="M464" s="515" t="s">
        <v>138</v>
      </c>
      <c r="N464" s="516"/>
      <c r="O464" s="516"/>
      <c r="P464" s="516"/>
      <c r="Q464" s="516"/>
      <c r="R464" s="516"/>
      <c r="S464" s="516"/>
      <c r="T464" s="437">
        <v>0</v>
      </c>
      <c r="U464" s="517">
        <f>+ROUND(U461*T464,$AA$5)</f>
        <v>0</v>
      </c>
      <c r="V464" s="518"/>
      <c r="Y464" s="390"/>
      <c r="Z464" s="438">
        <f>+Z461*T464</f>
        <v>0</v>
      </c>
      <c r="AA464" s="86"/>
      <c r="AB464" s="94"/>
      <c r="AC464" s="94"/>
      <c r="AD464" s="94"/>
      <c r="AE464" s="386" t="s">
        <v>133</v>
      </c>
    </row>
    <row r="465" spans="3:31" s="260" customFormat="1" x14ac:dyDescent="0.25">
      <c r="M465" s="515" t="s">
        <v>19</v>
      </c>
      <c r="N465" s="516"/>
      <c r="O465" s="516"/>
      <c r="P465" s="516"/>
      <c r="Q465" s="516"/>
      <c r="R465" s="516"/>
      <c r="S465" s="516"/>
      <c r="T465" s="437">
        <v>0.05</v>
      </c>
      <c r="U465" s="517">
        <f>+ROUND(U461*T465,$AA$5)</f>
        <v>797.84</v>
      </c>
      <c r="V465" s="518"/>
      <c r="Y465" s="390"/>
      <c r="Z465" s="438">
        <f>+Z461*T465</f>
        <v>54013.514500000005</v>
      </c>
      <c r="AA465" s="86"/>
      <c r="AB465" s="94"/>
      <c r="AC465" s="94"/>
      <c r="AD465" s="94"/>
      <c r="AE465" s="386" t="s">
        <v>133</v>
      </c>
    </row>
    <row r="466" spans="3:31" s="260" customFormat="1" x14ac:dyDescent="0.25">
      <c r="M466" s="515" t="s">
        <v>20</v>
      </c>
      <c r="N466" s="516"/>
      <c r="O466" s="516"/>
      <c r="P466" s="516"/>
      <c r="Q466" s="516"/>
      <c r="R466" s="516"/>
      <c r="S466" s="516"/>
      <c r="T466" s="437">
        <v>0</v>
      </c>
      <c r="U466" s="517">
        <f>+ROUND(U461*T466,$AA$5)</f>
        <v>0</v>
      </c>
      <c r="V466" s="518"/>
      <c r="Y466" s="390"/>
      <c r="Z466" s="438">
        <f>+Z461*T466</f>
        <v>0</v>
      </c>
      <c r="AA466" s="86"/>
      <c r="AB466" s="94"/>
      <c r="AC466" s="94"/>
      <c r="AD466" s="94"/>
      <c r="AE466" s="386" t="s">
        <v>133</v>
      </c>
    </row>
    <row r="467" spans="3:31" s="260" customFormat="1" x14ac:dyDescent="0.25">
      <c r="M467" s="515" t="s">
        <v>21</v>
      </c>
      <c r="N467" s="516"/>
      <c r="O467" s="516"/>
      <c r="P467" s="516"/>
      <c r="Q467" s="516"/>
      <c r="R467" s="516"/>
      <c r="S467" s="516"/>
      <c r="T467" s="437">
        <f>$AA$9</f>
        <v>0</v>
      </c>
      <c r="U467" s="517">
        <f>+ROUND(U461*T467,$AA$5)</f>
        <v>0</v>
      </c>
      <c r="V467" s="518"/>
      <c r="Y467" s="390"/>
      <c r="Z467" s="438">
        <f>+Z466*T467</f>
        <v>0</v>
      </c>
      <c r="AA467" s="86"/>
      <c r="AB467" s="94"/>
      <c r="AC467" s="94"/>
      <c r="AD467" s="94"/>
      <c r="AE467" s="386" t="s">
        <v>133</v>
      </c>
    </row>
    <row r="468" spans="3:31" s="260" customFormat="1" ht="15.75" thickBot="1" x14ac:dyDescent="0.3">
      <c r="M468" s="519" t="s">
        <v>349</v>
      </c>
      <c r="N468" s="520"/>
      <c r="O468" s="520"/>
      <c r="P468" s="520"/>
      <c r="Q468" s="520"/>
      <c r="R468" s="520"/>
      <c r="S468" s="520"/>
      <c r="T468" s="520"/>
      <c r="U468" s="521">
        <f>+SUM(U464:V467)</f>
        <v>797.84</v>
      </c>
      <c r="V468" s="522"/>
      <c r="Y468" s="390"/>
      <c r="Z468" s="439">
        <f>+SUM(Z464:Z467)</f>
        <v>54013.514500000005</v>
      </c>
      <c r="AA468" s="86"/>
      <c r="AB468" s="94"/>
      <c r="AC468" s="94"/>
      <c r="AD468" s="94"/>
      <c r="AE468" s="386" t="s">
        <v>133</v>
      </c>
    </row>
    <row r="469" spans="3:31" s="260" customFormat="1" ht="15.75" thickBot="1" x14ac:dyDescent="0.3">
      <c r="D469" s="375" t="s">
        <v>128</v>
      </c>
      <c r="E469" s="376" t="s">
        <v>129</v>
      </c>
      <c r="F469" s="376" t="s">
        <v>130</v>
      </c>
      <c r="G469" s="376" t="s">
        <v>131</v>
      </c>
      <c r="H469" s="376" t="s">
        <v>132</v>
      </c>
      <c r="I469" s="376" t="s">
        <v>133</v>
      </c>
      <c r="J469" s="377" t="s">
        <v>134</v>
      </c>
      <c r="M469" s="86"/>
      <c r="N469" s="94"/>
      <c r="O469" s="94"/>
      <c r="P469" s="94"/>
      <c r="Q469" s="86"/>
      <c r="R469" s="86"/>
      <c r="S469" s="86"/>
      <c r="T469" s="440"/>
      <c r="U469" s="523"/>
      <c r="V469" s="523"/>
      <c r="Y469" s="390"/>
      <c r="Z469" s="385"/>
      <c r="AA469" s="86"/>
      <c r="AB469" s="94"/>
      <c r="AC469" s="94"/>
      <c r="AD469" s="94"/>
      <c r="AE469" s="386" t="s">
        <v>133</v>
      </c>
    </row>
    <row r="470" spans="3:31" s="260" customFormat="1" ht="15.75" thickBot="1" x14ac:dyDescent="0.3">
      <c r="D470" s="355"/>
      <c r="E470" s="367"/>
      <c r="F470" s="367"/>
      <c r="G470" s="367"/>
      <c r="H470" s="412"/>
      <c r="I470" s="412">
        <f>H461</f>
        <v>1.06</v>
      </c>
      <c r="J470" s="422"/>
      <c r="M470" s="524" t="s">
        <v>11</v>
      </c>
      <c r="N470" s="525"/>
      <c r="O470" s="525"/>
      <c r="P470" s="525"/>
      <c r="Q470" s="525"/>
      <c r="R470" s="525"/>
      <c r="S470" s="525"/>
      <c r="T470" s="526"/>
      <c r="U470" s="527">
        <f>+U468+U461</f>
        <v>16754.569999999996</v>
      </c>
      <c r="V470" s="528"/>
      <c r="Y470" s="429"/>
      <c r="Z470" s="441">
        <f>+Z468+Z461</f>
        <v>1134283.8045000001</v>
      </c>
      <c r="AA470" s="86"/>
      <c r="AB470" s="94"/>
      <c r="AC470" s="94"/>
      <c r="AD470" s="94"/>
      <c r="AE470" s="405" t="s">
        <v>133</v>
      </c>
    </row>
    <row r="471" spans="3:31" s="260" customFormat="1" x14ac:dyDescent="0.25"/>
    <row r="472" spans="3:31" s="260" customFormat="1" ht="15.75" thickBot="1" x14ac:dyDescent="0.3"/>
    <row r="473" spans="3:31" s="260" customFormat="1" ht="15.75" thickBot="1" x14ac:dyDescent="0.3">
      <c r="M473" s="363" t="s">
        <v>88</v>
      </c>
      <c r="N473" s="436" t="str">
        <f>+N425</f>
        <v>CAP.1</v>
      </c>
      <c r="O473" s="550" t="str">
        <f>IFERROR(VLOOKUP(N473,PPTO!C:H,2,0),"----")</f>
        <v>PRELIMINARES Y REPARACIONES</v>
      </c>
      <c r="P473" s="551"/>
      <c r="Q473" s="551"/>
      <c r="R473" s="551"/>
      <c r="S473" s="551"/>
      <c r="T473" s="551"/>
      <c r="U473" s="552"/>
      <c r="V473" s="74" t="s">
        <v>91</v>
      </c>
      <c r="Y473" s="365" t="s">
        <v>104</v>
      </c>
      <c r="Z473" s="94"/>
      <c r="AA473" s="188"/>
      <c r="AB473" s="553"/>
      <c r="AC473" s="553"/>
      <c r="AD473" s="553"/>
      <c r="AE473" s="94"/>
    </row>
    <row r="474" spans="3:31" s="260" customFormat="1" ht="15.75" thickBot="1" x14ac:dyDescent="0.3">
      <c r="C474" s="369">
        <f>+N474</f>
        <v>1.07</v>
      </c>
      <c r="D474" s="86"/>
      <c r="E474" s="86"/>
      <c r="F474" s="86"/>
      <c r="G474" s="86"/>
      <c r="H474" s="86"/>
      <c r="I474" s="86"/>
      <c r="J474" s="86"/>
      <c r="K474" s="370"/>
      <c r="M474" s="75" t="s">
        <v>92</v>
      </c>
      <c r="N474" s="371">
        <f>+ROUNDUP(N426+0.01,2)</f>
        <v>1.07</v>
      </c>
      <c r="O474" s="554" t="str">
        <f>IFERROR(VLOOKUP(N474,PPTO!C:H,2,0),"----")</f>
        <v>Retiro de tuberias y materiales de desperdicio</v>
      </c>
      <c r="P474" s="555"/>
      <c r="Q474" s="555"/>
      <c r="R474" s="555"/>
      <c r="S474" s="555"/>
      <c r="T474" s="555"/>
      <c r="U474" s="556"/>
      <c r="V474" s="76" t="str">
        <f>IFERROR(VLOOKUP(N474,PPTO!C:H,3,0),"----")</f>
        <v>GLB</v>
      </c>
      <c r="Y474" s="373">
        <f>SUMIFS(PPTO!F:F,PPTO!C:C,APUS!N474)</f>
        <v>2</v>
      </c>
      <c r="Z474" s="94"/>
      <c r="AA474" s="86"/>
      <c r="AB474" s="94"/>
      <c r="AC474" s="94"/>
      <c r="AD474" s="94"/>
      <c r="AE474" s="94"/>
    </row>
    <row r="475" spans="3:31" s="260" customFormat="1" ht="15.75" thickBot="1" x14ac:dyDescent="0.3">
      <c r="C475" s="84"/>
      <c r="D475" s="86"/>
      <c r="E475" s="86"/>
      <c r="F475" s="86"/>
      <c r="G475" s="86"/>
      <c r="H475" s="86"/>
      <c r="I475" s="86"/>
      <c r="J475" s="86"/>
      <c r="K475" s="88"/>
      <c r="M475" s="557"/>
      <c r="N475" s="557"/>
      <c r="O475" s="557"/>
      <c r="P475" s="557"/>
      <c r="Q475" s="557"/>
      <c r="R475" s="557"/>
      <c r="S475" s="557"/>
      <c r="T475" s="557"/>
      <c r="U475" s="557"/>
      <c r="V475" s="557"/>
      <c r="Y475" s="374"/>
      <c r="Z475" s="94"/>
      <c r="AA475" s="86"/>
      <c r="AB475" s="94"/>
      <c r="AC475" s="94"/>
      <c r="AD475" s="94"/>
      <c r="AE475" s="94"/>
    </row>
    <row r="476" spans="3:31" s="260" customFormat="1" ht="15.75" thickBot="1" x14ac:dyDescent="0.3">
      <c r="C476" s="84"/>
      <c r="D476" s="375" t="s">
        <v>128</v>
      </c>
      <c r="E476" s="376" t="s">
        <v>129</v>
      </c>
      <c r="F476" s="376" t="s">
        <v>130</v>
      </c>
      <c r="G476" s="376" t="s">
        <v>131</v>
      </c>
      <c r="H476" s="376" t="s">
        <v>132</v>
      </c>
      <c r="I476" s="376" t="s">
        <v>133</v>
      </c>
      <c r="J476" s="377" t="s">
        <v>134</v>
      </c>
      <c r="K476" s="88"/>
      <c r="M476" s="558" t="s">
        <v>93</v>
      </c>
      <c r="N476" s="559"/>
      <c r="O476" s="559"/>
      <c r="P476" s="559"/>
      <c r="Q476" s="559"/>
      <c r="R476" s="559"/>
      <c r="S476" s="559"/>
      <c r="T476" s="559"/>
      <c r="U476" s="559"/>
      <c r="V476" s="560"/>
      <c r="Y476" s="378"/>
      <c r="Z476" s="121"/>
      <c r="AA476" s="86"/>
      <c r="AB476" s="513"/>
      <c r="AC476" s="514"/>
      <c r="AD476" s="94"/>
      <c r="AE476" s="379"/>
    </row>
    <row r="477" spans="3:31" s="260" customFormat="1" x14ac:dyDescent="0.25">
      <c r="C477" s="84"/>
      <c r="D477" s="380"/>
      <c r="E477" s="381"/>
      <c r="F477" s="381"/>
      <c r="G477" s="381"/>
      <c r="H477" s="381"/>
      <c r="I477" s="381"/>
      <c r="J477" s="382"/>
      <c r="K477" s="88"/>
      <c r="M477" s="99" t="s">
        <v>94</v>
      </c>
      <c r="N477" s="561" t="s">
        <v>95</v>
      </c>
      <c r="O477" s="561"/>
      <c r="P477" s="561"/>
      <c r="Q477" s="561"/>
      <c r="R477" s="95" t="s">
        <v>96</v>
      </c>
      <c r="S477" s="95" t="s">
        <v>97</v>
      </c>
      <c r="T477" s="562" t="s">
        <v>8</v>
      </c>
      <c r="U477" s="562"/>
      <c r="V477" s="100" t="s">
        <v>98</v>
      </c>
      <c r="Y477" s="383" t="s">
        <v>104</v>
      </c>
      <c r="Z477" s="119" t="s">
        <v>9</v>
      </c>
      <c r="AA477" s="86"/>
      <c r="AB477" s="384"/>
      <c r="AC477" s="385"/>
      <c r="AD477" s="94"/>
      <c r="AE477" s="386"/>
    </row>
    <row r="478" spans="3:31" s="260" customFormat="1" x14ac:dyDescent="0.25">
      <c r="C478" s="84"/>
      <c r="D478" s="85"/>
      <c r="E478" s="86"/>
      <c r="F478" s="86"/>
      <c r="G478" s="86"/>
      <c r="H478" s="86"/>
      <c r="I478" s="86"/>
      <c r="J478" s="87"/>
      <c r="K478" s="88"/>
      <c r="M478" s="102"/>
      <c r="N478" s="533" t="s">
        <v>99</v>
      </c>
      <c r="O478" s="533"/>
      <c r="P478" s="533"/>
      <c r="Q478" s="533"/>
      <c r="R478" s="78" t="s">
        <v>100</v>
      </c>
      <c r="S478" s="387">
        <f>+$AA$10</f>
        <v>0.05</v>
      </c>
      <c r="T478" s="563">
        <f>V507</f>
        <v>0</v>
      </c>
      <c r="U478" s="563"/>
      <c r="V478" s="389">
        <f>+IFERROR(T478*S478,0)</f>
        <v>0</v>
      </c>
      <c r="Y478" s="390"/>
      <c r="Z478" s="391">
        <f>Y474*V478</f>
        <v>0</v>
      </c>
      <c r="AA478" s="86"/>
      <c r="AB478" s="384"/>
      <c r="AC478" s="385"/>
      <c r="AD478" s="94"/>
      <c r="AE478" s="386" t="str">
        <f>+IF(V478=0,"CERO","NO")</f>
        <v>CERO</v>
      </c>
    </row>
    <row r="479" spans="3:31" s="260" customFormat="1" x14ac:dyDescent="0.25">
      <c r="C479" s="84"/>
      <c r="D479" s="85"/>
      <c r="E479" s="86"/>
      <c r="F479" s="86"/>
      <c r="G479" s="86"/>
      <c r="H479" s="86"/>
      <c r="I479" s="86"/>
      <c r="J479" s="87"/>
      <c r="K479" s="88"/>
      <c r="M479" s="106"/>
      <c r="N479" s="533" t="str">
        <f>IFERROR(VLOOKUP(M479,INSUMOS!$C$8:$K$928,2,0),"-----")</f>
        <v>-----</v>
      </c>
      <c r="O479" s="533"/>
      <c r="P479" s="533"/>
      <c r="Q479" s="533"/>
      <c r="R479" s="78" t="str">
        <f>IFERROR(VLOOKUP(M479,INSUMOS!$C$8:$K$928,6,0),"-----")</f>
        <v>-----</v>
      </c>
      <c r="S479" s="396"/>
      <c r="T479" s="529" t="str">
        <f>IFERROR(VLOOKUP(M479,INSUMOS!$C$8:$K$928,7,0),"0")</f>
        <v>0</v>
      </c>
      <c r="U479" s="529"/>
      <c r="V479" s="389">
        <f>+IFERROR(T479*S479,0)</f>
        <v>0</v>
      </c>
      <c r="Y479" s="393">
        <f>+IFERROR(Y474*S479,0)</f>
        <v>0</v>
      </c>
      <c r="Z479" s="391">
        <f>Y474*V479</f>
        <v>0</v>
      </c>
      <c r="AA479" s="394"/>
      <c r="AB479" s="395">
        <f>+Y479*T479</f>
        <v>0</v>
      </c>
      <c r="AC479" s="93">
        <f>+AB479-Z479</f>
        <v>0</v>
      </c>
      <c r="AD479" s="94"/>
      <c r="AE479" s="386" t="str">
        <f>+IF(V479=0,"CERO","NO")</f>
        <v>CERO</v>
      </c>
    </row>
    <row r="480" spans="3:31" s="260" customFormat="1" x14ac:dyDescent="0.25">
      <c r="C480" s="84"/>
      <c r="D480" s="85"/>
      <c r="E480" s="86"/>
      <c r="F480" s="86"/>
      <c r="G480" s="86"/>
      <c r="H480" s="86"/>
      <c r="I480" s="86"/>
      <c r="J480" s="87"/>
      <c r="K480" s="88"/>
      <c r="M480" s="102"/>
      <c r="N480" s="533" t="str">
        <f>IFERROR(VLOOKUP(M480,INSUMOS!$C$8:$K$928,2,0),"-----")</f>
        <v>-----</v>
      </c>
      <c r="O480" s="533"/>
      <c r="P480" s="533"/>
      <c r="Q480" s="533"/>
      <c r="R480" s="78" t="str">
        <f>IFERROR(VLOOKUP(M480,INSUMOS!$C$8:$K$928,6,0),"-----")</f>
        <v>-----</v>
      </c>
      <c r="S480" s="396"/>
      <c r="T480" s="529" t="str">
        <f>IFERROR(VLOOKUP(M480,INSUMOS!$C$8:$K$928,7,0),"0")</f>
        <v>0</v>
      </c>
      <c r="U480" s="529"/>
      <c r="V480" s="389">
        <f>+IFERROR(T480*S480,0)</f>
        <v>0</v>
      </c>
      <c r="Y480" s="393">
        <f>+IFERROR(Y474*S480,0)</f>
        <v>0</v>
      </c>
      <c r="Z480" s="391">
        <f>Y474*V480</f>
        <v>0</v>
      </c>
      <c r="AA480" s="394"/>
      <c r="AB480" s="395">
        <f>+Y480*T480</f>
        <v>0</v>
      </c>
      <c r="AC480" s="93">
        <f>+AB480-Z480</f>
        <v>0</v>
      </c>
      <c r="AD480" s="94"/>
      <c r="AE480" s="386" t="str">
        <f>+IF(V480=0,"CERO","NO")</f>
        <v>CERO</v>
      </c>
    </row>
    <row r="481" spans="3:31" s="260" customFormat="1" x14ac:dyDescent="0.25">
      <c r="C481" s="84"/>
      <c r="D481" s="85"/>
      <c r="E481" s="86"/>
      <c r="F481" s="86"/>
      <c r="G481" s="86"/>
      <c r="H481" s="86"/>
      <c r="I481" s="86"/>
      <c r="J481" s="87"/>
      <c r="K481" s="88"/>
      <c r="M481" s="102">
        <v>0</v>
      </c>
      <c r="N481" s="533"/>
      <c r="O481" s="533"/>
      <c r="P481" s="533"/>
      <c r="Q481" s="533"/>
      <c r="R481" s="78"/>
      <c r="S481" s="396"/>
      <c r="T481" s="529"/>
      <c r="U481" s="529"/>
      <c r="V481" s="397"/>
      <c r="Y481" s="393">
        <f>+IFERROR(Y474*S481,0)</f>
        <v>0</v>
      </c>
      <c r="Z481" s="391">
        <f>Y474*V481</f>
        <v>0</v>
      </c>
      <c r="AA481" s="394"/>
      <c r="AB481" s="395">
        <f>+Y481*T481</f>
        <v>0</v>
      </c>
      <c r="AC481" s="93">
        <f>+AB481-Z481</f>
        <v>0</v>
      </c>
      <c r="AD481" s="94"/>
      <c r="AE481" s="386" t="str">
        <f>+IF(V481=0,"CERO","NO")</f>
        <v>CERO</v>
      </c>
    </row>
    <row r="482" spans="3:31" s="260" customFormat="1" ht="15.75" thickBot="1" x14ac:dyDescent="0.3">
      <c r="C482" s="84"/>
      <c r="D482" s="85"/>
      <c r="E482" s="86"/>
      <c r="F482" s="86"/>
      <c r="G482" s="86"/>
      <c r="H482" s="86"/>
      <c r="I482" s="86"/>
      <c r="J482" s="87"/>
      <c r="K482" s="88"/>
      <c r="M482" s="102">
        <v>0</v>
      </c>
      <c r="N482" s="564"/>
      <c r="O482" s="564"/>
      <c r="P482" s="564"/>
      <c r="Q482" s="564"/>
      <c r="R482" s="96"/>
      <c r="S482" s="96"/>
      <c r="T482" s="565"/>
      <c r="U482" s="565"/>
      <c r="V482" s="101"/>
      <c r="Y482" s="393">
        <f>+IFERROR(Y474*S482,0)</f>
        <v>0</v>
      </c>
      <c r="Z482" s="391">
        <f>Y474*V482</f>
        <v>0</v>
      </c>
      <c r="AA482" s="394"/>
      <c r="AB482" s="395">
        <f>+Y482*T482</f>
        <v>0</v>
      </c>
      <c r="AC482" s="93">
        <f>+AB482-Z482</f>
        <v>0</v>
      </c>
      <c r="AD482" s="94"/>
      <c r="AE482" s="386" t="str">
        <f>+IF(V482=0,"CERO","NO")</f>
        <v>CERO</v>
      </c>
    </row>
    <row r="483" spans="3:31" s="260" customFormat="1" ht="15.75" thickBot="1" x14ac:dyDescent="0.3">
      <c r="C483" s="84"/>
      <c r="D483" s="375" t="s">
        <v>128</v>
      </c>
      <c r="E483" s="376" t="s">
        <v>129</v>
      </c>
      <c r="F483" s="376" t="s">
        <v>130</v>
      </c>
      <c r="G483" s="376" t="s">
        <v>131</v>
      </c>
      <c r="H483" s="376" t="s">
        <v>132</v>
      </c>
      <c r="I483" s="376" t="s">
        <v>133</v>
      </c>
      <c r="J483" s="377" t="s">
        <v>134</v>
      </c>
      <c r="K483" s="88"/>
      <c r="M483" s="534"/>
      <c r="N483" s="536" t="s">
        <v>101</v>
      </c>
      <c r="O483" s="536"/>
      <c r="P483" s="536"/>
      <c r="Q483" s="536"/>
      <c r="R483" s="536"/>
      <c r="S483" s="536"/>
      <c r="T483" s="536"/>
      <c r="U483" s="536"/>
      <c r="V483" s="389">
        <f>+SUM(V478:V482)</f>
        <v>0</v>
      </c>
      <c r="Y483" s="398" t="s">
        <v>135</v>
      </c>
      <c r="Z483" s="397">
        <f>+SUM(Z478:Z482)</f>
        <v>0</v>
      </c>
      <c r="AA483" s="86"/>
      <c r="AB483" s="384"/>
      <c r="AC483" s="385"/>
      <c r="AD483" s="94"/>
      <c r="AE483" s="399"/>
    </row>
    <row r="484" spans="3:31" s="260" customFormat="1" ht="15.75" thickBot="1" x14ac:dyDescent="0.3">
      <c r="C484" s="84"/>
      <c r="D484" s="375">
        <f>C474</f>
        <v>1.07</v>
      </c>
      <c r="E484" s="376"/>
      <c r="F484" s="376"/>
      <c r="G484" s="376"/>
      <c r="H484" s="376"/>
      <c r="I484" s="376"/>
      <c r="J484" s="377"/>
      <c r="K484" s="88"/>
      <c r="M484" s="566"/>
      <c r="N484" s="567" t="s">
        <v>102</v>
      </c>
      <c r="O484" s="567"/>
      <c r="P484" s="567"/>
      <c r="Q484" s="567"/>
      <c r="R484" s="567"/>
      <c r="S484" s="567"/>
      <c r="T484" s="567"/>
      <c r="U484" s="567"/>
      <c r="V484" s="400">
        <f>+ROUND(V483,$AA$5)</f>
        <v>0</v>
      </c>
      <c r="Y484" s="401" t="s">
        <v>136</v>
      </c>
      <c r="Z484" s="402">
        <f>+ROUND(Z483,$AA$5)</f>
        <v>0</v>
      </c>
      <c r="AA484" s="86"/>
      <c r="AB484" s="403">
        <f>+V484*Y474</f>
        <v>0</v>
      </c>
      <c r="AC484" s="404">
        <f>+AB484-Z484</f>
        <v>0</v>
      </c>
      <c r="AD484" s="94"/>
      <c r="AE484" s="405"/>
    </row>
    <row r="485" spans="3:31" s="260" customFormat="1" x14ac:dyDescent="0.25">
      <c r="C485" s="84"/>
      <c r="D485" s="380"/>
      <c r="E485" s="381"/>
      <c r="F485" s="381"/>
      <c r="G485" s="381"/>
      <c r="H485" s="381"/>
      <c r="I485" s="381"/>
      <c r="J485" s="382"/>
      <c r="K485" s="88"/>
      <c r="M485" s="510" t="s">
        <v>103</v>
      </c>
      <c r="N485" s="511"/>
      <c r="O485" s="511"/>
      <c r="P485" s="511"/>
      <c r="Q485" s="511"/>
      <c r="R485" s="511"/>
      <c r="S485" s="511"/>
      <c r="T485" s="511"/>
      <c r="U485" s="511"/>
      <c r="V485" s="512"/>
      <c r="Y485" s="378"/>
      <c r="Z485" s="121"/>
      <c r="AA485" s="86"/>
      <c r="AB485" s="513"/>
      <c r="AC485" s="514"/>
      <c r="AD485" s="94"/>
      <c r="AE485" s="126"/>
    </row>
    <row r="486" spans="3:31" s="260" customFormat="1" x14ac:dyDescent="0.25">
      <c r="C486" s="84"/>
      <c r="D486" s="85"/>
      <c r="E486" s="86"/>
      <c r="F486" s="86"/>
      <c r="G486" s="86"/>
      <c r="H486" s="86"/>
      <c r="I486" s="86"/>
      <c r="J486" s="87"/>
      <c r="K486" s="88"/>
      <c r="M486" s="99" t="s">
        <v>94</v>
      </c>
      <c r="N486" s="561" t="s">
        <v>95</v>
      </c>
      <c r="O486" s="561"/>
      <c r="P486" s="561"/>
      <c r="Q486" s="561"/>
      <c r="R486" s="95" t="s">
        <v>96</v>
      </c>
      <c r="S486" s="95" t="s">
        <v>104</v>
      </c>
      <c r="T486" s="356" t="s">
        <v>105</v>
      </c>
      <c r="U486" s="356" t="s">
        <v>8</v>
      </c>
      <c r="V486" s="100" t="s">
        <v>98</v>
      </c>
      <c r="Y486" s="383" t="s">
        <v>104</v>
      </c>
      <c r="Z486" s="119" t="s">
        <v>9</v>
      </c>
      <c r="AA486" s="86"/>
      <c r="AB486" s="384"/>
      <c r="AC486" s="385"/>
      <c r="AD486" s="94"/>
      <c r="AE486" s="406"/>
    </row>
    <row r="487" spans="3:31" s="260" customFormat="1" x14ac:dyDescent="0.25">
      <c r="C487" s="84"/>
      <c r="D487" s="85"/>
      <c r="E487" s="86"/>
      <c r="F487" s="86"/>
      <c r="G487" s="86"/>
      <c r="H487" s="86"/>
      <c r="I487" s="86"/>
      <c r="J487" s="87"/>
      <c r="K487" s="88"/>
      <c r="M487" s="102">
        <v>604</v>
      </c>
      <c r="N487" s="533" t="str">
        <f>IFERROR(VLOOKUP(M487,INSUMOS!$C$8:$K$928,2,0),"-----")</f>
        <v>FLETE DESPERDICIOS</v>
      </c>
      <c r="O487" s="533"/>
      <c r="P487" s="533"/>
      <c r="Q487" s="533"/>
      <c r="R487" s="78" t="str">
        <f>IFERROR(VLOOKUP(M487,INSUMOS!$C$8:$K$928,6,0),"-----")</f>
        <v>GLB</v>
      </c>
      <c r="S487" s="396">
        <v>1</v>
      </c>
      <c r="T487" s="387">
        <v>0</v>
      </c>
      <c r="U487" s="388">
        <f>IFERROR(VLOOKUP(M487,INSUMOS!$C$8:$K$928,7,0),"0")</f>
        <v>1300000</v>
      </c>
      <c r="V487" s="389">
        <f>+IFERROR(U487*(S487*(1+T487)),0)</f>
        <v>1300000</v>
      </c>
      <c r="Y487" s="393">
        <f>+IFERROR(Y474*(S487*(1+T487)),0)</f>
        <v>2</v>
      </c>
      <c r="Z487" s="391">
        <f>Y474*V487</f>
        <v>2600000</v>
      </c>
      <c r="AA487" s="394"/>
      <c r="AB487" s="395">
        <f>+Y487*U487</f>
        <v>2600000</v>
      </c>
      <c r="AC487" s="93">
        <f>+AB487-Z487</f>
        <v>0</v>
      </c>
      <c r="AD487" s="94"/>
      <c r="AE487" s="406" t="str">
        <f>+IF(V487=0,"CERO","NO")</f>
        <v>NO</v>
      </c>
    </row>
    <row r="488" spans="3:31" s="260" customFormat="1" x14ac:dyDescent="0.25">
      <c r="C488" s="84"/>
      <c r="D488" s="85"/>
      <c r="E488" s="86"/>
      <c r="F488" s="86"/>
      <c r="G488" s="86"/>
      <c r="H488" s="86"/>
      <c r="I488" s="86"/>
      <c r="J488" s="87"/>
      <c r="K488" s="88"/>
      <c r="M488" s="102"/>
      <c r="N488" s="533" t="str">
        <f>IFERROR(VLOOKUP(M488,INSUMOS!$C$8:$K$928,2,0),"-----")</f>
        <v>-----</v>
      </c>
      <c r="O488" s="533"/>
      <c r="P488" s="533"/>
      <c r="Q488" s="533"/>
      <c r="R488" s="78" t="str">
        <f>IFERROR(VLOOKUP(M488,INSUMOS!$C$8:$K$928,6,0),"-----")</f>
        <v>-----</v>
      </c>
      <c r="S488" s="396"/>
      <c r="T488" s="387"/>
      <c r="U488" s="388" t="str">
        <f>IFERROR(VLOOKUP(M488,INSUMOS!$C$8:$K$928,7,0),"0")</f>
        <v>0</v>
      </c>
      <c r="V488" s="389">
        <f>+IFERROR(U488*(S488*(1+T488)),0)</f>
        <v>0</v>
      </c>
      <c r="Y488" s="393">
        <f>+IFERROR(Y474*(S488*(1+T488)),0)</f>
        <v>0</v>
      </c>
      <c r="Z488" s="391">
        <f>Y474*V488</f>
        <v>0</v>
      </c>
      <c r="AA488" s="394"/>
      <c r="AB488" s="395">
        <f>+Y488*U488</f>
        <v>0</v>
      </c>
      <c r="AC488" s="93">
        <f>+AB488-Z488</f>
        <v>0</v>
      </c>
      <c r="AD488" s="94"/>
      <c r="AE488" s="406" t="str">
        <f>+IF(V488=0,"CERO","NO")</f>
        <v>CERO</v>
      </c>
    </row>
    <row r="489" spans="3:31" s="260" customFormat="1" x14ac:dyDescent="0.25">
      <c r="C489" s="84"/>
      <c r="D489" s="85"/>
      <c r="E489" s="86"/>
      <c r="F489" s="86"/>
      <c r="G489" s="86"/>
      <c r="H489" s="86"/>
      <c r="I489" s="86"/>
      <c r="J489" s="87"/>
      <c r="K489" s="88"/>
      <c r="M489" s="102"/>
      <c r="N489" s="533" t="str">
        <f>IFERROR(VLOOKUP(M489,INSUMOS!$C$8:$K$928,2,0),"-----")</f>
        <v>-----</v>
      </c>
      <c r="O489" s="533"/>
      <c r="P489" s="533"/>
      <c r="Q489" s="533"/>
      <c r="R489" s="78" t="str">
        <f>IFERROR(VLOOKUP(M489,INSUMOS!$C$8:$K$928,6,0),"-----")</f>
        <v>-----</v>
      </c>
      <c r="S489" s="396"/>
      <c r="T489" s="387"/>
      <c r="U489" s="388" t="str">
        <f>IFERROR(VLOOKUP(M489,INSUMOS!$C$8:$K$928,7,0),"0")</f>
        <v>0</v>
      </c>
      <c r="V489" s="389">
        <f>+IFERROR(U489*(S489*(1+T489)),0)</f>
        <v>0</v>
      </c>
      <c r="Y489" s="393">
        <f>+IFERROR(Y474*(S489*(1+T489)),0)</f>
        <v>0</v>
      </c>
      <c r="Z489" s="391">
        <f>Y474*V489</f>
        <v>0</v>
      </c>
      <c r="AA489" s="394"/>
      <c r="AB489" s="395">
        <f>+Y489*U489</f>
        <v>0</v>
      </c>
      <c r="AC489" s="93">
        <f>+AB489-Z489</f>
        <v>0</v>
      </c>
      <c r="AD489" s="94"/>
      <c r="AE489" s="406" t="str">
        <f>+IF(V489=0,"CERO","NO")</f>
        <v>CERO</v>
      </c>
    </row>
    <row r="490" spans="3:31" s="260" customFormat="1" x14ac:dyDescent="0.25">
      <c r="C490" s="84"/>
      <c r="D490" s="85"/>
      <c r="E490" s="86"/>
      <c r="F490" s="86"/>
      <c r="G490" s="86"/>
      <c r="H490" s="86"/>
      <c r="I490" s="86"/>
      <c r="J490" s="87"/>
      <c r="K490" s="88"/>
      <c r="M490" s="102"/>
      <c r="N490" s="533" t="str">
        <f>IFERROR(VLOOKUP(M490,INSUMOS!$C$8:$K$928,2,0),"-----")</f>
        <v>-----</v>
      </c>
      <c r="O490" s="533"/>
      <c r="P490" s="533"/>
      <c r="Q490" s="533"/>
      <c r="R490" s="78" t="str">
        <f>IFERROR(VLOOKUP(M490,INSUMOS!$C$8:$K$928,6,0),"-----")</f>
        <v>-----</v>
      </c>
      <c r="S490" s="396"/>
      <c r="T490" s="387"/>
      <c r="U490" s="388" t="str">
        <f>IFERROR(VLOOKUP(M490,INSUMOS!$C$8:$K$928,7,0),"0")</f>
        <v>0</v>
      </c>
      <c r="V490" s="389">
        <f>+IFERROR(U490*(S490*(1+T490)),0)</f>
        <v>0</v>
      </c>
      <c r="Y490" s="393">
        <f>+IFERROR(Y474*(S490*(1+T490)),0)</f>
        <v>0</v>
      </c>
      <c r="Z490" s="391">
        <f>Y474*V490</f>
        <v>0</v>
      </c>
      <c r="AA490" s="394"/>
      <c r="AB490" s="395">
        <f>+Y490*U490</f>
        <v>0</v>
      </c>
      <c r="AC490" s="93">
        <f>+AB490-Z490</f>
        <v>0</v>
      </c>
      <c r="AD490" s="94"/>
      <c r="AE490" s="406" t="str">
        <f>+IF(V490=0,"CERO","NO")</f>
        <v>CERO</v>
      </c>
    </row>
    <row r="491" spans="3:31" s="260" customFormat="1" ht="15.75" thickBot="1" x14ac:dyDescent="0.3">
      <c r="C491" s="84"/>
      <c r="D491" s="85"/>
      <c r="E491" s="86"/>
      <c r="F491" s="86"/>
      <c r="G491" s="86"/>
      <c r="H491" s="86"/>
      <c r="I491" s="86"/>
      <c r="J491" s="87"/>
      <c r="K491" s="88"/>
      <c r="M491" s="102"/>
      <c r="N491" s="564"/>
      <c r="O491" s="564"/>
      <c r="P491" s="564"/>
      <c r="Q491" s="564"/>
      <c r="R491" s="96"/>
      <c r="S491" s="79"/>
      <c r="T491" s="97"/>
      <c r="U491" s="358"/>
      <c r="V491" s="397"/>
      <c r="Y491" s="393">
        <f>+IFERROR(Y474*(S491*(1+T491)),0)</f>
        <v>0</v>
      </c>
      <c r="Z491" s="391">
        <f>Y474*V491</f>
        <v>0</v>
      </c>
      <c r="AA491" s="394"/>
      <c r="AB491" s="395">
        <f>+Y491*U491</f>
        <v>0</v>
      </c>
      <c r="AC491" s="93">
        <f>+AB491-Z491</f>
        <v>0</v>
      </c>
      <c r="AD491" s="94"/>
      <c r="AE491" s="406" t="str">
        <f>+IF(V491=0,"CERO","NO")</f>
        <v>CERO</v>
      </c>
    </row>
    <row r="492" spans="3:31" s="260" customFormat="1" ht="15.75" thickBot="1" x14ac:dyDescent="0.3">
      <c r="C492" s="84"/>
      <c r="D492" s="375" t="s">
        <v>128</v>
      </c>
      <c r="E492" s="376" t="s">
        <v>129</v>
      </c>
      <c r="F492" s="376" t="s">
        <v>130</v>
      </c>
      <c r="G492" s="376" t="s">
        <v>131</v>
      </c>
      <c r="H492" s="376" t="s">
        <v>132</v>
      </c>
      <c r="I492" s="376" t="s">
        <v>133</v>
      </c>
      <c r="J492" s="377" t="s">
        <v>134</v>
      </c>
      <c r="K492" s="88"/>
      <c r="M492" s="534"/>
      <c r="N492" s="536" t="s">
        <v>106</v>
      </c>
      <c r="O492" s="536"/>
      <c r="P492" s="536"/>
      <c r="Q492" s="536"/>
      <c r="R492" s="536"/>
      <c r="S492" s="536"/>
      <c r="T492" s="536"/>
      <c r="U492" s="536"/>
      <c r="V492" s="389">
        <f>+SUM(V487:V491)</f>
        <v>1300000</v>
      </c>
      <c r="Y492" s="398" t="s">
        <v>135</v>
      </c>
      <c r="Z492" s="397">
        <f>+SUM(Z487:Z491)</f>
        <v>2600000</v>
      </c>
      <c r="AA492" s="86"/>
      <c r="AB492" s="384"/>
      <c r="AC492" s="385"/>
      <c r="AD492" s="94"/>
      <c r="AE492" s="399"/>
    </row>
    <row r="493" spans="3:31" s="260" customFormat="1" ht="15.75" thickBot="1" x14ac:dyDescent="0.3">
      <c r="C493" s="84"/>
      <c r="D493" s="375"/>
      <c r="E493" s="407">
        <f>+D484</f>
        <v>1.07</v>
      </c>
      <c r="F493" s="376"/>
      <c r="G493" s="376"/>
      <c r="H493" s="376"/>
      <c r="I493" s="376"/>
      <c r="J493" s="377"/>
      <c r="K493" s="88"/>
      <c r="M493" s="535"/>
      <c r="N493" s="537" t="s">
        <v>107</v>
      </c>
      <c r="O493" s="537"/>
      <c r="P493" s="537"/>
      <c r="Q493" s="537"/>
      <c r="R493" s="537"/>
      <c r="S493" s="537"/>
      <c r="T493" s="537"/>
      <c r="U493" s="537"/>
      <c r="V493" s="408">
        <f>+ROUND(V492,$AA$5)</f>
        <v>1300000</v>
      </c>
      <c r="Y493" s="401" t="s">
        <v>136</v>
      </c>
      <c r="Z493" s="402">
        <f>+ROUND(Z492,$AA$5)</f>
        <v>2600000</v>
      </c>
      <c r="AA493" s="86"/>
      <c r="AB493" s="403">
        <f>+V493*Y474</f>
        <v>2600000</v>
      </c>
      <c r="AC493" s="404">
        <f>+AB493-Z493</f>
        <v>0</v>
      </c>
      <c r="AD493" s="94"/>
      <c r="AE493" s="405"/>
    </row>
    <row r="494" spans="3:31" s="260" customFormat="1" x14ac:dyDescent="0.25">
      <c r="C494" s="84"/>
      <c r="D494" s="380"/>
      <c r="E494" s="381"/>
      <c r="F494" s="381"/>
      <c r="G494" s="381"/>
      <c r="H494" s="381"/>
      <c r="I494" s="381"/>
      <c r="J494" s="382"/>
      <c r="K494" s="88"/>
      <c r="M494" s="568" t="s">
        <v>108</v>
      </c>
      <c r="N494" s="569"/>
      <c r="O494" s="569"/>
      <c r="P494" s="569"/>
      <c r="Q494" s="569"/>
      <c r="R494" s="569"/>
      <c r="S494" s="569"/>
      <c r="T494" s="569"/>
      <c r="U494" s="569"/>
      <c r="V494" s="570"/>
      <c r="Y494" s="378"/>
      <c r="Z494" s="121"/>
      <c r="AA494" s="86"/>
      <c r="AB494" s="409"/>
      <c r="AC494" s="121"/>
      <c r="AD494" s="94"/>
      <c r="AE494" s="126"/>
    </row>
    <row r="495" spans="3:31" s="260" customFormat="1" ht="25.5" x14ac:dyDescent="0.25">
      <c r="C495" s="84"/>
      <c r="D495" s="85"/>
      <c r="E495" s="86"/>
      <c r="F495" s="86"/>
      <c r="G495" s="86"/>
      <c r="H495" s="86"/>
      <c r="I495" s="86"/>
      <c r="J495" s="87"/>
      <c r="K495" s="88"/>
      <c r="M495" s="99" t="s">
        <v>94</v>
      </c>
      <c r="N495" s="561" t="s">
        <v>95</v>
      </c>
      <c r="O495" s="561"/>
      <c r="P495" s="561"/>
      <c r="Q495" s="95" t="s">
        <v>109</v>
      </c>
      <c r="R495" s="95" t="s">
        <v>110</v>
      </c>
      <c r="S495" s="95" t="s">
        <v>111</v>
      </c>
      <c r="T495" s="562" t="s">
        <v>112</v>
      </c>
      <c r="U495" s="562"/>
      <c r="V495" s="100" t="s">
        <v>98</v>
      </c>
      <c r="Y495" s="383" t="s">
        <v>104</v>
      </c>
      <c r="Z495" s="119" t="s">
        <v>9</v>
      </c>
      <c r="AA495" s="86"/>
      <c r="AB495" s="384"/>
      <c r="AC495" s="385"/>
      <c r="AD495" s="94"/>
      <c r="AE495" s="410"/>
    </row>
    <row r="496" spans="3:31" s="260" customFormat="1" x14ac:dyDescent="0.25">
      <c r="C496" s="84"/>
      <c r="D496" s="85"/>
      <c r="E496" s="86"/>
      <c r="F496" s="86"/>
      <c r="G496" s="86"/>
      <c r="H496" s="86"/>
      <c r="I496" s="86"/>
      <c r="J496" s="87"/>
      <c r="K496" s="88"/>
      <c r="M496" s="102"/>
      <c r="N496" s="530" t="str">
        <f>IFERROR(VLOOKUP(M496,INSUMOS!$C$8:$K$928,2,0),"-----")</f>
        <v>-----</v>
      </c>
      <c r="O496" s="531"/>
      <c r="P496" s="532"/>
      <c r="Q496" s="78" t="str">
        <f>IFERROR(VLOOKUP(M496,INSUMOS!$C$8:$K$928,5,0),"-----")</f>
        <v>-----</v>
      </c>
      <c r="R496" s="80"/>
      <c r="S496" s="80" t="str">
        <f>IFERROR(VLOOKUP(M496,INSUMOS!$C$8:$K$928,6,0),"0")</f>
        <v>0</v>
      </c>
      <c r="T496" s="529" t="str">
        <f>IFERROR(VLOOKUP(M496,INSUMOS!$C$8:$K$928,7,0),"0")</f>
        <v>0</v>
      </c>
      <c r="U496" s="529"/>
      <c r="V496" s="82">
        <f>+T496*S496*R496</f>
        <v>0</v>
      </c>
      <c r="Y496" s="393">
        <f>+IFERROR((R496*S496)*Y474,0)</f>
        <v>0</v>
      </c>
      <c r="Z496" s="391">
        <f>Y474*V496</f>
        <v>0</v>
      </c>
      <c r="AA496" s="86"/>
      <c r="AB496" s="92">
        <f>+Y496*T496</f>
        <v>0</v>
      </c>
      <c r="AC496" s="93">
        <f>+AB496-Z496</f>
        <v>0</v>
      </c>
      <c r="AD496" s="94"/>
      <c r="AE496" s="406" t="str">
        <f>+IF(V496=0,"CERO","NO")</f>
        <v>CERO</v>
      </c>
    </row>
    <row r="497" spans="3:31" s="260" customFormat="1" x14ac:dyDescent="0.25">
      <c r="C497" s="84"/>
      <c r="D497" s="85"/>
      <c r="E497" s="86"/>
      <c r="F497" s="86"/>
      <c r="G497" s="86"/>
      <c r="H497" s="86"/>
      <c r="I497" s="86"/>
      <c r="J497" s="87"/>
      <c r="K497" s="88"/>
      <c r="M497" s="102"/>
      <c r="N497" s="530" t="str">
        <f>IFERROR(VLOOKUP(M497,INSUMOS!$C$8:$K$928,2,0),"-----")</f>
        <v>-----</v>
      </c>
      <c r="O497" s="531"/>
      <c r="P497" s="532"/>
      <c r="Q497" s="78" t="str">
        <f>IFERROR(VLOOKUP(M497,INSUMOS!$C$8:$K$928,5,0),"-----")</f>
        <v>-----</v>
      </c>
      <c r="R497" s="80"/>
      <c r="S497" s="80" t="str">
        <f>IFERROR(VLOOKUP(M497,INSUMOS!$C$8:$K$928,6,0),"0")</f>
        <v>0</v>
      </c>
      <c r="T497" s="529" t="str">
        <f>IFERROR(VLOOKUP(M497,INSUMOS!$C$8:$K$928,7,0),"0")</f>
        <v>0</v>
      </c>
      <c r="U497" s="529"/>
      <c r="V497" s="82">
        <f>+T497*S497*R497</f>
        <v>0</v>
      </c>
      <c r="Y497" s="393">
        <f>+IFERROR((R497*S497)*Y474,0)</f>
        <v>0</v>
      </c>
      <c r="Z497" s="391">
        <f>Y474*V497</f>
        <v>0</v>
      </c>
      <c r="AA497" s="86"/>
      <c r="AB497" s="92">
        <f>+Y497*T497</f>
        <v>0</v>
      </c>
      <c r="AC497" s="93">
        <f>+AB497-Z497</f>
        <v>0</v>
      </c>
      <c r="AD497" s="94"/>
      <c r="AE497" s="406" t="str">
        <f>+IF(V497=0,"CERO","NO")</f>
        <v>CERO</v>
      </c>
    </row>
    <row r="498" spans="3:31" s="260" customFormat="1" x14ac:dyDescent="0.25">
      <c r="C498" s="84"/>
      <c r="D498" s="85"/>
      <c r="E498" s="86"/>
      <c r="F498" s="86"/>
      <c r="G498" s="86"/>
      <c r="H498" s="86"/>
      <c r="I498" s="86"/>
      <c r="J498" s="87"/>
      <c r="K498" s="88"/>
      <c r="M498" s="102">
        <v>0</v>
      </c>
      <c r="N498" s="530" t="str">
        <f>IFERROR(VLOOKUP(M498,INSUMOS!$C$8:$K$928,2,0),"-----")</f>
        <v>-----</v>
      </c>
      <c r="O498" s="531"/>
      <c r="P498" s="532"/>
      <c r="Q498" s="78" t="str">
        <f>IFERROR(VLOOKUP(M498,INSUMOS!$C$8:$K$928,5,0),"-----")</f>
        <v>-----</v>
      </c>
      <c r="R498" s="80"/>
      <c r="S498" s="80" t="str">
        <f>IFERROR(VLOOKUP(M498,INSUMOS!$C$8:$K$928,6,0),"0")</f>
        <v>0</v>
      </c>
      <c r="T498" s="529" t="str">
        <f>IFERROR(VLOOKUP(M498,INSUMOS!$C$8:$K$928,7,0),"0")</f>
        <v>0</v>
      </c>
      <c r="U498" s="529"/>
      <c r="V498" s="82">
        <f>+T498*S498*R498</f>
        <v>0</v>
      </c>
      <c r="Y498" s="393">
        <f>+IFERROR((R498*S498)*Y474,0)</f>
        <v>0</v>
      </c>
      <c r="Z498" s="391">
        <f>Y474*V498</f>
        <v>0</v>
      </c>
      <c r="AA498" s="86"/>
      <c r="AB498" s="92">
        <f>+Y498*T498</f>
        <v>0</v>
      </c>
      <c r="AC498" s="93">
        <f>+AB498-Z498</f>
        <v>0</v>
      </c>
      <c r="AD498" s="94"/>
      <c r="AE498" s="406" t="str">
        <f>+IF(V498=0,"CERO","NO")</f>
        <v>CERO</v>
      </c>
    </row>
    <row r="499" spans="3:31" s="260" customFormat="1" ht="15.75" thickBot="1" x14ac:dyDescent="0.3">
      <c r="C499" s="84"/>
      <c r="D499" s="89"/>
      <c r="E499" s="90"/>
      <c r="F499" s="90"/>
      <c r="G499" s="90"/>
      <c r="H499" s="90"/>
      <c r="I499" s="90"/>
      <c r="J499" s="91"/>
      <c r="K499" s="88"/>
      <c r="M499" s="102">
        <v>0</v>
      </c>
      <c r="N499" s="533"/>
      <c r="O499" s="533"/>
      <c r="P499" s="533"/>
      <c r="Q499" s="79"/>
      <c r="R499" s="78"/>
      <c r="S499" s="81"/>
      <c r="T499" s="529"/>
      <c r="U499" s="529"/>
      <c r="V499" s="82"/>
      <c r="Y499" s="393">
        <f>+IFERROR((R499*S499)*Y474,0)</f>
        <v>0</v>
      </c>
      <c r="Z499" s="391">
        <f>Y474*V499</f>
        <v>0</v>
      </c>
      <c r="AA499" s="86"/>
      <c r="AB499" s="92">
        <f>+Y499*T499</f>
        <v>0</v>
      </c>
      <c r="AC499" s="93">
        <f>+AB499-Z499</f>
        <v>0</v>
      </c>
      <c r="AD499" s="94"/>
      <c r="AE499" s="406" t="str">
        <f>+IF(V499=0,"CERO","NO")</f>
        <v>CERO</v>
      </c>
    </row>
    <row r="500" spans="3:31" s="260" customFormat="1" ht="15.75" thickBot="1" x14ac:dyDescent="0.3">
      <c r="C500" s="84"/>
      <c r="D500" s="375" t="s">
        <v>128</v>
      </c>
      <c r="E500" s="376" t="s">
        <v>129</v>
      </c>
      <c r="F500" s="376" t="s">
        <v>130</v>
      </c>
      <c r="G500" s="376" t="s">
        <v>131</v>
      </c>
      <c r="H500" s="376" t="s">
        <v>132</v>
      </c>
      <c r="I500" s="376" t="s">
        <v>133</v>
      </c>
      <c r="J500" s="377" t="s">
        <v>134</v>
      </c>
      <c r="K500" s="88"/>
      <c r="M500" s="534"/>
      <c r="N500" s="536" t="s">
        <v>113</v>
      </c>
      <c r="O500" s="536"/>
      <c r="P500" s="536"/>
      <c r="Q500" s="536"/>
      <c r="R500" s="536"/>
      <c r="S500" s="536"/>
      <c r="T500" s="536"/>
      <c r="U500" s="536"/>
      <c r="V500" s="411">
        <f>+SUM(V496:V499)</f>
        <v>0</v>
      </c>
      <c r="Y500" s="398" t="s">
        <v>135</v>
      </c>
      <c r="Z500" s="397">
        <f>+SUM(Z496:Z499)</f>
        <v>0</v>
      </c>
      <c r="AA500" s="86"/>
      <c r="AB500" s="384"/>
      <c r="AC500" s="385"/>
      <c r="AD500" s="94"/>
      <c r="AE500" s="399"/>
    </row>
    <row r="501" spans="3:31" s="260" customFormat="1" ht="15.75" thickBot="1" x14ac:dyDescent="0.3">
      <c r="C501" s="84"/>
      <c r="D501" s="355"/>
      <c r="E501" s="367"/>
      <c r="F501" s="412">
        <f>+E493</f>
        <v>1.07</v>
      </c>
      <c r="G501" s="367"/>
      <c r="H501" s="367"/>
      <c r="I501" s="367"/>
      <c r="J501" s="368"/>
      <c r="K501" s="88"/>
      <c r="M501" s="535"/>
      <c r="N501" s="537" t="s">
        <v>114</v>
      </c>
      <c r="O501" s="537"/>
      <c r="P501" s="537"/>
      <c r="Q501" s="537"/>
      <c r="R501" s="537"/>
      <c r="S501" s="537"/>
      <c r="T501" s="537"/>
      <c r="U501" s="537"/>
      <c r="V501" s="413">
        <f>+ROUND(V500,$AA$5)</f>
        <v>0</v>
      </c>
      <c r="Y501" s="401" t="s">
        <v>136</v>
      </c>
      <c r="Z501" s="402">
        <f>+ROUND(Z500,$AA$5)</f>
        <v>0</v>
      </c>
      <c r="AA501" s="86"/>
      <c r="AB501" s="403">
        <f>+V501*Y474</f>
        <v>0</v>
      </c>
      <c r="AC501" s="414"/>
      <c r="AD501" s="94"/>
      <c r="AE501" s="405"/>
    </row>
    <row r="502" spans="3:31" s="260" customFormat="1" ht="15.75" thickBot="1" x14ac:dyDescent="0.3">
      <c r="C502" s="84"/>
      <c r="D502" s="415"/>
      <c r="E502" s="416"/>
      <c r="F502" s="416"/>
      <c r="G502" s="416"/>
      <c r="H502" s="416"/>
      <c r="I502" s="416"/>
      <c r="J502" s="417"/>
      <c r="K502" s="88"/>
      <c r="M502" s="538" t="s">
        <v>115</v>
      </c>
      <c r="N502" s="539"/>
      <c r="O502" s="539"/>
      <c r="P502" s="539"/>
      <c r="Q502" s="539"/>
      <c r="R502" s="539"/>
      <c r="S502" s="539"/>
      <c r="T502" s="539"/>
      <c r="U502" s="539"/>
      <c r="V502" s="540"/>
      <c r="Y502" s="378"/>
      <c r="Z502" s="121"/>
      <c r="AA502" s="86"/>
      <c r="AB502" s="409"/>
      <c r="AC502" s="121"/>
      <c r="AD502" s="94"/>
      <c r="AE502" s="126"/>
    </row>
    <row r="503" spans="3:31" s="260" customFormat="1" ht="15.75" thickBot="1" x14ac:dyDescent="0.3">
      <c r="C503" s="84"/>
      <c r="D503" s="375" t="s">
        <v>128</v>
      </c>
      <c r="E503" s="376" t="s">
        <v>129</v>
      </c>
      <c r="F503" s="376" t="s">
        <v>130</v>
      </c>
      <c r="G503" s="376" t="s">
        <v>131</v>
      </c>
      <c r="H503" s="376" t="s">
        <v>132</v>
      </c>
      <c r="I503" s="376" t="s">
        <v>133</v>
      </c>
      <c r="J503" s="377" t="s">
        <v>134</v>
      </c>
      <c r="K503" s="88"/>
      <c r="M503" s="99" t="s">
        <v>94</v>
      </c>
      <c r="N503" s="98" t="s">
        <v>95</v>
      </c>
      <c r="O503" s="95" t="s">
        <v>96</v>
      </c>
      <c r="P503" s="359" t="s">
        <v>104</v>
      </c>
      <c r="Q503" s="95" t="s">
        <v>116</v>
      </c>
      <c r="R503" s="418" t="s">
        <v>117</v>
      </c>
      <c r="S503" s="95" t="s">
        <v>347</v>
      </c>
      <c r="T503" s="419" t="s">
        <v>118</v>
      </c>
      <c r="U503" s="189" t="s">
        <v>119</v>
      </c>
      <c r="V503" s="100" t="s">
        <v>98</v>
      </c>
      <c r="Y503" s="383" t="s">
        <v>104</v>
      </c>
      <c r="Z503" s="119" t="s">
        <v>9</v>
      </c>
      <c r="AA503" s="86"/>
      <c r="AB503" s="384"/>
      <c r="AC503" s="385"/>
      <c r="AD503" s="94"/>
      <c r="AE503" s="410"/>
    </row>
    <row r="504" spans="3:31" s="260" customFormat="1" x14ac:dyDescent="0.25">
      <c r="C504" s="84"/>
      <c r="D504" s="354"/>
      <c r="E504" s="96"/>
      <c r="F504" s="96"/>
      <c r="G504" s="96"/>
      <c r="H504" s="96"/>
      <c r="I504" s="96"/>
      <c r="J504" s="420">
        <f>+F501</f>
        <v>1.07</v>
      </c>
      <c r="K504" s="88"/>
      <c r="M504" s="102"/>
      <c r="N504" s="347" t="str">
        <f>IFERROR(VLOOKUP(M504,INSUMOS!$C$8:$K$928,2,0),"-----")</f>
        <v>-----</v>
      </c>
      <c r="O504" s="78" t="str">
        <f>IFERROR(VLOOKUP(M504,INSUMOS!$C$8:$K$928,3,0),"-----")</f>
        <v>-----</v>
      </c>
      <c r="P504" s="80"/>
      <c r="Q504" s="79"/>
      <c r="R504" s="190" t="str">
        <f>IFERROR(VLOOKUP(M504,INSUMOS!$C$8:$K$928,4,0),"-----")</f>
        <v>-----</v>
      </c>
      <c r="S504" s="190" t="str">
        <f>IFERROR(VLOOKUP(M504,INSUMOS!$C$8:$K$928,6,0),"-----")</f>
        <v>-----</v>
      </c>
      <c r="T504" s="190" t="str">
        <f>IFERROR(VLOOKUP(M504,INSUMOS!$C$8:$K$928,5,0),"-----")</f>
        <v>-----</v>
      </c>
      <c r="U504" s="388">
        <f>SUM(R504:T504)</f>
        <v>0</v>
      </c>
      <c r="V504" s="82">
        <f>+IFERROR((P504/Q504)*U504,0)</f>
        <v>0</v>
      </c>
      <c r="Y504" s="393">
        <f>+IFERROR((Y474/Q504*P504),0)</f>
        <v>0</v>
      </c>
      <c r="Z504" s="391">
        <f>Y474*V504</f>
        <v>0</v>
      </c>
      <c r="AA504" s="86"/>
      <c r="AB504" s="92">
        <f>+(U504)*Y504</f>
        <v>0</v>
      </c>
      <c r="AC504" s="93">
        <f>+AB504-Z504</f>
        <v>0</v>
      </c>
      <c r="AD504" s="421"/>
      <c r="AE504" s="410" t="str">
        <f>+IF(V504=0,"CERO","NO")</f>
        <v>CERO</v>
      </c>
    </row>
    <row r="505" spans="3:31" s="260" customFormat="1" ht="15.75" thickBot="1" x14ac:dyDescent="0.3">
      <c r="C505" s="84"/>
      <c r="D505" s="355"/>
      <c r="E505" s="367"/>
      <c r="F505" s="367"/>
      <c r="G505" s="367"/>
      <c r="H505" s="367"/>
      <c r="I505" s="367"/>
      <c r="J505" s="422">
        <f>+J504</f>
        <v>1.07</v>
      </c>
      <c r="K505" s="88"/>
      <c r="M505" s="102"/>
      <c r="N505" s="347" t="str">
        <f>IFERROR(VLOOKUP(M505,INSUMOS!$C$8:$K$928,2,0),"-----")</f>
        <v>-----</v>
      </c>
      <c r="O505" s="78" t="str">
        <f>IFERROR(VLOOKUP(M505,INSUMOS!$C$8:$K$928,3,0),"-----")</f>
        <v>-----</v>
      </c>
      <c r="P505" s="80"/>
      <c r="Q505" s="79"/>
      <c r="R505" s="190" t="str">
        <f>IFERROR(VLOOKUP(M505,INSUMOS!$C$8:$K$928,4,0),"-----")</f>
        <v>-----</v>
      </c>
      <c r="S505" s="190" t="str">
        <f>IFERROR(VLOOKUP(M505,INSUMOS!$C$8:$K$928,6,0),"-----")</f>
        <v>-----</v>
      </c>
      <c r="T505" s="190" t="str">
        <f>IFERROR(VLOOKUP(M505,INSUMOS!$C$8:$K$928,5,0),"-----")</f>
        <v>-----</v>
      </c>
      <c r="U505" s="388">
        <f>SUM(R505:T505)</f>
        <v>0</v>
      </c>
      <c r="V505" s="82">
        <f>+IFERROR((P505/Q505)*U505,0)</f>
        <v>0</v>
      </c>
      <c r="Y505" s="393">
        <f>+IFERROR((Y474/Q505*P505),0)</f>
        <v>0</v>
      </c>
      <c r="Z505" s="391">
        <f>Y474*V505</f>
        <v>0</v>
      </c>
      <c r="AA505" s="86"/>
      <c r="AB505" s="92">
        <f>+U505*Y505</f>
        <v>0</v>
      </c>
      <c r="AC505" s="93">
        <f>+AB505-Z505</f>
        <v>0</v>
      </c>
      <c r="AD505" s="94"/>
      <c r="AE505" s="410" t="str">
        <f>+IF(V505=0,"CERO","NO")</f>
        <v>CERO</v>
      </c>
    </row>
    <row r="506" spans="3:31" s="260" customFormat="1" ht="15.75" thickBot="1" x14ac:dyDescent="0.3">
      <c r="C506" s="84"/>
      <c r="D506" s="375" t="s">
        <v>128</v>
      </c>
      <c r="E506" s="376" t="s">
        <v>129</v>
      </c>
      <c r="F506" s="376" t="s">
        <v>130</v>
      </c>
      <c r="G506" s="376" t="s">
        <v>131</v>
      </c>
      <c r="H506" s="376" t="s">
        <v>132</v>
      </c>
      <c r="I506" s="376" t="s">
        <v>133</v>
      </c>
      <c r="J506" s="377" t="s">
        <v>134</v>
      </c>
      <c r="K506" s="88"/>
      <c r="M506" s="534"/>
      <c r="N506" s="536" t="s">
        <v>120</v>
      </c>
      <c r="O506" s="536"/>
      <c r="P506" s="536"/>
      <c r="Q506" s="536"/>
      <c r="R506" s="536"/>
      <c r="S506" s="536"/>
      <c r="T506" s="536"/>
      <c r="U506" s="536"/>
      <c r="V506" s="82">
        <f>+SUM(V504:V505)</f>
        <v>0</v>
      </c>
      <c r="Y506" s="398" t="s">
        <v>135</v>
      </c>
      <c r="Z506" s="397">
        <f>+SUM(Z504:Z505)</f>
        <v>0</v>
      </c>
      <c r="AA506" s="86"/>
      <c r="AB506" s="384"/>
      <c r="AC506" s="385"/>
      <c r="AD506" s="94"/>
      <c r="AE506" s="399"/>
    </row>
    <row r="507" spans="3:31" s="260" customFormat="1" ht="15.75" thickBot="1" x14ac:dyDescent="0.3">
      <c r="C507" s="84"/>
      <c r="D507" s="354"/>
      <c r="E507" s="96"/>
      <c r="F507" s="96"/>
      <c r="G507" s="107">
        <f>+F501</f>
        <v>1.07</v>
      </c>
      <c r="H507" s="96"/>
      <c r="I507" s="96"/>
      <c r="J507" s="427"/>
      <c r="K507" s="88"/>
      <c r="M507" s="535"/>
      <c r="N507" s="537" t="s">
        <v>121</v>
      </c>
      <c r="O507" s="537"/>
      <c r="P507" s="537"/>
      <c r="Q507" s="537"/>
      <c r="R507" s="537"/>
      <c r="S507" s="537"/>
      <c r="T507" s="537"/>
      <c r="U507" s="537"/>
      <c r="V507" s="413">
        <f>+ROUND(V506,$AA$5)</f>
        <v>0</v>
      </c>
      <c r="Y507" s="401" t="s">
        <v>136</v>
      </c>
      <c r="Z507" s="402">
        <f>+ROUND(Z506,$AA$5)</f>
        <v>0</v>
      </c>
      <c r="AA507" s="86"/>
      <c r="AB507" s="403">
        <f>+V507*Y474</f>
        <v>0</v>
      </c>
      <c r="AC507" s="404">
        <f>+AB507-Z507</f>
        <v>0</v>
      </c>
      <c r="AD507" s="94"/>
      <c r="AE507" s="405"/>
    </row>
    <row r="508" spans="3:31" s="260" customFormat="1" ht="15.75" thickBot="1" x14ac:dyDescent="0.3">
      <c r="C508" s="84"/>
      <c r="D508" s="375" t="s">
        <v>128</v>
      </c>
      <c r="E508" s="376" t="s">
        <v>129</v>
      </c>
      <c r="F508" s="376" t="s">
        <v>130</v>
      </c>
      <c r="G508" s="376" t="s">
        <v>131</v>
      </c>
      <c r="H508" s="376" t="s">
        <v>132</v>
      </c>
      <c r="I508" s="376" t="s">
        <v>133</v>
      </c>
      <c r="J508" s="377" t="s">
        <v>134</v>
      </c>
      <c r="K508" s="88"/>
      <c r="M508" s="541"/>
      <c r="N508" s="542"/>
      <c r="O508" s="542"/>
      <c r="P508" s="542"/>
      <c r="Q508" s="542"/>
      <c r="R508" s="542"/>
      <c r="S508" s="542"/>
      <c r="T508" s="542"/>
      <c r="U508" s="542"/>
      <c r="V508" s="543"/>
      <c r="Y508" s="378"/>
      <c r="Z508" s="121"/>
      <c r="AA508" s="86"/>
      <c r="AB508" s="409"/>
      <c r="AC508" s="121"/>
      <c r="AD508" s="94"/>
      <c r="AE508" s="428"/>
    </row>
    <row r="509" spans="3:31" s="260" customFormat="1" ht="15.75" thickBot="1" x14ac:dyDescent="0.3">
      <c r="C509" s="84"/>
      <c r="D509" s="355"/>
      <c r="E509" s="367"/>
      <c r="F509" s="367"/>
      <c r="G509" s="367"/>
      <c r="H509" s="412">
        <f>G507</f>
        <v>1.07</v>
      </c>
      <c r="I509" s="412"/>
      <c r="J509" s="422"/>
      <c r="K509" s="88"/>
      <c r="M509" s="544" t="s">
        <v>122</v>
      </c>
      <c r="N509" s="537"/>
      <c r="O509" s="537"/>
      <c r="P509" s="537"/>
      <c r="Q509" s="537"/>
      <c r="R509" s="537"/>
      <c r="S509" s="537"/>
      <c r="T509" s="537"/>
      <c r="U509" s="545">
        <f>+V507+V501+V493+V484</f>
        <v>1300000</v>
      </c>
      <c r="V509" s="546"/>
      <c r="Y509" s="429"/>
      <c r="Z509" s="430">
        <f>+Z507+Z501+Z493+Z484</f>
        <v>2600000</v>
      </c>
      <c r="AA509" s="86"/>
      <c r="AB509" s="431">
        <f>+AB507+AB501+AB493+AB484</f>
        <v>2600000</v>
      </c>
      <c r="AC509" s="404">
        <f>+AB509-Z509</f>
        <v>0</v>
      </c>
      <c r="AD509" s="94"/>
      <c r="AE509" s="432"/>
    </row>
    <row r="510" spans="3:31" s="260" customFormat="1" ht="15.75" thickBot="1" x14ac:dyDescent="0.3"/>
    <row r="511" spans="3:31" s="260" customFormat="1" x14ac:dyDescent="0.25">
      <c r="M511" s="547" t="s">
        <v>348</v>
      </c>
      <c r="N511" s="548"/>
      <c r="O511" s="548"/>
      <c r="P511" s="548"/>
      <c r="Q511" s="548"/>
      <c r="R511" s="548"/>
      <c r="S511" s="548"/>
      <c r="T511" s="548"/>
      <c r="U511" s="548"/>
      <c r="V511" s="549"/>
      <c r="Y511" s="378"/>
      <c r="Z511" s="121"/>
      <c r="AA511" s="86"/>
      <c r="AB511" s="94"/>
      <c r="AC511" s="94"/>
      <c r="AD511" s="94"/>
      <c r="AE511" s="126" t="s">
        <v>133</v>
      </c>
    </row>
    <row r="512" spans="3:31" s="260" customFormat="1" x14ac:dyDescent="0.25">
      <c r="M512" s="515" t="s">
        <v>138</v>
      </c>
      <c r="N512" s="516"/>
      <c r="O512" s="516"/>
      <c r="P512" s="516"/>
      <c r="Q512" s="516"/>
      <c r="R512" s="516"/>
      <c r="S512" s="516"/>
      <c r="T512" s="437">
        <v>0</v>
      </c>
      <c r="U512" s="517">
        <f>+ROUND(U509*T512,$AA$5)</f>
        <v>0</v>
      </c>
      <c r="V512" s="518"/>
      <c r="Y512" s="390"/>
      <c r="Z512" s="438">
        <f>+Z509*T512</f>
        <v>0</v>
      </c>
      <c r="AA512" s="86"/>
      <c r="AB512" s="94"/>
      <c r="AC512" s="94"/>
      <c r="AD512" s="94"/>
      <c r="AE512" s="386" t="s">
        <v>133</v>
      </c>
    </row>
    <row r="513" spans="3:31" s="260" customFormat="1" x14ac:dyDescent="0.25">
      <c r="M513" s="515" t="s">
        <v>19</v>
      </c>
      <c r="N513" s="516"/>
      <c r="O513" s="516"/>
      <c r="P513" s="516"/>
      <c r="Q513" s="516"/>
      <c r="R513" s="516"/>
      <c r="S513" s="516"/>
      <c r="T513" s="437">
        <v>0.05</v>
      </c>
      <c r="U513" s="517">
        <f>+ROUND(U509*T513,$AA$5)</f>
        <v>65000</v>
      </c>
      <c r="V513" s="518"/>
      <c r="Y513" s="390"/>
      <c r="Z513" s="438">
        <f>+Z509*T513</f>
        <v>130000</v>
      </c>
      <c r="AA513" s="86"/>
      <c r="AB513" s="94"/>
      <c r="AC513" s="94"/>
      <c r="AD513" s="94"/>
      <c r="AE513" s="386" t="s">
        <v>133</v>
      </c>
    </row>
    <row r="514" spans="3:31" s="260" customFormat="1" x14ac:dyDescent="0.25">
      <c r="M514" s="515" t="s">
        <v>20</v>
      </c>
      <c r="N514" s="516"/>
      <c r="O514" s="516"/>
      <c r="P514" s="516"/>
      <c r="Q514" s="516"/>
      <c r="R514" s="516"/>
      <c r="S514" s="516"/>
      <c r="T514" s="437">
        <v>0</v>
      </c>
      <c r="U514" s="517">
        <f>+ROUND(U509*T514,$AA$5)</f>
        <v>0</v>
      </c>
      <c r="V514" s="518"/>
      <c r="Y514" s="390"/>
      <c r="Z514" s="438">
        <f>+Z509*T514</f>
        <v>0</v>
      </c>
      <c r="AA514" s="86"/>
      <c r="AB514" s="94"/>
      <c r="AC514" s="94"/>
      <c r="AD514" s="94"/>
      <c r="AE514" s="386" t="s">
        <v>133</v>
      </c>
    </row>
    <row r="515" spans="3:31" s="260" customFormat="1" x14ac:dyDescent="0.25">
      <c r="M515" s="515" t="s">
        <v>21</v>
      </c>
      <c r="N515" s="516"/>
      <c r="O515" s="516"/>
      <c r="P515" s="516"/>
      <c r="Q515" s="516"/>
      <c r="R515" s="516"/>
      <c r="S515" s="516"/>
      <c r="T515" s="437">
        <f>$AA$9</f>
        <v>0</v>
      </c>
      <c r="U515" s="517">
        <f>+ROUND(U509*T515,$AA$5)</f>
        <v>0</v>
      </c>
      <c r="V515" s="518"/>
      <c r="Y515" s="390"/>
      <c r="Z515" s="438">
        <f>+Z514*T515</f>
        <v>0</v>
      </c>
      <c r="AA515" s="86"/>
      <c r="AB515" s="94"/>
      <c r="AC515" s="94"/>
      <c r="AD515" s="94"/>
      <c r="AE515" s="386" t="s">
        <v>133</v>
      </c>
    </row>
    <row r="516" spans="3:31" s="260" customFormat="1" ht="15.75" thickBot="1" x14ac:dyDescent="0.3">
      <c r="M516" s="519" t="s">
        <v>349</v>
      </c>
      <c r="N516" s="520"/>
      <c r="O516" s="520"/>
      <c r="P516" s="520"/>
      <c r="Q516" s="520"/>
      <c r="R516" s="520"/>
      <c r="S516" s="520"/>
      <c r="T516" s="520"/>
      <c r="U516" s="521">
        <f>+SUM(U512:V515)</f>
        <v>65000</v>
      </c>
      <c r="V516" s="522"/>
      <c r="Y516" s="390"/>
      <c r="Z516" s="439">
        <f>+SUM(Z512:Z515)</f>
        <v>130000</v>
      </c>
      <c r="AA516" s="86"/>
      <c r="AB516" s="94"/>
      <c r="AC516" s="94"/>
      <c r="AD516" s="94"/>
      <c r="AE516" s="386" t="s">
        <v>133</v>
      </c>
    </row>
    <row r="517" spans="3:31" s="260" customFormat="1" ht="15.75" thickBot="1" x14ac:dyDescent="0.3">
      <c r="D517" s="375" t="s">
        <v>128</v>
      </c>
      <c r="E517" s="376" t="s">
        <v>129</v>
      </c>
      <c r="F517" s="376" t="s">
        <v>130</v>
      </c>
      <c r="G517" s="376" t="s">
        <v>131</v>
      </c>
      <c r="H517" s="376" t="s">
        <v>132</v>
      </c>
      <c r="I517" s="376" t="s">
        <v>133</v>
      </c>
      <c r="J517" s="377" t="s">
        <v>134</v>
      </c>
      <c r="M517" s="86"/>
      <c r="N517" s="94"/>
      <c r="O517" s="94"/>
      <c r="P517" s="94"/>
      <c r="Q517" s="86"/>
      <c r="R517" s="86"/>
      <c r="S517" s="86"/>
      <c r="T517" s="440"/>
      <c r="U517" s="523"/>
      <c r="V517" s="523"/>
      <c r="Y517" s="390"/>
      <c r="Z517" s="385"/>
      <c r="AA517" s="86"/>
      <c r="AB517" s="94"/>
      <c r="AC517" s="94"/>
      <c r="AD517" s="94"/>
      <c r="AE517" s="386" t="s">
        <v>133</v>
      </c>
    </row>
    <row r="518" spans="3:31" s="260" customFormat="1" ht="15.75" thickBot="1" x14ac:dyDescent="0.3">
      <c r="D518" s="355"/>
      <c r="E518" s="367"/>
      <c r="F518" s="367"/>
      <c r="G518" s="367"/>
      <c r="H518" s="412"/>
      <c r="I518" s="412">
        <f>H509</f>
        <v>1.07</v>
      </c>
      <c r="J518" s="422"/>
      <c r="M518" s="524" t="s">
        <v>11</v>
      </c>
      <c r="N518" s="525"/>
      <c r="O518" s="525"/>
      <c r="P518" s="525"/>
      <c r="Q518" s="525"/>
      <c r="R518" s="525"/>
      <c r="S518" s="525"/>
      <c r="T518" s="526"/>
      <c r="U518" s="527">
        <f>+U516+U509</f>
        <v>1365000</v>
      </c>
      <c r="V518" s="528"/>
      <c r="Y518" s="429"/>
      <c r="Z518" s="441">
        <f>+Z516+Z509</f>
        <v>2730000</v>
      </c>
      <c r="AA518" s="86"/>
      <c r="AB518" s="94"/>
      <c r="AC518" s="94"/>
      <c r="AD518" s="94"/>
      <c r="AE518" s="405" t="s">
        <v>133</v>
      </c>
    </row>
    <row r="519" spans="3:31" s="260" customFormat="1" x14ac:dyDescent="0.25"/>
    <row r="520" spans="3:31" s="260" customFormat="1" ht="15.75" thickBot="1" x14ac:dyDescent="0.3"/>
    <row r="521" spans="3:31" s="260" customFormat="1" ht="15.75" thickBot="1" x14ac:dyDescent="0.3">
      <c r="M521" s="363" t="s">
        <v>88</v>
      </c>
      <c r="N521" s="436" t="s">
        <v>29</v>
      </c>
      <c r="O521" s="550" t="str">
        <f>IFERROR(VLOOKUP(N521,PPTO!C:H,2,0),"----")</f>
        <v>RED HIDRAULICA</v>
      </c>
      <c r="P521" s="551"/>
      <c r="Q521" s="551"/>
      <c r="R521" s="551"/>
      <c r="S521" s="551"/>
      <c r="T521" s="551"/>
      <c r="U521" s="552"/>
      <c r="V521" s="74" t="s">
        <v>91</v>
      </c>
      <c r="Y521" s="365" t="s">
        <v>104</v>
      </c>
      <c r="Z521" s="94"/>
      <c r="AA521" s="188"/>
      <c r="AB521" s="553"/>
      <c r="AC521" s="553"/>
      <c r="AD521" s="553"/>
      <c r="AE521" s="94"/>
    </row>
    <row r="522" spans="3:31" s="260" customFormat="1" ht="15.75" thickBot="1" x14ac:dyDescent="0.3">
      <c r="C522" s="369">
        <f>+N522</f>
        <v>2.0099999999999998</v>
      </c>
      <c r="D522" s="86"/>
      <c r="E522" s="86"/>
      <c r="F522" s="86"/>
      <c r="G522" s="86"/>
      <c r="H522" s="86"/>
      <c r="I522" s="86"/>
      <c r="J522" s="86"/>
      <c r="K522" s="370"/>
      <c r="M522" s="75" t="s">
        <v>92</v>
      </c>
      <c r="N522" s="371">
        <v>2.0099999999999998</v>
      </c>
      <c r="O522" s="554" t="str">
        <f>IFERROR(VLOOKUP(N522,PPTO!C:H,2,0),"----")</f>
        <v>Tuberia PVC Ø1/2"</v>
      </c>
      <c r="P522" s="555"/>
      <c r="Q522" s="555"/>
      <c r="R522" s="555"/>
      <c r="S522" s="555"/>
      <c r="T522" s="555"/>
      <c r="U522" s="556"/>
      <c r="V522" s="76" t="str">
        <f>IFERROR(VLOOKUP(N522,PPTO!C:H,3,0),"----")</f>
        <v>ML</v>
      </c>
      <c r="Y522" s="373">
        <f>SUMIFS(PPTO!F:F,PPTO!C:C,APUS!N522)</f>
        <v>49.03</v>
      </c>
      <c r="Z522" s="94"/>
      <c r="AA522" s="86"/>
      <c r="AB522" s="94"/>
      <c r="AC522" s="94"/>
      <c r="AD522" s="94"/>
      <c r="AE522" s="94"/>
    </row>
    <row r="523" spans="3:31" s="260" customFormat="1" ht="15.75" thickBot="1" x14ac:dyDescent="0.3">
      <c r="C523" s="84"/>
      <c r="D523" s="86"/>
      <c r="E523" s="86"/>
      <c r="F523" s="86"/>
      <c r="G523" s="86"/>
      <c r="H523" s="86"/>
      <c r="I523" s="86"/>
      <c r="J523" s="86"/>
      <c r="K523" s="88"/>
      <c r="M523" s="557"/>
      <c r="N523" s="557"/>
      <c r="O523" s="557"/>
      <c r="P523" s="557"/>
      <c r="Q523" s="557"/>
      <c r="R523" s="557"/>
      <c r="S523" s="557"/>
      <c r="T523" s="557"/>
      <c r="U523" s="557"/>
      <c r="V523" s="557"/>
      <c r="Y523" s="374"/>
      <c r="Z523" s="94"/>
      <c r="AA523" s="86"/>
      <c r="AB523" s="94"/>
      <c r="AC523" s="94"/>
      <c r="AD523" s="94"/>
      <c r="AE523" s="94"/>
    </row>
    <row r="524" spans="3:31" s="260" customFormat="1" ht="15.75" thickBot="1" x14ac:dyDescent="0.3">
      <c r="C524" s="84"/>
      <c r="D524" s="375" t="s">
        <v>128</v>
      </c>
      <c r="E524" s="376" t="s">
        <v>129</v>
      </c>
      <c r="F524" s="376" t="s">
        <v>130</v>
      </c>
      <c r="G524" s="376" t="s">
        <v>131</v>
      </c>
      <c r="H524" s="376" t="s">
        <v>132</v>
      </c>
      <c r="I524" s="376" t="s">
        <v>133</v>
      </c>
      <c r="J524" s="377" t="s">
        <v>134</v>
      </c>
      <c r="K524" s="88"/>
      <c r="M524" s="558" t="s">
        <v>93</v>
      </c>
      <c r="N524" s="559"/>
      <c r="O524" s="559"/>
      <c r="P524" s="559"/>
      <c r="Q524" s="559"/>
      <c r="R524" s="559"/>
      <c r="S524" s="559"/>
      <c r="T524" s="559"/>
      <c r="U524" s="559"/>
      <c r="V524" s="560"/>
      <c r="Y524" s="378"/>
      <c r="Z524" s="121"/>
      <c r="AA524" s="86"/>
      <c r="AB524" s="513"/>
      <c r="AC524" s="514"/>
      <c r="AD524" s="94"/>
      <c r="AE524" s="379"/>
    </row>
    <row r="525" spans="3:31" s="260" customFormat="1" x14ac:dyDescent="0.25">
      <c r="C525" s="84"/>
      <c r="D525" s="380"/>
      <c r="E525" s="381"/>
      <c r="F525" s="381"/>
      <c r="G525" s="381"/>
      <c r="H525" s="381"/>
      <c r="I525" s="381"/>
      <c r="J525" s="382"/>
      <c r="K525" s="88"/>
      <c r="M525" s="99" t="s">
        <v>94</v>
      </c>
      <c r="N525" s="561" t="s">
        <v>95</v>
      </c>
      <c r="O525" s="561"/>
      <c r="P525" s="561"/>
      <c r="Q525" s="561"/>
      <c r="R525" s="95" t="s">
        <v>96</v>
      </c>
      <c r="S525" s="95" t="s">
        <v>97</v>
      </c>
      <c r="T525" s="562" t="s">
        <v>8</v>
      </c>
      <c r="U525" s="562"/>
      <c r="V525" s="100" t="s">
        <v>98</v>
      </c>
      <c r="Y525" s="383" t="s">
        <v>104</v>
      </c>
      <c r="Z525" s="119" t="s">
        <v>9</v>
      </c>
      <c r="AA525" s="86"/>
      <c r="AB525" s="384"/>
      <c r="AC525" s="385"/>
      <c r="AD525" s="94"/>
      <c r="AE525" s="386"/>
    </row>
    <row r="526" spans="3:31" s="260" customFormat="1" x14ac:dyDescent="0.25">
      <c r="C526" s="84"/>
      <c r="D526" s="85"/>
      <c r="E526" s="86"/>
      <c r="F526" s="86"/>
      <c r="G526" s="86"/>
      <c r="H526" s="86"/>
      <c r="I526" s="86"/>
      <c r="J526" s="87"/>
      <c r="K526" s="88"/>
      <c r="M526" s="102"/>
      <c r="N526" s="533" t="s">
        <v>99</v>
      </c>
      <c r="O526" s="533"/>
      <c r="P526" s="533"/>
      <c r="Q526" s="533"/>
      <c r="R526" s="78" t="s">
        <v>100</v>
      </c>
      <c r="S526" s="387">
        <f>+$AA$10</f>
        <v>0.05</v>
      </c>
      <c r="T526" s="563">
        <f>V555</f>
        <v>11675.12</v>
      </c>
      <c r="U526" s="563"/>
      <c r="V526" s="389">
        <f>+IFERROR(T526*S526,0)</f>
        <v>583.75600000000009</v>
      </c>
      <c r="Y526" s="390"/>
      <c r="Z526" s="391">
        <f>Y522*V526</f>
        <v>28621.556680000005</v>
      </c>
      <c r="AA526" s="86"/>
      <c r="AB526" s="384"/>
      <c r="AC526" s="385"/>
      <c r="AD526" s="94"/>
      <c r="AE526" s="386" t="str">
        <f>+IF(V526=0,"CERO","NO")</f>
        <v>NO</v>
      </c>
    </row>
    <row r="527" spans="3:31" s="260" customFormat="1" x14ac:dyDescent="0.25">
      <c r="C527" s="84"/>
      <c r="D527" s="85"/>
      <c r="E527" s="86"/>
      <c r="F527" s="86"/>
      <c r="G527" s="86"/>
      <c r="H527" s="86"/>
      <c r="I527" s="86"/>
      <c r="J527" s="87"/>
      <c r="K527" s="88"/>
      <c r="M527" s="106"/>
      <c r="N527" s="533" t="str">
        <f>IFERROR(VLOOKUP(M527,INSUMOS!$C$8:$K$928,2,0),"-----")</f>
        <v>-----</v>
      </c>
      <c r="O527" s="533"/>
      <c r="P527" s="533"/>
      <c r="Q527" s="533"/>
      <c r="R527" s="78" t="str">
        <f>IFERROR(VLOOKUP(M527,INSUMOS!$C$8:$K$928,6,0),"-----")</f>
        <v>-----</v>
      </c>
      <c r="S527" s="392">
        <v>0.03</v>
      </c>
      <c r="T527" s="529" t="str">
        <f>IFERROR(VLOOKUP(M527,INSUMOS!$C$8:$K$928,7,0),"0")</f>
        <v>0</v>
      </c>
      <c r="U527" s="529"/>
      <c r="V527" s="389">
        <f>+IFERROR(T527*S527,0)</f>
        <v>0</v>
      </c>
      <c r="Y527" s="393">
        <f>+IFERROR(Y522*S527,0)</f>
        <v>1.4708999999999999</v>
      </c>
      <c r="Z527" s="391">
        <f>Y522*V527</f>
        <v>0</v>
      </c>
      <c r="AA527" s="394"/>
      <c r="AB527" s="395">
        <f>+Y527*T527</f>
        <v>0</v>
      </c>
      <c r="AC527" s="93">
        <f>+AB527-Z527</f>
        <v>0</v>
      </c>
      <c r="AD527" s="94"/>
      <c r="AE527" s="386" t="str">
        <f>+IF(V527=0,"CERO","NO")</f>
        <v>CERO</v>
      </c>
    </row>
    <row r="528" spans="3:31" s="260" customFormat="1" x14ac:dyDescent="0.25">
      <c r="C528" s="84"/>
      <c r="D528" s="85"/>
      <c r="E528" s="86"/>
      <c r="F528" s="86"/>
      <c r="G528" s="86"/>
      <c r="H528" s="86"/>
      <c r="I528" s="86"/>
      <c r="J528" s="87"/>
      <c r="K528" s="88"/>
      <c r="M528" s="102"/>
      <c r="N528" s="533" t="str">
        <f>IFERROR(VLOOKUP(M528,INSUMOS!$C$8:$K$928,2,0),"-----")</f>
        <v>-----</v>
      </c>
      <c r="O528" s="533"/>
      <c r="P528" s="533"/>
      <c r="Q528" s="533"/>
      <c r="R528" s="78" t="str">
        <f>IFERROR(VLOOKUP(M528,INSUMOS!$C$8:$K$928,6,0),"-----")</f>
        <v>-----</v>
      </c>
      <c r="S528" s="392"/>
      <c r="T528" s="529" t="str">
        <f>IFERROR(VLOOKUP(M528,INSUMOS!$C$8:$K$928,7,0),"0")</f>
        <v>0</v>
      </c>
      <c r="U528" s="529"/>
      <c r="V528" s="389">
        <f>+IFERROR(T528*S528,0)</f>
        <v>0</v>
      </c>
      <c r="Y528" s="393">
        <f>+IFERROR(Y522*S528,0)</f>
        <v>0</v>
      </c>
      <c r="Z528" s="391">
        <f>Y522*V528</f>
        <v>0</v>
      </c>
      <c r="AA528" s="394"/>
      <c r="AB528" s="395">
        <f>+Y528*T528</f>
        <v>0</v>
      </c>
      <c r="AC528" s="93">
        <f>+AB528-Z528</f>
        <v>0</v>
      </c>
      <c r="AD528" s="94"/>
      <c r="AE528" s="386" t="str">
        <f>+IF(V528=0,"CERO","NO")</f>
        <v>CERO</v>
      </c>
    </row>
    <row r="529" spans="3:31" s="260" customFormat="1" x14ac:dyDescent="0.25">
      <c r="C529" s="84"/>
      <c r="D529" s="85"/>
      <c r="E529" s="86"/>
      <c r="F529" s="86"/>
      <c r="G529" s="86"/>
      <c r="H529" s="86"/>
      <c r="I529" s="86"/>
      <c r="J529" s="87"/>
      <c r="K529" s="88"/>
      <c r="M529" s="102">
        <v>0</v>
      </c>
      <c r="N529" s="533" t="str">
        <f>IFERROR(VLOOKUP(M529,INSUMOS!$C$8:$K$928,2,0),"-----")</f>
        <v>-----</v>
      </c>
      <c r="O529" s="533"/>
      <c r="P529" s="533"/>
      <c r="Q529" s="533"/>
      <c r="R529" s="78" t="str">
        <f>IFERROR(VLOOKUP(M529,INSUMOS!$C$8:$K$928,6,0),"-----")</f>
        <v>-----</v>
      </c>
      <c r="S529" s="392"/>
      <c r="T529" s="529"/>
      <c r="U529" s="529"/>
      <c r="V529" s="389">
        <f>+IFERROR(T529*S529,0)</f>
        <v>0</v>
      </c>
      <c r="Y529" s="393">
        <f>+IFERROR(Y522*S529,0)</f>
        <v>0</v>
      </c>
      <c r="Z529" s="391">
        <f>Y522*V529</f>
        <v>0</v>
      </c>
      <c r="AA529" s="394"/>
      <c r="AB529" s="395">
        <f>+Y529*T529</f>
        <v>0</v>
      </c>
      <c r="AC529" s="93">
        <f>+AB529-Z529</f>
        <v>0</v>
      </c>
      <c r="AD529" s="94"/>
      <c r="AE529" s="386" t="str">
        <f>+IF(V529=0,"CERO","NO")</f>
        <v>CERO</v>
      </c>
    </row>
    <row r="530" spans="3:31" s="260" customFormat="1" ht="15.75" thickBot="1" x14ac:dyDescent="0.3">
      <c r="C530" s="84"/>
      <c r="D530" s="85"/>
      <c r="E530" s="86"/>
      <c r="F530" s="86"/>
      <c r="G530" s="86"/>
      <c r="H530" s="86"/>
      <c r="I530" s="86"/>
      <c r="J530" s="87"/>
      <c r="K530" s="88"/>
      <c r="M530" s="102">
        <v>0</v>
      </c>
      <c r="N530" s="564"/>
      <c r="O530" s="564"/>
      <c r="P530" s="564"/>
      <c r="Q530" s="564"/>
      <c r="R530" s="96"/>
      <c r="S530" s="96"/>
      <c r="T530" s="565"/>
      <c r="U530" s="565"/>
      <c r="V530" s="101"/>
      <c r="Y530" s="393">
        <f>+IFERROR(Y522*S530,0)</f>
        <v>0</v>
      </c>
      <c r="Z530" s="391">
        <f>Y522*V530</f>
        <v>0</v>
      </c>
      <c r="AA530" s="394"/>
      <c r="AB530" s="395">
        <f>+Y530*T530</f>
        <v>0</v>
      </c>
      <c r="AC530" s="93">
        <f>+AB530-Z530</f>
        <v>0</v>
      </c>
      <c r="AD530" s="94"/>
      <c r="AE530" s="386" t="str">
        <f>+IF(V530=0,"CERO","NO")</f>
        <v>CERO</v>
      </c>
    </row>
    <row r="531" spans="3:31" s="260" customFormat="1" ht="15.75" thickBot="1" x14ac:dyDescent="0.3">
      <c r="C531" s="84"/>
      <c r="D531" s="375" t="s">
        <v>128</v>
      </c>
      <c r="E531" s="376" t="s">
        <v>129</v>
      </c>
      <c r="F531" s="376" t="s">
        <v>130</v>
      </c>
      <c r="G531" s="376" t="s">
        <v>131</v>
      </c>
      <c r="H531" s="376" t="s">
        <v>132</v>
      </c>
      <c r="I531" s="376" t="s">
        <v>133</v>
      </c>
      <c r="J531" s="377" t="s">
        <v>134</v>
      </c>
      <c r="K531" s="88"/>
      <c r="M531" s="534"/>
      <c r="N531" s="536" t="s">
        <v>101</v>
      </c>
      <c r="O531" s="536"/>
      <c r="P531" s="536"/>
      <c r="Q531" s="536"/>
      <c r="R531" s="536"/>
      <c r="S531" s="536"/>
      <c r="T531" s="536"/>
      <c r="U531" s="536"/>
      <c r="V531" s="389">
        <f>+SUM(V526:V530)</f>
        <v>583.75600000000009</v>
      </c>
      <c r="Y531" s="398" t="s">
        <v>135</v>
      </c>
      <c r="Z531" s="397">
        <f>+SUM(Z526:Z530)</f>
        <v>28621.556680000005</v>
      </c>
      <c r="AA531" s="86"/>
      <c r="AB531" s="384"/>
      <c r="AC531" s="385"/>
      <c r="AD531" s="94"/>
      <c r="AE531" s="399"/>
    </row>
    <row r="532" spans="3:31" s="260" customFormat="1" ht="15.75" thickBot="1" x14ac:dyDescent="0.3">
      <c r="C532" s="84"/>
      <c r="D532" s="375">
        <f>C522</f>
        <v>2.0099999999999998</v>
      </c>
      <c r="E532" s="376"/>
      <c r="F532" s="376"/>
      <c r="G532" s="376"/>
      <c r="H532" s="376"/>
      <c r="I532" s="376"/>
      <c r="J532" s="377"/>
      <c r="K532" s="88"/>
      <c r="M532" s="566"/>
      <c r="N532" s="567" t="s">
        <v>102</v>
      </c>
      <c r="O532" s="567"/>
      <c r="P532" s="567"/>
      <c r="Q532" s="567"/>
      <c r="R532" s="567"/>
      <c r="S532" s="567"/>
      <c r="T532" s="567"/>
      <c r="U532" s="567"/>
      <c r="V532" s="400">
        <f>+ROUND(V531,$AA$5)</f>
        <v>583.76</v>
      </c>
      <c r="Y532" s="401" t="s">
        <v>136</v>
      </c>
      <c r="Z532" s="402">
        <f>+ROUND(Z531,$AA$5)</f>
        <v>28621.56</v>
      </c>
      <c r="AA532" s="86"/>
      <c r="AB532" s="403">
        <f>+V532*Y522</f>
        <v>28621.752800000002</v>
      </c>
      <c r="AC532" s="404">
        <f>+AB532-Z532</f>
        <v>0.19280000000071595</v>
      </c>
      <c r="AD532" s="94"/>
      <c r="AE532" s="405"/>
    </row>
    <row r="533" spans="3:31" s="260" customFormat="1" x14ac:dyDescent="0.25">
      <c r="C533" s="84"/>
      <c r="D533" s="380"/>
      <c r="E533" s="381"/>
      <c r="F533" s="381"/>
      <c r="G533" s="381"/>
      <c r="H533" s="381"/>
      <c r="I533" s="381"/>
      <c r="J533" s="382"/>
      <c r="K533" s="88"/>
      <c r="M533" s="510" t="s">
        <v>103</v>
      </c>
      <c r="N533" s="511"/>
      <c r="O533" s="511"/>
      <c r="P533" s="511"/>
      <c r="Q533" s="511"/>
      <c r="R533" s="511"/>
      <c r="S533" s="511"/>
      <c r="T533" s="511"/>
      <c r="U533" s="511"/>
      <c r="V533" s="512"/>
      <c r="Y533" s="378"/>
      <c r="Z533" s="121"/>
      <c r="AA533" s="86"/>
      <c r="AB533" s="513"/>
      <c r="AC533" s="514"/>
      <c r="AD533" s="94"/>
      <c r="AE533" s="126"/>
    </row>
    <row r="534" spans="3:31" s="260" customFormat="1" x14ac:dyDescent="0.25">
      <c r="C534" s="84"/>
      <c r="D534" s="85"/>
      <c r="E534" s="86"/>
      <c r="F534" s="86"/>
      <c r="G534" s="86"/>
      <c r="H534" s="86"/>
      <c r="I534" s="86"/>
      <c r="J534" s="87"/>
      <c r="K534" s="88"/>
      <c r="M534" s="99" t="s">
        <v>94</v>
      </c>
      <c r="N534" s="561" t="s">
        <v>95</v>
      </c>
      <c r="O534" s="561"/>
      <c r="P534" s="561"/>
      <c r="Q534" s="561"/>
      <c r="R534" s="95" t="s">
        <v>96</v>
      </c>
      <c r="S534" s="95" t="s">
        <v>104</v>
      </c>
      <c r="T534" s="356" t="s">
        <v>105</v>
      </c>
      <c r="U534" s="356" t="s">
        <v>8</v>
      </c>
      <c r="V534" s="100" t="s">
        <v>98</v>
      </c>
      <c r="Y534" s="383" t="s">
        <v>104</v>
      </c>
      <c r="Z534" s="119" t="s">
        <v>9</v>
      </c>
      <c r="AA534" s="86"/>
      <c r="AB534" s="384"/>
      <c r="AC534" s="385"/>
      <c r="AD534" s="94"/>
      <c r="AE534" s="406"/>
    </row>
    <row r="535" spans="3:31" s="260" customFormat="1" x14ac:dyDescent="0.25">
      <c r="C535" s="84"/>
      <c r="D535" s="85"/>
      <c r="E535" s="86"/>
      <c r="F535" s="86"/>
      <c r="G535" s="86"/>
      <c r="H535" s="86"/>
      <c r="I535" s="86"/>
      <c r="J535" s="87"/>
      <c r="K535" s="88"/>
      <c r="M535" s="102">
        <v>682</v>
      </c>
      <c r="N535" s="533" t="str">
        <f>IFERROR(VLOOKUP(M535,INSUMOS!$C$8:$K$928,2,0),"-----")</f>
        <v>TUBO PVC-P 1/2" RDE 9</v>
      </c>
      <c r="O535" s="533"/>
      <c r="P535" s="533"/>
      <c r="Q535" s="533"/>
      <c r="R535" s="78" t="str">
        <f>IFERROR(VLOOKUP(M535,INSUMOS!$C$8:$K$928,6,0),"-----")</f>
        <v>ml</v>
      </c>
      <c r="S535" s="396">
        <v>1</v>
      </c>
      <c r="T535" s="387">
        <v>0.02</v>
      </c>
      <c r="U535" s="388">
        <f>IFERROR(VLOOKUP(M535,INSUMOS!$C$8:$K$928,7,0),"0")</f>
        <v>5204.666666666667</v>
      </c>
      <c r="V535" s="389">
        <f>+IFERROR(U535*(S535*(1+T535)),0)</f>
        <v>5308.76</v>
      </c>
      <c r="Y535" s="393">
        <f>+IFERROR(Y522*(S535*(1+T535)),0)</f>
        <v>50.010600000000004</v>
      </c>
      <c r="Z535" s="391">
        <f>Y522*V535</f>
        <v>260288.50280000002</v>
      </c>
      <c r="AA535" s="394"/>
      <c r="AB535" s="395">
        <f>+Y535*U535</f>
        <v>260288.50280000005</v>
      </c>
      <c r="AC535" s="93">
        <f>+AB535-Z535</f>
        <v>0</v>
      </c>
      <c r="AD535" s="94"/>
      <c r="AE535" s="406" t="str">
        <f>+IF(V535=0,"CERO","NO")</f>
        <v>NO</v>
      </c>
    </row>
    <row r="536" spans="3:31" s="260" customFormat="1" x14ac:dyDescent="0.25">
      <c r="C536" s="84"/>
      <c r="D536" s="85"/>
      <c r="E536" s="86"/>
      <c r="F536" s="86"/>
      <c r="G536" s="86"/>
      <c r="H536" s="86"/>
      <c r="I536" s="86"/>
      <c r="J536" s="87"/>
      <c r="K536" s="88"/>
      <c r="M536" s="102">
        <v>699</v>
      </c>
      <c r="N536" s="533" t="str">
        <f>IFERROR(VLOOKUP(M536,INSUMOS!$C$8:$K$928,2,0),"-----")</f>
        <v>SOLDADURA PVC LIQUIDA 1/4"</v>
      </c>
      <c r="O536" s="533"/>
      <c r="P536" s="533"/>
      <c r="Q536" s="533"/>
      <c r="R536" s="78" t="str">
        <f>IFERROR(VLOOKUP(M536,INSUMOS!$C$8:$K$928,6,0),"-----")</f>
        <v>und</v>
      </c>
      <c r="S536" s="396">
        <v>0.01</v>
      </c>
      <c r="T536" s="387">
        <v>0.02</v>
      </c>
      <c r="U536" s="388">
        <f>IFERROR(VLOOKUP(M536,INSUMOS!$C$8:$K$928,7,0),"0")</f>
        <v>146569</v>
      </c>
      <c r="V536" s="389">
        <f>+IFERROR(U536*(S536*(1+T536)),0)</f>
        <v>1495.0038000000002</v>
      </c>
      <c r="Y536" s="393">
        <f>+IFERROR(Y522*(S536*(1+T536)),0)</f>
        <v>0.50010600000000005</v>
      </c>
      <c r="Z536" s="391">
        <f>Y522*V536</f>
        <v>73300.036314000012</v>
      </c>
      <c r="AA536" s="394"/>
      <c r="AB536" s="395">
        <f>+Y536*U536</f>
        <v>73300.036314000012</v>
      </c>
      <c r="AC536" s="93">
        <f>+AB536-Z536</f>
        <v>0</v>
      </c>
      <c r="AD536" s="94"/>
      <c r="AE536" s="406" t="str">
        <f>+IF(V536=0,"CERO","NO")</f>
        <v>NO</v>
      </c>
    </row>
    <row r="537" spans="3:31" s="260" customFormat="1" x14ac:dyDescent="0.25">
      <c r="C537" s="84"/>
      <c r="D537" s="85"/>
      <c r="E537" s="86"/>
      <c r="F537" s="86"/>
      <c r="G537" s="86"/>
      <c r="H537" s="86"/>
      <c r="I537" s="86"/>
      <c r="J537" s="87"/>
      <c r="K537" s="88"/>
      <c r="M537" s="102">
        <v>700</v>
      </c>
      <c r="N537" s="533" t="str">
        <f>IFERROR(VLOOKUP(M537,INSUMOS!$C$8:$K$928,2,0),"-----")</f>
        <v>LIMPIADOR PVC 1/4</v>
      </c>
      <c r="O537" s="533"/>
      <c r="P537" s="533"/>
      <c r="Q537" s="533"/>
      <c r="R537" s="78" t="str">
        <f>IFERROR(VLOOKUP(M537,INSUMOS!$C$8:$K$928,6,0),"-----")</f>
        <v>und</v>
      </c>
      <c r="S537" s="396">
        <v>0.01</v>
      </c>
      <c r="T537" s="387">
        <v>0.02</v>
      </c>
      <c r="U537" s="388">
        <f>IFERROR(VLOOKUP(M537,INSUMOS!$C$8:$K$928,7,0),"0")</f>
        <v>65913</v>
      </c>
      <c r="V537" s="389">
        <f>+IFERROR(U537*(S537*(1+T537)),0)</f>
        <v>672.31260000000009</v>
      </c>
      <c r="Y537" s="393">
        <f>+IFERROR(Y522*(S537*(1+T537)),0)</f>
        <v>0.50010600000000005</v>
      </c>
      <c r="Z537" s="391">
        <f>Y522*V537</f>
        <v>32963.486778000006</v>
      </c>
      <c r="AA537" s="394"/>
      <c r="AB537" s="395">
        <f>+Y537*U537</f>
        <v>32963.486778000006</v>
      </c>
      <c r="AC537" s="93">
        <f>+AB537-Z537</f>
        <v>0</v>
      </c>
      <c r="AD537" s="94"/>
      <c r="AE537" s="406" t="str">
        <f>+IF(V537=0,"CERO","NO")</f>
        <v>NO</v>
      </c>
    </row>
    <row r="538" spans="3:31" s="260" customFormat="1" x14ac:dyDescent="0.25">
      <c r="C538" s="84"/>
      <c r="D538" s="85"/>
      <c r="E538" s="86"/>
      <c r="F538" s="86"/>
      <c r="G538" s="86"/>
      <c r="H538" s="86"/>
      <c r="I538" s="86"/>
      <c r="J538" s="87"/>
      <c r="K538" s="88"/>
      <c r="M538" s="102">
        <v>0</v>
      </c>
      <c r="N538" s="533" t="str">
        <f>IFERROR(VLOOKUP(M538,INSUMOS!$C$8:$K$928,2,0),"-----")</f>
        <v>-----</v>
      </c>
      <c r="O538" s="533"/>
      <c r="P538" s="533"/>
      <c r="Q538" s="533"/>
      <c r="R538" s="78" t="str">
        <f>IFERROR(VLOOKUP(M538,INSUMOS!$C$8:$K$928,6,0),"-----")</f>
        <v>-----</v>
      </c>
      <c r="S538" s="396"/>
      <c r="T538" s="387">
        <v>0</v>
      </c>
      <c r="U538" s="388" t="str">
        <f>IFERROR(VLOOKUP(M538,INSUMOS!$C$8:$K$928,7,0),"0")</f>
        <v>0</v>
      </c>
      <c r="V538" s="389">
        <f>+IFERROR(U538*(S538*(1+T538)),0)</f>
        <v>0</v>
      </c>
      <c r="Y538" s="393">
        <f>+IFERROR(Y522*(S538*(1+T538)),0)</f>
        <v>0</v>
      </c>
      <c r="Z538" s="391">
        <f>Y522*V538</f>
        <v>0</v>
      </c>
      <c r="AA538" s="394"/>
      <c r="AB538" s="395">
        <f>+Y538*U538</f>
        <v>0</v>
      </c>
      <c r="AC538" s="93">
        <f>+AB538-Z538</f>
        <v>0</v>
      </c>
      <c r="AD538" s="94"/>
      <c r="AE538" s="406" t="str">
        <f>+IF(V538=0,"CERO","NO")</f>
        <v>CERO</v>
      </c>
    </row>
    <row r="539" spans="3:31" s="260" customFormat="1" ht="15.75" thickBot="1" x14ac:dyDescent="0.3">
      <c r="C539" s="84"/>
      <c r="D539" s="85"/>
      <c r="E539" s="86"/>
      <c r="F539" s="86"/>
      <c r="G539" s="86"/>
      <c r="H539" s="86"/>
      <c r="I539" s="86"/>
      <c r="J539" s="87"/>
      <c r="K539" s="88"/>
      <c r="M539" s="102">
        <v>0</v>
      </c>
      <c r="N539" s="564"/>
      <c r="O539" s="564"/>
      <c r="P539" s="564"/>
      <c r="Q539" s="564"/>
      <c r="R539" s="96"/>
      <c r="S539" s="79"/>
      <c r="T539" s="97"/>
      <c r="U539" s="358"/>
      <c r="V539" s="397"/>
      <c r="Y539" s="393">
        <f>+IFERROR(Y522*(S539*(1+T539)),0)</f>
        <v>0</v>
      </c>
      <c r="Z539" s="391">
        <f>Y522*V539</f>
        <v>0</v>
      </c>
      <c r="AA539" s="394"/>
      <c r="AB539" s="395">
        <f>+Y539*U539</f>
        <v>0</v>
      </c>
      <c r="AC539" s="93">
        <f>+AB539-Z539</f>
        <v>0</v>
      </c>
      <c r="AD539" s="94"/>
      <c r="AE539" s="406" t="str">
        <f>+IF(V539=0,"CERO","NO")</f>
        <v>CERO</v>
      </c>
    </row>
    <row r="540" spans="3:31" s="260" customFormat="1" ht="15.75" thickBot="1" x14ac:dyDescent="0.3">
      <c r="C540" s="84"/>
      <c r="D540" s="375" t="s">
        <v>128</v>
      </c>
      <c r="E540" s="376" t="s">
        <v>129</v>
      </c>
      <c r="F540" s="376" t="s">
        <v>130</v>
      </c>
      <c r="G540" s="376" t="s">
        <v>131</v>
      </c>
      <c r="H540" s="376" t="s">
        <v>132</v>
      </c>
      <c r="I540" s="376" t="s">
        <v>133</v>
      </c>
      <c r="J540" s="377" t="s">
        <v>134</v>
      </c>
      <c r="K540" s="88"/>
      <c r="M540" s="534"/>
      <c r="N540" s="536" t="s">
        <v>106</v>
      </c>
      <c r="O540" s="536"/>
      <c r="P540" s="536"/>
      <c r="Q540" s="536"/>
      <c r="R540" s="536"/>
      <c r="S540" s="536"/>
      <c r="T540" s="536"/>
      <c r="U540" s="536"/>
      <c r="V540" s="389">
        <f>+SUM(V535:V539)</f>
        <v>7476.0764000000008</v>
      </c>
      <c r="Y540" s="398" t="s">
        <v>135</v>
      </c>
      <c r="Z540" s="397">
        <f>+SUM(Z535:Z539)</f>
        <v>366552.02589200006</v>
      </c>
      <c r="AA540" s="86"/>
      <c r="AB540" s="384"/>
      <c r="AC540" s="385"/>
      <c r="AD540" s="94"/>
      <c r="AE540" s="399"/>
    </row>
    <row r="541" spans="3:31" s="260" customFormat="1" ht="15.75" thickBot="1" x14ac:dyDescent="0.3">
      <c r="C541" s="84"/>
      <c r="D541" s="375"/>
      <c r="E541" s="407">
        <f>+D532</f>
        <v>2.0099999999999998</v>
      </c>
      <c r="F541" s="376"/>
      <c r="G541" s="376"/>
      <c r="H541" s="376"/>
      <c r="I541" s="376"/>
      <c r="J541" s="377"/>
      <c r="K541" s="88"/>
      <c r="M541" s="535"/>
      <c r="N541" s="537" t="s">
        <v>107</v>
      </c>
      <c r="O541" s="537"/>
      <c r="P541" s="537"/>
      <c r="Q541" s="537"/>
      <c r="R541" s="537"/>
      <c r="S541" s="537"/>
      <c r="T541" s="537"/>
      <c r="U541" s="537"/>
      <c r="V541" s="408">
        <f>+ROUND(V540,$AA$5)</f>
        <v>7476.08</v>
      </c>
      <c r="Y541" s="401" t="s">
        <v>136</v>
      </c>
      <c r="Z541" s="402">
        <f>+ROUND(Z540,$AA$5)</f>
        <v>366552.03</v>
      </c>
      <c r="AA541" s="86"/>
      <c r="AB541" s="403">
        <f>+V541*Y522</f>
        <v>366552.20240000001</v>
      </c>
      <c r="AC541" s="404">
        <f>+AB541-Z541</f>
        <v>0.17239999998128042</v>
      </c>
      <c r="AD541" s="94"/>
      <c r="AE541" s="405"/>
    </row>
    <row r="542" spans="3:31" s="260" customFormat="1" x14ac:dyDescent="0.25">
      <c r="C542" s="84"/>
      <c r="D542" s="380"/>
      <c r="E542" s="381"/>
      <c r="F542" s="381"/>
      <c r="G542" s="381"/>
      <c r="H542" s="381"/>
      <c r="I542" s="381"/>
      <c r="J542" s="382"/>
      <c r="K542" s="88"/>
      <c r="M542" s="568" t="s">
        <v>108</v>
      </c>
      <c r="N542" s="569"/>
      <c r="O542" s="569"/>
      <c r="P542" s="569"/>
      <c r="Q542" s="569"/>
      <c r="R542" s="569"/>
      <c r="S542" s="569"/>
      <c r="T542" s="569"/>
      <c r="U542" s="569"/>
      <c r="V542" s="570"/>
      <c r="Y542" s="378"/>
      <c r="Z542" s="121"/>
      <c r="AA542" s="86"/>
      <c r="AB542" s="409"/>
      <c r="AC542" s="121"/>
      <c r="AD542" s="94"/>
      <c r="AE542" s="126"/>
    </row>
    <row r="543" spans="3:31" s="260" customFormat="1" ht="25.5" x14ac:dyDescent="0.25">
      <c r="C543" s="84"/>
      <c r="D543" s="85"/>
      <c r="E543" s="86"/>
      <c r="F543" s="86"/>
      <c r="G543" s="86"/>
      <c r="H543" s="86"/>
      <c r="I543" s="86"/>
      <c r="J543" s="87"/>
      <c r="K543" s="88"/>
      <c r="M543" s="99" t="s">
        <v>94</v>
      </c>
      <c r="N543" s="561" t="s">
        <v>95</v>
      </c>
      <c r="O543" s="561"/>
      <c r="P543" s="561"/>
      <c r="Q543" s="95" t="s">
        <v>109</v>
      </c>
      <c r="R543" s="95" t="s">
        <v>110</v>
      </c>
      <c r="S543" s="95" t="s">
        <v>111</v>
      </c>
      <c r="T543" s="562" t="s">
        <v>112</v>
      </c>
      <c r="U543" s="562"/>
      <c r="V543" s="100" t="s">
        <v>98</v>
      </c>
      <c r="Y543" s="383" t="s">
        <v>104</v>
      </c>
      <c r="Z543" s="119" t="s">
        <v>9</v>
      </c>
      <c r="AA543" s="86"/>
      <c r="AB543" s="384"/>
      <c r="AC543" s="385"/>
      <c r="AD543" s="94"/>
      <c r="AE543" s="410"/>
    </row>
    <row r="544" spans="3:31" s="260" customFormat="1" x14ac:dyDescent="0.25">
      <c r="C544" s="84"/>
      <c r="D544" s="85"/>
      <c r="E544" s="86"/>
      <c r="F544" s="86"/>
      <c r="G544" s="86"/>
      <c r="H544" s="86"/>
      <c r="I544" s="86"/>
      <c r="J544" s="87"/>
      <c r="K544" s="88"/>
      <c r="M544" s="102">
        <v>129</v>
      </c>
      <c r="N544" s="530" t="str">
        <f>IFERROR(VLOOKUP(M544,INSUMOS!$C$8:$K$928,2,0),"-----")</f>
        <v>transporte materiales en general</v>
      </c>
      <c r="O544" s="531"/>
      <c r="P544" s="532"/>
      <c r="Q544" s="78" t="str">
        <f>IFERROR(VLOOKUP(M544,INSUMOS!$C$8:$K$928,5,0),"-----")</f>
        <v>Km</v>
      </c>
      <c r="R544" s="80">
        <v>1</v>
      </c>
      <c r="S544" s="80">
        <f>IFERROR(VLOOKUP(M544,INSUMOS!$C$8:$K$928,6,0),"0")</f>
        <v>348</v>
      </c>
      <c r="T544" s="529">
        <f>IFERROR(VLOOKUP(M544,INSUMOS!$C$8:$K$928,7,0),"0")</f>
        <v>0.99776362060288992</v>
      </c>
      <c r="U544" s="529"/>
      <c r="V544" s="82">
        <f>+T544*S544*R544</f>
        <v>347.2217399698057</v>
      </c>
      <c r="Y544" s="393">
        <f>+IFERROR((R544*S544)*Y522,0)</f>
        <v>17062.439999999999</v>
      </c>
      <c r="Z544" s="391">
        <f>Y522*V544</f>
        <v>17024.281910719572</v>
      </c>
      <c r="AA544" s="86"/>
      <c r="AB544" s="92">
        <f>+Y544*T544</f>
        <v>17024.281910719572</v>
      </c>
      <c r="AC544" s="93">
        <f>+AB544-Z544</f>
        <v>0</v>
      </c>
      <c r="AD544" s="94"/>
      <c r="AE544" s="406" t="str">
        <f>+IF(V544=0,"CERO","NO")</f>
        <v>NO</v>
      </c>
    </row>
    <row r="545" spans="3:31" s="260" customFormat="1" x14ac:dyDescent="0.25">
      <c r="C545" s="84"/>
      <c r="D545" s="85"/>
      <c r="E545" s="86"/>
      <c r="F545" s="86"/>
      <c r="G545" s="86"/>
      <c r="H545" s="86"/>
      <c r="I545" s="86"/>
      <c r="J545" s="87"/>
      <c r="K545" s="88"/>
      <c r="M545" s="102"/>
      <c r="N545" s="530" t="str">
        <f>IFERROR(VLOOKUP(M545,INSUMOS!$C$8:$K$928,2,0),"-----")</f>
        <v>-----</v>
      </c>
      <c r="O545" s="531"/>
      <c r="P545" s="532"/>
      <c r="Q545" s="78" t="str">
        <f>IFERROR(VLOOKUP(M545,INSUMOS!$C$8:$K$928,5,0),"-----")</f>
        <v>-----</v>
      </c>
      <c r="R545" s="80"/>
      <c r="S545" s="80" t="str">
        <f>IFERROR(VLOOKUP(M545,INSUMOS!$C$8:$K$928,6,0),"0")</f>
        <v>0</v>
      </c>
      <c r="T545" s="529" t="str">
        <f>IFERROR(VLOOKUP(M545,INSUMOS!$C$8:$K$928,7,0),"0")</f>
        <v>0</v>
      </c>
      <c r="U545" s="529"/>
      <c r="V545" s="82">
        <f>+T545*S545*R545</f>
        <v>0</v>
      </c>
      <c r="Y545" s="393">
        <f>+IFERROR((R545*S545)*Y522,0)</f>
        <v>0</v>
      </c>
      <c r="Z545" s="391">
        <f>Y522*V545</f>
        <v>0</v>
      </c>
      <c r="AA545" s="86"/>
      <c r="AB545" s="92">
        <f>+Y545*T545</f>
        <v>0</v>
      </c>
      <c r="AC545" s="93">
        <f>+AB545-Z545</f>
        <v>0</v>
      </c>
      <c r="AD545" s="94"/>
      <c r="AE545" s="406" t="str">
        <f>+IF(V545=0,"CERO","NO")</f>
        <v>CERO</v>
      </c>
    </row>
    <row r="546" spans="3:31" s="260" customFormat="1" x14ac:dyDescent="0.25">
      <c r="C546" s="84"/>
      <c r="D546" s="85"/>
      <c r="E546" s="86"/>
      <c r="F546" s="86"/>
      <c r="G546" s="86"/>
      <c r="H546" s="86"/>
      <c r="I546" s="86"/>
      <c r="J546" s="87"/>
      <c r="K546" s="88"/>
      <c r="M546" s="102">
        <v>0</v>
      </c>
      <c r="N546" s="530" t="str">
        <f>IFERROR(VLOOKUP(M546,INSUMOS!$C$8:$K$928,2,0),"-----")</f>
        <v>-----</v>
      </c>
      <c r="O546" s="531"/>
      <c r="P546" s="532"/>
      <c r="Q546" s="78" t="str">
        <f>IFERROR(VLOOKUP(M546,INSUMOS!$C$8:$K$928,5,0),"-----")</f>
        <v>-----</v>
      </c>
      <c r="R546" s="80"/>
      <c r="S546" s="80" t="str">
        <f>IFERROR(VLOOKUP(M546,INSUMOS!$C$8:$K$928,6,0),"0")</f>
        <v>0</v>
      </c>
      <c r="T546" s="529" t="str">
        <f>IFERROR(VLOOKUP(M546,INSUMOS!$C$8:$K$928,7,0),"0")</f>
        <v>0</v>
      </c>
      <c r="U546" s="529"/>
      <c r="V546" s="82">
        <f>+T546*S546*R546</f>
        <v>0</v>
      </c>
      <c r="Y546" s="393">
        <f>+IFERROR((R546*S546)*Y522,0)</f>
        <v>0</v>
      </c>
      <c r="Z546" s="391">
        <f>Y522*V546</f>
        <v>0</v>
      </c>
      <c r="AA546" s="86"/>
      <c r="AB546" s="92">
        <f>+Y546*T546</f>
        <v>0</v>
      </c>
      <c r="AC546" s="93">
        <f>+AB546-Z546</f>
        <v>0</v>
      </c>
      <c r="AD546" s="94"/>
      <c r="AE546" s="406" t="str">
        <f>+IF(V546=0,"CERO","NO")</f>
        <v>CERO</v>
      </c>
    </row>
    <row r="547" spans="3:31" s="260" customFormat="1" ht="15.75" thickBot="1" x14ac:dyDescent="0.3">
      <c r="C547" s="84"/>
      <c r="D547" s="89"/>
      <c r="E547" s="90"/>
      <c r="F547" s="90"/>
      <c r="G547" s="90"/>
      <c r="H547" s="90"/>
      <c r="I547" s="90"/>
      <c r="J547" s="91"/>
      <c r="K547" s="88"/>
      <c r="M547" s="102">
        <v>0</v>
      </c>
      <c r="N547" s="533"/>
      <c r="O547" s="533"/>
      <c r="P547" s="533"/>
      <c r="Q547" s="79"/>
      <c r="R547" s="78"/>
      <c r="S547" s="81"/>
      <c r="T547" s="529"/>
      <c r="U547" s="529"/>
      <c r="V547" s="82"/>
      <c r="Y547" s="393">
        <f>+IFERROR((R547*S547)*Y522,0)</f>
        <v>0</v>
      </c>
      <c r="Z547" s="391">
        <f>Y522*V547</f>
        <v>0</v>
      </c>
      <c r="AA547" s="86"/>
      <c r="AB547" s="92">
        <f>+Y547*T547</f>
        <v>0</v>
      </c>
      <c r="AC547" s="93">
        <f>+AB547-Z547</f>
        <v>0</v>
      </c>
      <c r="AD547" s="94"/>
      <c r="AE547" s="406" t="str">
        <f>+IF(V547=0,"CERO","NO")</f>
        <v>CERO</v>
      </c>
    </row>
    <row r="548" spans="3:31" s="260" customFormat="1" ht="15.75" thickBot="1" x14ac:dyDescent="0.3">
      <c r="C548" s="84"/>
      <c r="D548" s="375" t="s">
        <v>128</v>
      </c>
      <c r="E548" s="376" t="s">
        <v>129</v>
      </c>
      <c r="F548" s="376" t="s">
        <v>130</v>
      </c>
      <c r="G548" s="376" t="s">
        <v>131</v>
      </c>
      <c r="H548" s="376" t="s">
        <v>132</v>
      </c>
      <c r="I548" s="376" t="s">
        <v>133</v>
      </c>
      <c r="J548" s="377" t="s">
        <v>134</v>
      </c>
      <c r="K548" s="88"/>
      <c r="M548" s="534"/>
      <c r="N548" s="536" t="s">
        <v>113</v>
      </c>
      <c r="O548" s="536"/>
      <c r="P548" s="536"/>
      <c r="Q548" s="536"/>
      <c r="R548" s="536"/>
      <c r="S548" s="536"/>
      <c r="T548" s="536"/>
      <c r="U548" s="536"/>
      <c r="V548" s="411">
        <f>+SUM(V544:V547)</f>
        <v>347.2217399698057</v>
      </c>
      <c r="Y548" s="398" t="s">
        <v>135</v>
      </c>
      <c r="Z548" s="397">
        <f>+SUM(Z544:Z547)</f>
        <v>17024.281910719572</v>
      </c>
      <c r="AA548" s="86"/>
      <c r="AB548" s="384"/>
      <c r="AC548" s="385"/>
      <c r="AD548" s="94"/>
      <c r="AE548" s="399"/>
    </row>
    <row r="549" spans="3:31" s="260" customFormat="1" ht="15.75" thickBot="1" x14ac:dyDescent="0.3">
      <c r="C549" s="84"/>
      <c r="D549" s="355"/>
      <c r="E549" s="367"/>
      <c r="F549" s="412">
        <f>+E541</f>
        <v>2.0099999999999998</v>
      </c>
      <c r="G549" s="367"/>
      <c r="H549" s="367"/>
      <c r="I549" s="367"/>
      <c r="J549" s="368"/>
      <c r="K549" s="88"/>
      <c r="M549" s="535"/>
      <c r="N549" s="537" t="s">
        <v>114</v>
      </c>
      <c r="O549" s="537"/>
      <c r="P549" s="537"/>
      <c r="Q549" s="537"/>
      <c r="R549" s="537"/>
      <c r="S549" s="537"/>
      <c r="T549" s="537"/>
      <c r="U549" s="537"/>
      <c r="V549" s="413">
        <f>+ROUND(V548,$AA$5)</f>
        <v>347.22</v>
      </c>
      <c r="Y549" s="401" t="s">
        <v>136</v>
      </c>
      <c r="Z549" s="402">
        <f>+ROUND(Z548,$AA$5)</f>
        <v>17024.28</v>
      </c>
      <c r="AA549" s="86"/>
      <c r="AB549" s="403">
        <f>+V549*Y522</f>
        <v>17024.196600000003</v>
      </c>
      <c r="AC549" s="414"/>
      <c r="AD549" s="94"/>
      <c r="AE549" s="405"/>
    </row>
    <row r="550" spans="3:31" s="260" customFormat="1" ht="15.75" thickBot="1" x14ac:dyDescent="0.3">
      <c r="C550" s="84"/>
      <c r="D550" s="415"/>
      <c r="E550" s="416"/>
      <c r="F550" s="416"/>
      <c r="G550" s="416"/>
      <c r="H550" s="416"/>
      <c r="I550" s="416"/>
      <c r="J550" s="417"/>
      <c r="K550" s="88"/>
      <c r="M550" s="538" t="s">
        <v>115</v>
      </c>
      <c r="N550" s="539"/>
      <c r="O550" s="539"/>
      <c r="P550" s="539"/>
      <c r="Q550" s="539"/>
      <c r="R550" s="539"/>
      <c r="S550" s="539"/>
      <c r="T550" s="539"/>
      <c r="U550" s="539"/>
      <c r="V550" s="540"/>
      <c r="Y550" s="378"/>
      <c r="Z550" s="121"/>
      <c r="AA550" s="86"/>
      <c r="AB550" s="409"/>
      <c r="AC550" s="121"/>
      <c r="AD550" s="94"/>
      <c r="AE550" s="126"/>
    </row>
    <row r="551" spans="3:31" s="260" customFormat="1" ht="15.75" thickBot="1" x14ac:dyDescent="0.3">
      <c r="C551" s="84"/>
      <c r="D551" s="375" t="s">
        <v>128</v>
      </c>
      <c r="E551" s="376" t="s">
        <v>129</v>
      </c>
      <c r="F551" s="376" t="s">
        <v>130</v>
      </c>
      <c r="G551" s="376" t="s">
        <v>131</v>
      </c>
      <c r="H551" s="376" t="s">
        <v>132</v>
      </c>
      <c r="I551" s="376" t="s">
        <v>133</v>
      </c>
      <c r="J551" s="377" t="s">
        <v>134</v>
      </c>
      <c r="K551" s="88"/>
      <c r="M551" s="99" t="s">
        <v>94</v>
      </c>
      <c r="N551" s="98" t="s">
        <v>95</v>
      </c>
      <c r="O551" s="95" t="s">
        <v>96</v>
      </c>
      <c r="P551" s="359" t="s">
        <v>104</v>
      </c>
      <c r="Q551" s="95" t="s">
        <v>116</v>
      </c>
      <c r="R551" s="418" t="s">
        <v>117</v>
      </c>
      <c r="S551" s="95" t="s">
        <v>347</v>
      </c>
      <c r="T551" s="419" t="s">
        <v>118</v>
      </c>
      <c r="U551" s="189" t="s">
        <v>119</v>
      </c>
      <c r="V551" s="100" t="s">
        <v>98</v>
      </c>
      <c r="Y551" s="383" t="s">
        <v>104</v>
      </c>
      <c r="Z551" s="119" t="s">
        <v>9</v>
      </c>
      <c r="AA551" s="86"/>
      <c r="AB551" s="384"/>
      <c r="AC551" s="385"/>
      <c r="AD551" s="94"/>
      <c r="AE551" s="410"/>
    </row>
    <row r="552" spans="3:31" s="260" customFormat="1" ht="25.5" x14ac:dyDescent="0.25">
      <c r="C552" s="84"/>
      <c r="D552" s="354"/>
      <c r="E552" s="96"/>
      <c r="F552" s="96"/>
      <c r="G552" s="96"/>
      <c r="H552" s="96"/>
      <c r="I552" s="96"/>
      <c r="J552" s="420">
        <f>+F549</f>
        <v>2.0099999999999998</v>
      </c>
      <c r="K552" s="88"/>
      <c r="M552" s="102">
        <v>207</v>
      </c>
      <c r="N552" s="347" t="str">
        <f>IFERROR(VLOOKUP(M552,INSUMOS!$C$8:$K$928,2,0),"-----")</f>
        <v>Oficial Hidrosanitario</v>
      </c>
      <c r="O552" s="78" t="str">
        <f>IFERROR(VLOOKUP(M552,INSUMOS!$C$8:$K$928,3,0),"-----")</f>
        <v>JORNAL+PS</v>
      </c>
      <c r="P552" s="80">
        <v>1</v>
      </c>
      <c r="Q552" s="79">
        <v>25</v>
      </c>
      <c r="R552" s="190">
        <f>IFERROR(VLOOKUP(M552,INSUMOS!$C$8:$K$928,4,0),"-----")</f>
        <v>92983</v>
      </c>
      <c r="S552" s="190">
        <f>IFERROR(VLOOKUP(M552,INSUMOS!$C$8:$K$928,6,0),"-----")</f>
        <v>74386</v>
      </c>
      <c r="T552" s="190">
        <f>IFERROR(VLOOKUP(M552,INSUMOS!$C$8:$K$928,5,0),"-----")</f>
        <v>0</v>
      </c>
      <c r="U552" s="388">
        <f>SUM(R552:T552)</f>
        <v>167369</v>
      </c>
      <c r="V552" s="82">
        <f>+IFERROR((P552/Q552)*U552,0)</f>
        <v>6694.76</v>
      </c>
      <c r="Y552" s="393">
        <f>+IFERROR((Y522/Q552*P552),0)</f>
        <v>1.9612000000000001</v>
      </c>
      <c r="Z552" s="391">
        <f>Y522*V552</f>
        <v>328244.08280000003</v>
      </c>
      <c r="AA552" s="86"/>
      <c r="AB552" s="92">
        <f>+(U552)*Y552</f>
        <v>328244.08280000003</v>
      </c>
      <c r="AC552" s="93">
        <f>+AB552-Z552</f>
        <v>0</v>
      </c>
      <c r="AD552" s="421"/>
      <c r="AE552" s="410" t="str">
        <f>+IF(V552=0,"CERO","NO")</f>
        <v>NO</v>
      </c>
    </row>
    <row r="553" spans="3:31" s="260" customFormat="1" ht="26.25" thickBot="1" x14ac:dyDescent="0.3">
      <c r="C553" s="84"/>
      <c r="D553" s="355"/>
      <c r="E553" s="367"/>
      <c r="F553" s="367"/>
      <c r="G553" s="367"/>
      <c r="H553" s="367"/>
      <c r="I553" s="367"/>
      <c r="J553" s="422">
        <f>+J552</f>
        <v>2.0099999999999998</v>
      </c>
      <c r="K553" s="88"/>
      <c r="M553" s="102">
        <v>208</v>
      </c>
      <c r="N553" s="347" t="str">
        <f>IFERROR(VLOOKUP(M553,INSUMOS!$C$8:$K$928,2,0),"-----")</f>
        <v>Ayudante Hidrosanitario</v>
      </c>
      <c r="O553" s="78" t="str">
        <f>IFERROR(VLOOKUP(M553,INSUMOS!$C$8:$K$928,3,0),"-----")</f>
        <v>JORNAL+PS</v>
      </c>
      <c r="P553" s="80">
        <v>1</v>
      </c>
      <c r="Q553" s="79">
        <v>25</v>
      </c>
      <c r="R553" s="190">
        <f>IFERROR(VLOOKUP(M553,INSUMOS!$C$8:$K$928,4,0),"-----")</f>
        <v>69172</v>
      </c>
      <c r="S553" s="190">
        <f>IFERROR(VLOOKUP(M553,INSUMOS!$C$8:$K$928,6,0),"-----")</f>
        <v>55337</v>
      </c>
      <c r="T553" s="190">
        <f>IFERROR(VLOOKUP(M553,INSUMOS!$C$8:$K$928,5,0),"-----")</f>
        <v>0</v>
      </c>
      <c r="U553" s="388">
        <f>SUM(R553:T553)</f>
        <v>124509</v>
      </c>
      <c r="V553" s="82">
        <f>+IFERROR((P553/Q553)*U553,0)</f>
        <v>4980.3599999999997</v>
      </c>
      <c r="Y553" s="393">
        <f>+IFERROR((Y522/Q553*P553),0)</f>
        <v>1.9612000000000001</v>
      </c>
      <c r="Z553" s="391">
        <f>Y522*V553</f>
        <v>244187.0508</v>
      </c>
      <c r="AA553" s="86"/>
      <c r="AB553" s="92">
        <f>+U553*Y553</f>
        <v>244187.0508</v>
      </c>
      <c r="AC553" s="93">
        <f>+AB553-Z553</f>
        <v>0</v>
      </c>
      <c r="AD553" s="94"/>
      <c r="AE553" s="410" t="str">
        <f>+IF(V553=0,"CERO","NO")</f>
        <v>NO</v>
      </c>
    </row>
    <row r="554" spans="3:31" s="260" customFormat="1" ht="15.75" thickBot="1" x14ac:dyDescent="0.3">
      <c r="C554" s="84"/>
      <c r="D554" s="375" t="s">
        <v>128</v>
      </c>
      <c r="E554" s="376" t="s">
        <v>129</v>
      </c>
      <c r="F554" s="376" t="s">
        <v>130</v>
      </c>
      <c r="G554" s="376" t="s">
        <v>131</v>
      </c>
      <c r="H554" s="376" t="s">
        <v>132</v>
      </c>
      <c r="I554" s="376" t="s">
        <v>133</v>
      </c>
      <c r="J554" s="377" t="s">
        <v>134</v>
      </c>
      <c r="K554" s="88"/>
      <c r="M554" s="534"/>
      <c r="N554" s="536" t="s">
        <v>120</v>
      </c>
      <c r="O554" s="536"/>
      <c r="P554" s="536"/>
      <c r="Q554" s="536"/>
      <c r="R554" s="536"/>
      <c r="S554" s="536"/>
      <c r="T554" s="536"/>
      <c r="U554" s="536"/>
      <c r="V554" s="82">
        <f>+SUM(V552:V553)</f>
        <v>11675.119999999999</v>
      </c>
      <c r="Y554" s="398" t="s">
        <v>135</v>
      </c>
      <c r="Z554" s="397">
        <f>+SUM(Z552:Z553)</f>
        <v>572431.13360000006</v>
      </c>
      <c r="AA554" s="86"/>
      <c r="AB554" s="384"/>
      <c r="AC554" s="385"/>
      <c r="AD554" s="94"/>
      <c r="AE554" s="399"/>
    </row>
    <row r="555" spans="3:31" s="260" customFormat="1" ht="15.75" thickBot="1" x14ac:dyDescent="0.3">
      <c r="C555" s="84"/>
      <c r="D555" s="354"/>
      <c r="E555" s="96"/>
      <c r="F555" s="96"/>
      <c r="G555" s="107">
        <f>+F549</f>
        <v>2.0099999999999998</v>
      </c>
      <c r="H555" s="96"/>
      <c r="I555" s="96"/>
      <c r="J555" s="427"/>
      <c r="K555" s="88"/>
      <c r="M555" s="535"/>
      <c r="N555" s="537" t="s">
        <v>121</v>
      </c>
      <c r="O555" s="537"/>
      <c r="P555" s="537"/>
      <c r="Q555" s="537"/>
      <c r="R555" s="537"/>
      <c r="S555" s="537"/>
      <c r="T555" s="537"/>
      <c r="U555" s="537"/>
      <c r="V555" s="413">
        <f>+ROUND(V554,$AA$5)</f>
        <v>11675.12</v>
      </c>
      <c r="Y555" s="401" t="s">
        <v>136</v>
      </c>
      <c r="Z555" s="402">
        <f>+ROUND(Z554,$AA$5)</f>
        <v>572431.13</v>
      </c>
      <c r="AA555" s="86"/>
      <c r="AB555" s="403">
        <f>+V555*Y522</f>
        <v>572431.13360000006</v>
      </c>
      <c r="AC555" s="404">
        <f>+AB555-Z555</f>
        <v>3.6000000545755029E-3</v>
      </c>
      <c r="AD555" s="94"/>
      <c r="AE555" s="405"/>
    </row>
    <row r="556" spans="3:31" s="260" customFormat="1" ht="15.75" thickBot="1" x14ac:dyDescent="0.3">
      <c r="C556" s="84"/>
      <c r="D556" s="375" t="s">
        <v>128</v>
      </c>
      <c r="E556" s="376" t="s">
        <v>129</v>
      </c>
      <c r="F556" s="376" t="s">
        <v>130</v>
      </c>
      <c r="G556" s="376" t="s">
        <v>131</v>
      </c>
      <c r="H556" s="376" t="s">
        <v>132</v>
      </c>
      <c r="I556" s="376" t="s">
        <v>133</v>
      </c>
      <c r="J556" s="377" t="s">
        <v>134</v>
      </c>
      <c r="K556" s="88"/>
      <c r="M556" s="541"/>
      <c r="N556" s="542"/>
      <c r="O556" s="542"/>
      <c r="P556" s="542"/>
      <c r="Q556" s="542"/>
      <c r="R556" s="542"/>
      <c r="S556" s="542"/>
      <c r="T556" s="542"/>
      <c r="U556" s="542"/>
      <c r="V556" s="543"/>
      <c r="Y556" s="378"/>
      <c r="Z556" s="121"/>
      <c r="AA556" s="86"/>
      <c r="AB556" s="409"/>
      <c r="AC556" s="121"/>
      <c r="AD556" s="94"/>
      <c r="AE556" s="428"/>
    </row>
    <row r="557" spans="3:31" s="260" customFormat="1" ht="15.75" thickBot="1" x14ac:dyDescent="0.3">
      <c r="C557" s="84"/>
      <c r="D557" s="355"/>
      <c r="E557" s="367"/>
      <c r="F557" s="367"/>
      <c r="G557" s="367"/>
      <c r="H557" s="412">
        <f>G555</f>
        <v>2.0099999999999998</v>
      </c>
      <c r="I557" s="412"/>
      <c r="J557" s="422"/>
      <c r="K557" s="88"/>
      <c r="M557" s="544" t="s">
        <v>122</v>
      </c>
      <c r="N557" s="537"/>
      <c r="O557" s="537"/>
      <c r="P557" s="537"/>
      <c r="Q557" s="537"/>
      <c r="R557" s="537"/>
      <c r="S557" s="537"/>
      <c r="T557" s="537"/>
      <c r="U557" s="545">
        <f>+V555+V549+V541+V532</f>
        <v>20082.179999999997</v>
      </c>
      <c r="V557" s="546"/>
      <c r="Y557" s="429"/>
      <c r="Z557" s="430">
        <f>+Z555+Z549+Z541+Z532</f>
        <v>984629.00000000012</v>
      </c>
      <c r="AA557" s="86"/>
      <c r="AB557" s="431">
        <f>+AB555+AB549+AB541+AB532</f>
        <v>984629.28540000005</v>
      </c>
      <c r="AC557" s="404">
        <f>+AB557-Z557</f>
        <v>0.28539999993517995</v>
      </c>
      <c r="AD557" s="94"/>
      <c r="AE557" s="432"/>
    </row>
    <row r="558" spans="3:31" s="260" customFormat="1" ht="15.75" thickBot="1" x14ac:dyDescent="0.3"/>
    <row r="559" spans="3:31" s="260" customFormat="1" x14ac:dyDescent="0.25">
      <c r="M559" s="547" t="s">
        <v>348</v>
      </c>
      <c r="N559" s="548"/>
      <c r="O559" s="548"/>
      <c r="P559" s="548"/>
      <c r="Q559" s="548"/>
      <c r="R559" s="548"/>
      <c r="S559" s="548"/>
      <c r="T559" s="548"/>
      <c r="U559" s="548"/>
      <c r="V559" s="549"/>
      <c r="Y559" s="378"/>
      <c r="Z559" s="121"/>
      <c r="AA559" s="86"/>
      <c r="AB559" s="94"/>
      <c r="AC559" s="94"/>
      <c r="AD559" s="94"/>
      <c r="AE559" s="126" t="s">
        <v>133</v>
      </c>
    </row>
    <row r="560" spans="3:31" s="260" customFormat="1" x14ac:dyDescent="0.25">
      <c r="M560" s="515" t="s">
        <v>138</v>
      </c>
      <c r="N560" s="516"/>
      <c r="O560" s="516"/>
      <c r="P560" s="516"/>
      <c r="Q560" s="516"/>
      <c r="R560" s="516"/>
      <c r="S560" s="516"/>
      <c r="T560" s="437">
        <v>0</v>
      </c>
      <c r="U560" s="517">
        <f>+ROUND(U557*T560,$AA$5)</f>
        <v>0</v>
      </c>
      <c r="V560" s="518"/>
      <c r="Y560" s="390"/>
      <c r="Z560" s="438">
        <f>+Z557*T560</f>
        <v>0</v>
      </c>
      <c r="AA560" s="86"/>
      <c r="AB560" s="94"/>
      <c r="AC560" s="94"/>
      <c r="AD560" s="94"/>
      <c r="AE560" s="386" t="s">
        <v>133</v>
      </c>
    </row>
    <row r="561" spans="3:31" s="260" customFormat="1" x14ac:dyDescent="0.25">
      <c r="M561" s="515" t="s">
        <v>19</v>
      </c>
      <c r="N561" s="516"/>
      <c r="O561" s="516"/>
      <c r="P561" s="516"/>
      <c r="Q561" s="516"/>
      <c r="R561" s="516"/>
      <c r="S561" s="516"/>
      <c r="T561" s="437">
        <v>0.05</v>
      </c>
      <c r="U561" s="517">
        <f>+ROUND(U557*T561,$AA$5)</f>
        <v>1004.11</v>
      </c>
      <c r="V561" s="518"/>
      <c r="Y561" s="390"/>
      <c r="Z561" s="438">
        <f>+Z557*T561</f>
        <v>49231.450000000012</v>
      </c>
      <c r="AA561" s="86"/>
      <c r="AB561" s="94"/>
      <c r="AC561" s="94"/>
      <c r="AD561" s="94"/>
      <c r="AE561" s="386" t="s">
        <v>133</v>
      </c>
    </row>
    <row r="562" spans="3:31" s="260" customFormat="1" x14ac:dyDescent="0.25">
      <c r="M562" s="515" t="s">
        <v>20</v>
      </c>
      <c r="N562" s="516"/>
      <c r="O562" s="516"/>
      <c r="P562" s="516"/>
      <c r="Q562" s="516"/>
      <c r="R562" s="516"/>
      <c r="S562" s="516"/>
      <c r="T562" s="437">
        <v>0</v>
      </c>
      <c r="U562" s="517">
        <f>+ROUND(U557*T562,$AA$5)</f>
        <v>0</v>
      </c>
      <c r="V562" s="518"/>
      <c r="Y562" s="390"/>
      <c r="Z562" s="438">
        <f>+Z557*T562</f>
        <v>0</v>
      </c>
      <c r="AA562" s="86"/>
      <c r="AB562" s="94"/>
      <c r="AC562" s="94"/>
      <c r="AD562" s="94"/>
      <c r="AE562" s="386" t="s">
        <v>133</v>
      </c>
    </row>
    <row r="563" spans="3:31" s="260" customFormat="1" x14ac:dyDescent="0.25">
      <c r="M563" s="515" t="s">
        <v>21</v>
      </c>
      <c r="N563" s="516"/>
      <c r="O563" s="516"/>
      <c r="P563" s="516"/>
      <c r="Q563" s="516"/>
      <c r="R563" s="516"/>
      <c r="S563" s="516"/>
      <c r="T563" s="437">
        <f>$AA$9</f>
        <v>0</v>
      </c>
      <c r="U563" s="517">
        <f>+ROUND(U557*T563,$AA$5)</f>
        <v>0</v>
      </c>
      <c r="V563" s="518"/>
      <c r="Y563" s="390"/>
      <c r="Z563" s="438">
        <f>+Z562*T563</f>
        <v>0</v>
      </c>
      <c r="AA563" s="86"/>
      <c r="AB563" s="94"/>
      <c r="AC563" s="94"/>
      <c r="AD563" s="94"/>
      <c r="AE563" s="386" t="s">
        <v>133</v>
      </c>
    </row>
    <row r="564" spans="3:31" s="260" customFormat="1" ht="15.75" thickBot="1" x14ac:dyDescent="0.3">
      <c r="M564" s="519" t="s">
        <v>349</v>
      </c>
      <c r="N564" s="520"/>
      <c r="O564" s="520"/>
      <c r="P564" s="520"/>
      <c r="Q564" s="520"/>
      <c r="R564" s="520"/>
      <c r="S564" s="520"/>
      <c r="T564" s="520"/>
      <c r="U564" s="521">
        <f>+SUM(U560:V563)</f>
        <v>1004.11</v>
      </c>
      <c r="V564" s="522"/>
      <c r="Y564" s="390"/>
      <c r="Z564" s="439">
        <f>+SUM(Z560:Z563)</f>
        <v>49231.450000000012</v>
      </c>
      <c r="AA564" s="86"/>
      <c r="AB564" s="94"/>
      <c r="AC564" s="94"/>
      <c r="AD564" s="94"/>
      <c r="AE564" s="386" t="s">
        <v>133</v>
      </c>
    </row>
    <row r="565" spans="3:31" s="260" customFormat="1" ht="15.75" thickBot="1" x14ac:dyDescent="0.3">
      <c r="D565" s="375" t="s">
        <v>128</v>
      </c>
      <c r="E565" s="376" t="s">
        <v>129</v>
      </c>
      <c r="F565" s="376" t="s">
        <v>130</v>
      </c>
      <c r="G565" s="376" t="s">
        <v>131</v>
      </c>
      <c r="H565" s="376" t="s">
        <v>132</v>
      </c>
      <c r="I565" s="376" t="s">
        <v>133</v>
      </c>
      <c r="J565" s="377" t="s">
        <v>134</v>
      </c>
      <c r="M565" s="86"/>
      <c r="N565" s="94"/>
      <c r="O565" s="94"/>
      <c r="P565" s="94"/>
      <c r="Q565" s="86"/>
      <c r="R565" s="86"/>
      <c r="S565" s="86"/>
      <c r="T565" s="440"/>
      <c r="U565" s="523"/>
      <c r="V565" s="523"/>
      <c r="Y565" s="390"/>
      <c r="Z565" s="385"/>
      <c r="AA565" s="86"/>
      <c r="AB565" s="94"/>
      <c r="AC565" s="94"/>
      <c r="AD565" s="94"/>
      <c r="AE565" s="386" t="s">
        <v>133</v>
      </c>
    </row>
    <row r="566" spans="3:31" s="260" customFormat="1" ht="15.75" thickBot="1" x14ac:dyDescent="0.3">
      <c r="D566" s="355"/>
      <c r="E566" s="367"/>
      <c r="F566" s="367"/>
      <c r="G566" s="367"/>
      <c r="H566" s="412"/>
      <c r="I566" s="412">
        <f>H557</f>
        <v>2.0099999999999998</v>
      </c>
      <c r="J566" s="422"/>
      <c r="M566" s="524" t="s">
        <v>11</v>
      </c>
      <c r="N566" s="525"/>
      <c r="O566" s="525"/>
      <c r="P566" s="525"/>
      <c r="Q566" s="525"/>
      <c r="R566" s="525"/>
      <c r="S566" s="525"/>
      <c r="T566" s="526"/>
      <c r="U566" s="527">
        <f>+U564+U557</f>
        <v>21086.289999999997</v>
      </c>
      <c r="V566" s="528"/>
      <c r="Y566" s="429"/>
      <c r="Z566" s="441">
        <f>+Z564+Z557</f>
        <v>1033860.4500000002</v>
      </c>
      <c r="AA566" s="86"/>
      <c r="AB566" s="94"/>
      <c r="AC566" s="94"/>
      <c r="AD566" s="94"/>
      <c r="AE566" s="405" t="s">
        <v>133</v>
      </c>
    </row>
    <row r="567" spans="3:31" s="260" customFormat="1" x14ac:dyDescent="0.25"/>
    <row r="568" spans="3:31" s="260" customFormat="1" ht="15.75" thickBot="1" x14ac:dyDescent="0.3"/>
    <row r="569" spans="3:31" s="260" customFormat="1" ht="15.75" thickBot="1" x14ac:dyDescent="0.3">
      <c r="M569" s="363" t="s">
        <v>88</v>
      </c>
      <c r="N569" s="436" t="str">
        <f>+N521</f>
        <v>CAP.2</v>
      </c>
      <c r="O569" s="550" t="str">
        <f>IFERROR(VLOOKUP(N569,PPTO!C:H,2,0),"----")</f>
        <v>RED HIDRAULICA</v>
      </c>
      <c r="P569" s="551"/>
      <c r="Q569" s="551"/>
      <c r="R569" s="551"/>
      <c r="S569" s="551"/>
      <c r="T569" s="551"/>
      <c r="U569" s="552"/>
      <c r="V569" s="74" t="s">
        <v>91</v>
      </c>
      <c r="Y569" s="365" t="s">
        <v>104</v>
      </c>
      <c r="Z569" s="94"/>
      <c r="AA569" s="188"/>
      <c r="AB569" s="553"/>
      <c r="AC569" s="553"/>
      <c r="AD569" s="553"/>
      <c r="AE569" s="94"/>
    </row>
    <row r="570" spans="3:31" s="260" customFormat="1" ht="15.75" thickBot="1" x14ac:dyDescent="0.3">
      <c r="C570" s="369">
        <f>+N570</f>
        <v>2.02</v>
      </c>
      <c r="D570" s="86"/>
      <c r="E570" s="86"/>
      <c r="F570" s="86"/>
      <c r="G570" s="86"/>
      <c r="H570" s="86"/>
      <c r="I570" s="86"/>
      <c r="J570" s="86"/>
      <c r="K570" s="370"/>
      <c r="M570" s="75" t="s">
        <v>92</v>
      </c>
      <c r="N570" s="371">
        <f>+ROUNDUP(N522+0.01,2)</f>
        <v>2.02</v>
      </c>
      <c r="O570" s="554" t="str">
        <f>IFERROR(VLOOKUP(N570,PPTO!C:H,2,0),"----")</f>
        <v>Tuberia PVC Ø3/4"</v>
      </c>
      <c r="P570" s="555"/>
      <c r="Q570" s="555"/>
      <c r="R570" s="555"/>
      <c r="S570" s="555"/>
      <c r="T570" s="555"/>
      <c r="U570" s="556"/>
      <c r="V570" s="76" t="str">
        <f>IFERROR(VLOOKUP(N570,PPTO!C:H,3,0),"----")</f>
        <v>ML</v>
      </c>
      <c r="Y570" s="373">
        <f>SUMIFS(PPTO!F:F,PPTO!C:C,APUS!N570)</f>
        <v>92.9</v>
      </c>
      <c r="Z570" s="94"/>
      <c r="AA570" s="86"/>
      <c r="AB570" s="94"/>
      <c r="AC570" s="94"/>
      <c r="AD570" s="94"/>
      <c r="AE570" s="94"/>
    </row>
    <row r="571" spans="3:31" s="260" customFormat="1" ht="15.75" thickBot="1" x14ac:dyDescent="0.3">
      <c r="C571" s="84"/>
      <c r="D571" s="86"/>
      <c r="E571" s="86"/>
      <c r="F571" s="86"/>
      <c r="G571" s="86"/>
      <c r="H571" s="86"/>
      <c r="I571" s="86"/>
      <c r="J571" s="86"/>
      <c r="K571" s="88"/>
      <c r="M571" s="557"/>
      <c r="N571" s="557"/>
      <c r="O571" s="557"/>
      <c r="P571" s="557"/>
      <c r="Q571" s="557"/>
      <c r="R571" s="557"/>
      <c r="S571" s="557"/>
      <c r="T571" s="557"/>
      <c r="U571" s="557"/>
      <c r="V571" s="557"/>
      <c r="Y571" s="374"/>
      <c r="Z571" s="94"/>
      <c r="AA571" s="86"/>
      <c r="AB571" s="94"/>
      <c r="AC571" s="94"/>
      <c r="AD571" s="94"/>
      <c r="AE571" s="94"/>
    </row>
    <row r="572" spans="3:31" s="260" customFormat="1" ht="15.75" thickBot="1" x14ac:dyDescent="0.3">
      <c r="C572" s="84"/>
      <c r="D572" s="375" t="s">
        <v>128</v>
      </c>
      <c r="E572" s="376" t="s">
        <v>129</v>
      </c>
      <c r="F572" s="376" t="s">
        <v>130</v>
      </c>
      <c r="G572" s="376" t="s">
        <v>131</v>
      </c>
      <c r="H572" s="376" t="s">
        <v>132</v>
      </c>
      <c r="I572" s="376" t="s">
        <v>133</v>
      </c>
      <c r="J572" s="377" t="s">
        <v>134</v>
      </c>
      <c r="K572" s="88"/>
      <c r="M572" s="558" t="s">
        <v>93</v>
      </c>
      <c r="N572" s="559"/>
      <c r="O572" s="559"/>
      <c r="P572" s="559"/>
      <c r="Q572" s="559"/>
      <c r="R572" s="559"/>
      <c r="S572" s="559"/>
      <c r="T572" s="559"/>
      <c r="U572" s="559"/>
      <c r="V572" s="560"/>
      <c r="Y572" s="378"/>
      <c r="Z572" s="121"/>
      <c r="AA572" s="86"/>
      <c r="AB572" s="513"/>
      <c r="AC572" s="514"/>
      <c r="AD572" s="94"/>
      <c r="AE572" s="379"/>
    </row>
    <row r="573" spans="3:31" s="260" customFormat="1" x14ac:dyDescent="0.25">
      <c r="C573" s="84"/>
      <c r="D573" s="380"/>
      <c r="E573" s="381"/>
      <c r="F573" s="381"/>
      <c r="G573" s="381"/>
      <c r="H573" s="381"/>
      <c r="I573" s="381"/>
      <c r="J573" s="382"/>
      <c r="K573" s="88"/>
      <c r="M573" s="99" t="s">
        <v>94</v>
      </c>
      <c r="N573" s="561" t="s">
        <v>95</v>
      </c>
      <c r="O573" s="561"/>
      <c r="P573" s="561"/>
      <c r="Q573" s="561"/>
      <c r="R573" s="95" t="s">
        <v>96</v>
      </c>
      <c r="S573" s="95" t="s">
        <v>97</v>
      </c>
      <c r="T573" s="562" t="s">
        <v>8</v>
      </c>
      <c r="U573" s="562"/>
      <c r="V573" s="100" t="s">
        <v>98</v>
      </c>
      <c r="Y573" s="383" t="s">
        <v>104</v>
      </c>
      <c r="Z573" s="119" t="s">
        <v>9</v>
      </c>
      <c r="AA573" s="86"/>
      <c r="AB573" s="384"/>
      <c r="AC573" s="385"/>
      <c r="AD573" s="94"/>
      <c r="AE573" s="386"/>
    </row>
    <row r="574" spans="3:31" s="260" customFormat="1" x14ac:dyDescent="0.25">
      <c r="C574" s="84"/>
      <c r="D574" s="85"/>
      <c r="E574" s="86"/>
      <c r="F574" s="86"/>
      <c r="G574" s="86"/>
      <c r="H574" s="86"/>
      <c r="I574" s="86"/>
      <c r="J574" s="87"/>
      <c r="K574" s="88"/>
      <c r="M574" s="102"/>
      <c r="N574" s="533" t="s">
        <v>99</v>
      </c>
      <c r="O574" s="533"/>
      <c r="P574" s="533"/>
      <c r="Q574" s="533"/>
      <c r="R574" s="78" t="s">
        <v>100</v>
      </c>
      <c r="S574" s="387">
        <f>+$AA$10</f>
        <v>0.05</v>
      </c>
      <c r="T574" s="563">
        <f>V603</f>
        <v>11675.12</v>
      </c>
      <c r="U574" s="563"/>
      <c r="V574" s="389">
        <f>+IFERROR(T574*S574,0)</f>
        <v>583.75600000000009</v>
      </c>
      <c r="Y574" s="390"/>
      <c r="Z574" s="391">
        <f>Y570*V574</f>
        <v>54230.932400000012</v>
      </c>
      <c r="AA574" s="86"/>
      <c r="AB574" s="384"/>
      <c r="AC574" s="385"/>
      <c r="AD574" s="94"/>
      <c r="AE574" s="386" t="str">
        <f>+IF(V574=0,"CERO","NO")</f>
        <v>NO</v>
      </c>
    </row>
    <row r="575" spans="3:31" s="260" customFormat="1" x14ac:dyDescent="0.25">
      <c r="C575" s="84"/>
      <c r="D575" s="85"/>
      <c r="E575" s="86"/>
      <c r="F575" s="86"/>
      <c r="G575" s="86"/>
      <c r="H575" s="86"/>
      <c r="I575" s="86"/>
      <c r="J575" s="87"/>
      <c r="K575" s="88"/>
      <c r="M575" s="106"/>
      <c r="N575" s="533" t="str">
        <f>IFERROR(VLOOKUP(M575,INSUMOS!$C$8:$K$928,2,0),"-----")</f>
        <v>-----</v>
      </c>
      <c r="O575" s="533"/>
      <c r="P575" s="533"/>
      <c r="Q575" s="533"/>
      <c r="R575" s="78" t="str">
        <f>IFERROR(VLOOKUP(M575,INSUMOS!$C$8:$K$928,6,0),"-----")</f>
        <v>-----</v>
      </c>
      <c r="S575" s="396"/>
      <c r="T575" s="529" t="str">
        <f>IFERROR(VLOOKUP(M575,INSUMOS!$C$8:$K$928,7,0),"0")</f>
        <v>0</v>
      </c>
      <c r="U575" s="529"/>
      <c r="V575" s="389">
        <f>+IFERROR(T575*S575,0)</f>
        <v>0</v>
      </c>
      <c r="Y575" s="393">
        <f>+IFERROR(Y570*S575,0)</f>
        <v>0</v>
      </c>
      <c r="Z575" s="391">
        <f>Y570*V575</f>
        <v>0</v>
      </c>
      <c r="AA575" s="394"/>
      <c r="AB575" s="395">
        <f>+Y575*T575</f>
        <v>0</v>
      </c>
      <c r="AC575" s="93">
        <f>+AB575-Z575</f>
        <v>0</v>
      </c>
      <c r="AD575" s="94"/>
      <c r="AE575" s="386" t="str">
        <f>+IF(V575=0,"CERO","NO")</f>
        <v>CERO</v>
      </c>
    </row>
    <row r="576" spans="3:31" s="260" customFormat="1" x14ac:dyDescent="0.25">
      <c r="C576" s="84"/>
      <c r="D576" s="85"/>
      <c r="E576" s="86"/>
      <c r="F576" s="86"/>
      <c r="G576" s="86"/>
      <c r="H576" s="86"/>
      <c r="I576" s="86"/>
      <c r="J576" s="87"/>
      <c r="K576" s="88"/>
      <c r="M576" s="102"/>
      <c r="N576" s="533" t="str">
        <f>IFERROR(VLOOKUP(M576,INSUMOS!$C$8:$K$928,2,0),"-----")</f>
        <v>-----</v>
      </c>
      <c r="O576" s="533"/>
      <c r="P576" s="533"/>
      <c r="Q576" s="533"/>
      <c r="R576" s="78" t="str">
        <f>IFERROR(VLOOKUP(M576,INSUMOS!$C$8:$K$928,6,0),"-----")</f>
        <v>-----</v>
      </c>
      <c r="S576" s="396"/>
      <c r="T576" s="529" t="str">
        <f>IFERROR(VLOOKUP(M576,INSUMOS!$C$8:$K$928,7,0),"0")</f>
        <v>0</v>
      </c>
      <c r="U576" s="529"/>
      <c r="V576" s="389">
        <f>+IFERROR(T576*S576,0)</f>
        <v>0</v>
      </c>
      <c r="Y576" s="393">
        <f>+IFERROR(Y570*S576,0)</f>
        <v>0</v>
      </c>
      <c r="Z576" s="391">
        <f>Y570*V576</f>
        <v>0</v>
      </c>
      <c r="AA576" s="394"/>
      <c r="AB576" s="395">
        <f>+Y576*T576</f>
        <v>0</v>
      </c>
      <c r="AC576" s="93">
        <f>+AB576-Z576</f>
        <v>0</v>
      </c>
      <c r="AD576" s="94"/>
      <c r="AE576" s="386" t="str">
        <f>+IF(V576=0,"CERO","NO")</f>
        <v>CERO</v>
      </c>
    </row>
    <row r="577" spans="3:31" s="260" customFormat="1" x14ac:dyDescent="0.25">
      <c r="C577" s="84"/>
      <c r="D577" s="85"/>
      <c r="E577" s="86"/>
      <c r="F577" s="86"/>
      <c r="G577" s="86"/>
      <c r="H577" s="86"/>
      <c r="I577" s="86"/>
      <c r="J577" s="87"/>
      <c r="K577" s="88"/>
      <c r="M577" s="102">
        <v>0</v>
      </c>
      <c r="N577" s="533"/>
      <c r="O577" s="533"/>
      <c r="P577" s="533"/>
      <c r="Q577" s="533"/>
      <c r="R577" s="78"/>
      <c r="S577" s="396"/>
      <c r="T577" s="529"/>
      <c r="U577" s="529"/>
      <c r="V577" s="397"/>
      <c r="Y577" s="393">
        <f>+IFERROR(Y570*S577,0)</f>
        <v>0</v>
      </c>
      <c r="Z577" s="391">
        <f>Y570*V577</f>
        <v>0</v>
      </c>
      <c r="AA577" s="394"/>
      <c r="AB577" s="395">
        <f>+Y577*T577</f>
        <v>0</v>
      </c>
      <c r="AC577" s="93">
        <f>+AB577-Z577</f>
        <v>0</v>
      </c>
      <c r="AD577" s="94"/>
      <c r="AE577" s="386" t="str">
        <f>+IF(V577=0,"CERO","NO")</f>
        <v>CERO</v>
      </c>
    </row>
    <row r="578" spans="3:31" s="260" customFormat="1" ht="15.75" thickBot="1" x14ac:dyDescent="0.3">
      <c r="C578" s="84"/>
      <c r="D578" s="85"/>
      <c r="E578" s="86"/>
      <c r="F578" s="86"/>
      <c r="G578" s="86"/>
      <c r="H578" s="86"/>
      <c r="I578" s="86"/>
      <c r="J578" s="87"/>
      <c r="K578" s="88"/>
      <c r="M578" s="102">
        <v>0</v>
      </c>
      <c r="N578" s="564"/>
      <c r="O578" s="564"/>
      <c r="P578" s="564"/>
      <c r="Q578" s="564"/>
      <c r="R578" s="96"/>
      <c r="S578" s="96"/>
      <c r="T578" s="565"/>
      <c r="U578" s="565"/>
      <c r="V578" s="101"/>
      <c r="Y578" s="393">
        <f>+IFERROR(Y570*S578,0)</f>
        <v>0</v>
      </c>
      <c r="Z578" s="391">
        <f>Y570*V578</f>
        <v>0</v>
      </c>
      <c r="AA578" s="394"/>
      <c r="AB578" s="395">
        <f>+Y578*T578</f>
        <v>0</v>
      </c>
      <c r="AC578" s="93">
        <f>+AB578-Z578</f>
        <v>0</v>
      </c>
      <c r="AD578" s="94"/>
      <c r="AE578" s="386" t="str">
        <f>+IF(V578=0,"CERO","NO")</f>
        <v>CERO</v>
      </c>
    </row>
    <row r="579" spans="3:31" s="260" customFormat="1" ht="15.75" thickBot="1" x14ac:dyDescent="0.3">
      <c r="C579" s="84"/>
      <c r="D579" s="375" t="s">
        <v>128</v>
      </c>
      <c r="E579" s="376" t="s">
        <v>129</v>
      </c>
      <c r="F579" s="376" t="s">
        <v>130</v>
      </c>
      <c r="G579" s="376" t="s">
        <v>131</v>
      </c>
      <c r="H579" s="376" t="s">
        <v>132</v>
      </c>
      <c r="I579" s="376" t="s">
        <v>133</v>
      </c>
      <c r="J579" s="377" t="s">
        <v>134</v>
      </c>
      <c r="K579" s="88"/>
      <c r="M579" s="534"/>
      <c r="N579" s="536" t="s">
        <v>101</v>
      </c>
      <c r="O579" s="536"/>
      <c r="P579" s="536"/>
      <c r="Q579" s="536"/>
      <c r="R579" s="536"/>
      <c r="S579" s="536"/>
      <c r="T579" s="536"/>
      <c r="U579" s="536"/>
      <c r="V579" s="389">
        <f>+SUM(V574:V578)</f>
        <v>583.75600000000009</v>
      </c>
      <c r="Y579" s="398" t="s">
        <v>135</v>
      </c>
      <c r="Z579" s="397">
        <f>+SUM(Z574:Z578)</f>
        <v>54230.932400000012</v>
      </c>
      <c r="AA579" s="86"/>
      <c r="AB579" s="384"/>
      <c r="AC579" s="385"/>
      <c r="AD579" s="94"/>
      <c r="AE579" s="399"/>
    </row>
    <row r="580" spans="3:31" s="260" customFormat="1" ht="15.75" thickBot="1" x14ac:dyDescent="0.3">
      <c r="C580" s="84"/>
      <c r="D580" s="375">
        <f>C570</f>
        <v>2.02</v>
      </c>
      <c r="E580" s="376"/>
      <c r="F580" s="376"/>
      <c r="G580" s="376"/>
      <c r="H580" s="376"/>
      <c r="I580" s="376"/>
      <c r="J580" s="377"/>
      <c r="K580" s="88"/>
      <c r="M580" s="566"/>
      <c r="N580" s="567" t="s">
        <v>102</v>
      </c>
      <c r="O580" s="567"/>
      <c r="P580" s="567"/>
      <c r="Q580" s="567"/>
      <c r="R580" s="567"/>
      <c r="S580" s="567"/>
      <c r="T580" s="567"/>
      <c r="U580" s="567"/>
      <c r="V580" s="400">
        <f>+ROUND(V579,$AA$5)</f>
        <v>583.76</v>
      </c>
      <c r="Y580" s="401" t="s">
        <v>136</v>
      </c>
      <c r="Z580" s="402">
        <f>+ROUND(Z579,$AA$5)</f>
        <v>54230.93</v>
      </c>
      <c r="AA580" s="86"/>
      <c r="AB580" s="403">
        <f>+V580*Y570</f>
        <v>54231.304000000004</v>
      </c>
      <c r="AC580" s="404">
        <f>+AB580-Z580</f>
        <v>0.37400000000343425</v>
      </c>
      <c r="AD580" s="94"/>
      <c r="AE580" s="405"/>
    </row>
    <row r="581" spans="3:31" s="260" customFormat="1" x14ac:dyDescent="0.25">
      <c r="C581" s="84"/>
      <c r="D581" s="380"/>
      <c r="E581" s="381"/>
      <c r="F581" s="381"/>
      <c r="G581" s="381"/>
      <c r="H581" s="381"/>
      <c r="I581" s="381"/>
      <c r="J581" s="382"/>
      <c r="K581" s="88"/>
      <c r="M581" s="510" t="s">
        <v>103</v>
      </c>
      <c r="N581" s="511"/>
      <c r="O581" s="511"/>
      <c r="P581" s="511"/>
      <c r="Q581" s="511"/>
      <c r="R581" s="511"/>
      <c r="S581" s="511"/>
      <c r="T581" s="511"/>
      <c r="U581" s="511"/>
      <c r="V581" s="512"/>
      <c r="Y581" s="378"/>
      <c r="Z581" s="121"/>
      <c r="AA581" s="86"/>
      <c r="AB581" s="513"/>
      <c r="AC581" s="514"/>
      <c r="AD581" s="94"/>
      <c r="AE581" s="126"/>
    </row>
    <row r="582" spans="3:31" s="260" customFormat="1" x14ac:dyDescent="0.25">
      <c r="C582" s="84"/>
      <c r="D582" s="85"/>
      <c r="E582" s="86"/>
      <c r="F582" s="86"/>
      <c r="G582" s="86"/>
      <c r="H582" s="86"/>
      <c r="I582" s="86"/>
      <c r="J582" s="87"/>
      <c r="K582" s="88"/>
      <c r="M582" s="99" t="s">
        <v>94</v>
      </c>
      <c r="N582" s="561" t="s">
        <v>95</v>
      </c>
      <c r="O582" s="561"/>
      <c r="P582" s="561"/>
      <c r="Q582" s="561"/>
      <c r="R582" s="95" t="s">
        <v>96</v>
      </c>
      <c r="S582" s="95" t="s">
        <v>104</v>
      </c>
      <c r="T582" s="356" t="s">
        <v>105</v>
      </c>
      <c r="U582" s="356" t="s">
        <v>8</v>
      </c>
      <c r="V582" s="100" t="s">
        <v>98</v>
      </c>
      <c r="Y582" s="383" t="s">
        <v>104</v>
      </c>
      <c r="Z582" s="119" t="s">
        <v>9</v>
      </c>
      <c r="AA582" s="86"/>
      <c r="AB582" s="384"/>
      <c r="AC582" s="385"/>
      <c r="AD582" s="94"/>
      <c r="AE582" s="406"/>
    </row>
    <row r="583" spans="3:31" s="260" customFormat="1" x14ac:dyDescent="0.25">
      <c r="C583" s="84"/>
      <c r="D583" s="85"/>
      <c r="E583" s="86"/>
      <c r="F583" s="86"/>
      <c r="G583" s="86"/>
      <c r="H583" s="86"/>
      <c r="I583" s="86"/>
      <c r="J583" s="87"/>
      <c r="K583" s="88"/>
      <c r="M583" s="102">
        <v>683</v>
      </c>
      <c r="N583" s="533" t="str">
        <f>IFERROR(VLOOKUP(M583,INSUMOS!$C$8:$K$928,2,0),"-----")</f>
        <v>TUBO PVC-P 3/4" RDE 11</v>
      </c>
      <c r="O583" s="533"/>
      <c r="P583" s="533"/>
      <c r="Q583" s="533"/>
      <c r="R583" s="78" t="str">
        <f>IFERROR(VLOOKUP(M583,INSUMOS!$C$8:$K$928,6,0),"-----")</f>
        <v>ml</v>
      </c>
      <c r="S583" s="396">
        <v>1</v>
      </c>
      <c r="T583" s="387">
        <v>0.02</v>
      </c>
      <c r="U583" s="388">
        <f>IFERROR(VLOOKUP(M583,INSUMOS!$C$8:$K$928,7,0),"0")</f>
        <v>6929.833333333333</v>
      </c>
      <c r="V583" s="389">
        <f>+IFERROR(U583*(S583*(1+T583)),0)</f>
        <v>7068.4299999999994</v>
      </c>
      <c r="Y583" s="393">
        <f>+IFERROR(Y570*(S583*(1+T583)),0)</f>
        <v>94.75800000000001</v>
      </c>
      <c r="Z583" s="391">
        <f>Y570*V583</f>
        <v>656657.147</v>
      </c>
      <c r="AA583" s="394"/>
      <c r="AB583" s="395">
        <f>+Y583*U583</f>
        <v>656657.147</v>
      </c>
      <c r="AC583" s="93">
        <f>+AB583-Z583</f>
        <v>0</v>
      </c>
      <c r="AD583" s="94"/>
      <c r="AE583" s="406" t="str">
        <f>+IF(V583=0,"CERO","NO")</f>
        <v>NO</v>
      </c>
    </row>
    <row r="584" spans="3:31" s="260" customFormat="1" x14ac:dyDescent="0.25">
      <c r="C584" s="84"/>
      <c r="D584" s="85"/>
      <c r="E584" s="86"/>
      <c r="F584" s="86"/>
      <c r="G584" s="86"/>
      <c r="H584" s="86"/>
      <c r="I584" s="86"/>
      <c r="J584" s="87"/>
      <c r="K584" s="88"/>
      <c r="M584" s="102">
        <v>699</v>
      </c>
      <c r="N584" s="533" t="str">
        <f>IFERROR(VLOOKUP(M584,INSUMOS!$C$8:$K$928,2,0),"-----")</f>
        <v>SOLDADURA PVC LIQUIDA 1/4"</v>
      </c>
      <c r="O584" s="533"/>
      <c r="P584" s="533"/>
      <c r="Q584" s="533"/>
      <c r="R584" s="78" t="str">
        <f>IFERROR(VLOOKUP(M584,INSUMOS!$C$8:$K$928,6,0),"-----")</f>
        <v>und</v>
      </c>
      <c r="S584" s="396">
        <v>0.01</v>
      </c>
      <c r="T584" s="387">
        <v>0.02</v>
      </c>
      <c r="U584" s="388">
        <f>IFERROR(VLOOKUP(M584,INSUMOS!$C$8:$K$928,7,0),"0")</f>
        <v>146569</v>
      </c>
      <c r="V584" s="389">
        <f>+IFERROR(U584*(S584*(1+T584)),0)</f>
        <v>1495.0038000000002</v>
      </c>
      <c r="Y584" s="393">
        <f>+IFERROR(Y570*(S584*(1+T584)),0)</f>
        <v>0.94758000000000009</v>
      </c>
      <c r="Z584" s="391">
        <f>Y570*V584</f>
        <v>138885.85302000004</v>
      </c>
      <c r="AA584" s="394"/>
      <c r="AB584" s="395">
        <f>+Y584*U584</f>
        <v>138885.85302000001</v>
      </c>
      <c r="AC584" s="93">
        <f>+AB584-Z584</f>
        <v>0</v>
      </c>
      <c r="AD584" s="94"/>
      <c r="AE584" s="406" t="str">
        <f>+IF(V584=0,"CERO","NO")</f>
        <v>NO</v>
      </c>
    </row>
    <row r="585" spans="3:31" s="260" customFormat="1" x14ac:dyDescent="0.25">
      <c r="C585" s="84"/>
      <c r="D585" s="85"/>
      <c r="E585" s="86"/>
      <c r="F585" s="86"/>
      <c r="G585" s="86"/>
      <c r="H585" s="86"/>
      <c r="I585" s="86"/>
      <c r="J585" s="87"/>
      <c r="K585" s="88"/>
      <c r="M585" s="102">
        <v>700</v>
      </c>
      <c r="N585" s="533" t="str">
        <f>IFERROR(VLOOKUP(M585,INSUMOS!$C$8:$K$928,2,0),"-----")</f>
        <v>LIMPIADOR PVC 1/4</v>
      </c>
      <c r="O585" s="533"/>
      <c r="P585" s="533"/>
      <c r="Q585" s="533"/>
      <c r="R585" s="78" t="str">
        <f>IFERROR(VLOOKUP(M585,INSUMOS!$C$8:$K$928,6,0),"-----")</f>
        <v>und</v>
      </c>
      <c r="S585" s="396">
        <v>0.01</v>
      </c>
      <c r="T585" s="387">
        <v>0.02</v>
      </c>
      <c r="U585" s="388">
        <f>IFERROR(VLOOKUP(M585,INSUMOS!$C$8:$K$928,7,0),"0")</f>
        <v>65913</v>
      </c>
      <c r="V585" s="389">
        <f>+IFERROR(U585*(S585*(1+T585)),0)</f>
        <v>672.31260000000009</v>
      </c>
      <c r="Y585" s="393">
        <f>+IFERROR(Y570*(S585*(1+T585)),0)</f>
        <v>0.94758000000000009</v>
      </c>
      <c r="Z585" s="391">
        <f>Y570*V585</f>
        <v>62457.840540000012</v>
      </c>
      <c r="AA585" s="394"/>
      <c r="AB585" s="395">
        <f>+Y585*U585</f>
        <v>62457.840540000005</v>
      </c>
      <c r="AC585" s="93">
        <f>+AB585-Z585</f>
        <v>0</v>
      </c>
      <c r="AD585" s="94"/>
      <c r="AE585" s="406" t="str">
        <f>+IF(V585=0,"CERO","NO")</f>
        <v>NO</v>
      </c>
    </row>
    <row r="586" spans="3:31" s="260" customFormat="1" x14ac:dyDescent="0.25">
      <c r="C586" s="84"/>
      <c r="D586" s="85"/>
      <c r="E586" s="86"/>
      <c r="F586" s="86"/>
      <c r="G586" s="86"/>
      <c r="H586" s="86"/>
      <c r="I586" s="86"/>
      <c r="J586" s="87"/>
      <c r="K586" s="88"/>
      <c r="M586" s="102">
        <v>0</v>
      </c>
      <c r="N586" s="533" t="str">
        <f>IFERROR(VLOOKUP(M586,INSUMOS!$C$8:$K$928,2,0),"-----")</f>
        <v>-----</v>
      </c>
      <c r="O586" s="533"/>
      <c r="P586" s="533"/>
      <c r="Q586" s="533"/>
      <c r="R586" s="78" t="str">
        <f>IFERROR(VLOOKUP(M586,INSUMOS!$C$8:$K$928,6,0),"-----")</f>
        <v>-----</v>
      </c>
      <c r="S586" s="396"/>
      <c r="T586" s="387">
        <v>0</v>
      </c>
      <c r="U586" s="388" t="str">
        <f>IFERROR(VLOOKUP(M586,INSUMOS!$C$8:$K$928,7,0),"0")</f>
        <v>0</v>
      </c>
      <c r="V586" s="389">
        <f>+IFERROR(U586*(S586*(1+T586)),0)</f>
        <v>0</v>
      </c>
      <c r="Y586" s="393">
        <f>+IFERROR(Y570*(S586*(1+T586)),0)</f>
        <v>0</v>
      </c>
      <c r="Z586" s="391">
        <f>Y570*V586</f>
        <v>0</v>
      </c>
      <c r="AA586" s="394"/>
      <c r="AB586" s="395">
        <f>+Y586*U586</f>
        <v>0</v>
      </c>
      <c r="AC586" s="93">
        <f>+AB586-Z586</f>
        <v>0</v>
      </c>
      <c r="AD586" s="94"/>
      <c r="AE586" s="406" t="str">
        <f>+IF(V586=0,"CERO","NO")</f>
        <v>CERO</v>
      </c>
    </row>
    <row r="587" spans="3:31" s="260" customFormat="1" ht="15.75" thickBot="1" x14ac:dyDescent="0.3">
      <c r="C587" s="84"/>
      <c r="D587" s="85"/>
      <c r="E587" s="86"/>
      <c r="F587" s="86"/>
      <c r="G587" s="86"/>
      <c r="H587" s="86"/>
      <c r="I587" s="86"/>
      <c r="J587" s="87"/>
      <c r="K587" s="88"/>
      <c r="M587" s="102">
        <v>0</v>
      </c>
      <c r="N587" s="564"/>
      <c r="O587" s="564"/>
      <c r="P587" s="564"/>
      <c r="Q587" s="564"/>
      <c r="R587" s="96"/>
      <c r="S587" s="79"/>
      <c r="T587" s="97"/>
      <c r="U587" s="358"/>
      <c r="V587" s="397"/>
      <c r="Y587" s="393">
        <f>+IFERROR(Y570*(S587*(1+T587)),0)</f>
        <v>0</v>
      </c>
      <c r="Z587" s="391">
        <f>Y570*V587</f>
        <v>0</v>
      </c>
      <c r="AA587" s="394"/>
      <c r="AB587" s="395">
        <f>+Y587*U587</f>
        <v>0</v>
      </c>
      <c r="AC587" s="93">
        <f>+AB587-Z587</f>
        <v>0</v>
      </c>
      <c r="AD587" s="94"/>
      <c r="AE587" s="406" t="str">
        <f>+IF(V587=0,"CERO","NO")</f>
        <v>CERO</v>
      </c>
    </row>
    <row r="588" spans="3:31" s="260" customFormat="1" ht="15.75" thickBot="1" x14ac:dyDescent="0.3">
      <c r="C588" s="84"/>
      <c r="D588" s="375" t="s">
        <v>128</v>
      </c>
      <c r="E588" s="376" t="s">
        <v>129</v>
      </c>
      <c r="F588" s="376" t="s">
        <v>130</v>
      </c>
      <c r="G588" s="376" t="s">
        <v>131</v>
      </c>
      <c r="H588" s="376" t="s">
        <v>132</v>
      </c>
      <c r="I588" s="376" t="s">
        <v>133</v>
      </c>
      <c r="J588" s="377" t="s">
        <v>134</v>
      </c>
      <c r="K588" s="88"/>
      <c r="M588" s="534"/>
      <c r="N588" s="536" t="s">
        <v>106</v>
      </c>
      <c r="O588" s="536"/>
      <c r="P588" s="536"/>
      <c r="Q588" s="536"/>
      <c r="R588" s="536"/>
      <c r="S588" s="536"/>
      <c r="T588" s="536"/>
      <c r="U588" s="536"/>
      <c r="V588" s="389">
        <f>+SUM(V583:V587)</f>
        <v>9235.7463999999982</v>
      </c>
      <c r="Y588" s="398" t="s">
        <v>135</v>
      </c>
      <c r="Z588" s="397">
        <f>+SUM(Z583:Z587)</f>
        <v>858000.84056000004</v>
      </c>
      <c r="AA588" s="86"/>
      <c r="AB588" s="384"/>
      <c r="AC588" s="385"/>
      <c r="AD588" s="94"/>
      <c r="AE588" s="399"/>
    </row>
    <row r="589" spans="3:31" s="260" customFormat="1" ht="15.75" thickBot="1" x14ac:dyDescent="0.3">
      <c r="C589" s="84"/>
      <c r="D589" s="375"/>
      <c r="E589" s="407">
        <f>+D580</f>
        <v>2.02</v>
      </c>
      <c r="F589" s="376"/>
      <c r="G589" s="376"/>
      <c r="H589" s="376"/>
      <c r="I589" s="376"/>
      <c r="J589" s="377"/>
      <c r="K589" s="88"/>
      <c r="M589" s="535"/>
      <c r="N589" s="537" t="s">
        <v>107</v>
      </c>
      <c r="O589" s="537"/>
      <c r="P589" s="537"/>
      <c r="Q589" s="537"/>
      <c r="R589" s="537"/>
      <c r="S589" s="537"/>
      <c r="T589" s="537"/>
      <c r="U589" s="537"/>
      <c r="V589" s="408">
        <f>+ROUND(V588,$AA$5)</f>
        <v>9235.75</v>
      </c>
      <c r="Y589" s="401" t="s">
        <v>136</v>
      </c>
      <c r="Z589" s="402">
        <f>+ROUND(Z588,$AA$5)</f>
        <v>858000.84</v>
      </c>
      <c r="AA589" s="86"/>
      <c r="AB589" s="403">
        <f>+V589*Y570</f>
        <v>858001.17500000005</v>
      </c>
      <c r="AC589" s="404">
        <f>+AB589-Z589</f>
        <v>0.33500000007916242</v>
      </c>
      <c r="AD589" s="94"/>
      <c r="AE589" s="405"/>
    </row>
    <row r="590" spans="3:31" s="260" customFormat="1" x14ac:dyDescent="0.25">
      <c r="C590" s="84"/>
      <c r="D590" s="380"/>
      <c r="E590" s="381"/>
      <c r="F590" s="381"/>
      <c r="G590" s="381"/>
      <c r="H590" s="381"/>
      <c r="I590" s="381"/>
      <c r="J590" s="382"/>
      <c r="K590" s="88"/>
      <c r="M590" s="568" t="s">
        <v>108</v>
      </c>
      <c r="N590" s="569"/>
      <c r="O590" s="569"/>
      <c r="P590" s="569"/>
      <c r="Q590" s="569"/>
      <c r="R590" s="569"/>
      <c r="S590" s="569"/>
      <c r="T590" s="569"/>
      <c r="U590" s="569"/>
      <c r="V590" s="570"/>
      <c r="Y590" s="378"/>
      <c r="Z590" s="121"/>
      <c r="AA590" s="86"/>
      <c r="AB590" s="409"/>
      <c r="AC590" s="121"/>
      <c r="AD590" s="94"/>
      <c r="AE590" s="126"/>
    </row>
    <row r="591" spans="3:31" s="260" customFormat="1" ht="25.5" x14ac:dyDescent="0.25">
      <c r="C591" s="84"/>
      <c r="D591" s="85"/>
      <c r="E591" s="86"/>
      <c r="F591" s="86"/>
      <c r="G591" s="86"/>
      <c r="H591" s="86"/>
      <c r="I591" s="86"/>
      <c r="J591" s="87"/>
      <c r="K591" s="88"/>
      <c r="M591" s="99" t="s">
        <v>94</v>
      </c>
      <c r="N591" s="561" t="s">
        <v>95</v>
      </c>
      <c r="O591" s="561"/>
      <c r="P591" s="561"/>
      <c r="Q591" s="95" t="s">
        <v>109</v>
      </c>
      <c r="R591" s="95" t="s">
        <v>110</v>
      </c>
      <c r="S591" s="95" t="s">
        <v>111</v>
      </c>
      <c r="T591" s="562" t="s">
        <v>112</v>
      </c>
      <c r="U591" s="562"/>
      <c r="V591" s="100" t="s">
        <v>98</v>
      </c>
      <c r="Y591" s="383" t="s">
        <v>104</v>
      </c>
      <c r="Z591" s="119" t="s">
        <v>9</v>
      </c>
      <c r="AA591" s="86"/>
      <c r="AB591" s="384"/>
      <c r="AC591" s="385"/>
      <c r="AD591" s="94"/>
      <c r="AE591" s="410"/>
    </row>
    <row r="592" spans="3:31" s="260" customFormat="1" x14ac:dyDescent="0.25">
      <c r="C592" s="84"/>
      <c r="D592" s="85"/>
      <c r="E592" s="86"/>
      <c r="F592" s="86"/>
      <c r="G592" s="86"/>
      <c r="H592" s="86"/>
      <c r="I592" s="86"/>
      <c r="J592" s="87"/>
      <c r="K592" s="88"/>
      <c r="M592" s="102">
        <v>129</v>
      </c>
      <c r="N592" s="530" t="str">
        <f>IFERROR(VLOOKUP(M592,INSUMOS!$C$8:$K$928,2,0),"-----")</f>
        <v>transporte materiales en general</v>
      </c>
      <c r="O592" s="531"/>
      <c r="P592" s="532"/>
      <c r="Q592" s="78" t="str">
        <f>IFERROR(VLOOKUP(M592,INSUMOS!$C$8:$K$928,5,0),"-----")</f>
        <v>Km</v>
      </c>
      <c r="R592" s="80">
        <v>1</v>
      </c>
      <c r="S592" s="80">
        <f>IFERROR(VLOOKUP(M592,INSUMOS!$C$8:$K$928,6,0),"0")</f>
        <v>348</v>
      </c>
      <c r="T592" s="529">
        <f>IFERROR(VLOOKUP(M592,INSUMOS!$C$8:$K$928,7,0),"0")</f>
        <v>0.99776362060288992</v>
      </c>
      <c r="U592" s="529"/>
      <c r="V592" s="82">
        <f>+T592*S592*R592</f>
        <v>347.2217399698057</v>
      </c>
      <c r="Y592" s="393">
        <f>+IFERROR((R592*S592)*Y570,0)</f>
        <v>32329.200000000001</v>
      </c>
      <c r="Z592" s="391">
        <f>Y570*V592</f>
        <v>32256.899643194953</v>
      </c>
      <c r="AA592" s="86"/>
      <c r="AB592" s="92">
        <f>+Y592*T592</f>
        <v>32256.899643194949</v>
      </c>
      <c r="AC592" s="93">
        <f>+AB592-Z592</f>
        <v>0</v>
      </c>
      <c r="AD592" s="94"/>
      <c r="AE592" s="406" t="str">
        <f>+IF(V592=0,"CERO","NO")</f>
        <v>NO</v>
      </c>
    </row>
    <row r="593" spans="3:31" s="260" customFormat="1" x14ac:dyDescent="0.25">
      <c r="C593" s="84"/>
      <c r="D593" s="85"/>
      <c r="E593" s="86"/>
      <c r="F593" s="86"/>
      <c r="G593" s="86"/>
      <c r="H593" s="86"/>
      <c r="I593" s="86"/>
      <c r="J593" s="87"/>
      <c r="K593" s="88"/>
      <c r="M593" s="102"/>
      <c r="N593" s="530" t="str">
        <f>IFERROR(VLOOKUP(M593,INSUMOS!$C$8:$K$928,2,0),"-----")</f>
        <v>-----</v>
      </c>
      <c r="O593" s="531"/>
      <c r="P593" s="532"/>
      <c r="Q593" s="78" t="str">
        <f>IFERROR(VLOOKUP(M593,INSUMOS!$C$8:$K$928,5,0),"-----")</f>
        <v>-----</v>
      </c>
      <c r="R593" s="80"/>
      <c r="S593" s="80" t="str">
        <f>IFERROR(VLOOKUP(M593,INSUMOS!$C$8:$K$928,6,0),"0")</f>
        <v>0</v>
      </c>
      <c r="T593" s="529" t="str">
        <f>IFERROR(VLOOKUP(M593,INSUMOS!$C$8:$K$928,7,0),"0")</f>
        <v>0</v>
      </c>
      <c r="U593" s="529"/>
      <c r="V593" s="82">
        <f>+T593*S593*R593</f>
        <v>0</v>
      </c>
      <c r="Y593" s="393">
        <f>+IFERROR((R593*S593)*Y570,0)</f>
        <v>0</v>
      </c>
      <c r="Z593" s="391">
        <f>Y570*V593</f>
        <v>0</v>
      </c>
      <c r="AA593" s="86"/>
      <c r="AB593" s="92">
        <f>+Y593*T593</f>
        <v>0</v>
      </c>
      <c r="AC593" s="93">
        <f>+AB593-Z593</f>
        <v>0</v>
      </c>
      <c r="AD593" s="94"/>
      <c r="AE593" s="406" t="str">
        <f>+IF(V593=0,"CERO","NO")</f>
        <v>CERO</v>
      </c>
    </row>
    <row r="594" spans="3:31" s="260" customFormat="1" x14ac:dyDescent="0.25">
      <c r="C594" s="84"/>
      <c r="D594" s="85"/>
      <c r="E594" s="86"/>
      <c r="F594" s="86"/>
      <c r="G594" s="86"/>
      <c r="H594" s="86"/>
      <c r="I594" s="86"/>
      <c r="J594" s="87"/>
      <c r="K594" s="88"/>
      <c r="M594" s="102">
        <v>0</v>
      </c>
      <c r="N594" s="530" t="str">
        <f>IFERROR(VLOOKUP(M594,INSUMOS!$C$8:$K$928,2,0),"-----")</f>
        <v>-----</v>
      </c>
      <c r="O594" s="531"/>
      <c r="P594" s="532"/>
      <c r="Q594" s="78" t="str">
        <f>IFERROR(VLOOKUP(M594,INSUMOS!$C$8:$K$928,5,0),"-----")</f>
        <v>-----</v>
      </c>
      <c r="R594" s="80"/>
      <c r="S594" s="80" t="str">
        <f>IFERROR(VLOOKUP(M594,INSUMOS!$C$8:$K$928,6,0),"0")</f>
        <v>0</v>
      </c>
      <c r="T594" s="529" t="str">
        <f>IFERROR(VLOOKUP(M594,INSUMOS!$C$8:$K$928,7,0),"0")</f>
        <v>0</v>
      </c>
      <c r="U594" s="529"/>
      <c r="V594" s="82">
        <f>+T594*S594*R594</f>
        <v>0</v>
      </c>
      <c r="Y594" s="393">
        <f>+IFERROR((R594*S594)*Y570,0)</f>
        <v>0</v>
      </c>
      <c r="Z594" s="391">
        <f>Y570*V594</f>
        <v>0</v>
      </c>
      <c r="AA594" s="86"/>
      <c r="AB594" s="92">
        <f>+Y594*T594</f>
        <v>0</v>
      </c>
      <c r="AC594" s="93">
        <f>+AB594-Z594</f>
        <v>0</v>
      </c>
      <c r="AD594" s="94"/>
      <c r="AE594" s="406" t="str">
        <f>+IF(V594=0,"CERO","NO")</f>
        <v>CERO</v>
      </c>
    </row>
    <row r="595" spans="3:31" s="260" customFormat="1" ht="15.75" thickBot="1" x14ac:dyDescent="0.3">
      <c r="C595" s="84"/>
      <c r="D595" s="89"/>
      <c r="E595" s="90"/>
      <c r="F595" s="90"/>
      <c r="G595" s="90"/>
      <c r="H595" s="90"/>
      <c r="I595" s="90"/>
      <c r="J595" s="91"/>
      <c r="K595" s="88"/>
      <c r="M595" s="102">
        <v>0</v>
      </c>
      <c r="N595" s="533"/>
      <c r="O595" s="533"/>
      <c r="P595" s="533"/>
      <c r="Q595" s="79"/>
      <c r="R595" s="78"/>
      <c r="S595" s="81"/>
      <c r="T595" s="529"/>
      <c r="U595" s="529"/>
      <c r="V595" s="82"/>
      <c r="Y595" s="393">
        <f>+IFERROR((R595*S595)*Y570,0)</f>
        <v>0</v>
      </c>
      <c r="Z595" s="391">
        <f>Y570*V595</f>
        <v>0</v>
      </c>
      <c r="AA595" s="86"/>
      <c r="AB595" s="92">
        <f>+Y595*T595</f>
        <v>0</v>
      </c>
      <c r="AC595" s="93">
        <f>+AB595-Z595</f>
        <v>0</v>
      </c>
      <c r="AD595" s="94"/>
      <c r="AE595" s="406" t="str">
        <f>+IF(V595=0,"CERO","NO")</f>
        <v>CERO</v>
      </c>
    </row>
    <row r="596" spans="3:31" s="260" customFormat="1" ht="15.75" thickBot="1" x14ac:dyDescent="0.3">
      <c r="C596" s="84"/>
      <c r="D596" s="375" t="s">
        <v>128</v>
      </c>
      <c r="E596" s="376" t="s">
        <v>129</v>
      </c>
      <c r="F596" s="376" t="s">
        <v>130</v>
      </c>
      <c r="G596" s="376" t="s">
        <v>131</v>
      </c>
      <c r="H596" s="376" t="s">
        <v>132</v>
      </c>
      <c r="I596" s="376" t="s">
        <v>133</v>
      </c>
      <c r="J596" s="377" t="s">
        <v>134</v>
      </c>
      <c r="K596" s="88"/>
      <c r="M596" s="534"/>
      <c r="N596" s="536" t="s">
        <v>113</v>
      </c>
      <c r="O596" s="536"/>
      <c r="P596" s="536"/>
      <c r="Q596" s="536"/>
      <c r="R596" s="536"/>
      <c r="S596" s="536"/>
      <c r="T596" s="536"/>
      <c r="U596" s="536"/>
      <c r="V596" s="411">
        <f>+SUM(V592:V595)</f>
        <v>347.2217399698057</v>
      </c>
      <c r="Y596" s="398" t="s">
        <v>135</v>
      </c>
      <c r="Z596" s="397">
        <f>+SUM(Z592:Z595)</f>
        <v>32256.899643194953</v>
      </c>
      <c r="AA596" s="86"/>
      <c r="AB596" s="384"/>
      <c r="AC596" s="385"/>
      <c r="AD596" s="94"/>
      <c r="AE596" s="399"/>
    </row>
    <row r="597" spans="3:31" s="260" customFormat="1" ht="15.75" thickBot="1" x14ac:dyDescent="0.3">
      <c r="C597" s="84"/>
      <c r="D597" s="355"/>
      <c r="E597" s="367"/>
      <c r="F597" s="412">
        <f>+E589</f>
        <v>2.02</v>
      </c>
      <c r="G597" s="367"/>
      <c r="H597" s="367"/>
      <c r="I597" s="367"/>
      <c r="J597" s="368"/>
      <c r="K597" s="88"/>
      <c r="M597" s="535"/>
      <c r="N597" s="537" t="s">
        <v>114</v>
      </c>
      <c r="O597" s="537"/>
      <c r="P597" s="537"/>
      <c r="Q597" s="537"/>
      <c r="R597" s="537"/>
      <c r="S597" s="537"/>
      <c r="T597" s="537"/>
      <c r="U597" s="537"/>
      <c r="V597" s="413">
        <f>+ROUND(V596,$AA$5)</f>
        <v>347.22</v>
      </c>
      <c r="Y597" s="401" t="s">
        <v>136</v>
      </c>
      <c r="Z597" s="402">
        <f>+ROUND(Z596,$AA$5)</f>
        <v>32256.9</v>
      </c>
      <c r="AA597" s="86"/>
      <c r="AB597" s="403">
        <f>+V597*Y570</f>
        <v>32256.738000000005</v>
      </c>
      <c r="AC597" s="414"/>
      <c r="AD597" s="94"/>
      <c r="AE597" s="405"/>
    </row>
    <row r="598" spans="3:31" s="260" customFormat="1" ht="15.75" thickBot="1" x14ac:dyDescent="0.3">
      <c r="C598" s="84"/>
      <c r="D598" s="415"/>
      <c r="E598" s="416"/>
      <c r="F598" s="416"/>
      <c r="G598" s="416"/>
      <c r="H598" s="416"/>
      <c r="I598" s="416"/>
      <c r="J598" s="417"/>
      <c r="K598" s="88"/>
      <c r="M598" s="538" t="s">
        <v>115</v>
      </c>
      <c r="N598" s="539"/>
      <c r="O598" s="539"/>
      <c r="P598" s="539"/>
      <c r="Q598" s="539"/>
      <c r="R598" s="539"/>
      <c r="S598" s="539"/>
      <c r="T598" s="539"/>
      <c r="U598" s="539"/>
      <c r="V598" s="540"/>
      <c r="Y598" s="378"/>
      <c r="Z598" s="121"/>
      <c r="AA598" s="86"/>
      <c r="AB598" s="409"/>
      <c r="AC598" s="121"/>
      <c r="AD598" s="94"/>
      <c r="AE598" s="126"/>
    </row>
    <row r="599" spans="3:31" s="260" customFormat="1" ht="15.75" thickBot="1" x14ac:dyDescent="0.3">
      <c r="C599" s="84"/>
      <c r="D599" s="375" t="s">
        <v>128</v>
      </c>
      <c r="E599" s="376" t="s">
        <v>129</v>
      </c>
      <c r="F599" s="376" t="s">
        <v>130</v>
      </c>
      <c r="G599" s="376" t="s">
        <v>131</v>
      </c>
      <c r="H599" s="376" t="s">
        <v>132</v>
      </c>
      <c r="I599" s="376" t="s">
        <v>133</v>
      </c>
      <c r="J599" s="377" t="s">
        <v>134</v>
      </c>
      <c r="K599" s="88"/>
      <c r="M599" s="99" t="s">
        <v>94</v>
      </c>
      <c r="N599" s="98" t="s">
        <v>95</v>
      </c>
      <c r="O599" s="95" t="s">
        <v>96</v>
      </c>
      <c r="P599" s="359" t="s">
        <v>104</v>
      </c>
      <c r="Q599" s="95" t="s">
        <v>116</v>
      </c>
      <c r="R599" s="418" t="s">
        <v>117</v>
      </c>
      <c r="S599" s="95" t="s">
        <v>347</v>
      </c>
      <c r="T599" s="419" t="s">
        <v>118</v>
      </c>
      <c r="U599" s="189" t="s">
        <v>119</v>
      </c>
      <c r="V599" s="100" t="s">
        <v>98</v>
      </c>
      <c r="Y599" s="383" t="s">
        <v>104</v>
      </c>
      <c r="Z599" s="119" t="s">
        <v>9</v>
      </c>
      <c r="AA599" s="86"/>
      <c r="AB599" s="384"/>
      <c r="AC599" s="385"/>
      <c r="AD599" s="94"/>
      <c r="AE599" s="410"/>
    </row>
    <row r="600" spans="3:31" s="260" customFormat="1" ht="25.5" x14ac:dyDescent="0.25">
      <c r="C600" s="84"/>
      <c r="D600" s="354"/>
      <c r="E600" s="96"/>
      <c r="F600" s="96"/>
      <c r="G600" s="96"/>
      <c r="H600" s="96"/>
      <c r="I600" s="96"/>
      <c r="J600" s="420">
        <f>+F597</f>
        <v>2.02</v>
      </c>
      <c r="K600" s="88"/>
      <c r="M600" s="102">
        <v>207</v>
      </c>
      <c r="N600" s="347" t="str">
        <f>IFERROR(VLOOKUP(M600,INSUMOS!$C$8:$K$928,2,0),"-----")</f>
        <v>Oficial Hidrosanitario</v>
      </c>
      <c r="O600" s="78" t="str">
        <f>IFERROR(VLOOKUP(M600,INSUMOS!$C$8:$K$928,3,0),"-----")</f>
        <v>JORNAL+PS</v>
      </c>
      <c r="P600" s="80">
        <v>1</v>
      </c>
      <c r="Q600" s="79">
        <v>25</v>
      </c>
      <c r="R600" s="190">
        <f>IFERROR(VLOOKUP(M600,INSUMOS!$C$8:$K$928,4,0),"-----")</f>
        <v>92983</v>
      </c>
      <c r="S600" s="190">
        <f>IFERROR(VLOOKUP(M600,INSUMOS!$C$8:$K$928,6,0),"-----")</f>
        <v>74386</v>
      </c>
      <c r="T600" s="190">
        <f>IFERROR(VLOOKUP(M600,INSUMOS!$C$8:$K$928,5,0),"-----")</f>
        <v>0</v>
      </c>
      <c r="U600" s="388">
        <f>SUM(R600:T600)</f>
        <v>167369</v>
      </c>
      <c r="V600" s="82">
        <f>+IFERROR((P600/Q600)*U600,0)</f>
        <v>6694.76</v>
      </c>
      <c r="Y600" s="393">
        <f>+IFERROR((Y570/Q600*P600),0)</f>
        <v>3.7160000000000002</v>
      </c>
      <c r="Z600" s="391">
        <f>Y570*V600</f>
        <v>621943.20400000003</v>
      </c>
      <c r="AA600" s="86"/>
      <c r="AB600" s="92">
        <f>+(U600)*Y600</f>
        <v>621943.20400000003</v>
      </c>
      <c r="AC600" s="93">
        <f>+AB600-Z600</f>
        <v>0</v>
      </c>
      <c r="AD600" s="421"/>
      <c r="AE600" s="410" t="str">
        <f>+IF(V600=0,"CERO","NO")</f>
        <v>NO</v>
      </c>
    </row>
    <row r="601" spans="3:31" s="260" customFormat="1" ht="26.25" thickBot="1" x14ac:dyDescent="0.3">
      <c r="C601" s="84"/>
      <c r="D601" s="355"/>
      <c r="E601" s="367"/>
      <c r="F601" s="367"/>
      <c r="G601" s="367"/>
      <c r="H601" s="367"/>
      <c r="I601" s="367"/>
      <c r="J601" s="422">
        <f>+J600</f>
        <v>2.02</v>
      </c>
      <c r="K601" s="88"/>
      <c r="M601" s="102">
        <v>208</v>
      </c>
      <c r="N601" s="347" t="str">
        <f>IFERROR(VLOOKUP(M601,INSUMOS!$C$8:$K$928,2,0),"-----")</f>
        <v>Ayudante Hidrosanitario</v>
      </c>
      <c r="O601" s="78" t="str">
        <f>IFERROR(VLOOKUP(M601,INSUMOS!$C$8:$K$928,3,0),"-----")</f>
        <v>JORNAL+PS</v>
      </c>
      <c r="P601" s="80">
        <v>1</v>
      </c>
      <c r="Q601" s="79">
        <v>25</v>
      </c>
      <c r="R601" s="190">
        <f>IFERROR(VLOOKUP(M601,INSUMOS!$C$8:$K$928,4,0),"-----")</f>
        <v>69172</v>
      </c>
      <c r="S601" s="190">
        <f>IFERROR(VLOOKUP(M601,INSUMOS!$C$8:$K$928,6,0),"-----")</f>
        <v>55337</v>
      </c>
      <c r="T601" s="190">
        <f>IFERROR(VLOOKUP(M601,INSUMOS!$C$8:$K$928,5,0),"-----")</f>
        <v>0</v>
      </c>
      <c r="U601" s="388">
        <f>SUM(R601:T601)</f>
        <v>124509</v>
      </c>
      <c r="V601" s="82">
        <f>+IFERROR((P601/Q601)*U601,0)</f>
        <v>4980.3599999999997</v>
      </c>
      <c r="Y601" s="393">
        <f>+IFERROR((Y570/Q601*P601),0)</f>
        <v>3.7160000000000002</v>
      </c>
      <c r="Z601" s="391">
        <f>Y570*V601</f>
        <v>462675.44400000002</v>
      </c>
      <c r="AA601" s="86"/>
      <c r="AB601" s="92">
        <f>+U601*Y601</f>
        <v>462675.44400000002</v>
      </c>
      <c r="AC601" s="93">
        <f>+AB601-Z601</f>
        <v>0</v>
      </c>
      <c r="AD601" s="94"/>
      <c r="AE601" s="410" t="str">
        <f>+IF(V601=0,"CERO","NO")</f>
        <v>NO</v>
      </c>
    </row>
    <row r="602" spans="3:31" s="260" customFormat="1" ht="15.75" thickBot="1" x14ac:dyDescent="0.3">
      <c r="C602" s="84"/>
      <c r="D602" s="375" t="s">
        <v>128</v>
      </c>
      <c r="E602" s="376" t="s">
        <v>129</v>
      </c>
      <c r="F602" s="376" t="s">
        <v>130</v>
      </c>
      <c r="G602" s="376" t="s">
        <v>131</v>
      </c>
      <c r="H602" s="376" t="s">
        <v>132</v>
      </c>
      <c r="I602" s="376" t="s">
        <v>133</v>
      </c>
      <c r="J602" s="377" t="s">
        <v>134</v>
      </c>
      <c r="K602" s="88"/>
      <c r="M602" s="534"/>
      <c r="N602" s="536" t="s">
        <v>120</v>
      </c>
      <c r="O602" s="536"/>
      <c r="P602" s="536"/>
      <c r="Q602" s="536"/>
      <c r="R602" s="536"/>
      <c r="S602" s="536"/>
      <c r="T602" s="536"/>
      <c r="U602" s="536"/>
      <c r="V602" s="82">
        <f>+SUM(V600:V601)</f>
        <v>11675.119999999999</v>
      </c>
      <c r="Y602" s="398" t="s">
        <v>135</v>
      </c>
      <c r="Z602" s="397">
        <f>+SUM(Z600:Z601)</f>
        <v>1084618.648</v>
      </c>
      <c r="AA602" s="86"/>
      <c r="AB602" s="384"/>
      <c r="AC602" s="385"/>
      <c r="AD602" s="94"/>
      <c r="AE602" s="399"/>
    </row>
    <row r="603" spans="3:31" s="260" customFormat="1" ht="15.75" thickBot="1" x14ac:dyDescent="0.3">
      <c r="C603" s="84"/>
      <c r="D603" s="354"/>
      <c r="E603" s="96"/>
      <c r="F603" s="96"/>
      <c r="G603" s="107">
        <f>+F597</f>
        <v>2.02</v>
      </c>
      <c r="H603" s="96"/>
      <c r="I603" s="96"/>
      <c r="J603" s="427"/>
      <c r="K603" s="88"/>
      <c r="M603" s="535"/>
      <c r="N603" s="537" t="s">
        <v>121</v>
      </c>
      <c r="O603" s="537"/>
      <c r="P603" s="537"/>
      <c r="Q603" s="537"/>
      <c r="R603" s="537"/>
      <c r="S603" s="537"/>
      <c r="T603" s="537"/>
      <c r="U603" s="537"/>
      <c r="V603" s="413">
        <f>+ROUND(V602,$AA$5)</f>
        <v>11675.12</v>
      </c>
      <c r="Y603" s="401" t="s">
        <v>136</v>
      </c>
      <c r="Z603" s="402">
        <f>+ROUND(Z602,$AA$5)</f>
        <v>1084618.6499999999</v>
      </c>
      <c r="AA603" s="86"/>
      <c r="AB603" s="403">
        <f>+V603*Y570</f>
        <v>1084618.648</v>
      </c>
      <c r="AC603" s="404">
        <f>+AB603-Z603</f>
        <v>-1.999999862164259E-3</v>
      </c>
      <c r="AD603" s="94"/>
      <c r="AE603" s="405"/>
    </row>
    <row r="604" spans="3:31" s="260" customFormat="1" ht="15.75" thickBot="1" x14ac:dyDescent="0.3">
      <c r="C604" s="84"/>
      <c r="D604" s="375" t="s">
        <v>128</v>
      </c>
      <c r="E604" s="376" t="s">
        <v>129</v>
      </c>
      <c r="F604" s="376" t="s">
        <v>130</v>
      </c>
      <c r="G604" s="376" t="s">
        <v>131</v>
      </c>
      <c r="H604" s="376" t="s">
        <v>132</v>
      </c>
      <c r="I604" s="376" t="s">
        <v>133</v>
      </c>
      <c r="J604" s="377" t="s">
        <v>134</v>
      </c>
      <c r="K604" s="88"/>
      <c r="M604" s="541"/>
      <c r="N604" s="542"/>
      <c r="O604" s="542"/>
      <c r="P604" s="542"/>
      <c r="Q604" s="542"/>
      <c r="R604" s="542"/>
      <c r="S604" s="542"/>
      <c r="T604" s="542"/>
      <c r="U604" s="542"/>
      <c r="V604" s="543"/>
      <c r="Y604" s="378"/>
      <c r="Z604" s="121"/>
      <c r="AA604" s="86"/>
      <c r="AB604" s="409"/>
      <c r="AC604" s="121"/>
      <c r="AD604" s="94"/>
      <c r="AE604" s="428"/>
    </row>
    <row r="605" spans="3:31" s="260" customFormat="1" ht="15.75" thickBot="1" x14ac:dyDescent="0.3">
      <c r="C605" s="84"/>
      <c r="D605" s="355"/>
      <c r="E605" s="367"/>
      <c r="F605" s="367"/>
      <c r="G605" s="367"/>
      <c r="H605" s="412">
        <f>G603</f>
        <v>2.02</v>
      </c>
      <c r="I605" s="412"/>
      <c r="J605" s="422"/>
      <c r="K605" s="88"/>
      <c r="M605" s="544" t="s">
        <v>122</v>
      </c>
      <c r="N605" s="537"/>
      <c r="O605" s="537"/>
      <c r="P605" s="537"/>
      <c r="Q605" s="537"/>
      <c r="R605" s="537"/>
      <c r="S605" s="537"/>
      <c r="T605" s="537"/>
      <c r="U605" s="545">
        <f>+V603+V597+V589+V580</f>
        <v>21841.85</v>
      </c>
      <c r="V605" s="546"/>
      <c r="Y605" s="429"/>
      <c r="Z605" s="430">
        <f>+Z603+Z597+Z589+Z580</f>
        <v>2029107.3199999996</v>
      </c>
      <c r="AA605" s="86"/>
      <c r="AB605" s="431">
        <f>+AB603+AB597+AB589+AB580</f>
        <v>2029107.865</v>
      </c>
      <c r="AC605" s="404">
        <f>+AB605-Z605</f>
        <v>0.54500000039115548</v>
      </c>
      <c r="AD605" s="94"/>
      <c r="AE605" s="432"/>
    </row>
    <row r="606" spans="3:31" s="260" customFormat="1" ht="15.75" thickBot="1" x14ac:dyDescent="0.3"/>
    <row r="607" spans="3:31" s="260" customFormat="1" x14ac:dyDescent="0.25">
      <c r="M607" s="547" t="s">
        <v>348</v>
      </c>
      <c r="N607" s="548"/>
      <c r="O607" s="548"/>
      <c r="P607" s="548"/>
      <c r="Q607" s="548"/>
      <c r="R607" s="548"/>
      <c r="S607" s="548"/>
      <c r="T607" s="548"/>
      <c r="U607" s="548"/>
      <c r="V607" s="549"/>
      <c r="Y607" s="378"/>
      <c r="Z607" s="121"/>
      <c r="AA607" s="86"/>
      <c r="AB607" s="94"/>
      <c r="AC607" s="94"/>
      <c r="AD607" s="94"/>
      <c r="AE607" s="126" t="s">
        <v>133</v>
      </c>
    </row>
    <row r="608" spans="3:31" s="260" customFormat="1" x14ac:dyDescent="0.25">
      <c r="M608" s="515" t="s">
        <v>138</v>
      </c>
      <c r="N608" s="516"/>
      <c r="O608" s="516"/>
      <c r="P608" s="516"/>
      <c r="Q608" s="516"/>
      <c r="R608" s="516"/>
      <c r="S608" s="516"/>
      <c r="T608" s="437">
        <v>0</v>
      </c>
      <c r="U608" s="517">
        <f>+ROUND(U605*T608,$AA$5)</f>
        <v>0</v>
      </c>
      <c r="V608" s="518"/>
      <c r="Y608" s="390"/>
      <c r="Z608" s="438">
        <f>+Z605*T608</f>
        <v>0</v>
      </c>
      <c r="AA608" s="86"/>
      <c r="AB608" s="94"/>
      <c r="AC608" s="94"/>
      <c r="AD608" s="94"/>
      <c r="AE608" s="386" t="s">
        <v>133</v>
      </c>
    </row>
    <row r="609" spans="3:31" s="260" customFormat="1" x14ac:dyDescent="0.25">
      <c r="M609" s="515" t="s">
        <v>19</v>
      </c>
      <c r="N609" s="516"/>
      <c r="O609" s="516"/>
      <c r="P609" s="516"/>
      <c r="Q609" s="516"/>
      <c r="R609" s="516"/>
      <c r="S609" s="516"/>
      <c r="T609" s="437">
        <v>0.05</v>
      </c>
      <c r="U609" s="517">
        <f>+ROUND(U605*T609,$AA$5)</f>
        <v>1092.0899999999999</v>
      </c>
      <c r="V609" s="518"/>
      <c r="Y609" s="390"/>
      <c r="Z609" s="438">
        <f>+Z605*T609</f>
        <v>101455.36599999998</v>
      </c>
      <c r="AA609" s="86"/>
      <c r="AB609" s="94"/>
      <c r="AC609" s="94"/>
      <c r="AD609" s="94"/>
      <c r="AE609" s="386" t="s">
        <v>133</v>
      </c>
    </row>
    <row r="610" spans="3:31" s="260" customFormat="1" x14ac:dyDescent="0.25">
      <c r="M610" s="515" t="s">
        <v>20</v>
      </c>
      <c r="N610" s="516"/>
      <c r="O610" s="516"/>
      <c r="P610" s="516"/>
      <c r="Q610" s="516"/>
      <c r="R610" s="516"/>
      <c r="S610" s="516"/>
      <c r="T610" s="437">
        <v>0</v>
      </c>
      <c r="U610" s="517">
        <f>+ROUND(U605*T610,$AA$5)</f>
        <v>0</v>
      </c>
      <c r="V610" s="518"/>
      <c r="Y610" s="390"/>
      <c r="Z610" s="438">
        <f>+Z605*T610</f>
        <v>0</v>
      </c>
      <c r="AA610" s="86"/>
      <c r="AB610" s="94"/>
      <c r="AC610" s="94"/>
      <c r="AD610" s="94"/>
      <c r="AE610" s="386" t="s">
        <v>133</v>
      </c>
    </row>
    <row r="611" spans="3:31" s="260" customFormat="1" x14ac:dyDescent="0.25">
      <c r="M611" s="515" t="s">
        <v>21</v>
      </c>
      <c r="N611" s="516"/>
      <c r="O611" s="516"/>
      <c r="P611" s="516"/>
      <c r="Q611" s="516"/>
      <c r="R611" s="516"/>
      <c r="S611" s="516"/>
      <c r="T611" s="437">
        <f>$AA$9</f>
        <v>0</v>
      </c>
      <c r="U611" s="517">
        <f>+ROUND(U605*T611,$AA$5)</f>
        <v>0</v>
      </c>
      <c r="V611" s="518"/>
      <c r="Y611" s="390"/>
      <c r="Z611" s="438">
        <f>+Z610*T611</f>
        <v>0</v>
      </c>
      <c r="AA611" s="86"/>
      <c r="AB611" s="94"/>
      <c r="AC611" s="94"/>
      <c r="AD611" s="94"/>
      <c r="AE611" s="386" t="s">
        <v>133</v>
      </c>
    </row>
    <row r="612" spans="3:31" s="260" customFormat="1" ht="15.75" thickBot="1" x14ac:dyDescent="0.3">
      <c r="M612" s="519" t="s">
        <v>349</v>
      </c>
      <c r="N612" s="520"/>
      <c r="O612" s="520"/>
      <c r="P612" s="520"/>
      <c r="Q612" s="520"/>
      <c r="R612" s="520"/>
      <c r="S612" s="520"/>
      <c r="T612" s="520"/>
      <c r="U612" s="521">
        <f>+SUM(U608:V611)</f>
        <v>1092.0899999999999</v>
      </c>
      <c r="V612" s="522"/>
      <c r="Y612" s="390"/>
      <c r="Z612" s="439">
        <f>+SUM(Z608:Z611)</f>
        <v>101455.36599999998</v>
      </c>
      <c r="AA612" s="86"/>
      <c r="AB612" s="94"/>
      <c r="AC612" s="94"/>
      <c r="AD612" s="94"/>
      <c r="AE612" s="386" t="s">
        <v>133</v>
      </c>
    </row>
    <row r="613" spans="3:31" s="260" customFormat="1" ht="15.75" thickBot="1" x14ac:dyDescent="0.3">
      <c r="D613" s="375" t="s">
        <v>128</v>
      </c>
      <c r="E613" s="376" t="s">
        <v>129</v>
      </c>
      <c r="F613" s="376" t="s">
        <v>130</v>
      </c>
      <c r="G613" s="376" t="s">
        <v>131</v>
      </c>
      <c r="H613" s="376" t="s">
        <v>132</v>
      </c>
      <c r="I613" s="376" t="s">
        <v>133</v>
      </c>
      <c r="J613" s="377" t="s">
        <v>134</v>
      </c>
      <c r="M613" s="86"/>
      <c r="N613" s="94"/>
      <c r="O613" s="94"/>
      <c r="P613" s="94"/>
      <c r="Q613" s="86"/>
      <c r="R613" s="86"/>
      <c r="S613" s="86"/>
      <c r="T613" s="440"/>
      <c r="U613" s="523"/>
      <c r="V613" s="523"/>
      <c r="Y613" s="390"/>
      <c r="Z613" s="385"/>
      <c r="AA613" s="86"/>
      <c r="AB613" s="94"/>
      <c r="AC613" s="94"/>
      <c r="AD613" s="94"/>
      <c r="AE613" s="386" t="s">
        <v>133</v>
      </c>
    </row>
    <row r="614" spans="3:31" s="260" customFormat="1" ht="15.75" thickBot="1" x14ac:dyDescent="0.3">
      <c r="D614" s="355"/>
      <c r="E614" s="367"/>
      <c r="F614" s="367"/>
      <c r="G614" s="367"/>
      <c r="H614" s="412"/>
      <c r="I614" s="412">
        <f>H605</f>
        <v>2.02</v>
      </c>
      <c r="J614" s="422"/>
      <c r="M614" s="524" t="s">
        <v>11</v>
      </c>
      <c r="N614" s="525"/>
      <c r="O614" s="525"/>
      <c r="P614" s="525"/>
      <c r="Q614" s="525"/>
      <c r="R614" s="525"/>
      <c r="S614" s="525"/>
      <c r="T614" s="526"/>
      <c r="U614" s="527">
        <f>+U612+U605</f>
        <v>22933.94</v>
      </c>
      <c r="V614" s="528"/>
      <c r="Y614" s="429"/>
      <c r="Z614" s="441">
        <f>+Z612+Z605</f>
        <v>2130562.6859999998</v>
      </c>
      <c r="AA614" s="86"/>
      <c r="AB614" s="94"/>
      <c r="AC614" s="94"/>
      <c r="AD614" s="94"/>
      <c r="AE614" s="405" t="s">
        <v>133</v>
      </c>
    </row>
    <row r="615" spans="3:31" s="260" customFormat="1" x14ac:dyDescent="0.25"/>
    <row r="616" spans="3:31" s="260" customFormat="1" ht="15.75" thickBot="1" x14ac:dyDescent="0.3"/>
    <row r="617" spans="3:31" s="260" customFormat="1" ht="15.75" thickBot="1" x14ac:dyDescent="0.3">
      <c r="M617" s="363" t="s">
        <v>88</v>
      </c>
      <c r="N617" s="436" t="str">
        <f>+N569</f>
        <v>CAP.2</v>
      </c>
      <c r="O617" s="550" t="str">
        <f>IFERROR(VLOOKUP(N617,PPTO!C:H,2,0),"----")</f>
        <v>RED HIDRAULICA</v>
      </c>
      <c r="P617" s="551"/>
      <c r="Q617" s="551"/>
      <c r="R617" s="551"/>
      <c r="S617" s="551"/>
      <c r="T617" s="551"/>
      <c r="U617" s="552"/>
      <c r="V617" s="74" t="s">
        <v>91</v>
      </c>
      <c r="Y617" s="365" t="s">
        <v>104</v>
      </c>
      <c r="Z617" s="94"/>
      <c r="AA617" s="188"/>
      <c r="AB617" s="553"/>
      <c r="AC617" s="553"/>
      <c r="AD617" s="553"/>
      <c r="AE617" s="94"/>
    </row>
    <row r="618" spans="3:31" s="260" customFormat="1" ht="15.75" thickBot="1" x14ac:dyDescent="0.3">
      <c r="C618" s="369">
        <f>+N618</f>
        <v>2.0299999999999998</v>
      </c>
      <c r="D618" s="86"/>
      <c r="E618" s="86"/>
      <c r="F618" s="86"/>
      <c r="G618" s="86"/>
      <c r="H618" s="86"/>
      <c r="I618" s="86"/>
      <c r="J618" s="86"/>
      <c r="K618" s="370"/>
      <c r="M618" s="75" t="s">
        <v>92</v>
      </c>
      <c r="N618" s="371">
        <f>+ROUNDUP(N570+0.01,2)</f>
        <v>2.0299999999999998</v>
      </c>
      <c r="O618" s="554" t="str">
        <f>IFERROR(VLOOKUP(N618,PPTO!C:H,2,0),"----")</f>
        <v>Tuberia PVC Ø1"</v>
      </c>
      <c r="P618" s="555"/>
      <c r="Q618" s="555"/>
      <c r="R618" s="555"/>
      <c r="S618" s="555"/>
      <c r="T618" s="555"/>
      <c r="U618" s="556"/>
      <c r="V618" s="76" t="str">
        <f>IFERROR(VLOOKUP(N618,PPTO!C:H,3,0),"----")</f>
        <v>ML</v>
      </c>
      <c r="Y618" s="373">
        <f>SUMIFS(PPTO!F:F,PPTO!C:C,APUS!N618)</f>
        <v>28.6</v>
      </c>
      <c r="Z618" s="94"/>
      <c r="AA618" s="86"/>
      <c r="AB618" s="94"/>
      <c r="AC618" s="94"/>
      <c r="AD618" s="94"/>
      <c r="AE618" s="94"/>
    </row>
    <row r="619" spans="3:31" s="260" customFormat="1" ht="15.75" thickBot="1" x14ac:dyDescent="0.3">
      <c r="C619" s="84"/>
      <c r="D619" s="86"/>
      <c r="E619" s="86"/>
      <c r="F619" s="86"/>
      <c r="G619" s="86"/>
      <c r="H619" s="86"/>
      <c r="I619" s="86"/>
      <c r="J619" s="86"/>
      <c r="K619" s="88"/>
      <c r="M619" s="557"/>
      <c r="N619" s="557"/>
      <c r="O619" s="557"/>
      <c r="P619" s="557"/>
      <c r="Q619" s="557"/>
      <c r="R619" s="557"/>
      <c r="S619" s="557"/>
      <c r="T619" s="557"/>
      <c r="U619" s="557"/>
      <c r="V619" s="557"/>
      <c r="Y619" s="374"/>
      <c r="Z619" s="94"/>
      <c r="AA619" s="86"/>
      <c r="AB619" s="94"/>
      <c r="AC619" s="94"/>
      <c r="AD619" s="94"/>
      <c r="AE619" s="94"/>
    </row>
    <row r="620" spans="3:31" s="260" customFormat="1" ht="15.75" thickBot="1" x14ac:dyDescent="0.3">
      <c r="C620" s="84"/>
      <c r="D620" s="375" t="s">
        <v>128</v>
      </c>
      <c r="E620" s="376" t="s">
        <v>129</v>
      </c>
      <c r="F620" s="376" t="s">
        <v>130</v>
      </c>
      <c r="G620" s="376" t="s">
        <v>131</v>
      </c>
      <c r="H620" s="376" t="s">
        <v>132</v>
      </c>
      <c r="I620" s="376" t="s">
        <v>133</v>
      </c>
      <c r="J620" s="377" t="s">
        <v>134</v>
      </c>
      <c r="K620" s="88"/>
      <c r="M620" s="558" t="s">
        <v>93</v>
      </c>
      <c r="N620" s="559"/>
      <c r="O620" s="559"/>
      <c r="P620" s="559"/>
      <c r="Q620" s="559"/>
      <c r="R620" s="559"/>
      <c r="S620" s="559"/>
      <c r="T620" s="559"/>
      <c r="U620" s="559"/>
      <c r="V620" s="560"/>
      <c r="Y620" s="378"/>
      <c r="Z620" s="121"/>
      <c r="AA620" s="86"/>
      <c r="AB620" s="513"/>
      <c r="AC620" s="514"/>
      <c r="AD620" s="94"/>
      <c r="AE620" s="379"/>
    </row>
    <row r="621" spans="3:31" s="260" customFormat="1" x14ac:dyDescent="0.25">
      <c r="C621" s="84"/>
      <c r="D621" s="380"/>
      <c r="E621" s="381"/>
      <c r="F621" s="381"/>
      <c r="G621" s="381"/>
      <c r="H621" s="381"/>
      <c r="I621" s="381"/>
      <c r="J621" s="382"/>
      <c r="K621" s="88"/>
      <c r="M621" s="99" t="s">
        <v>94</v>
      </c>
      <c r="N621" s="561" t="s">
        <v>95</v>
      </c>
      <c r="O621" s="561"/>
      <c r="P621" s="561"/>
      <c r="Q621" s="561"/>
      <c r="R621" s="95" t="s">
        <v>96</v>
      </c>
      <c r="S621" s="95" t="s">
        <v>97</v>
      </c>
      <c r="T621" s="562" t="s">
        <v>8</v>
      </c>
      <c r="U621" s="562"/>
      <c r="V621" s="100" t="s">
        <v>98</v>
      </c>
      <c r="Y621" s="383" t="s">
        <v>104</v>
      </c>
      <c r="Z621" s="119" t="s">
        <v>9</v>
      </c>
      <c r="AA621" s="86"/>
      <c r="AB621" s="384"/>
      <c r="AC621" s="385"/>
      <c r="AD621" s="94"/>
      <c r="AE621" s="386"/>
    </row>
    <row r="622" spans="3:31" s="260" customFormat="1" x14ac:dyDescent="0.25">
      <c r="C622" s="84"/>
      <c r="D622" s="85"/>
      <c r="E622" s="86"/>
      <c r="F622" s="86"/>
      <c r="G622" s="86"/>
      <c r="H622" s="86"/>
      <c r="I622" s="86"/>
      <c r="J622" s="87"/>
      <c r="K622" s="88"/>
      <c r="M622" s="102"/>
      <c r="N622" s="533" t="s">
        <v>99</v>
      </c>
      <c r="O622" s="533"/>
      <c r="P622" s="533"/>
      <c r="Q622" s="533"/>
      <c r="R622" s="78" t="s">
        <v>100</v>
      </c>
      <c r="S622" s="387">
        <f>+$AA$10</f>
        <v>0.05</v>
      </c>
      <c r="T622" s="563">
        <f>V652</f>
        <v>11675.12</v>
      </c>
      <c r="U622" s="563"/>
      <c r="V622" s="389">
        <f>+IFERROR(T622*S622,0)</f>
        <v>583.75600000000009</v>
      </c>
      <c r="Y622" s="390"/>
      <c r="Z622" s="391">
        <f>Y618*V622</f>
        <v>16695.421600000001</v>
      </c>
      <c r="AA622" s="86"/>
      <c r="AB622" s="384"/>
      <c r="AC622" s="385"/>
      <c r="AD622" s="94"/>
      <c r="AE622" s="386" t="str">
        <f>+IF(V622=0,"CERO","NO")</f>
        <v>NO</v>
      </c>
    </row>
    <row r="623" spans="3:31" s="260" customFormat="1" x14ac:dyDescent="0.25">
      <c r="C623" s="84"/>
      <c r="D623" s="85"/>
      <c r="E623" s="86"/>
      <c r="F623" s="86"/>
      <c r="G623" s="86"/>
      <c r="H623" s="86"/>
      <c r="I623" s="86"/>
      <c r="J623" s="87"/>
      <c r="K623" s="88"/>
      <c r="M623" s="106"/>
      <c r="N623" s="533" t="str">
        <f>IFERROR(VLOOKUP(M623,INSUMOS!$C$8:$K$928,2,0),"-----")</f>
        <v>-----</v>
      </c>
      <c r="O623" s="533"/>
      <c r="P623" s="533"/>
      <c r="Q623" s="533"/>
      <c r="R623" s="78" t="str">
        <f>IFERROR(VLOOKUP(M623,INSUMOS!$C$8:$K$928,6,0),"-----")</f>
        <v>-----</v>
      </c>
      <c r="S623" s="392"/>
      <c r="T623" s="529" t="str">
        <f>IFERROR(VLOOKUP(M623,INSUMOS!$C$8:$K$928,7,0),"0")</f>
        <v>0</v>
      </c>
      <c r="U623" s="529"/>
      <c r="V623" s="389">
        <f>+IFERROR(T623*S623,0)</f>
        <v>0</v>
      </c>
      <c r="Y623" s="393">
        <f>+IFERROR(Y618*S623,0)</f>
        <v>0</v>
      </c>
      <c r="Z623" s="391">
        <f>Y618*V623</f>
        <v>0</v>
      </c>
      <c r="AA623" s="394"/>
      <c r="AB623" s="395">
        <f>+Y623*T623</f>
        <v>0</v>
      </c>
      <c r="AC623" s="93">
        <f>+AB623-Z623</f>
        <v>0</v>
      </c>
      <c r="AD623" s="94"/>
      <c r="AE623" s="386" t="str">
        <f>+IF(V623=0,"CERO","NO")</f>
        <v>CERO</v>
      </c>
    </row>
    <row r="624" spans="3:31" s="260" customFormat="1" x14ac:dyDescent="0.25">
      <c r="C624" s="84"/>
      <c r="D624" s="85"/>
      <c r="E624" s="86"/>
      <c r="F624" s="86"/>
      <c r="G624" s="86"/>
      <c r="H624" s="86"/>
      <c r="I624" s="86"/>
      <c r="J624" s="87"/>
      <c r="K624" s="88"/>
      <c r="M624" s="102">
        <v>0</v>
      </c>
      <c r="N624" s="533"/>
      <c r="O624" s="533"/>
      <c r="P624" s="533"/>
      <c r="Q624" s="533"/>
      <c r="R624" s="78"/>
      <c r="S624" s="396"/>
      <c r="T624" s="529"/>
      <c r="U624" s="529"/>
      <c r="V624" s="397"/>
      <c r="Y624" s="393">
        <f>+IFERROR(Y618*S624,0)</f>
        <v>0</v>
      </c>
      <c r="Z624" s="391">
        <f>Y618*V624</f>
        <v>0</v>
      </c>
      <c r="AA624" s="394"/>
      <c r="AB624" s="395">
        <f>+Y624*T624</f>
        <v>0</v>
      </c>
      <c r="AC624" s="93">
        <f>+AB624-Z624</f>
        <v>0</v>
      </c>
      <c r="AD624" s="94"/>
      <c r="AE624" s="386" t="str">
        <f>+IF(V624=0,"CERO","NO")</f>
        <v>CERO</v>
      </c>
    </row>
    <row r="625" spans="3:31" s="260" customFormat="1" x14ac:dyDescent="0.25">
      <c r="C625" s="84"/>
      <c r="D625" s="85"/>
      <c r="E625" s="86"/>
      <c r="F625" s="86"/>
      <c r="G625" s="86"/>
      <c r="H625" s="86"/>
      <c r="I625" s="86"/>
      <c r="J625" s="87"/>
      <c r="K625" s="88"/>
      <c r="M625" s="102">
        <v>0</v>
      </c>
      <c r="N625" s="533"/>
      <c r="O625" s="533"/>
      <c r="P625" s="533"/>
      <c r="Q625" s="533"/>
      <c r="R625" s="78"/>
      <c r="S625" s="396"/>
      <c r="T625" s="529"/>
      <c r="U625" s="529"/>
      <c r="V625" s="397"/>
      <c r="Y625" s="393">
        <f>+IFERROR(Y618*S625,0)</f>
        <v>0</v>
      </c>
      <c r="Z625" s="391">
        <f>Y618*V625</f>
        <v>0</v>
      </c>
      <c r="AA625" s="394"/>
      <c r="AB625" s="395">
        <f>+Y625*T625</f>
        <v>0</v>
      </c>
      <c r="AC625" s="93">
        <f>+AB625-Z625</f>
        <v>0</v>
      </c>
      <c r="AD625" s="94"/>
      <c r="AE625" s="386" t="str">
        <f>+IF(V625=0,"CERO","NO")</f>
        <v>CERO</v>
      </c>
    </row>
    <row r="626" spans="3:31" s="260" customFormat="1" ht="15.75" thickBot="1" x14ac:dyDescent="0.3">
      <c r="C626" s="84"/>
      <c r="D626" s="85"/>
      <c r="E626" s="86"/>
      <c r="F626" s="86"/>
      <c r="G626" s="86"/>
      <c r="H626" s="86"/>
      <c r="I626" s="86"/>
      <c r="J626" s="87"/>
      <c r="K626" s="88"/>
      <c r="M626" s="102">
        <v>0</v>
      </c>
      <c r="N626" s="564"/>
      <c r="O626" s="564"/>
      <c r="P626" s="564"/>
      <c r="Q626" s="564"/>
      <c r="R626" s="96"/>
      <c r="S626" s="96"/>
      <c r="T626" s="565"/>
      <c r="U626" s="565"/>
      <c r="V626" s="101"/>
      <c r="Y626" s="393">
        <f>+IFERROR(Y618*S626,0)</f>
        <v>0</v>
      </c>
      <c r="Z626" s="391">
        <f>Y618*V626</f>
        <v>0</v>
      </c>
      <c r="AA626" s="394"/>
      <c r="AB626" s="395">
        <f>+Y626*T626</f>
        <v>0</v>
      </c>
      <c r="AC626" s="93">
        <f>+AB626-Z626</f>
        <v>0</v>
      </c>
      <c r="AD626" s="94"/>
      <c r="AE626" s="386" t="str">
        <f>+IF(V626=0,"CERO","NO")</f>
        <v>CERO</v>
      </c>
    </row>
    <row r="627" spans="3:31" s="260" customFormat="1" ht="15.75" thickBot="1" x14ac:dyDescent="0.3">
      <c r="C627" s="84"/>
      <c r="D627" s="375" t="s">
        <v>128</v>
      </c>
      <c r="E627" s="376" t="s">
        <v>129</v>
      </c>
      <c r="F627" s="376" t="s">
        <v>130</v>
      </c>
      <c r="G627" s="376" t="s">
        <v>131</v>
      </c>
      <c r="H627" s="376" t="s">
        <v>132</v>
      </c>
      <c r="I627" s="376" t="s">
        <v>133</v>
      </c>
      <c r="J627" s="377" t="s">
        <v>134</v>
      </c>
      <c r="K627" s="88"/>
      <c r="M627" s="534"/>
      <c r="N627" s="536" t="s">
        <v>101</v>
      </c>
      <c r="O627" s="536"/>
      <c r="P627" s="536"/>
      <c r="Q627" s="536"/>
      <c r="R627" s="536"/>
      <c r="S627" s="536"/>
      <c r="T627" s="536"/>
      <c r="U627" s="536"/>
      <c r="V627" s="389">
        <f>+SUM(V622:V626)</f>
        <v>583.75600000000009</v>
      </c>
      <c r="Y627" s="398" t="s">
        <v>135</v>
      </c>
      <c r="Z627" s="397">
        <f>+SUM(Z622:Z626)</f>
        <v>16695.421600000001</v>
      </c>
      <c r="AA627" s="86"/>
      <c r="AB627" s="384"/>
      <c r="AC627" s="385"/>
      <c r="AD627" s="94"/>
      <c r="AE627" s="399"/>
    </row>
    <row r="628" spans="3:31" s="260" customFormat="1" ht="15.75" thickBot="1" x14ac:dyDescent="0.3">
      <c r="C628" s="84"/>
      <c r="D628" s="375">
        <f>C618</f>
        <v>2.0299999999999998</v>
      </c>
      <c r="E628" s="376"/>
      <c r="F628" s="376"/>
      <c r="G628" s="376"/>
      <c r="H628" s="376"/>
      <c r="I628" s="376"/>
      <c r="J628" s="377"/>
      <c r="K628" s="88"/>
      <c r="M628" s="566"/>
      <c r="N628" s="567" t="s">
        <v>102</v>
      </c>
      <c r="O628" s="567"/>
      <c r="P628" s="567"/>
      <c r="Q628" s="567"/>
      <c r="R628" s="567"/>
      <c r="S628" s="567"/>
      <c r="T628" s="567"/>
      <c r="U628" s="567"/>
      <c r="V628" s="400">
        <f>+ROUND(V627,$AA$5)</f>
        <v>583.76</v>
      </c>
      <c r="Y628" s="401" t="s">
        <v>136</v>
      </c>
      <c r="Z628" s="402">
        <f>+ROUND(Z627,$AA$5)</f>
        <v>16695.419999999998</v>
      </c>
      <c r="AA628" s="86"/>
      <c r="AB628" s="403">
        <f>+V628*Y618</f>
        <v>16695.536</v>
      </c>
      <c r="AC628" s="404">
        <f>+AB628-Z628</f>
        <v>0.11600000000180444</v>
      </c>
      <c r="AD628" s="94"/>
      <c r="AE628" s="405"/>
    </row>
    <row r="629" spans="3:31" s="260" customFormat="1" x14ac:dyDescent="0.25">
      <c r="C629" s="84"/>
      <c r="D629" s="380"/>
      <c r="E629" s="381"/>
      <c r="F629" s="381"/>
      <c r="G629" s="381"/>
      <c r="H629" s="381"/>
      <c r="I629" s="381"/>
      <c r="J629" s="382"/>
      <c r="K629" s="88"/>
      <c r="M629" s="510" t="s">
        <v>103</v>
      </c>
      <c r="N629" s="511"/>
      <c r="O629" s="511"/>
      <c r="P629" s="511"/>
      <c r="Q629" s="511"/>
      <c r="R629" s="511"/>
      <c r="S629" s="511"/>
      <c r="T629" s="511"/>
      <c r="U629" s="511"/>
      <c r="V629" s="512"/>
      <c r="Y629" s="378"/>
      <c r="Z629" s="121"/>
      <c r="AA629" s="86"/>
      <c r="AB629" s="513"/>
      <c r="AC629" s="514"/>
      <c r="AD629" s="94"/>
      <c r="AE629" s="126"/>
    </row>
    <row r="630" spans="3:31" s="260" customFormat="1" x14ac:dyDescent="0.25">
      <c r="C630" s="84"/>
      <c r="D630" s="85"/>
      <c r="E630" s="86"/>
      <c r="F630" s="86"/>
      <c r="G630" s="86"/>
      <c r="H630" s="86"/>
      <c r="I630" s="86"/>
      <c r="J630" s="87"/>
      <c r="K630" s="88"/>
      <c r="M630" s="99" t="s">
        <v>94</v>
      </c>
      <c r="N630" s="561" t="s">
        <v>95</v>
      </c>
      <c r="O630" s="561"/>
      <c r="P630" s="561"/>
      <c r="Q630" s="561"/>
      <c r="R630" s="95" t="s">
        <v>96</v>
      </c>
      <c r="S630" s="95" t="s">
        <v>104</v>
      </c>
      <c r="T630" s="356" t="s">
        <v>105</v>
      </c>
      <c r="U630" s="356" t="s">
        <v>8</v>
      </c>
      <c r="V630" s="100" t="s">
        <v>98</v>
      </c>
      <c r="Y630" s="383" t="s">
        <v>104</v>
      </c>
      <c r="Z630" s="119" t="s">
        <v>9</v>
      </c>
      <c r="AA630" s="86"/>
      <c r="AB630" s="384"/>
      <c r="AC630" s="385"/>
      <c r="AD630" s="94"/>
      <c r="AE630" s="406"/>
    </row>
    <row r="631" spans="3:31" s="260" customFormat="1" x14ac:dyDescent="0.25">
      <c r="C631" s="84"/>
      <c r="D631" s="85"/>
      <c r="E631" s="86"/>
      <c r="F631" s="86"/>
      <c r="G631" s="86"/>
      <c r="H631" s="86"/>
      <c r="I631" s="86"/>
      <c r="J631" s="87"/>
      <c r="K631" s="88"/>
      <c r="M631" s="102">
        <v>684</v>
      </c>
      <c r="N631" s="533" t="str">
        <f>IFERROR(VLOOKUP(M631,INSUMOS!$C$8:$K$928,2,0),"-----")</f>
        <v>TUBO PVC-P 1" RDE 13.5</v>
      </c>
      <c r="O631" s="533"/>
      <c r="P631" s="533"/>
      <c r="Q631" s="533"/>
      <c r="R631" s="78" t="str">
        <f>IFERROR(VLOOKUP(M631,INSUMOS!$C$8:$K$928,6,0),"-----")</f>
        <v>ml</v>
      </c>
      <c r="S631" s="396">
        <v>1</v>
      </c>
      <c r="T631" s="387">
        <v>0.02</v>
      </c>
      <c r="U631" s="388">
        <f>IFERROR(VLOOKUP(M631,INSUMOS!$C$8:$K$928,7,0),"0")</f>
        <v>9350.1666666666661</v>
      </c>
      <c r="V631" s="389">
        <f>+IFERROR(U631*(S631*(1+T631)),0)</f>
        <v>9537.17</v>
      </c>
      <c r="Y631" s="393">
        <f>+IFERROR(Y618*(S631*(1+T631)),0)</f>
        <v>29.172000000000001</v>
      </c>
      <c r="Z631" s="391">
        <f>Y618*V631</f>
        <v>272763.06200000003</v>
      </c>
      <c r="AA631" s="394"/>
      <c r="AB631" s="395">
        <f>+Y631*U631</f>
        <v>272763.06199999998</v>
      </c>
      <c r="AC631" s="93">
        <f>+AB631-Z631</f>
        <v>0</v>
      </c>
      <c r="AD631" s="94"/>
      <c r="AE631" s="406" t="str">
        <f>+IF(V631=0,"CERO","NO")</f>
        <v>NO</v>
      </c>
    </row>
    <row r="632" spans="3:31" s="260" customFormat="1" x14ac:dyDescent="0.25">
      <c r="C632" s="84"/>
      <c r="D632" s="85"/>
      <c r="E632" s="86"/>
      <c r="F632" s="86"/>
      <c r="G632" s="86"/>
      <c r="H632" s="86"/>
      <c r="I632" s="86"/>
      <c r="J632" s="87"/>
      <c r="K632" s="88"/>
      <c r="M632" s="102">
        <v>699</v>
      </c>
      <c r="N632" s="533" t="str">
        <f>IFERROR(VLOOKUP(M632,INSUMOS!$C$8:$K$928,2,0),"-----")</f>
        <v>SOLDADURA PVC LIQUIDA 1/4"</v>
      </c>
      <c r="O632" s="533"/>
      <c r="P632" s="533"/>
      <c r="Q632" s="533"/>
      <c r="R632" s="78" t="str">
        <f>IFERROR(VLOOKUP(M632,INSUMOS!$C$8:$K$928,6,0),"-----")</f>
        <v>und</v>
      </c>
      <c r="S632" s="396">
        <v>0.02</v>
      </c>
      <c r="T632" s="387">
        <v>0.02</v>
      </c>
      <c r="U632" s="388">
        <f>IFERROR(VLOOKUP(M632,INSUMOS!$C$8:$K$928,7,0),"0")</f>
        <v>146569</v>
      </c>
      <c r="V632" s="389">
        <f>+IFERROR(U632*(S632*(1+T632)),0)</f>
        <v>2990.0076000000004</v>
      </c>
      <c r="Y632" s="393">
        <f>+IFERROR(Y618*(S632*(1+T632)),0)</f>
        <v>0.58344000000000007</v>
      </c>
      <c r="Z632" s="391">
        <f>Y618*V632</f>
        <v>85514.21736000001</v>
      </c>
      <c r="AA632" s="394"/>
      <c r="AB632" s="395">
        <f>+Y632*U632</f>
        <v>85514.21736000001</v>
      </c>
      <c r="AC632" s="93">
        <f>+AB632-Z632</f>
        <v>0</v>
      </c>
      <c r="AD632" s="94"/>
      <c r="AE632" s="406" t="str">
        <f>+IF(V632=0,"CERO","NO")</f>
        <v>NO</v>
      </c>
    </row>
    <row r="633" spans="3:31" s="260" customFormat="1" x14ac:dyDescent="0.25">
      <c r="C633" s="84"/>
      <c r="D633" s="85"/>
      <c r="E633" s="86"/>
      <c r="F633" s="86"/>
      <c r="G633" s="86"/>
      <c r="H633" s="86"/>
      <c r="I633" s="86"/>
      <c r="J633" s="87"/>
      <c r="K633" s="88"/>
      <c r="M633" s="102">
        <v>700</v>
      </c>
      <c r="N633" s="533" t="str">
        <f>IFERROR(VLOOKUP(M633,INSUMOS!$C$8:$K$928,2,0),"-----")</f>
        <v>LIMPIADOR PVC 1/4</v>
      </c>
      <c r="O633" s="533"/>
      <c r="P633" s="533"/>
      <c r="Q633" s="533"/>
      <c r="R633" s="78" t="str">
        <f>IFERROR(VLOOKUP(M633,INSUMOS!$C$8:$K$928,6,0),"-----")</f>
        <v>und</v>
      </c>
      <c r="S633" s="396">
        <v>0.02</v>
      </c>
      <c r="T633" s="387">
        <v>0.02</v>
      </c>
      <c r="U633" s="388">
        <f>IFERROR(VLOOKUP(M633,INSUMOS!$C$8:$K$928,7,0),"0")</f>
        <v>65913</v>
      </c>
      <c r="V633" s="389">
        <f>+IFERROR(U633*(S633*(1+T633)),0)</f>
        <v>1344.6252000000002</v>
      </c>
      <c r="Y633" s="393">
        <f>+IFERROR(Y618*(S633*(1+T633)),0)</f>
        <v>0.58344000000000007</v>
      </c>
      <c r="Z633" s="391">
        <f>Y618*V633</f>
        <v>38456.28072000001</v>
      </c>
      <c r="AA633" s="394"/>
      <c r="AB633" s="395">
        <f>+Y633*U633</f>
        <v>38456.280720000002</v>
      </c>
      <c r="AC633" s="93">
        <f>+AB633-Z633</f>
        <v>0</v>
      </c>
      <c r="AD633" s="94"/>
      <c r="AE633" s="406" t="str">
        <f>+IF(V633=0,"CERO","NO")</f>
        <v>NO</v>
      </c>
    </row>
    <row r="634" spans="3:31" s="260" customFormat="1" x14ac:dyDescent="0.25">
      <c r="C634" s="84"/>
      <c r="D634" s="85"/>
      <c r="E634" s="86"/>
      <c r="F634" s="86"/>
      <c r="G634" s="86"/>
      <c r="H634" s="86"/>
      <c r="I634" s="86"/>
      <c r="J634" s="87"/>
      <c r="K634" s="88"/>
      <c r="M634" s="102">
        <v>0</v>
      </c>
      <c r="N634" s="533" t="str">
        <f>IFERROR(VLOOKUP(M634,INSUMOS!$C$8:$K$928,2,0),"-----")</f>
        <v>-----</v>
      </c>
      <c r="O634" s="533"/>
      <c r="P634" s="533"/>
      <c r="Q634" s="533"/>
      <c r="R634" s="78" t="str">
        <f>IFERROR(VLOOKUP(M634,INSUMOS!$C$8:$K$928,6,0),"-----")</f>
        <v>-----</v>
      </c>
      <c r="S634" s="396"/>
      <c r="T634" s="387"/>
      <c r="U634" s="388" t="str">
        <f>IFERROR(VLOOKUP(M634,INSUMOS!$C$8:$K$928,7,0),"0")</f>
        <v>0</v>
      </c>
      <c r="V634" s="389">
        <f>+IFERROR(U634*(S634*(1+T634)),0)</f>
        <v>0</v>
      </c>
      <c r="Y634" s="393">
        <f>+IFERROR(Y618*(S634*(1+T634)),0)</f>
        <v>0</v>
      </c>
      <c r="Z634" s="391">
        <f>Y618*V634</f>
        <v>0</v>
      </c>
      <c r="AA634" s="394"/>
      <c r="AB634" s="395">
        <f>+Y634*U634</f>
        <v>0</v>
      </c>
      <c r="AC634" s="93">
        <f>+AB634-Z634</f>
        <v>0</v>
      </c>
      <c r="AD634" s="94"/>
      <c r="AE634" s="406" t="str">
        <f>+IF(V634=0,"CERO","NO")</f>
        <v>CERO</v>
      </c>
    </row>
    <row r="635" spans="3:31" s="260" customFormat="1" ht="15.75" thickBot="1" x14ac:dyDescent="0.3">
      <c r="C635" s="84"/>
      <c r="D635" s="85"/>
      <c r="E635" s="86"/>
      <c r="F635" s="86"/>
      <c r="G635" s="86"/>
      <c r="H635" s="86"/>
      <c r="I635" s="86"/>
      <c r="J635" s="87"/>
      <c r="K635" s="88"/>
      <c r="M635" s="102">
        <v>0</v>
      </c>
      <c r="N635" s="564"/>
      <c r="O635" s="564"/>
      <c r="P635" s="564"/>
      <c r="Q635" s="564"/>
      <c r="R635" s="96"/>
      <c r="S635" s="79"/>
      <c r="T635" s="97"/>
      <c r="U635" s="358"/>
      <c r="V635" s="397"/>
      <c r="Y635" s="393">
        <f>+IFERROR(Y618*(S635*(1+T635)),0)</f>
        <v>0</v>
      </c>
      <c r="Z635" s="391">
        <f>Y618*V635</f>
        <v>0</v>
      </c>
      <c r="AA635" s="394"/>
      <c r="AB635" s="395">
        <f>+Y635*U635</f>
        <v>0</v>
      </c>
      <c r="AC635" s="93">
        <f>+AB635-Z635</f>
        <v>0</v>
      </c>
      <c r="AD635" s="94"/>
      <c r="AE635" s="406" t="str">
        <f>+IF(V635=0,"CERO","NO")</f>
        <v>CERO</v>
      </c>
    </row>
    <row r="636" spans="3:31" s="260" customFormat="1" ht="15.75" thickBot="1" x14ac:dyDescent="0.3">
      <c r="C636" s="84"/>
      <c r="D636" s="375" t="s">
        <v>128</v>
      </c>
      <c r="E636" s="376" t="s">
        <v>129</v>
      </c>
      <c r="F636" s="376" t="s">
        <v>130</v>
      </c>
      <c r="G636" s="376" t="s">
        <v>131</v>
      </c>
      <c r="H636" s="376" t="s">
        <v>132</v>
      </c>
      <c r="I636" s="376" t="s">
        <v>133</v>
      </c>
      <c r="J636" s="377" t="s">
        <v>134</v>
      </c>
      <c r="K636" s="88"/>
      <c r="M636" s="534"/>
      <c r="N636" s="536" t="s">
        <v>106</v>
      </c>
      <c r="O636" s="536"/>
      <c r="P636" s="536"/>
      <c r="Q636" s="536"/>
      <c r="R636" s="536"/>
      <c r="S636" s="536"/>
      <c r="T636" s="536"/>
      <c r="U636" s="536"/>
      <c r="V636" s="389">
        <f>+SUM(V631:V635)</f>
        <v>13871.802800000001</v>
      </c>
      <c r="Y636" s="398" t="s">
        <v>135</v>
      </c>
      <c r="Z636" s="397">
        <f>+SUM(Z631:Z635)</f>
        <v>396733.56008000008</v>
      </c>
      <c r="AA636" s="86"/>
      <c r="AB636" s="384"/>
      <c r="AC636" s="385"/>
      <c r="AD636" s="94"/>
      <c r="AE636" s="399"/>
    </row>
    <row r="637" spans="3:31" s="260" customFormat="1" ht="15.75" thickBot="1" x14ac:dyDescent="0.3">
      <c r="C637" s="84"/>
      <c r="D637" s="375"/>
      <c r="E637" s="407">
        <f>+D628</f>
        <v>2.0299999999999998</v>
      </c>
      <c r="F637" s="376"/>
      <c r="G637" s="376"/>
      <c r="H637" s="376"/>
      <c r="I637" s="376"/>
      <c r="J637" s="377"/>
      <c r="K637" s="88"/>
      <c r="M637" s="535"/>
      <c r="N637" s="537" t="s">
        <v>107</v>
      </c>
      <c r="O637" s="537"/>
      <c r="P637" s="537"/>
      <c r="Q637" s="537"/>
      <c r="R637" s="537"/>
      <c r="S637" s="537"/>
      <c r="T637" s="537"/>
      <c r="U637" s="537"/>
      <c r="V637" s="408">
        <f>+ROUND(V636,$AA$5)</f>
        <v>13871.8</v>
      </c>
      <c r="Y637" s="401" t="s">
        <v>136</v>
      </c>
      <c r="Z637" s="402">
        <f>+ROUND(Z636,$AA$5)</f>
        <v>396733.56</v>
      </c>
      <c r="AA637" s="86"/>
      <c r="AB637" s="403">
        <f>+V637*Y618</f>
        <v>396733.48</v>
      </c>
      <c r="AC637" s="404">
        <f>+AB637-Z637</f>
        <v>-8.0000000016298145E-2</v>
      </c>
      <c r="AD637" s="94"/>
      <c r="AE637" s="405"/>
    </row>
    <row r="638" spans="3:31" s="260" customFormat="1" x14ac:dyDescent="0.25">
      <c r="C638" s="84"/>
      <c r="D638" s="380"/>
      <c r="E638" s="381"/>
      <c r="F638" s="381"/>
      <c r="G638" s="381"/>
      <c r="H638" s="381"/>
      <c r="I638" s="381"/>
      <c r="J638" s="382"/>
      <c r="K638" s="88"/>
      <c r="M638" s="568" t="s">
        <v>108</v>
      </c>
      <c r="N638" s="569"/>
      <c r="O638" s="569"/>
      <c r="P638" s="569"/>
      <c r="Q638" s="569"/>
      <c r="R638" s="569"/>
      <c r="S638" s="569"/>
      <c r="T638" s="569"/>
      <c r="U638" s="569"/>
      <c r="V638" s="570"/>
      <c r="Y638" s="378"/>
      <c r="Z638" s="121"/>
      <c r="AA638" s="86"/>
      <c r="AB638" s="409"/>
      <c r="AC638" s="121"/>
      <c r="AD638" s="94"/>
      <c r="AE638" s="126"/>
    </row>
    <row r="639" spans="3:31" s="260" customFormat="1" ht="25.5" x14ac:dyDescent="0.25">
      <c r="C639" s="84"/>
      <c r="D639" s="85"/>
      <c r="E639" s="86"/>
      <c r="F639" s="86"/>
      <c r="G639" s="86"/>
      <c r="H639" s="86"/>
      <c r="I639" s="86"/>
      <c r="J639" s="87"/>
      <c r="K639" s="88"/>
      <c r="M639" s="99" t="s">
        <v>94</v>
      </c>
      <c r="N639" s="561" t="s">
        <v>95</v>
      </c>
      <c r="O639" s="561"/>
      <c r="P639" s="561"/>
      <c r="Q639" s="95" t="s">
        <v>109</v>
      </c>
      <c r="R639" s="95" t="s">
        <v>110</v>
      </c>
      <c r="S639" s="95" t="s">
        <v>111</v>
      </c>
      <c r="T639" s="562" t="s">
        <v>112</v>
      </c>
      <c r="U639" s="562"/>
      <c r="V639" s="100" t="s">
        <v>98</v>
      </c>
      <c r="Y639" s="383" t="s">
        <v>104</v>
      </c>
      <c r="Z639" s="119" t="s">
        <v>9</v>
      </c>
      <c r="AA639" s="86"/>
      <c r="AB639" s="384"/>
      <c r="AC639" s="385"/>
      <c r="AD639" s="94"/>
      <c r="AE639" s="410"/>
    </row>
    <row r="640" spans="3:31" s="260" customFormat="1" x14ac:dyDescent="0.25">
      <c r="C640" s="84"/>
      <c r="D640" s="85"/>
      <c r="E640" s="86"/>
      <c r="F640" s="86"/>
      <c r="G640" s="86"/>
      <c r="H640" s="86"/>
      <c r="I640" s="86"/>
      <c r="J640" s="87"/>
      <c r="K640" s="88"/>
      <c r="M640" s="102">
        <v>129</v>
      </c>
      <c r="N640" s="530" t="str">
        <f>IFERROR(VLOOKUP(M640,INSUMOS!$C$8:$K$928,2,0),"-----")</f>
        <v>transporte materiales en general</v>
      </c>
      <c r="O640" s="531"/>
      <c r="P640" s="532"/>
      <c r="Q640" s="78" t="str">
        <f>IFERROR(VLOOKUP(M640,INSUMOS!$C$8:$K$928,5,0),"-----")</f>
        <v>Km</v>
      </c>
      <c r="R640" s="80">
        <v>1</v>
      </c>
      <c r="S640" s="80">
        <f>IFERROR(VLOOKUP(M640,INSUMOS!$C$8:$K$928,6,0),"0")</f>
        <v>348</v>
      </c>
      <c r="T640" s="529">
        <f>IFERROR(VLOOKUP(M640,INSUMOS!$C$8:$K$928,7,0),"0")</f>
        <v>0.99776362060288992</v>
      </c>
      <c r="U640" s="529"/>
      <c r="V640" s="82">
        <f>+T640*S640*R640</f>
        <v>347.2217399698057</v>
      </c>
      <c r="Y640" s="393">
        <f>+IFERROR((R640*S640)*Y618,0)</f>
        <v>9952.8000000000011</v>
      </c>
      <c r="Z640" s="391">
        <f>Y618*V640</f>
        <v>9930.5417631364435</v>
      </c>
      <c r="AA640" s="86"/>
      <c r="AB640" s="92">
        <f>+Y640*T640</f>
        <v>9930.5417631364435</v>
      </c>
      <c r="AC640" s="93">
        <f>+AB640-Z640</f>
        <v>0</v>
      </c>
      <c r="AD640" s="94"/>
      <c r="AE640" s="406" t="str">
        <f>+IF(V640=0,"CERO","NO")</f>
        <v>NO</v>
      </c>
    </row>
    <row r="641" spans="3:31" s="260" customFormat="1" x14ac:dyDescent="0.25">
      <c r="C641" s="84"/>
      <c r="D641" s="85"/>
      <c r="E641" s="86"/>
      <c r="F641" s="86"/>
      <c r="G641" s="86"/>
      <c r="H641" s="86"/>
      <c r="I641" s="86"/>
      <c r="J641" s="87"/>
      <c r="K641" s="88"/>
      <c r="M641" s="102">
        <v>0</v>
      </c>
      <c r="N641" s="530" t="str">
        <f>IFERROR(VLOOKUP(M641,INSUMOS!$C$8:$K$928,2,0),"-----")</f>
        <v>-----</v>
      </c>
      <c r="O641" s="531"/>
      <c r="P641" s="532"/>
      <c r="Q641" s="78" t="str">
        <f>IFERROR(VLOOKUP(M641,INSUMOS!$C$8:$K$928,5,0),"-----")</f>
        <v>-----</v>
      </c>
      <c r="R641" s="80"/>
      <c r="S641" s="80" t="str">
        <f>IFERROR(VLOOKUP(M641,INSUMOS!$C$8:$K$928,6,0),"0")</f>
        <v>0</v>
      </c>
      <c r="T641" s="529" t="str">
        <f>IFERROR(VLOOKUP(M641,INSUMOS!$C$8:$K$928,7,0),"0")</f>
        <v>0</v>
      </c>
      <c r="U641" s="529"/>
      <c r="V641" s="82">
        <f>+T641*S641*R641</f>
        <v>0</v>
      </c>
      <c r="Y641" s="393">
        <f>+IFERROR((R641*S641)*Y618,0)</f>
        <v>0</v>
      </c>
      <c r="Z641" s="391">
        <f>Y618*V641</f>
        <v>0</v>
      </c>
      <c r="AA641" s="86"/>
      <c r="AB641" s="92">
        <f>+Y641*T641</f>
        <v>0</v>
      </c>
      <c r="AC641" s="93">
        <f>+AB641-Z641</f>
        <v>0</v>
      </c>
      <c r="AD641" s="94"/>
      <c r="AE641" s="406" t="str">
        <f>+IF(V641=0,"CERO","NO")</f>
        <v>CERO</v>
      </c>
    </row>
    <row r="642" spans="3:31" s="260" customFormat="1" x14ac:dyDescent="0.25">
      <c r="C642" s="84"/>
      <c r="D642" s="85"/>
      <c r="E642" s="86"/>
      <c r="F642" s="86"/>
      <c r="G642" s="86"/>
      <c r="H642" s="86"/>
      <c r="I642" s="86"/>
      <c r="J642" s="87"/>
      <c r="K642" s="88"/>
      <c r="M642" s="102">
        <v>0</v>
      </c>
      <c r="N642" s="530" t="str">
        <f>IFERROR(VLOOKUP(M642,INSUMOS!$C$8:$K$928,2,0),"-----")</f>
        <v>-----</v>
      </c>
      <c r="O642" s="531"/>
      <c r="P642" s="532"/>
      <c r="Q642" s="78" t="str">
        <f>IFERROR(VLOOKUP(M642,INSUMOS!$C$8:$K$928,5,0),"-----")</f>
        <v>-----</v>
      </c>
      <c r="R642" s="80"/>
      <c r="S642" s="80" t="str">
        <f>IFERROR(VLOOKUP(M642,INSUMOS!$C$8:$K$928,6,0),"0")</f>
        <v>0</v>
      </c>
      <c r="T642" s="529" t="str">
        <f>IFERROR(VLOOKUP(M642,INSUMOS!$C$8:$K$928,7,0),"0")</f>
        <v>0</v>
      </c>
      <c r="U642" s="529"/>
      <c r="V642" s="82">
        <f>+T642*S642*R642</f>
        <v>0</v>
      </c>
      <c r="Y642" s="393">
        <f>+IFERROR((R642*S642)*Y618,0)</f>
        <v>0</v>
      </c>
      <c r="Z642" s="391">
        <f>Y618*V642</f>
        <v>0</v>
      </c>
      <c r="AA642" s="86"/>
      <c r="AB642" s="92">
        <f>+Y642*T642</f>
        <v>0</v>
      </c>
      <c r="AC642" s="93">
        <f>+AB642-Z642</f>
        <v>0</v>
      </c>
      <c r="AD642" s="94"/>
      <c r="AE642" s="406" t="str">
        <f>+IF(V642=0,"CERO","NO")</f>
        <v>CERO</v>
      </c>
    </row>
    <row r="643" spans="3:31" s="260" customFormat="1" ht="15.75" thickBot="1" x14ac:dyDescent="0.3">
      <c r="C643" s="84"/>
      <c r="D643" s="89"/>
      <c r="E643" s="90"/>
      <c r="F643" s="90"/>
      <c r="G643" s="90"/>
      <c r="H643" s="90"/>
      <c r="I643" s="90"/>
      <c r="J643" s="91"/>
      <c r="K643" s="88"/>
      <c r="M643" s="102">
        <v>0</v>
      </c>
      <c r="N643" s="533"/>
      <c r="O643" s="533"/>
      <c r="P643" s="533"/>
      <c r="Q643" s="79"/>
      <c r="R643" s="78"/>
      <c r="S643" s="81"/>
      <c r="T643" s="529"/>
      <c r="U643" s="529"/>
      <c r="V643" s="82"/>
      <c r="Y643" s="393">
        <f>+IFERROR((R643*S643)*Y618,0)</f>
        <v>0</v>
      </c>
      <c r="Z643" s="391">
        <f>Y618*V643</f>
        <v>0</v>
      </c>
      <c r="AA643" s="86"/>
      <c r="AB643" s="92">
        <f>+Y643*T643</f>
        <v>0</v>
      </c>
      <c r="AC643" s="93">
        <f>+AB643-Z643</f>
        <v>0</v>
      </c>
      <c r="AD643" s="94"/>
      <c r="AE643" s="406" t="str">
        <f>+IF(V643=0,"CERO","NO")</f>
        <v>CERO</v>
      </c>
    </row>
    <row r="644" spans="3:31" s="260" customFormat="1" ht="15.75" thickBot="1" x14ac:dyDescent="0.3">
      <c r="C644" s="84"/>
      <c r="D644" s="375" t="s">
        <v>128</v>
      </c>
      <c r="E644" s="376" t="s">
        <v>129</v>
      </c>
      <c r="F644" s="376" t="s">
        <v>130</v>
      </c>
      <c r="G644" s="376" t="s">
        <v>131</v>
      </c>
      <c r="H644" s="376" t="s">
        <v>132</v>
      </c>
      <c r="I644" s="376" t="s">
        <v>133</v>
      </c>
      <c r="J644" s="377" t="s">
        <v>134</v>
      </c>
      <c r="K644" s="88"/>
      <c r="M644" s="534"/>
      <c r="N644" s="536" t="s">
        <v>113</v>
      </c>
      <c r="O644" s="536"/>
      <c r="P644" s="536"/>
      <c r="Q644" s="536"/>
      <c r="R644" s="536"/>
      <c r="S644" s="536"/>
      <c r="T644" s="536"/>
      <c r="U644" s="536"/>
      <c r="V644" s="411">
        <f>+SUM(V640:V643)</f>
        <v>347.2217399698057</v>
      </c>
      <c r="Y644" s="398" t="s">
        <v>135</v>
      </c>
      <c r="Z644" s="397">
        <f>+SUM(Z640:Z643)</f>
        <v>9930.5417631364435</v>
      </c>
      <c r="AA644" s="86"/>
      <c r="AB644" s="384"/>
      <c r="AC644" s="385"/>
      <c r="AD644" s="94"/>
      <c r="AE644" s="399"/>
    </row>
    <row r="645" spans="3:31" s="260" customFormat="1" ht="15.75" thickBot="1" x14ac:dyDescent="0.3">
      <c r="C645" s="84"/>
      <c r="D645" s="355"/>
      <c r="E645" s="367"/>
      <c r="F645" s="412">
        <f>+E637</f>
        <v>2.0299999999999998</v>
      </c>
      <c r="G645" s="367"/>
      <c r="H645" s="367"/>
      <c r="I645" s="367"/>
      <c r="J645" s="368"/>
      <c r="K645" s="88"/>
      <c r="M645" s="535"/>
      <c r="N645" s="537" t="s">
        <v>114</v>
      </c>
      <c r="O645" s="537"/>
      <c r="P645" s="537"/>
      <c r="Q645" s="537"/>
      <c r="R645" s="537"/>
      <c r="S645" s="537"/>
      <c r="T645" s="537"/>
      <c r="U645" s="537"/>
      <c r="V645" s="413">
        <f>+ROUND(V644,$AA$5)</f>
        <v>347.22</v>
      </c>
      <c r="Y645" s="401" t="s">
        <v>136</v>
      </c>
      <c r="Z645" s="402">
        <f>+ROUND(Z644,$AA$5)</f>
        <v>9930.5400000000009</v>
      </c>
      <c r="AA645" s="86"/>
      <c r="AB645" s="403">
        <f>+V645*Y618</f>
        <v>9930.492000000002</v>
      </c>
      <c r="AC645" s="414"/>
      <c r="AD645" s="94"/>
      <c r="AE645" s="405"/>
    </row>
    <row r="646" spans="3:31" s="260" customFormat="1" ht="15.75" thickBot="1" x14ac:dyDescent="0.3">
      <c r="C646" s="84"/>
      <c r="D646" s="415"/>
      <c r="E646" s="416"/>
      <c r="F646" s="416"/>
      <c r="G646" s="416"/>
      <c r="H646" s="416"/>
      <c r="I646" s="416"/>
      <c r="J646" s="417"/>
      <c r="K646" s="88"/>
      <c r="M646" s="538" t="s">
        <v>115</v>
      </c>
      <c r="N646" s="539"/>
      <c r="O646" s="539"/>
      <c r="P646" s="539"/>
      <c r="Q646" s="539"/>
      <c r="R646" s="539"/>
      <c r="S646" s="539"/>
      <c r="T646" s="539"/>
      <c r="U646" s="539"/>
      <c r="V646" s="540"/>
      <c r="Y646" s="378"/>
      <c r="Z646" s="121"/>
      <c r="AA646" s="86"/>
      <c r="AB646" s="409"/>
      <c r="AC646" s="121"/>
      <c r="AD646" s="94"/>
      <c r="AE646" s="126"/>
    </row>
    <row r="647" spans="3:31" s="260" customFormat="1" ht="15.75" thickBot="1" x14ac:dyDescent="0.3">
      <c r="C647" s="84"/>
      <c r="D647" s="375" t="s">
        <v>128</v>
      </c>
      <c r="E647" s="376" t="s">
        <v>129</v>
      </c>
      <c r="F647" s="376" t="s">
        <v>130</v>
      </c>
      <c r="G647" s="376" t="s">
        <v>131</v>
      </c>
      <c r="H647" s="376" t="s">
        <v>132</v>
      </c>
      <c r="I647" s="376" t="s">
        <v>133</v>
      </c>
      <c r="J647" s="377" t="s">
        <v>134</v>
      </c>
      <c r="K647" s="88"/>
      <c r="M647" s="99" t="s">
        <v>94</v>
      </c>
      <c r="N647" s="98" t="s">
        <v>95</v>
      </c>
      <c r="O647" s="95" t="s">
        <v>96</v>
      </c>
      <c r="P647" s="359" t="s">
        <v>104</v>
      </c>
      <c r="Q647" s="95" t="s">
        <v>116</v>
      </c>
      <c r="R647" s="418" t="s">
        <v>117</v>
      </c>
      <c r="S647" s="95" t="s">
        <v>347</v>
      </c>
      <c r="T647" s="419" t="s">
        <v>118</v>
      </c>
      <c r="U647" s="189" t="s">
        <v>119</v>
      </c>
      <c r="V647" s="100" t="s">
        <v>98</v>
      </c>
      <c r="Y647" s="383" t="s">
        <v>104</v>
      </c>
      <c r="Z647" s="119" t="s">
        <v>9</v>
      </c>
      <c r="AA647" s="86"/>
      <c r="AB647" s="384"/>
      <c r="AC647" s="385"/>
      <c r="AD647" s="94"/>
      <c r="AE647" s="410"/>
    </row>
    <row r="648" spans="3:31" s="260" customFormat="1" ht="25.5" x14ac:dyDescent="0.25">
      <c r="C648" s="84"/>
      <c r="D648" s="354"/>
      <c r="E648" s="96"/>
      <c r="F648" s="96"/>
      <c r="G648" s="96"/>
      <c r="H648" s="96"/>
      <c r="I648" s="96"/>
      <c r="J648" s="420">
        <f>+F645</f>
        <v>2.0299999999999998</v>
      </c>
      <c r="K648" s="88"/>
      <c r="M648" s="102">
        <v>207</v>
      </c>
      <c r="N648" s="347" t="str">
        <f>IFERROR(VLOOKUP(M648,INSUMOS!$C$8:$K$928,2,0),"-----")</f>
        <v>Oficial Hidrosanitario</v>
      </c>
      <c r="O648" s="78" t="str">
        <f>IFERROR(VLOOKUP(M648,INSUMOS!$C$8:$K$928,3,0),"-----")</f>
        <v>JORNAL+PS</v>
      </c>
      <c r="P648" s="80">
        <v>1</v>
      </c>
      <c r="Q648" s="79">
        <v>25</v>
      </c>
      <c r="R648" s="190">
        <f>IFERROR(VLOOKUP(M648,INSUMOS!$C$8:$K$928,4,0),"-----")</f>
        <v>92983</v>
      </c>
      <c r="S648" s="190">
        <f>IFERROR(VLOOKUP(M648,INSUMOS!$C$8:$K$928,6,0),"-----")</f>
        <v>74386</v>
      </c>
      <c r="T648" s="190">
        <f>IFERROR(VLOOKUP(M648,INSUMOS!$C$8:$K$928,5,0),"-----")</f>
        <v>0</v>
      </c>
      <c r="U648" s="388">
        <f>SUM(R648:T648)</f>
        <v>167369</v>
      </c>
      <c r="V648" s="82">
        <f>+IFERROR((P648/Q648)*U648,0)</f>
        <v>6694.76</v>
      </c>
      <c r="Y648" s="393">
        <f>+IFERROR((Y618/Q648*P648),0)</f>
        <v>1.1440000000000001</v>
      </c>
      <c r="Z648" s="391">
        <f>Y618*V648</f>
        <v>191470.13600000003</v>
      </c>
      <c r="AA648" s="86"/>
      <c r="AB648" s="92">
        <f>+(U648)*Y648</f>
        <v>191470.13600000003</v>
      </c>
      <c r="AC648" s="93">
        <f>+AB648-Z648</f>
        <v>0</v>
      </c>
      <c r="AD648" s="421"/>
      <c r="AE648" s="410" t="str">
        <f>+IF(V648=0,"CERO","NO")</f>
        <v>NO</v>
      </c>
    </row>
    <row r="649" spans="3:31" s="260" customFormat="1" ht="26.25" thickBot="1" x14ac:dyDescent="0.3">
      <c r="C649" s="84"/>
      <c r="D649" s="355"/>
      <c r="E649" s="367"/>
      <c r="F649" s="367"/>
      <c r="G649" s="367"/>
      <c r="H649" s="367"/>
      <c r="I649" s="367"/>
      <c r="J649" s="422">
        <f>+J648</f>
        <v>2.0299999999999998</v>
      </c>
      <c r="K649" s="88"/>
      <c r="M649" s="102">
        <v>208</v>
      </c>
      <c r="N649" s="347" t="str">
        <f>IFERROR(VLOOKUP(M649,INSUMOS!$C$8:$K$928,2,0),"-----")</f>
        <v>Ayudante Hidrosanitario</v>
      </c>
      <c r="O649" s="78" t="str">
        <f>IFERROR(VLOOKUP(M649,INSUMOS!$C$8:$K$928,3,0),"-----")</f>
        <v>JORNAL+PS</v>
      </c>
      <c r="P649" s="80">
        <v>1</v>
      </c>
      <c r="Q649" s="79">
        <v>25</v>
      </c>
      <c r="R649" s="190">
        <f>IFERROR(VLOOKUP(M649,INSUMOS!$C$8:$K$928,4,0),"-----")</f>
        <v>69172</v>
      </c>
      <c r="S649" s="190">
        <f>IFERROR(VLOOKUP(M649,INSUMOS!$C$8:$K$928,6,0),"-----")</f>
        <v>55337</v>
      </c>
      <c r="T649" s="190">
        <f>IFERROR(VLOOKUP(M649,INSUMOS!$C$8:$K$928,5,0),"-----")</f>
        <v>0</v>
      </c>
      <c r="U649" s="388">
        <f>SUM(R649:T649)</f>
        <v>124509</v>
      </c>
      <c r="V649" s="82">
        <f>+IFERROR((P649/Q649)*U649,0)</f>
        <v>4980.3599999999997</v>
      </c>
      <c r="Y649" s="393">
        <f>+IFERROR((Y618/Q649*P649),0)</f>
        <v>1.1440000000000001</v>
      </c>
      <c r="Z649" s="391">
        <f>Y618*V649</f>
        <v>142438.296</v>
      </c>
      <c r="AA649" s="86"/>
      <c r="AB649" s="92">
        <f>+U649*Y649</f>
        <v>142438.296</v>
      </c>
      <c r="AC649" s="93">
        <f>+AB649-Z649</f>
        <v>0</v>
      </c>
      <c r="AD649" s="94"/>
      <c r="AE649" s="410" t="str">
        <f>+IF(V649=0,"CERO","NO")</f>
        <v>NO</v>
      </c>
    </row>
    <row r="650" spans="3:31" s="260" customFormat="1" ht="15.75" thickBot="1" x14ac:dyDescent="0.3">
      <c r="C650" s="84"/>
      <c r="D650" s="380"/>
      <c r="E650" s="381"/>
      <c r="F650" s="381"/>
      <c r="G650" s="381"/>
      <c r="H650" s="381"/>
      <c r="I650" s="381"/>
      <c r="J650" s="382"/>
      <c r="K650" s="88"/>
      <c r="M650" s="102">
        <v>0</v>
      </c>
      <c r="N650" s="347"/>
      <c r="O650" s="79"/>
      <c r="P650" s="423"/>
      <c r="Q650" s="81"/>
      <c r="R650" s="111"/>
      <c r="S650" s="357"/>
      <c r="T650" s="111"/>
      <c r="U650" s="388"/>
      <c r="V650" s="426"/>
      <c r="Y650" s="393">
        <f>+IFERROR((Y618/Q650*P650),0)</f>
        <v>0</v>
      </c>
      <c r="Z650" s="391">
        <f>Y618*V650</f>
        <v>0</v>
      </c>
      <c r="AA650" s="86"/>
      <c r="AB650" s="92">
        <f>+(U650)*Y650*P650</f>
        <v>0</v>
      </c>
      <c r="AC650" s="93">
        <f>+AB650-Z650</f>
        <v>0</v>
      </c>
      <c r="AD650" s="94"/>
      <c r="AE650" s="410" t="str">
        <f>+IF(V650=0,"CERO","NO")</f>
        <v>CERO</v>
      </c>
    </row>
    <row r="651" spans="3:31" s="260" customFormat="1" ht="15.75" thickBot="1" x14ac:dyDescent="0.3">
      <c r="C651" s="84"/>
      <c r="D651" s="375" t="s">
        <v>128</v>
      </c>
      <c r="E651" s="376" t="s">
        <v>129</v>
      </c>
      <c r="F651" s="376" t="s">
        <v>130</v>
      </c>
      <c r="G651" s="376" t="s">
        <v>131</v>
      </c>
      <c r="H651" s="376" t="s">
        <v>132</v>
      </c>
      <c r="I651" s="376" t="s">
        <v>133</v>
      </c>
      <c r="J651" s="377" t="s">
        <v>134</v>
      </c>
      <c r="K651" s="88"/>
      <c r="M651" s="534"/>
      <c r="N651" s="536" t="s">
        <v>120</v>
      </c>
      <c r="O651" s="536"/>
      <c r="P651" s="536"/>
      <c r="Q651" s="536"/>
      <c r="R651" s="536"/>
      <c r="S651" s="536"/>
      <c r="T651" s="536"/>
      <c r="U651" s="536"/>
      <c r="V651" s="82">
        <f>+SUM(V648:V650)</f>
        <v>11675.119999999999</v>
      </c>
      <c r="Y651" s="398" t="s">
        <v>135</v>
      </c>
      <c r="Z651" s="397">
        <f>+SUM(Z648:Z650)</f>
        <v>333908.43200000003</v>
      </c>
      <c r="AA651" s="86"/>
      <c r="AB651" s="384"/>
      <c r="AC651" s="385"/>
      <c r="AD651" s="94"/>
      <c r="AE651" s="399"/>
    </row>
    <row r="652" spans="3:31" s="260" customFormat="1" ht="15.75" thickBot="1" x14ac:dyDescent="0.3">
      <c r="C652" s="84"/>
      <c r="D652" s="354"/>
      <c r="E652" s="96"/>
      <c r="F652" s="96"/>
      <c r="G652" s="107">
        <f>+F645</f>
        <v>2.0299999999999998</v>
      </c>
      <c r="H652" s="96"/>
      <c r="I652" s="96"/>
      <c r="J652" s="427"/>
      <c r="K652" s="88"/>
      <c r="M652" s="535"/>
      <c r="N652" s="537" t="s">
        <v>121</v>
      </c>
      <c r="O652" s="537"/>
      <c r="P652" s="537"/>
      <c r="Q652" s="537"/>
      <c r="R652" s="537"/>
      <c r="S652" s="537"/>
      <c r="T652" s="537"/>
      <c r="U652" s="537"/>
      <c r="V652" s="413">
        <f>+ROUND(V651,$AA$5)</f>
        <v>11675.12</v>
      </c>
      <c r="Y652" s="401" t="s">
        <v>136</v>
      </c>
      <c r="Z652" s="402">
        <f>+ROUND(Z651,$AA$5)</f>
        <v>333908.43</v>
      </c>
      <c r="AA652" s="86"/>
      <c r="AB652" s="403">
        <f>+V652*Y618</f>
        <v>333908.43200000003</v>
      </c>
      <c r="AC652" s="404">
        <f>+AB652-Z652</f>
        <v>2.0000000367872417E-3</v>
      </c>
      <c r="AD652" s="94"/>
      <c r="AE652" s="405"/>
    </row>
    <row r="653" spans="3:31" s="260" customFormat="1" ht="15.75" thickBot="1" x14ac:dyDescent="0.3">
      <c r="C653" s="84"/>
      <c r="D653" s="375" t="s">
        <v>128</v>
      </c>
      <c r="E653" s="376" t="s">
        <v>129</v>
      </c>
      <c r="F653" s="376" t="s">
        <v>130</v>
      </c>
      <c r="G653" s="376" t="s">
        <v>131</v>
      </c>
      <c r="H653" s="376" t="s">
        <v>132</v>
      </c>
      <c r="I653" s="376" t="s">
        <v>133</v>
      </c>
      <c r="J653" s="377" t="s">
        <v>134</v>
      </c>
      <c r="K653" s="88"/>
      <c r="M653" s="541"/>
      <c r="N653" s="542"/>
      <c r="O653" s="542"/>
      <c r="P653" s="542"/>
      <c r="Q653" s="542"/>
      <c r="R653" s="542"/>
      <c r="S653" s="542"/>
      <c r="T653" s="542"/>
      <c r="U653" s="542"/>
      <c r="V653" s="543"/>
      <c r="Y653" s="378"/>
      <c r="Z653" s="121"/>
      <c r="AA653" s="86"/>
      <c r="AB653" s="409"/>
      <c r="AC653" s="121"/>
      <c r="AD653" s="94"/>
      <c r="AE653" s="428"/>
    </row>
    <row r="654" spans="3:31" s="260" customFormat="1" ht="15.75" thickBot="1" x14ac:dyDescent="0.3">
      <c r="C654" s="84"/>
      <c r="D654" s="355"/>
      <c r="E654" s="367"/>
      <c r="F654" s="367"/>
      <c r="G654" s="367"/>
      <c r="H654" s="412">
        <f>G652</f>
        <v>2.0299999999999998</v>
      </c>
      <c r="I654" s="412"/>
      <c r="J654" s="422"/>
      <c r="K654" s="88"/>
      <c r="M654" s="544" t="s">
        <v>122</v>
      </c>
      <c r="N654" s="537"/>
      <c r="O654" s="537"/>
      <c r="P654" s="537"/>
      <c r="Q654" s="537"/>
      <c r="R654" s="537"/>
      <c r="S654" s="537"/>
      <c r="T654" s="537"/>
      <c r="U654" s="545">
        <f>+V652+V645+V637+V628</f>
        <v>26477.899999999998</v>
      </c>
      <c r="V654" s="546"/>
      <c r="Y654" s="429"/>
      <c r="Z654" s="430">
        <f>+Z652+Z645+Z637+Z628</f>
        <v>757267.95000000007</v>
      </c>
      <c r="AA654" s="86"/>
      <c r="AB654" s="431">
        <f>+AB652+AB645+AB637+AB628</f>
        <v>757267.94000000006</v>
      </c>
      <c r="AC654" s="404">
        <f>+AB654-Z654</f>
        <v>-1.0000000009313226E-2</v>
      </c>
      <c r="AD654" s="94"/>
      <c r="AE654" s="432"/>
    </row>
    <row r="655" spans="3:31" s="260" customFormat="1" ht="15.75" thickBot="1" x14ac:dyDescent="0.3"/>
    <row r="656" spans="3:31" s="260" customFormat="1" x14ac:dyDescent="0.25">
      <c r="M656" s="547" t="s">
        <v>348</v>
      </c>
      <c r="N656" s="548"/>
      <c r="O656" s="548"/>
      <c r="P656" s="548"/>
      <c r="Q656" s="548"/>
      <c r="R656" s="548"/>
      <c r="S656" s="548"/>
      <c r="T656" s="548"/>
      <c r="U656" s="548"/>
      <c r="V656" s="549"/>
      <c r="Y656" s="378"/>
      <c r="Z656" s="121"/>
      <c r="AA656" s="86"/>
      <c r="AB656" s="94"/>
      <c r="AC656" s="94"/>
      <c r="AD656" s="94"/>
      <c r="AE656" s="126" t="s">
        <v>133</v>
      </c>
    </row>
    <row r="657" spans="3:31" s="260" customFormat="1" x14ac:dyDescent="0.25">
      <c r="M657" s="515" t="s">
        <v>138</v>
      </c>
      <c r="N657" s="516"/>
      <c r="O657" s="516"/>
      <c r="P657" s="516"/>
      <c r="Q657" s="516"/>
      <c r="R657" s="516"/>
      <c r="S657" s="516"/>
      <c r="T657" s="437">
        <v>0</v>
      </c>
      <c r="U657" s="517">
        <f>+ROUND(U654*T657,$AA$5)</f>
        <v>0</v>
      </c>
      <c r="V657" s="518"/>
      <c r="Y657" s="390"/>
      <c r="Z657" s="438">
        <f>+Z654*T657</f>
        <v>0</v>
      </c>
      <c r="AA657" s="86"/>
      <c r="AB657" s="94"/>
      <c r="AC657" s="94"/>
      <c r="AD657" s="94"/>
      <c r="AE657" s="386" t="s">
        <v>133</v>
      </c>
    </row>
    <row r="658" spans="3:31" s="260" customFormat="1" x14ac:dyDescent="0.25">
      <c r="M658" s="515" t="s">
        <v>19</v>
      </c>
      <c r="N658" s="516"/>
      <c r="O658" s="516"/>
      <c r="P658" s="516"/>
      <c r="Q658" s="516"/>
      <c r="R658" s="516"/>
      <c r="S658" s="516"/>
      <c r="T658" s="437">
        <v>0.05</v>
      </c>
      <c r="U658" s="517">
        <f>+ROUND(U654*T658,$AA$5)</f>
        <v>1323.9</v>
      </c>
      <c r="V658" s="518"/>
      <c r="Y658" s="390"/>
      <c r="Z658" s="438">
        <f>+Z654*T658</f>
        <v>37863.397500000006</v>
      </c>
      <c r="AA658" s="86"/>
      <c r="AB658" s="94"/>
      <c r="AC658" s="94"/>
      <c r="AD658" s="94"/>
      <c r="AE658" s="386" t="s">
        <v>133</v>
      </c>
    </row>
    <row r="659" spans="3:31" s="260" customFormat="1" x14ac:dyDescent="0.25">
      <c r="M659" s="515" t="s">
        <v>20</v>
      </c>
      <c r="N659" s="516"/>
      <c r="O659" s="516"/>
      <c r="P659" s="516"/>
      <c r="Q659" s="516"/>
      <c r="R659" s="516"/>
      <c r="S659" s="516"/>
      <c r="T659" s="437">
        <v>0</v>
      </c>
      <c r="U659" s="517">
        <f>+ROUND(U654*T659,$AA$5)</f>
        <v>0</v>
      </c>
      <c r="V659" s="518"/>
      <c r="Y659" s="390"/>
      <c r="Z659" s="438">
        <f>+Z654*T659</f>
        <v>0</v>
      </c>
      <c r="AA659" s="86"/>
      <c r="AB659" s="94"/>
      <c r="AC659" s="94"/>
      <c r="AD659" s="94"/>
      <c r="AE659" s="386" t="s">
        <v>133</v>
      </c>
    </row>
    <row r="660" spans="3:31" s="260" customFormat="1" x14ac:dyDescent="0.25">
      <c r="M660" s="515" t="s">
        <v>21</v>
      </c>
      <c r="N660" s="516"/>
      <c r="O660" s="516"/>
      <c r="P660" s="516"/>
      <c r="Q660" s="516"/>
      <c r="R660" s="516"/>
      <c r="S660" s="516"/>
      <c r="T660" s="437">
        <f>$AA$9</f>
        <v>0</v>
      </c>
      <c r="U660" s="517">
        <f>+ROUND(U654*T660,$AA$5)</f>
        <v>0</v>
      </c>
      <c r="V660" s="518"/>
      <c r="Y660" s="390"/>
      <c r="Z660" s="438">
        <f>+Z659*T660</f>
        <v>0</v>
      </c>
      <c r="AA660" s="86"/>
      <c r="AB660" s="94"/>
      <c r="AC660" s="94"/>
      <c r="AD660" s="94"/>
      <c r="AE660" s="386" t="s">
        <v>133</v>
      </c>
    </row>
    <row r="661" spans="3:31" s="260" customFormat="1" ht="15.75" thickBot="1" x14ac:dyDescent="0.3">
      <c r="M661" s="519" t="s">
        <v>349</v>
      </c>
      <c r="N661" s="520"/>
      <c r="O661" s="520"/>
      <c r="P661" s="520"/>
      <c r="Q661" s="520"/>
      <c r="R661" s="520"/>
      <c r="S661" s="520"/>
      <c r="T661" s="520"/>
      <c r="U661" s="521">
        <f>+SUM(U657:V660)</f>
        <v>1323.9</v>
      </c>
      <c r="V661" s="522"/>
      <c r="Y661" s="390"/>
      <c r="Z661" s="439">
        <f>+SUM(Z657:Z660)</f>
        <v>37863.397500000006</v>
      </c>
      <c r="AA661" s="86"/>
      <c r="AB661" s="94"/>
      <c r="AC661" s="94"/>
      <c r="AD661" s="94"/>
      <c r="AE661" s="386" t="s">
        <v>133</v>
      </c>
    </row>
    <row r="662" spans="3:31" s="260" customFormat="1" ht="15.75" thickBot="1" x14ac:dyDescent="0.3">
      <c r="D662" s="375" t="s">
        <v>128</v>
      </c>
      <c r="E662" s="376" t="s">
        <v>129</v>
      </c>
      <c r="F662" s="376" t="s">
        <v>130</v>
      </c>
      <c r="G662" s="376" t="s">
        <v>131</v>
      </c>
      <c r="H662" s="376" t="s">
        <v>132</v>
      </c>
      <c r="I662" s="376" t="s">
        <v>133</v>
      </c>
      <c r="J662" s="377" t="s">
        <v>134</v>
      </c>
      <c r="M662" s="86"/>
      <c r="N662" s="94"/>
      <c r="O662" s="94"/>
      <c r="P662" s="94"/>
      <c r="Q662" s="86"/>
      <c r="R662" s="86"/>
      <c r="S662" s="86"/>
      <c r="T662" s="440"/>
      <c r="U662" s="523"/>
      <c r="V662" s="523"/>
      <c r="Y662" s="390"/>
      <c r="Z662" s="385"/>
      <c r="AA662" s="86"/>
      <c r="AB662" s="94"/>
      <c r="AC662" s="94"/>
      <c r="AD662" s="94"/>
      <c r="AE662" s="386" t="s">
        <v>133</v>
      </c>
    </row>
    <row r="663" spans="3:31" s="260" customFormat="1" ht="15.75" thickBot="1" x14ac:dyDescent="0.3">
      <c r="D663" s="355"/>
      <c r="E663" s="367"/>
      <c r="F663" s="367"/>
      <c r="G663" s="367"/>
      <c r="H663" s="412"/>
      <c r="I663" s="412">
        <f>H654</f>
        <v>2.0299999999999998</v>
      </c>
      <c r="J663" s="422"/>
      <c r="M663" s="524" t="s">
        <v>11</v>
      </c>
      <c r="N663" s="525"/>
      <c r="O663" s="525"/>
      <c r="P663" s="525"/>
      <c r="Q663" s="525"/>
      <c r="R663" s="525"/>
      <c r="S663" s="525"/>
      <c r="T663" s="526"/>
      <c r="U663" s="527">
        <f>+U661+U654</f>
        <v>27801.8</v>
      </c>
      <c r="V663" s="528"/>
      <c r="Y663" s="429"/>
      <c r="Z663" s="441">
        <f>+Z661+Z654</f>
        <v>795131.34750000003</v>
      </c>
      <c r="AA663" s="86"/>
      <c r="AB663" s="94"/>
      <c r="AC663" s="94"/>
      <c r="AD663" s="94"/>
      <c r="AE663" s="405" t="s">
        <v>133</v>
      </c>
    </row>
    <row r="664" spans="3:31" s="260" customFormat="1" x14ac:dyDescent="0.25"/>
    <row r="665" spans="3:31" s="260" customFormat="1" ht="15.75" thickBot="1" x14ac:dyDescent="0.3"/>
    <row r="666" spans="3:31" s="260" customFormat="1" ht="15.75" thickBot="1" x14ac:dyDescent="0.3">
      <c r="M666" s="363" t="s">
        <v>88</v>
      </c>
      <c r="N666" s="436" t="str">
        <f>+N617</f>
        <v>CAP.2</v>
      </c>
      <c r="O666" s="550" t="str">
        <f>IFERROR(VLOOKUP(N666,PPTO!C:H,2,0),"----")</f>
        <v>RED HIDRAULICA</v>
      </c>
      <c r="P666" s="551"/>
      <c r="Q666" s="551"/>
      <c r="R666" s="551"/>
      <c r="S666" s="551"/>
      <c r="T666" s="551"/>
      <c r="U666" s="552"/>
      <c r="V666" s="74" t="s">
        <v>91</v>
      </c>
      <c r="Y666" s="365" t="s">
        <v>104</v>
      </c>
      <c r="Z666" s="94"/>
      <c r="AA666" s="188"/>
      <c r="AB666" s="553"/>
      <c r="AC666" s="553"/>
      <c r="AD666" s="553"/>
      <c r="AE666" s="94"/>
    </row>
    <row r="667" spans="3:31" s="260" customFormat="1" ht="15.75" thickBot="1" x14ac:dyDescent="0.3">
      <c r="C667" s="369">
        <f>+N667</f>
        <v>2.04</v>
      </c>
      <c r="D667" s="86"/>
      <c r="E667" s="86"/>
      <c r="F667" s="86"/>
      <c r="G667" s="86"/>
      <c r="H667" s="86"/>
      <c r="I667" s="86"/>
      <c r="J667" s="86"/>
      <c r="K667" s="370"/>
      <c r="M667" s="75" t="s">
        <v>92</v>
      </c>
      <c r="N667" s="371">
        <f>+ROUNDUP(N618+0.01,2)</f>
        <v>2.04</v>
      </c>
      <c r="O667" s="554" t="str">
        <f>IFERROR(VLOOKUP(N667,PPTO!C:H,2,0),"----")</f>
        <v>Tuberia PVC Ø1_1/4"</v>
      </c>
      <c r="P667" s="555"/>
      <c r="Q667" s="555"/>
      <c r="R667" s="555"/>
      <c r="S667" s="555"/>
      <c r="T667" s="555"/>
      <c r="U667" s="556"/>
      <c r="V667" s="76" t="str">
        <f>IFERROR(VLOOKUP(N667,PPTO!C:H,3,0),"----")</f>
        <v>ML</v>
      </c>
      <c r="Y667" s="373">
        <f>SUMIFS(PPTO!F:F,PPTO!C:C,APUS!N667)</f>
        <v>58.65</v>
      </c>
      <c r="Z667" s="94"/>
      <c r="AA667" s="86"/>
      <c r="AB667" s="94"/>
      <c r="AC667" s="94"/>
      <c r="AD667" s="94"/>
      <c r="AE667" s="94"/>
    </row>
    <row r="668" spans="3:31" s="260" customFormat="1" ht="15.75" thickBot="1" x14ac:dyDescent="0.3">
      <c r="C668" s="84"/>
      <c r="D668" s="86"/>
      <c r="E668" s="86"/>
      <c r="F668" s="86"/>
      <c r="G668" s="86"/>
      <c r="H668" s="86"/>
      <c r="I668" s="86"/>
      <c r="J668" s="86"/>
      <c r="K668" s="88"/>
      <c r="M668" s="557"/>
      <c r="N668" s="557"/>
      <c r="O668" s="557"/>
      <c r="P668" s="557"/>
      <c r="Q668" s="557"/>
      <c r="R668" s="557"/>
      <c r="S668" s="557"/>
      <c r="T668" s="557"/>
      <c r="U668" s="557"/>
      <c r="V668" s="557"/>
      <c r="Y668" s="374"/>
      <c r="Z668" s="94"/>
      <c r="AA668" s="86"/>
      <c r="AB668" s="94"/>
      <c r="AC668" s="94"/>
      <c r="AD668" s="94"/>
      <c r="AE668" s="94"/>
    </row>
    <row r="669" spans="3:31" s="260" customFormat="1" ht="15.75" thickBot="1" x14ac:dyDescent="0.3">
      <c r="C669" s="84"/>
      <c r="D669" s="375" t="s">
        <v>128</v>
      </c>
      <c r="E669" s="376" t="s">
        <v>129</v>
      </c>
      <c r="F669" s="376" t="s">
        <v>130</v>
      </c>
      <c r="G669" s="376" t="s">
        <v>131</v>
      </c>
      <c r="H669" s="376" t="s">
        <v>132</v>
      </c>
      <c r="I669" s="376" t="s">
        <v>133</v>
      </c>
      <c r="J669" s="377" t="s">
        <v>134</v>
      </c>
      <c r="K669" s="88"/>
      <c r="M669" s="558" t="s">
        <v>93</v>
      </c>
      <c r="N669" s="559"/>
      <c r="O669" s="559"/>
      <c r="P669" s="559"/>
      <c r="Q669" s="559"/>
      <c r="R669" s="559"/>
      <c r="S669" s="559"/>
      <c r="T669" s="559"/>
      <c r="U669" s="559"/>
      <c r="V669" s="560"/>
      <c r="Y669" s="378"/>
      <c r="Z669" s="121"/>
      <c r="AA669" s="86"/>
      <c r="AB669" s="513"/>
      <c r="AC669" s="514"/>
      <c r="AD669" s="94"/>
      <c r="AE669" s="379"/>
    </row>
    <row r="670" spans="3:31" s="260" customFormat="1" x14ac:dyDescent="0.25">
      <c r="C670" s="84"/>
      <c r="D670" s="380"/>
      <c r="E670" s="381"/>
      <c r="F670" s="381"/>
      <c r="G670" s="381"/>
      <c r="H670" s="381"/>
      <c r="I670" s="381"/>
      <c r="J670" s="382"/>
      <c r="K670" s="88"/>
      <c r="M670" s="99" t="s">
        <v>94</v>
      </c>
      <c r="N670" s="561" t="s">
        <v>95</v>
      </c>
      <c r="O670" s="561"/>
      <c r="P670" s="561"/>
      <c r="Q670" s="561"/>
      <c r="R670" s="95" t="s">
        <v>96</v>
      </c>
      <c r="S670" s="95" t="s">
        <v>97</v>
      </c>
      <c r="T670" s="562" t="s">
        <v>8</v>
      </c>
      <c r="U670" s="562"/>
      <c r="V670" s="100" t="s">
        <v>98</v>
      </c>
      <c r="Y670" s="383" t="s">
        <v>104</v>
      </c>
      <c r="Z670" s="119" t="s">
        <v>9</v>
      </c>
      <c r="AA670" s="86"/>
      <c r="AB670" s="384"/>
      <c r="AC670" s="385"/>
      <c r="AD670" s="94"/>
      <c r="AE670" s="386"/>
    </row>
    <row r="671" spans="3:31" s="260" customFormat="1" x14ac:dyDescent="0.25">
      <c r="C671" s="84"/>
      <c r="D671" s="85"/>
      <c r="E671" s="86"/>
      <c r="F671" s="86"/>
      <c r="G671" s="86"/>
      <c r="H671" s="86"/>
      <c r="I671" s="86"/>
      <c r="J671" s="87"/>
      <c r="K671" s="88"/>
      <c r="M671" s="102"/>
      <c r="N671" s="533" t="s">
        <v>99</v>
      </c>
      <c r="O671" s="533"/>
      <c r="P671" s="533"/>
      <c r="Q671" s="533"/>
      <c r="R671" s="78" t="s">
        <v>100</v>
      </c>
      <c r="S671" s="387">
        <f>+$AA$10</f>
        <v>0.05</v>
      </c>
      <c r="T671" s="563">
        <f>V701</f>
        <v>12161.58</v>
      </c>
      <c r="U671" s="563"/>
      <c r="V671" s="389">
        <f>+IFERROR(T671*S671,0)</f>
        <v>608.07900000000006</v>
      </c>
      <c r="Y671" s="390"/>
      <c r="Z671" s="391">
        <f>Y667*V671</f>
        <v>35663.833350000001</v>
      </c>
      <c r="AA671" s="86"/>
      <c r="AB671" s="384"/>
      <c r="AC671" s="385"/>
      <c r="AD671" s="94"/>
      <c r="AE671" s="386" t="str">
        <f>+IF(V671=0,"CERO","NO")</f>
        <v>NO</v>
      </c>
    </row>
    <row r="672" spans="3:31" s="260" customFormat="1" x14ac:dyDescent="0.25">
      <c r="C672" s="84"/>
      <c r="D672" s="85"/>
      <c r="E672" s="86"/>
      <c r="F672" s="86"/>
      <c r="G672" s="86"/>
      <c r="H672" s="86"/>
      <c r="I672" s="86"/>
      <c r="J672" s="87"/>
      <c r="K672" s="88"/>
      <c r="M672" s="106"/>
      <c r="N672" s="533" t="str">
        <f>IFERROR(VLOOKUP(M672,INSUMOS!$C$8:$K$928,2,0),"-----")</f>
        <v>-----</v>
      </c>
      <c r="O672" s="533"/>
      <c r="P672" s="533"/>
      <c r="Q672" s="533"/>
      <c r="R672" s="78" t="str">
        <f>IFERROR(VLOOKUP(M672,INSUMOS!$C$8:$K$928,6,0),"-----")</f>
        <v>-----</v>
      </c>
      <c r="S672" s="392"/>
      <c r="T672" s="529" t="str">
        <f>IFERROR(VLOOKUP(M672,INSUMOS!$C$8:$K$928,7,0),"0")</f>
        <v>0</v>
      </c>
      <c r="U672" s="529"/>
      <c r="V672" s="389">
        <f>+IFERROR(T672*S672,0)</f>
        <v>0</v>
      </c>
      <c r="Y672" s="393">
        <f>+IFERROR(Y667*S672,0)</f>
        <v>0</v>
      </c>
      <c r="Z672" s="391">
        <f>Y667*V672</f>
        <v>0</v>
      </c>
      <c r="AA672" s="394"/>
      <c r="AB672" s="395">
        <f>+Y672*T672</f>
        <v>0</v>
      </c>
      <c r="AC672" s="93">
        <f>+AB672-Z672</f>
        <v>0</v>
      </c>
      <c r="AD672" s="94"/>
      <c r="AE672" s="386" t="str">
        <f>+IF(V672=0,"CERO","NO")</f>
        <v>CERO</v>
      </c>
    </row>
    <row r="673" spans="3:31" s="260" customFormat="1" x14ac:dyDescent="0.25">
      <c r="C673" s="84"/>
      <c r="D673" s="85"/>
      <c r="E673" s="86"/>
      <c r="F673" s="86"/>
      <c r="G673" s="86"/>
      <c r="H673" s="86"/>
      <c r="I673" s="86"/>
      <c r="J673" s="87"/>
      <c r="K673" s="88"/>
      <c r="M673" s="102">
        <v>0</v>
      </c>
      <c r="N673" s="533"/>
      <c r="O673" s="533"/>
      <c r="P673" s="533"/>
      <c r="Q673" s="533"/>
      <c r="R673" s="78"/>
      <c r="S673" s="396"/>
      <c r="T673" s="529"/>
      <c r="U673" s="529"/>
      <c r="V673" s="397"/>
      <c r="Y673" s="393">
        <f>+IFERROR(Y667*S673,0)</f>
        <v>0</v>
      </c>
      <c r="Z673" s="391">
        <f>Y667*V673</f>
        <v>0</v>
      </c>
      <c r="AA673" s="394"/>
      <c r="AB673" s="395">
        <f>+Y673*T673</f>
        <v>0</v>
      </c>
      <c r="AC673" s="93">
        <f>+AB673-Z673</f>
        <v>0</v>
      </c>
      <c r="AD673" s="94"/>
      <c r="AE673" s="386" t="str">
        <f>+IF(V673=0,"CERO","NO")</f>
        <v>CERO</v>
      </c>
    </row>
    <row r="674" spans="3:31" s="260" customFormat="1" x14ac:dyDescent="0.25">
      <c r="C674" s="84"/>
      <c r="D674" s="85"/>
      <c r="E674" s="86"/>
      <c r="F674" s="86"/>
      <c r="G674" s="86"/>
      <c r="H674" s="86"/>
      <c r="I674" s="86"/>
      <c r="J674" s="87"/>
      <c r="K674" s="88"/>
      <c r="M674" s="102">
        <v>0</v>
      </c>
      <c r="N674" s="533"/>
      <c r="O674" s="533"/>
      <c r="P674" s="533"/>
      <c r="Q674" s="533"/>
      <c r="R674" s="78"/>
      <c r="S674" s="396"/>
      <c r="T674" s="529"/>
      <c r="U674" s="529"/>
      <c r="V674" s="397"/>
      <c r="Y674" s="393">
        <f>+IFERROR(Y667*S674,0)</f>
        <v>0</v>
      </c>
      <c r="Z674" s="391">
        <f>Y667*V674</f>
        <v>0</v>
      </c>
      <c r="AA674" s="394"/>
      <c r="AB674" s="395">
        <f>+Y674*T674</f>
        <v>0</v>
      </c>
      <c r="AC674" s="93">
        <f>+AB674-Z674</f>
        <v>0</v>
      </c>
      <c r="AD674" s="94"/>
      <c r="AE674" s="386" t="str">
        <f>+IF(V674=0,"CERO","NO")</f>
        <v>CERO</v>
      </c>
    </row>
    <row r="675" spans="3:31" s="260" customFormat="1" ht="15.75" thickBot="1" x14ac:dyDescent="0.3">
      <c r="C675" s="84"/>
      <c r="D675" s="85"/>
      <c r="E675" s="86"/>
      <c r="F675" s="86"/>
      <c r="G675" s="86"/>
      <c r="H675" s="86"/>
      <c r="I675" s="86"/>
      <c r="J675" s="87"/>
      <c r="K675" s="88"/>
      <c r="M675" s="102">
        <v>0</v>
      </c>
      <c r="N675" s="564"/>
      <c r="O675" s="564"/>
      <c r="P675" s="564"/>
      <c r="Q675" s="564"/>
      <c r="R675" s="96"/>
      <c r="S675" s="96"/>
      <c r="T675" s="565"/>
      <c r="U675" s="565"/>
      <c r="V675" s="101"/>
      <c r="Y675" s="393">
        <f>+IFERROR(Y667*S675,0)</f>
        <v>0</v>
      </c>
      <c r="Z675" s="391">
        <f>Y667*V675</f>
        <v>0</v>
      </c>
      <c r="AA675" s="394"/>
      <c r="AB675" s="395">
        <f>+Y675*T675</f>
        <v>0</v>
      </c>
      <c r="AC675" s="93">
        <f>+AB675-Z675</f>
        <v>0</v>
      </c>
      <c r="AD675" s="94"/>
      <c r="AE675" s="386" t="str">
        <f>+IF(V675=0,"CERO","NO")</f>
        <v>CERO</v>
      </c>
    </row>
    <row r="676" spans="3:31" s="260" customFormat="1" ht="15.75" thickBot="1" x14ac:dyDescent="0.3">
      <c r="C676" s="84"/>
      <c r="D676" s="375" t="s">
        <v>128</v>
      </c>
      <c r="E676" s="376" t="s">
        <v>129</v>
      </c>
      <c r="F676" s="376" t="s">
        <v>130</v>
      </c>
      <c r="G676" s="376" t="s">
        <v>131</v>
      </c>
      <c r="H676" s="376" t="s">
        <v>132</v>
      </c>
      <c r="I676" s="376" t="s">
        <v>133</v>
      </c>
      <c r="J676" s="377" t="s">
        <v>134</v>
      </c>
      <c r="K676" s="88"/>
      <c r="M676" s="534"/>
      <c r="N676" s="536" t="s">
        <v>101</v>
      </c>
      <c r="O676" s="536"/>
      <c r="P676" s="536"/>
      <c r="Q676" s="536"/>
      <c r="R676" s="536"/>
      <c r="S676" s="536"/>
      <c r="T676" s="536"/>
      <c r="U676" s="536"/>
      <c r="V676" s="389">
        <f>+SUM(V671:V675)</f>
        <v>608.07900000000006</v>
      </c>
      <c r="Y676" s="398" t="s">
        <v>135</v>
      </c>
      <c r="Z676" s="397">
        <f>+SUM(Z671:Z675)</f>
        <v>35663.833350000001</v>
      </c>
      <c r="AA676" s="86"/>
      <c r="AB676" s="384"/>
      <c r="AC676" s="385"/>
      <c r="AD676" s="94"/>
      <c r="AE676" s="399"/>
    </row>
    <row r="677" spans="3:31" s="260" customFormat="1" ht="15.75" thickBot="1" x14ac:dyDescent="0.3">
      <c r="C677" s="84"/>
      <c r="D677" s="375">
        <f>C667</f>
        <v>2.04</v>
      </c>
      <c r="E677" s="376"/>
      <c r="F677" s="376"/>
      <c r="G677" s="376"/>
      <c r="H677" s="376"/>
      <c r="I677" s="376"/>
      <c r="J677" s="377"/>
      <c r="K677" s="88"/>
      <c r="M677" s="566"/>
      <c r="N677" s="567" t="s">
        <v>102</v>
      </c>
      <c r="O677" s="567"/>
      <c r="P677" s="567"/>
      <c r="Q677" s="567"/>
      <c r="R677" s="567"/>
      <c r="S677" s="567"/>
      <c r="T677" s="567"/>
      <c r="U677" s="567"/>
      <c r="V677" s="400">
        <f>+ROUND(V676,$AA$5)</f>
        <v>608.08000000000004</v>
      </c>
      <c r="Y677" s="401" t="s">
        <v>136</v>
      </c>
      <c r="Z677" s="402">
        <f>+ROUND(Z676,$AA$5)</f>
        <v>35663.83</v>
      </c>
      <c r="AA677" s="86"/>
      <c r="AB677" s="403">
        <f>+V677*Y667</f>
        <v>35663.892</v>
      </c>
      <c r="AC677" s="404">
        <f>+AB677-Z677</f>
        <v>6.1999999998079147E-2</v>
      </c>
      <c r="AD677" s="94"/>
      <c r="AE677" s="405"/>
    </row>
    <row r="678" spans="3:31" s="260" customFormat="1" x14ac:dyDescent="0.25">
      <c r="C678" s="84"/>
      <c r="D678" s="380"/>
      <c r="E678" s="381"/>
      <c r="F678" s="381"/>
      <c r="G678" s="381"/>
      <c r="H678" s="381"/>
      <c r="I678" s="381"/>
      <c r="J678" s="382"/>
      <c r="K678" s="88"/>
      <c r="M678" s="510" t="s">
        <v>103</v>
      </c>
      <c r="N678" s="511"/>
      <c r="O678" s="511"/>
      <c r="P678" s="511"/>
      <c r="Q678" s="511"/>
      <c r="R678" s="511"/>
      <c r="S678" s="511"/>
      <c r="T678" s="511"/>
      <c r="U678" s="511"/>
      <c r="V678" s="512"/>
      <c r="Y678" s="378"/>
      <c r="Z678" s="121"/>
      <c r="AA678" s="86"/>
      <c r="AB678" s="513"/>
      <c r="AC678" s="514"/>
      <c r="AD678" s="94"/>
      <c r="AE678" s="126"/>
    </row>
    <row r="679" spans="3:31" s="260" customFormat="1" x14ac:dyDescent="0.25">
      <c r="C679" s="84"/>
      <c r="D679" s="85"/>
      <c r="E679" s="86"/>
      <c r="F679" s="86"/>
      <c r="G679" s="86"/>
      <c r="H679" s="86"/>
      <c r="I679" s="86"/>
      <c r="J679" s="87"/>
      <c r="K679" s="88"/>
      <c r="M679" s="99" t="s">
        <v>94</v>
      </c>
      <c r="N679" s="561" t="s">
        <v>95</v>
      </c>
      <c r="O679" s="561"/>
      <c r="P679" s="561"/>
      <c r="Q679" s="561"/>
      <c r="R679" s="95" t="s">
        <v>96</v>
      </c>
      <c r="S679" s="95" t="s">
        <v>104</v>
      </c>
      <c r="T679" s="356" t="s">
        <v>105</v>
      </c>
      <c r="U679" s="356" t="s">
        <v>8</v>
      </c>
      <c r="V679" s="100" t="s">
        <v>98</v>
      </c>
      <c r="Y679" s="383" t="s">
        <v>104</v>
      </c>
      <c r="Z679" s="119" t="s">
        <v>9</v>
      </c>
      <c r="AA679" s="86"/>
      <c r="AB679" s="384"/>
      <c r="AC679" s="385"/>
      <c r="AD679" s="94"/>
      <c r="AE679" s="406"/>
    </row>
    <row r="680" spans="3:31" s="260" customFormat="1" x14ac:dyDescent="0.25">
      <c r="C680" s="84"/>
      <c r="D680" s="85"/>
      <c r="E680" s="86"/>
      <c r="F680" s="86"/>
      <c r="G680" s="86"/>
      <c r="H680" s="86"/>
      <c r="I680" s="86"/>
      <c r="J680" s="87"/>
      <c r="K680" s="88"/>
      <c r="M680" s="102">
        <v>685</v>
      </c>
      <c r="N680" s="533" t="str">
        <f>IFERROR(VLOOKUP(M680,INSUMOS!$C$8:$K$928,2,0),"-----")</f>
        <v>TUBO PVC-P 1 1/4" RDE 21</v>
      </c>
      <c r="O680" s="533"/>
      <c r="P680" s="533"/>
      <c r="Q680" s="533"/>
      <c r="R680" s="78" t="str">
        <f>IFERROR(VLOOKUP(M680,INSUMOS!$C$8:$K$928,6,0),"-----")</f>
        <v>ml</v>
      </c>
      <c r="S680" s="396">
        <v>1</v>
      </c>
      <c r="T680" s="387">
        <v>0.02</v>
      </c>
      <c r="U680" s="388">
        <f>IFERROR(VLOOKUP(M680,INSUMOS!$C$8:$K$928,7,0),"0")</f>
        <v>11631.833333333334</v>
      </c>
      <c r="V680" s="389">
        <f>+IFERROR(U680*(S680*(1+T680)),0)</f>
        <v>11864.470000000001</v>
      </c>
      <c r="Y680" s="393">
        <f>+IFERROR(Y667*(S680*(1+T680)),0)</f>
        <v>59.823</v>
      </c>
      <c r="Z680" s="391">
        <f>Y667*V680</f>
        <v>695851.1655</v>
      </c>
      <c r="AA680" s="394"/>
      <c r="AB680" s="395">
        <f>+Y680*U680</f>
        <v>695851.1655</v>
      </c>
      <c r="AC680" s="93">
        <f>+AB680-Z680</f>
        <v>0</v>
      </c>
      <c r="AD680" s="94"/>
      <c r="AE680" s="406" t="str">
        <f>+IF(V680=0,"CERO","NO")</f>
        <v>NO</v>
      </c>
    </row>
    <row r="681" spans="3:31" s="260" customFormat="1" x14ac:dyDescent="0.25">
      <c r="C681" s="84"/>
      <c r="D681" s="85"/>
      <c r="E681" s="86"/>
      <c r="F681" s="86"/>
      <c r="G681" s="86"/>
      <c r="H681" s="86"/>
      <c r="I681" s="86"/>
      <c r="J681" s="87"/>
      <c r="K681" s="88"/>
      <c r="M681" s="102">
        <v>699</v>
      </c>
      <c r="N681" s="533" t="str">
        <f>IFERROR(VLOOKUP(M681,INSUMOS!$C$8:$K$928,2,0),"-----")</f>
        <v>SOLDADURA PVC LIQUIDA 1/4"</v>
      </c>
      <c r="O681" s="533"/>
      <c r="P681" s="533"/>
      <c r="Q681" s="533"/>
      <c r="R681" s="78" t="str">
        <f>IFERROR(VLOOKUP(M681,INSUMOS!$C$8:$K$928,6,0),"-----")</f>
        <v>und</v>
      </c>
      <c r="S681" s="396">
        <v>0.02</v>
      </c>
      <c r="T681" s="387">
        <v>0.02</v>
      </c>
      <c r="U681" s="388">
        <f>IFERROR(VLOOKUP(M681,INSUMOS!$C$8:$K$928,7,0),"0")</f>
        <v>146569</v>
      </c>
      <c r="V681" s="389">
        <f>+IFERROR(U681*(S681*(1+T681)),0)</f>
        <v>2990.0076000000004</v>
      </c>
      <c r="Y681" s="393">
        <f>+IFERROR(Y667*(S681*(1+T681)),0)</f>
        <v>1.1964600000000001</v>
      </c>
      <c r="Z681" s="391">
        <f>Y667*V681</f>
        <v>175363.94574000002</v>
      </c>
      <c r="AA681" s="394"/>
      <c r="AB681" s="395">
        <f>+Y681*U681</f>
        <v>175363.94574000002</v>
      </c>
      <c r="AC681" s="93">
        <f>+AB681-Z681</f>
        <v>0</v>
      </c>
      <c r="AD681" s="94"/>
      <c r="AE681" s="406" t="str">
        <f>+IF(V681=0,"CERO","NO")</f>
        <v>NO</v>
      </c>
    </row>
    <row r="682" spans="3:31" s="260" customFormat="1" x14ac:dyDescent="0.25">
      <c r="C682" s="84"/>
      <c r="D682" s="85"/>
      <c r="E682" s="86"/>
      <c r="F682" s="86"/>
      <c r="G682" s="86"/>
      <c r="H682" s="86"/>
      <c r="I682" s="86"/>
      <c r="J682" s="87"/>
      <c r="K682" s="88"/>
      <c r="M682" s="102">
        <v>700</v>
      </c>
      <c r="N682" s="533" t="str">
        <f>IFERROR(VLOOKUP(M682,INSUMOS!$C$8:$K$928,2,0),"-----")</f>
        <v>LIMPIADOR PVC 1/4</v>
      </c>
      <c r="O682" s="533"/>
      <c r="P682" s="533"/>
      <c r="Q682" s="533"/>
      <c r="R682" s="78" t="str">
        <f>IFERROR(VLOOKUP(M682,INSUMOS!$C$8:$K$928,6,0),"-----")</f>
        <v>und</v>
      </c>
      <c r="S682" s="396">
        <v>0.02</v>
      </c>
      <c r="T682" s="387">
        <v>0.02</v>
      </c>
      <c r="U682" s="388">
        <f>IFERROR(VLOOKUP(M682,INSUMOS!$C$8:$K$928,7,0),"0")</f>
        <v>65913</v>
      </c>
      <c r="V682" s="389">
        <f>+IFERROR(U682*(S682*(1+T682)),0)</f>
        <v>1344.6252000000002</v>
      </c>
      <c r="Y682" s="393">
        <f>+IFERROR(Y667*(S682*(1+T682)),0)</f>
        <v>1.1964600000000001</v>
      </c>
      <c r="Z682" s="391">
        <f>Y667*V682</f>
        <v>78862.267980000004</v>
      </c>
      <c r="AA682" s="394"/>
      <c r="AB682" s="395">
        <f>+Y682*U682</f>
        <v>78862.267980000004</v>
      </c>
      <c r="AC682" s="93">
        <f>+AB682-Z682</f>
        <v>0</v>
      </c>
      <c r="AD682" s="94"/>
      <c r="AE682" s="406" t="str">
        <f>+IF(V682=0,"CERO","NO")</f>
        <v>NO</v>
      </c>
    </row>
    <row r="683" spans="3:31" s="260" customFormat="1" x14ac:dyDescent="0.25">
      <c r="C683" s="84"/>
      <c r="D683" s="85"/>
      <c r="E683" s="86"/>
      <c r="F683" s="86"/>
      <c r="G683" s="86"/>
      <c r="H683" s="86"/>
      <c r="I683" s="86"/>
      <c r="J683" s="87"/>
      <c r="K683" s="88"/>
      <c r="M683" s="102">
        <v>0</v>
      </c>
      <c r="N683" s="533" t="str">
        <f>IFERROR(VLOOKUP(M683,INSUMOS!$C$8:$K$928,2,0),"-----")</f>
        <v>-----</v>
      </c>
      <c r="O683" s="533"/>
      <c r="P683" s="533"/>
      <c r="Q683" s="533"/>
      <c r="R683" s="78" t="str">
        <f>IFERROR(VLOOKUP(M683,INSUMOS!$C$8:$K$928,6,0),"-----")</f>
        <v>-----</v>
      </c>
      <c r="S683" s="396"/>
      <c r="T683" s="387"/>
      <c r="U683" s="388" t="str">
        <f>IFERROR(VLOOKUP(M683,INSUMOS!$C$8:$K$928,7,0),"0")</f>
        <v>0</v>
      </c>
      <c r="V683" s="389">
        <f>+IFERROR(U683*(S683*(1+T683)),0)</f>
        <v>0</v>
      </c>
      <c r="Y683" s="393">
        <f>+IFERROR(Y667*(S683*(1+T683)),0)</f>
        <v>0</v>
      </c>
      <c r="Z683" s="391">
        <f>Y667*V683</f>
        <v>0</v>
      </c>
      <c r="AA683" s="394"/>
      <c r="AB683" s="395">
        <f>+Y683*U683</f>
        <v>0</v>
      </c>
      <c r="AC683" s="93">
        <f>+AB683-Z683</f>
        <v>0</v>
      </c>
      <c r="AD683" s="94"/>
      <c r="AE683" s="406" t="str">
        <f>+IF(V683=0,"CERO","NO")</f>
        <v>CERO</v>
      </c>
    </row>
    <row r="684" spans="3:31" s="260" customFormat="1" ht="15.75" thickBot="1" x14ac:dyDescent="0.3">
      <c r="C684" s="84"/>
      <c r="D684" s="85"/>
      <c r="E684" s="86"/>
      <c r="F684" s="86"/>
      <c r="G684" s="86"/>
      <c r="H684" s="86"/>
      <c r="I684" s="86"/>
      <c r="J684" s="87"/>
      <c r="K684" s="88"/>
      <c r="M684" s="102">
        <v>0</v>
      </c>
      <c r="N684" s="564"/>
      <c r="O684" s="564"/>
      <c r="P684" s="564"/>
      <c r="Q684" s="564"/>
      <c r="R684" s="96"/>
      <c r="S684" s="79"/>
      <c r="T684" s="97"/>
      <c r="U684" s="358"/>
      <c r="V684" s="397"/>
      <c r="Y684" s="393">
        <f>+IFERROR(Y667*(S684*(1+T684)),0)</f>
        <v>0</v>
      </c>
      <c r="Z684" s="391">
        <f>Y667*V684</f>
        <v>0</v>
      </c>
      <c r="AA684" s="394"/>
      <c r="AB684" s="395">
        <f>+Y684*U684</f>
        <v>0</v>
      </c>
      <c r="AC684" s="93">
        <f>+AB684-Z684</f>
        <v>0</v>
      </c>
      <c r="AD684" s="94"/>
      <c r="AE684" s="406" t="str">
        <f>+IF(V684=0,"CERO","NO")</f>
        <v>CERO</v>
      </c>
    </row>
    <row r="685" spans="3:31" s="260" customFormat="1" ht="15.75" thickBot="1" x14ac:dyDescent="0.3">
      <c r="C685" s="84"/>
      <c r="D685" s="375" t="s">
        <v>128</v>
      </c>
      <c r="E685" s="376" t="s">
        <v>129</v>
      </c>
      <c r="F685" s="376" t="s">
        <v>130</v>
      </c>
      <c r="G685" s="376" t="s">
        <v>131</v>
      </c>
      <c r="H685" s="376" t="s">
        <v>132</v>
      </c>
      <c r="I685" s="376" t="s">
        <v>133</v>
      </c>
      <c r="J685" s="377" t="s">
        <v>134</v>
      </c>
      <c r="K685" s="88"/>
      <c r="M685" s="534"/>
      <c r="N685" s="536" t="s">
        <v>106</v>
      </c>
      <c r="O685" s="536"/>
      <c r="P685" s="536"/>
      <c r="Q685" s="536"/>
      <c r="R685" s="536"/>
      <c r="S685" s="536"/>
      <c r="T685" s="536"/>
      <c r="U685" s="536"/>
      <c r="V685" s="389">
        <f>+SUM(V680:V684)</f>
        <v>16199.102800000002</v>
      </c>
      <c r="Y685" s="398" t="s">
        <v>135</v>
      </c>
      <c r="Z685" s="397">
        <f>+SUM(Z680:Z684)</f>
        <v>950077.37922</v>
      </c>
      <c r="AA685" s="86"/>
      <c r="AB685" s="384"/>
      <c r="AC685" s="385"/>
      <c r="AD685" s="94"/>
      <c r="AE685" s="399"/>
    </row>
    <row r="686" spans="3:31" s="260" customFormat="1" ht="15.75" thickBot="1" x14ac:dyDescent="0.3">
      <c r="C686" s="84"/>
      <c r="D686" s="375"/>
      <c r="E686" s="407">
        <f>+D677</f>
        <v>2.04</v>
      </c>
      <c r="F686" s="376"/>
      <c r="G686" s="376"/>
      <c r="H686" s="376"/>
      <c r="I686" s="376"/>
      <c r="J686" s="377"/>
      <c r="K686" s="88"/>
      <c r="M686" s="535"/>
      <c r="N686" s="537" t="s">
        <v>107</v>
      </c>
      <c r="O686" s="537"/>
      <c r="P686" s="537"/>
      <c r="Q686" s="537"/>
      <c r="R686" s="537"/>
      <c r="S686" s="537"/>
      <c r="T686" s="537"/>
      <c r="U686" s="537"/>
      <c r="V686" s="408">
        <f>+ROUND(V685,$AA$5)</f>
        <v>16199.1</v>
      </c>
      <c r="Y686" s="401" t="s">
        <v>136</v>
      </c>
      <c r="Z686" s="402">
        <f>+ROUND(Z685,$AA$5)</f>
        <v>950077.38</v>
      </c>
      <c r="AA686" s="86"/>
      <c r="AB686" s="403">
        <f>+V686*Y667</f>
        <v>950077.21499999997</v>
      </c>
      <c r="AC686" s="404">
        <f>+AB686-Z686</f>
        <v>-0.1650000000372529</v>
      </c>
      <c r="AD686" s="94"/>
      <c r="AE686" s="405"/>
    </row>
    <row r="687" spans="3:31" s="260" customFormat="1" x14ac:dyDescent="0.25">
      <c r="C687" s="84"/>
      <c r="D687" s="380"/>
      <c r="E687" s="381"/>
      <c r="F687" s="381"/>
      <c r="G687" s="381"/>
      <c r="H687" s="381"/>
      <c r="I687" s="381"/>
      <c r="J687" s="382"/>
      <c r="K687" s="88"/>
      <c r="M687" s="568" t="s">
        <v>108</v>
      </c>
      <c r="N687" s="569"/>
      <c r="O687" s="569"/>
      <c r="P687" s="569"/>
      <c r="Q687" s="569"/>
      <c r="R687" s="569"/>
      <c r="S687" s="569"/>
      <c r="T687" s="569"/>
      <c r="U687" s="569"/>
      <c r="V687" s="570"/>
      <c r="Y687" s="378"/>
      <c r="Z687" s="121"/>
      <c r="AA687" s="86"/>
      <c r="AB687" s="409"/>
      <c r="AC687" s="121"/>
      <c r="AD687" s="94"/>
      <c r="AE687" s="126"/>
    </row>
    <row r="688" spans="3:31" s="260" customFormat="1" ht="25.5" x14ac:dyDescent="0.25">
      <c r="C688" s="84"/>
      <c r="D688" s="85"/>
      <c r="E688" s="86"/>
      <c r="F688" s="86"/>
      <c r="G688" s="86"/>
      <c r="H688" s="86"/>
      <c r="I688" s="86"/>
      <c r="J688" s="87"/>
      <c r="K688" s="88"/>
      <c r="M688" s="99" t="s">
        <v>94</v>
      </c>
      <c r="N688" s="561" t="s">
        <v>95</v>
      </c>
      <c r="O688" s="561"/>
      <c r="P688" s="561"/>
      <c r="Q688" s="95" t="s">
        <v>109</v>
      </c>
      <c r="R688" s="95" t="s">
        <v>110</v>
      </c>
      <c r="S688" s="95" t="s">
        <v>111</v>
      </c>
      <c r="T688" s="562" t="s">
        <v>112</v>
      </c>
      <c r="U688" s="562"/>
      <c r="V688" s="100" t="s">
        <v>98</v>
      </c>
      <c r="Y688" s="383" t="s">
        <v>104</v>
      </c>
      <c r="Z688" s="119" t="s">
        <v>9</v>
      </c>
      <c r="AA688" s="86"/>
      <c r="AB688" s="384"/>
      <c r="AC688" s="385"/>
      <c r="AD688" s="94"/>
      <c r="AE688" s="410"/>
    </row>
    <row r="689" spans="3:31" s="260" customFormat="1" x14ac:dyDescent="0.25">
      <c r="C689" s="84"/>
      <c r="D689" s="85"/>
      <c r="E689" s="86"/>
      <c r="F689" s="86"/>
      <c r="G689" s="86"/>
      <c r="H689" s="86"/>
      <c r="I689" s="86"/>
      <c r="J689" s="87"/>
      <c r="K689" s="88"/>
      <c r="M689" s="102">
        <v>129</v>
      </c>
      <c r="N689" s="530" t="str">
        <f>IFERROR(VLOOKUP(M689,INSUMOS!$C$8:$K$928,2,0),"-----")</f>
        <v>transporte materiales en general</v>
      </c>
      <c r="O689" s="531"/>
      <c r="P689" s="532"/>
      <c r="Q689" s="78" t="str">
        <f>IFERROR(VLOOKUP(M689,INSUMOS!$C$8:$K$928,5,0),"-----")</f>
        <v>Km</v>
      </c>
      <c r="R689" s="80">
        <v>1</v>
      </c>
      <c r="S689" s="80">
        <f>IFERROR(VLOOKUP(M689,INSUMOS!$C$8:$K$928,6,0),"0")</f>
        <v>348</v>
      </c>
      <c r="T689" s="529">
        <f>IFERROR(VLOOKUP(M689,INSUMOS!$C$8:$K$928,7,0),"0")</f>
        <v>0.99776362060288992</v>
      </c>
      <c r="U689" s="529"/>
      <c r="V689" s="82">
        <f>+T689*S689*R689</f>
        <v>347.2217399698057</v>
      </c>
      <c r="Y689" s="393">
        <f>+IFERROR((R689*S689)*Y667,0)</f>
        <v>20410.2</v>
      </c>
      <c r="Z689" s="391">
        <f>Y667*V689</f>
        <v>20364.555049229104</v>
      </c>
      <c r="AA689" s="86"/>
      <c r="AB689" s="92">
        <f>+Y689*T689</f>
        <v>20364.555049229104</v>
      </c>
      <c r="AC689" s="93">
        <f>+AB689-Z689</f>
        <v>0</v>
      </c>
      <c r="AD689" s="94"/>
      <c r="AE689" s="406" t="str">
        <f>+IF(V689=0,"CERO","NO")</f>
        <v>NO</v>
      </c>
    </row>
    <row r="690" spans="3:31" s="260" customFormat="1" x14ac:dyDescent="0.25">
      <c r="C690" s="84"/>
      <c r="D690" s="85"/>
      <c r="E690" s="86"/>
      <c r="F690" s="86"/>
      <c r="G690" s="86"/>
      <c r="H690" s="86"/>
      <c r="I690" s="86"/>
      <c r="J690" s="87"/>
      <c r="K690" s="88"/>
      <c r="M690" s="102">
        <v>0</v>
      </c>
      <c r="N690" s="530" t="str">
        <f>IFERROR(VLOOKUP(M690,INSUMOS!$C$8:$K$928,2,0),"-----")</f>
        <v>-----</v>
      </c>
      <c r="O690" s="531"/>
      <c r="P690" s="532"/>
      <c r="Q690" s="78" t="str">
        <f>IFERROR(VLOOKUP(M690,INSUMOS!$C$8:$K$928,5,0),"-----")</f>
        <v>-----</v>
      </c>
      <c r="R690" s="80"/>
      <c r="S690" s="80" t="str">
        <f>IFERROR(VLOOKUP(M690,INSUMOS!$C$8:$K$928,6,0),"0")</f>
        <v>0</v>
      </c>
      <c r="T690" s="529" t="str">
        <f>IFERROR(VLOOKUP(M690,INSUMOS!$C$8:$K$928,7,0),"0")</f>
        <v>0</v>
      </c>
      <c r="U690" s="529"/>
      <c r="V690" s="82">
        <f>+T690*S690*R690</f>
        <v>0</v>
      </c>
      <c r="Y690" s="393">
        <f>+IFERROR((R690*S690)*Y667,0)</f>
        <v>0</v>
      </c>
      <c r="Z690" s="391">
        <f>Y667*V690</f>
        <v>0</v>
      </c>
      <c r="AA690" s="86"/>
      <c r="AB690" s="92">
        <f>+Y690*T690</f>
        <v>0</v>
      </c>
      <c r="AC690" s="93">
        <f>+AB690-Z690</f>
        <v>0</v>
      </c>
      <c r="AD690" s="94"/>
      <c r="AE690" s="406" t="str">
        <f>+IF(V690=0,"CERO","NO")</f>
        <v>CERO</v>
      </c>
    </row>
    <row r="691" spans="3:31" s="260" customFormat="1" x14ac:dyDescent="0.25">
      <c r="C691" s="84"/>
      <c r="D691" s="85"/>
      <c r="E691" s="86"/>
      <c r="F691" s="86"/>
      <c r="G691" s="86"/>
      <c r="H691" s="86"/>
      <c r="I691" s="86"/>
      <c r="J691" s="87"/>
      <c r="K691" s="88"/>
      <c r="M691" s="102">
        <v>0</v>
      </c>
      <c r="N691" s="530" t="str">
        <f>IFERROR(VLOOKUP(M691,INSUMOS!$C$8:$K$928,2,0),"-----")</f>
        <v>-----</v>
      </c>
      <c r="O691" s="531"/>
      <c r="P691" s="532"/>
      <c r="Q691" s="78" t="str">
        <f>IFERROR(VLOOKUP(M691,INSUMOS!$C$8:$K$928,5,0),"-----")</f>
        <v>-----</v>
      </c>
      <c r="R691" s="80"/>
      <c r="S691" s="80" t="str">
        <f>IFERROR(VLOOKUP(M691,INSUMOS!$C$8:$K$928,6,0),"0")</f>
        <v>0</v>
      </c>
      <c r="T691" s="529" t="str">
        <f>IFERROR(VLOOKUP(M691,INSUMOS!$C$8:$K$928,7,0),"0")</f>
        <v>0</v>
      </c>
      <c r="U691" s="529"/>
      <c r="V691" s="82">
        <f>+T691*S691*R691</f>
        <v>0</v>
      </c>
      <c r="Y691" s="393">
        <f>+IFERROR((R691*S691)*Y667,0)</f>
        <v>0</v>
      </c>
      <c r="Z691" s="391">
        <f>Y667*V691</f>
        <v>0</v>
      </c>
      <c r="AA691" s="86"/>
      <c r="AB691" s="92">
        <f>+Y691*T691</f>
        <v>0</v>
      </c>
      <c r="AC691" s="93">
        <f>+AB691-Z691</f>
        <v>0</v>
      </c>
      <c r="AD691" s="94"/>
      <c r="AE691" s="406" t="str">
        <f>+IF(V691=0,"CERO","NO")</f>
        <v>CERO</v>
      </c>
    </row>
    <row r="692" spans="3:31" s="260" customFormat="1" ht="15.75" thickBot="1" x14ac:dyDescent="0.3">
      <c r="C692" s="84"/>
      <c r="D692" s="89"/>
      <c r="E692" s="90"/>
      <c r="F692" s="90"/>
      <c r="G692" s="90"/>
      <c r="H692" s="90"/>
      <c r="I692" s="90"/>
      <c r="J692" s="91"/>
      <c r="K692" s="88"/>
      <c r="M692" s="102">
        <v>0</v>
      </c>
      <c r="N692" s="533"/>
      <c r="O692" s="533"/>
      <c r="P692" s="533"/>
      <c r="Q692" s="79"/>
      <c r="R692" s="78"/>
      <c r="S692" s="81"/>
      <c r="T692" s="529"/>
      <c r="U692" s="529"/>
      <c r="V692" s="82"/>
      <c r="Y692" s="393">
        <f>+IFERROR((R692*S692)*Y667,0)</f>
        <v>0</v>
      </c>
      <c r="Z692" s="391">
        <f>Y667*V692</f>
        <v>0</v>
      </c>
      <c r="AA692" s="86"/>
      <c r="AB692" s="92">
        <f>+Y692*T692</f>
        <v>0</v>
      </c>
      <c r="AC692" s="93">
        <f>+AB692-Z692</f>
        <v>0</v>
      </c>
      <c r="AD692" s="94"/>
      <c r="AE692" s="406" t="str">
        <f>+IF(V692=0,"CERO","NO")</f>
        <v>CERO</v>
      </c>
    </row>
    <row r="693" spans="3:31" s="260" customFormat="1" ht="15.75" thickBot="1" x14ac:dyDescent="0.3">
      <c r="C693" s="84"/>
      <c r="D693" s="375" t="s">
        <v>128</v>
      </c>
      <c r="E693" s="376" t="s">
        <v>129</v>
      </c>
      <c r="F693" s="376" t="s">
        <v>130</v>
      </c>
      <c r="G693" s="376" t="s">
        <v>131</v>
      </c>
      <c r="H693" s="376" t="s">
        <v>132</v>
      </c>
      <c r="I693" s="376" t="s">
        <v>133</v>
      </c>
      <c r="J693" s="377" t="s">
        <v>134</v>
      </c>
      <c r="K693" s="88"/>
      <c r="M693" s="534"/>
      <c r="N693" s="536" t="s">
        <v>113</v>
      </c>
      <c r="O693" s="536"/>
      <c r="P693" s="536"/>
      <c r="Q693" s="536"/>
      <c r="R693" s="536"/>
      <c r="S693" s="536"/>
      <c r="T693" s="536"/>
      <c r="U693" s="536"/>
      <c r="V693" s="411">
        <f>+SUM(V689:V692)</f>
        <v>347.2217399698057</v>
      </c>
      <c r="Y693" s="398" t="s">
        <v>135</v>
      </c>
      <c r="Z693" s="397">
        <f>+SUM(Z689:Z692)</f>
        <v>20364.555049229104</v>
      </c>
      <c r="AA693" s="86"/>
      <c r="AB693" s="384"/>
      <c r="AC693" s="385"/>
      <c r="AD693" s="94"/>
      <c r="AE693" s="399"/>
    </row>
    <row r="694" spans="3:31" s="260" customFormat="1" ht="15.75" thickBot="1" x14ac:dyDescent="0.3">
      <c r="C694" s="84"/>
      <c r="D694" s="355"/>
      <c r="E694" s="367"/>
      <c r="F694" s="412">
        <f>+E686</f>
        <v>2.04</v>
      </c>
      <c r="G694" s="367"/>
      <c r="H694" s="367"/>
      <c r="I694" s="367"/>
      <c r="J694" s="368"/>
      <c r="K694" s="88"/>
      <c r="M694" s="535"/>
      <c r="N694" s="537" t="s">
        <v>114</v>
      </c>
      <c r="O694" s="537"/>
      <c r="P694" s="537"/>
      <c r="Q694" s="537"/>
      <c r="R694" s="537"/>
      <c r="S694" s="537"/>
      <c r="T694" s="537"/>
      <c r="U694" s="537"/>
      <c r="V694" s="413">
        <f>+ROUND(V693,$AA$5)</f>
        <v>347.22</v>
      </c>
      <c r="Y694" s="401" t="s">
        <v>136</v>
      </c>
      <c r="Z694" s="402">
        <f>+ROUND(Z693,$AA$5)</f>
        <v>20364.560000000001</v>
      </c>
      <c r="AA694" s="86"/>
      <c r="AB694" s="403">
        <f>+V694*Y667</f>
        <v>20364.453000000001</v>
      </c>
      <c r="AC694" s="414"/>
      <c r="AD694" s="94"/>
      <c r="AE694" s="405"/>
    </row>
    <row r="695" spans="3:31" s="260" customFormat="1" ht="15.75" thickBot="1" x14ac:dyDescent="0.3">
      <c r="C695" s="84"/>
      <c r="D695" s="415"/>
      <c r="E695" s="416"/>
      <c r="F695" s="416"/>
      <c r="G695" s="416"/>
      <c r="H695" s="416"/>
      <c r="I695" s="416"/>
      <c r="J695" s="417"/>
      <c r="K695" s="88"/>
      <c r="M695" s="538" t="s">
        <v>115</v>
      </c>
      <c r="N695" s="539"/>
      <c r="O695" s="539"/>
      <c r="P695" s="539"/>
      <c r="Q695" s="539"/>
      <c r="R695" s="539"/>
      <c r="S695" s="539"/>
      <c r="T695" s="539"/>
      <c r="U695" s="539"/>
      <c r="V695" s="540"/>
      <c r="Y695" s="378"/>
      <c r="Z695" s="121"/>
      <c r="AA695" s="86"/>
      <c r="AB695" s="409"/>
      <c r="AC695" s="121"/>
      <c r="AD695" s="94"/>
      <c r="AE695" s="126"/>
    </row>
    <row r="696" spans="3:31" s="260" customFormat="1" ht="15.75" thickBot="1" x14ac:dyDescent="0.3">
      <c r="C696" s="84"/>
      <c r="D696" s="375" t="s">
        <v>128</v>
      </c>
      <c r="E696" s="376" t="s">
        <v>129</v>
      </c>
      <c r="F696" s="376" t="s">
        <v>130</v>
      </c>
      <c r="G696" s="376" t="s">
        <v>131</v>
      </c>
      <c r="H696" s="376" t="s">
        <v>132</v>
      </c>
      <c r="I696" s="376" t="s">
        <v>133</v>
      </c>
      <c r="J696" s="377" t="s">
        <v>134</v>
      </c>
      <c r="K696" s="88"/>
      <c r="M696" s="99" t="s">
        <v>94</v>
      </c>
      <c r="N696" s="98" t="s">
        <v>95</v>
      </c>
      <c r="O696" s="95" t="s">
        <v>96</v>
      </c>
      <c r="P696" s="359" t="s">
        <v>104</v>
      </c>
      <c r="Q696" s="95" t="s">
        <v>116</v>
      </c>
      <c r="R696" s="418" t="s">
        <v>117</v>
      </c>
      <c r="S696" s="95" t="s">
        <v>347</v>
      </c>
      <c r="T696" s="419" t="s">
        <v>118</v>
      </c>
      <c r="U696" s="189" t="s">
        <v>119</v>
      </c>
      <c r="V696" s="100" t="s">
        <v>98</v>
      </c>
      <c r="Y696" s="383" t="s">
        <v>104</v>
      </c>
      <c r="Z696" s="119" t="s">
        <v>9</v>
      </c>
      <c r="AA696" s="86"/>
      <c r="AB696" s="384"/>
      <c r="AC696" s="385"/>
      <c r="AD696" s="94"/>
      <c r="AE696" s="410"/>
    </row>
    <row r="697" spans="3:31" s="260" customFormat="1" ht="25.5" x14ac:dyDescent="0.25">
      <c r="C697" s="84"/>
      <c r="D697" s="354"/>
      <c r="E697" s="96"/>
      <c r="F697" s="96"/>
      <c r="G697" s="96"/>
      <c r="H697" s="96"/>
      <c r="I697" s="96"/>
      <c r="J697" s="420">
        <f>+F694</f>
        <v>2.04</v>
      </c>
      <c r="K697" s="88"/>
      <c r="M697" s="102">
        <v>207</v>
      </c>
      <c r="N697" s="347" t="str">
        <f>IFERROR(VLOOKUP(M697,INSUMOS!$C$8:$K$928,2,0),"-----")</f>
        <v>Oficial Hidrosanitario</v>
      </c>
      <c r="O697" s="78" t="str">
        <f>IFERROR(VLOOKUP(M697,INSUMOS!$C$8:$K$928,3,0),"-----")</f>
        <v>JORNAL+PS</v>
      </c>
      <c r="P697" s="80">
        <v>1</v>
      </c>
      <c r="Q697" s="79">
        <v>24</v>
      </c>
      <c r="R697" s="190">
        <f>IFERROR(VLOOKUP(M697,INSUMOS!$C$8:$K$928,4,0),"-----")</f>
        <v>92983</v>
      </c>
      <c r="S697" s="190">
        <f>IFERROR(VLOOKUP(M697,INSUMOS!$C$8:$K$928,6,0),"-----")</f>
        <v>74386</v>
      </c>
      <c r="T697" s="190">
        <f>IFERROR(VLOOKUP(M697,INSUMOS!$C$8:$K$928,5,0),"-----")</f>
        <v>0</v>
      </c>
      <c r="U697" s="388">
        <f>SUM(R697:T697)</f>
        <v>167369</v>
      </c>
      <c r="V697" s="82">
        <f>+IFERROR((P697/Q697)*U697,0)</f>
        <v>6973.708333333333</v>
      </c>
      <c r="Y697" s="393">
        <f>+IFERROR((Y667/Q697*P697),0)</f>
        <v>2.4437500000000001</v>
      </c>
      <c r="Z697" s="391">
        <f>Y667*V697</f>
        <v>409007.99374999997</v>
      </c>
      <c r="AA697" s="86"/>
      <c r="AB697" s="92">
        <f>+(U697)*Y697</f>
        <v>409007.99375000002</v>
      </c>
      <c r="AC697" s="93">
        <f>+AB697-Z697</f>
        <v>0</v>
      </c>
      <c r="AD697" s="421"/>
      <c r="AE697" s="410" t="str">
        <f>+IF(V697=0,"CERO","NO")</f>
        <v>NO</v>
      </c>
    </row>
    <row r="698" spans="3:31" s="260" customFormat="1" ht="26.25" thickBot="1" x14ac:dyDescent="0.3">
      <c r="C698" s="84"/>
      <c r="D698" s="355"/>
      <c r="E698" s="367"/>
      <c r="F698" s="367"/>
      <c r="G698" s="367"/>
      <c r="H698" s="367"/>
      <c r="I698" s="367"/>
      <c r="J698" s="422">
        <f>+J697</f>
        <v>2.04</v>
      </c>
      <c r="K698" s="88"/>
      <c r="M698" s="102">
        <v>208</v>
      </c>
      <c r="N698" s="347" t="str">
        <f>IFERROR(VLOOKUP(M698,INSUMOS!$C$8:$K$928,2,0),"-----")</f>
        <v>Ayudante Hidrosanitario</v>
      </c>
      <c r="O698" s="78" t="str">
        <f>IFERROR(VLOOKUP(M698,INSUMOS!$C$8:$K$928,3,0),"-----")</f>
        <v>JORNAL+PS</v>
      </c>
      <c r="P698" s="80">
        <v>1</v>
      </c>
      <c r="Q698" s="79">
        <v>24</v>
      </c>
      <c r="R698" s="190">
        <f>IFERROR(VLOOKUP(M698,INSUMOS!$C$8:$K$928,4,0),"-----")</f>
        <v>69172</v>
      </c>
      <c r="S698" s="190">
        <f>IFERROR(VLOOKUP(M698,INSUMOS!$C$8:$K$928,6,0),"-----")</f>
        <v>55337</v>
      </c>
      <c r="T698" s="190">
        <f>IFERROR(VLOOKUP(M698,INSUMOS!$C$8:$K$928,5,0),"-----")</f>
        <v>0</v>
      </c>
      <c r="U698" s="388">
        <f>SUM(R698:T698)</f>
        <v>124509</v>
      </c>
      <c r="V698" s="82">
        <f>+IFERROR((P698/Q698)*U698,0)</f>
        <v>5187.875</v>
      </c>
      <c r="Y698" s="393">
        <f>+IFERROR((Y667/Q698*P698),0)</f>
        <v>2.4437500000000001</v>
      </c>
      <c r="Z698" s="391">
        <f>Y667*V698</f>
        <v>304268.86874999997</v>
      </c>
      <c r="AA698" s="86"/>
      <c r="AB698" s="92">
        <f>+U698*Y698</f>
        <v>304268.86875000002</v>
      </c>
      <c r="AC698" s="93">
        <f>+AB698-Z698</f>
        <v>0</v>
      </c>
      <c r="AD698" s="94"/>
      <c r="AE698" s="410" t="str">
        <f>+IF(V698=0,"CERO","NO")</f>
        <v>NO</v>
      </c>
    </row>
    <row r="699" spans="3:31" s="260" customFormat="1" ht="15.75" thickBot="1" x14ac:dyDescent="0.3">
      <c r="C699" s="84"/>
      <c r="D699" s="380"/>
      <c r="E699" s="381"/>
      <c r="F699" s="381"/>
      <c r="G699" s="381"/>
      <c r="H699" s="381"/>
      <c r="I699" s="381"/>
      <c r="J699" s="382"/>
      <c r="K699" s="88"/>
      <c r="M699" s="102">
        <v>0</v>
      </c>
      <c r="N699" s="347"/>
      <c r="O699" s="79"/>
      <c r="P699" s="423"/>
      <c r="Q699" s="81"/>
      <c r="R699" s="111"/>
      <c r="S699" s="357"/>
      <c r="T699" s="111"/>
      <c r="U699" s="388"/>
      <c r="V699" s="426"/>
      <c r="Y699" s="393">
        <f>+IFERROR((Y667/Q699*P699),0)</f>
        <v>0</v>
      </c>
      <c r="Z699" s="391">
        <f>Y667*V699</f>
        <v>0</v>
      </c>
      <c r="AA699" s="86"/>
      <c r="AB699" s="92">
        <f>+(U699)*Y699*P699</f>
        <v>0</v>
      </c>
      <c r="AC699" s="93">
        <f>+AB699-Z699</f>
        <v>0</v>
      </c>
      <c r="AD699" s="94"/>
      <c r="AE699" s="410" t="str">
        <f>+IF(V699=0,"CERO","NO")</f>
        <v>CERO</v>
      </c>
    </row>
    <row r="700" spans="3:31" s="260" customFormat="1" ht="15.75" thickBot="1" x14ac:dyDescent="0.3">
      <c r="C700" s="84"/>
      <c r="D700" s="375" t="s">
        <v>128</v>
      </c>
      <c r="E700" s="376" t="s">
        <v>129</v>
      </c>
      <c r="F700" s="376" t="s">
        <v>130</v>
      </c>
      <c r="G700" s="376" t="s">
        <v>131</v>
      </c>
      <c r="H700" s="376" t="s">
        <v>132</v>
      </c>
      <c r="I700" s="376" t="s">
        <v>133</v>
      </c>
      <c r="J700" s="377" t="s">
        <v>134</v>
      </c>
      <c r="K700" s="88"/>
      <c r="M700" s="534"/>
      <c r="N700" s="536" t="s">
        <v>120</v>
      </c>
      <c r="O700" s="536"/>
      <c r="P700" s="536"/>
      <c r="Q700" s="536"/>
      <c r="R700" s="536"/>
      <c r="S700" s="536"/>
      <c r="T700" s="536"/>
      <c r="U700" s="536"/>
      <c r="V700" s="82">
        <f>+SUM(V697:V699)</f>
        <v>12161.583333333332</v>
      </c>
      <c r="Y700" s="398" t="s">
        <v>135</v>
      </c>
      <c r="Z700" s="397">
        <f>+SUM(Z697:Z699)</f>
        <v>713276.86249999993</v>
      </c>
      <c r="AA700" s="86"/>
      <c r="AB700" s="384"/>
      <c r="AC700" s="385"/>
      <c r="AD700" s="94"/>
      <c r="AE700" s="399"/>
    </row>
    <row r="701" spans="3:31" s="260" customFormat="1" ht="15.75" thickBot="1" x14ac:dyDescent="0.3">
      <c r="C701" s="84"/>
      <c r="D701" s="354"/>
      <c r="E701" s="96"/>
      <c r="F701" s="96"/>
      <c r="G701" s="107">
        <f>+F694</f>
        <v>2.04</v>
      </c>
      <c r="H701" s="96"/>
      <c r="I701" s="96"/>
      <c r="J701" s="427"/>
      <c r="K701" s="88"/>
      <c r="M701" s="535"/>
      <c r="N701" s="537" t="s">
        <v>121</v>
      </c>
      <c r="O701" s="537"/>
      <c r="P701" s="537"/>
      <c r="Q701" s="537"/>
      <c r="R701" s="537"/>
      <c r="S701" s="537"/>
      <c r="T701" s="537"/>
      <c r="U701" s="537"/>
      <c r="V701" s="413">
        <f>+ROUND(V700,$AA$5)</f>
        <v>12161.58</v>
      </c>
      <c r="Y701" s="401" t="s">
        <v>136</v>
      </c>
      <c r="Z701" s="402">
        <f>+ROUND(Z700,$AA$5)</f>
        <v>713276.86</v>
      </c>
      <c r="AA701" s="86"/>
      <c r="AB701" s="403">
        <f>+V701*Y667</f>
        <v>713276.66700000002</v>
      </c>
      <c r="AC701" s="404">
        <f>+AB701-Z701</f>
        <v>-0.19299999997019768</v>
      </c>
      <c r="AD701" s="94"/>
      <c r="AE701" s="405"/>
    </row>
    <row r="702" spans="3:31" s="260" customFormat="1" ht="15.75" thickBot="1" x14ac:dyDescent="0.3">
      <c r="C702" s="84"/>
      <c r="D702" s="375" t="s">
        <v>128</v>
      </c>
      <c r="E702" s="376" t="s">
        <v>129</v>
      </c>
      <c r="F702" s="376" t="s">
        <v>130</v>
      </c>
      <c r="G702" s="376" t="s">
        <v>131</v>
      </c>
      <c r="H702" s="376" t="s">
        <v>132</v>
      </c>
      <c r="I702" s="376" t="s">
        <v>133</v>
      </c>
      <c r="J702" s="377" t="s">
        <v>134</v>
      </c>
      <c r="K702" s="88"/>
      <c r="M702" s="541"/>
      <c r="N702" s="542"/>
      <c r="O702" s="542"/>
      <c r="P702" s="542"/>
      <c r="Q702" s="542"/>
      <c r="R702" s="542"/>
      <c r="S702" s="542"/>
      <c r="T702" s="542"/>
      <c r="U702" s="542"/>
      <c r="V702" s="543"/>
      <c r="Y702" s="378"/>
      <c r="Z702" s="121"/>
      <c r="AA702" s="86"/>
      <c r="AB702" s="409"/>
      <c r="AC702" s="121"/>
      <c r="AD702" s="94"/>
      <c r="AE702" s="428"/>
    </row>
    <row r="703" spans="3:31" s="260" customFormat="1" ht="15.75" thickBot="1" x14ac:dyDescent="0.3">
      <c r="C703" s="84"/>
      <c r="D703" s="355"/>
      <c r="E703" s="367"/>
      <c r="F703" s="367"/>
      <c r="G703" s="367"/>
      <c r="H703" s="412">
        <f>G701</f>
        <v>2.04</v>
      </c>
      <c r="I703" s="412"/>
      <c r="J703" s="422"/>
      <c r="K703" s="88"/>
      <c r="M703" s="544" t="s">
        <v>122</v>
      </c>
      <c r="N703" s="537"/>
      <c r="O703" s="537"/>
      <c r="P703" s="537"/>
      <c r="Q703" s="537"/>
      <c r="R703" s="537"/>
      <c r="S703" s="537"/>
      <c r="T703" s="537"/>
      <c r="U703" s="545">
        <f>+V701+V694+V686+V677</f>
        <v>29315.980000000003</v>
      </c>
      <c r="V703" s="546"/>
      <c r="Y703" s="429"/>
      <c r="Z703" s="430">
        <f>+Z701+Z694+Z686+Z677</f>
        <v>1719382.6300000001</v>
      </c>
      <c r="AA703" s="86"/>
      <c r="AB703" s="431">
        <f>+AB701+AB694+AB686+AB677</f>
        <v>1719382.227</v>
      </c>
      <c r="AC703" s="404">
        <f>+AB703-Z703</f>
        <v>-0.40300000016577542</v>
      </c>
      <c r="AD703" s="94"/>
      <c r="AE703" s="432"/>
    </row>
    <row r="704" spans="3:31" s="260" customFormat="1" ht="15.75" thickBot="1" x14ac:dyDescent="0.3"/>
    <row r="705" spans="3:31" s="260" customFormat="1" x14ac:dyDescent="0.25">
      <c r="M705" s="547" t="s">
        <v>348</v>
      </c>
      <c r="N705" s="548"/>
      <c r="O705" s="548"/>
      <c r="P705" s="548"/>
      <c r="Q705" s="548"/>
      <c r="R705" s="548"/>
      <c r="S705" s="548"/>
      <c r="T705" s="548"/>
      <c r="U705" s="548"/>
      <c r="V705" s="549"/>
      <c r="Y705" s="378"/>
      <c r="Z705" s="121"/>
      <c r="AA705" s="86"/>
      <c r="AB705" s="94"/>
      <c r="AC705" s="94"/>
      <c r="AD705" s="94"/>
      <c r="AE705" s="126" t="s">
        <v>133</v>
      </c>
    </row>
    <row r="706" spans="3:31" s="260" customFormat="1" x14ac:dyDescent="0.25">
      <c r="M706" s="515" t="s">
        <v>138</v>
      </c>
      <c r="N706" s="516"/>
      <c r="O706" s="516"/>
      <c r="P706" s="516"/>
      <c r="Q706" s="516"/>
      <c r="R706" s="516"/>
      <c r="S706" s="516"/>
      <c r="T706" s="437">
        <v>0</v>
      </c>
      <c r="U706" s="517">
        <f>+ROUND(U703*T706,$AA$5)</f>
        <v>0</v>
      </c>
      <c r="V706" s="518"/>
      <c r="Y706" s="390"/>
      <c r="Z706" s="438">
        <f>+Z703*T706</f>
        <v>0</v>
      </c>
      <c r="AA706" s="86"/>
      <c r="AB706" s="94"/>
      <c r="AC706" s="94"/>
      <c r="AD706" s="94"/>
      <c r="AE706" s="386" t="s">
        <v>133</v>
      </c>
    </row>
    <row r="707" spans="3:31" s="260" customFormat="1" x14ac:dyDescent="0.25">
      <c r="M707" s="515" t="s">
        <v>19</v>
      </c>
      <c r="N707" s="516"/>
      <c r="O707" s="516"/>
      <c r="P707" s="516"/>
      <c r="Q707" s="516"/>
      <c r="R707" s="516"/>
      <c r="S707" s="516"/>
      <c r="T707" s="437">
        <v>0.05</v>
      </c>
      <c r="U707" s="517">
        <f>+ROUND(U703*T707,$AA$5)</f>
        <v>1465.8</v>
      </c>
      <c r="V707" s="518"/>
      <c r="Y707" s="390"/>
      <c r="Z707" s="438">
        <f>+Z703*T707</f>
        <v>85969.131500000018</v>
      </c>
      <c r="AA707" s="86"/>
      <c r="AB707" s="94"/>
      <c r="AC707" s="94"/>
      <c r="AD707" s="94"/>
      <c r="AE707" s="386" t="s">
        <v>133</v>
      </c>
    </row>
    <row r="708" spans="3:31" s="260" customFormat="1" x14ac:dyDescent="0.25">
      <c r="M708" s="515" t="s">
        <v>20</v>
      </c>
      <c r="N708" s="516"/>
      <c r="O708" s="516"/>
      <c r="P708" s="516"/>
      <c r="Q708" s="516"/>
      <c r="R708" s="516"/>
      <c r="S708" s="516"/>
      <c r="T708" s="437">
        <v>0</v>
      </c>
      <c r="U708" s="517">
        <f>+ROUND(U703*T708,$AA$5)</f>
        <v>0</v>
      </c>
      <c r="V708" s="518"/>
      <c r="Y708" s="390"/>
      <c r="Z708" s="438">
        <f>+Z703*T708</f>
        <v>0</v>
      </c>
      <c r="AA708" s="86"/>
      <c r="AB708" s="94"/>
      <c r="AC708" s="94"/>
      <c r="AD708" s="94"/>
      <c r="AE708" s="386" t="s">
        <v>133</v>
      </c>
    </row>
    <row r="709" spans="3:31" s="260" customFormat="1" x14ac:dyDescent="0.25">
      <c r="M709" s="515" t="s">
        <v>21</v>
      </c>
      <c r="N709" s="516"/>
      <c r="O709" s="516"/>
      <c r="P709" s="516"/>
      <c r="Q709" s="516"/>
      <c r="R709" s="516"/>
      <c r="S709" s="516"/>
      <c r="T709" s="437">
        <f>$AA$9</f>
        <v>0</v>
      </c>
      <c r="U709" s="517">
        <f>+ROUND(U703*T709,$AA$5)</f>
        <v>0</v>
      </c>
      <c r="V709" s="518"/>
      <c r="Y709" s="390"/>
      <c r="Z709" s="438">
        <f>+Z708*T709</f>
        <v>0</v>
      </c>
      <c r="AA709" s="86"/>
      <c r="AB709" s="94"/>
      <c r="AC709" s="94"/>
      <c r="AD709" s="94"/>
      <c r="AE709" s="386" t="s">
        <v>133</v>
      </c>
    </row>
    <row r="710" spans="3:31" s="260" customFormat="1" ht="15.75" thickBot="1" x14ac:dyDescent="0.3">
      <c r="M710" s="519" t="s">
        <v>349</v>
      </c>
      <c r="N710" s="520"/>
      <c r="O710" s="520"/>
      <c r="P710" s="520"/>
      <c r="Q710" s="520"/>
      <c r="R710" s="520"/>
      <c r="S710" s="520"/>
      <c r="T710" s="520"/>
      <c r="U710" s="521">
        <f>+SUM(U706:V709)</f>
        <v>1465.8</v>
      </c>
      <c r="V710" s="522"/>
      <c r="Y710" s="390"/>
      <c r="Z710" s="439">
        <f>+SUM(Z706:Z709)</f>
        <v>85969.131500000018</v>
      </c>
      <c r="AA710" s="86"/>
      <c r="AB710" s="94"/>
      <c r="AC710" s="94"/>
      <c r="AD710" s="94"/>
      <c r="AE710" s="386" t="s">
        <v>133</v>
      </c>
    </row>
    <row r="711" spans="3:31" s="260" customFormat="1" ht="15.75" thickBot="1" x14ac:dyDescent="0.3">
      <c r="D711" s="375" t="s">
        <v>128</v>
      </c>
      <c r="E711" s="376" t="s">
        <v>129</v>
      </c>
      <c r="F711" s="376" t="s">
        <v>130</v>
      </c>
      <c r="G711" s="376" t="s">
        <v>131</v>
      </c>
      <c r="H711" s="376" t="s">
        <v>132</v>
      </c>
      <c r="I711" s="376" t="s">
        <v>133</v>
      </c>
      <c r="J711" s="377" t="s">
        <v>134</v>
      </c>
      <c r="M711" s="86"/>
      <c r="N711" s="94"/>
      <c r="O711" s="94"/>
      <c r="P711" s="94"/>
      <c r="Q711" s="86"/>
      <c r="R711" s="86"/>
      <c r="S711" s="86"/>
      <c r="T711" s="440"/>
      <c r="U711" s="523"/>
      <c r="V711" s="523"/>
      <c r="Y711" s="390"/>
      <c r="Z711" s="385"/>
      <c r="AA711" s="86"/>
      <c r="AB711" s="94"/>
      <c r="AC711" s="94"/>
      <c r="AD711" s="94"/>
      <c r="AE711" s="386" t="s">
        <v>133</v>
      </c>
    </row>
    <row r="712" spans="3:31" s="260" customFormat="1" ht="15.75" thickBot="1" x14ac:dyDescent="0.3">
      <c r="D712" s="355"/>
      <c r="E712" s="367"/>
      <c r="F712" s="367"/>
      <c r="G712" s="367"/>
      <c r="H712" s="412"/>
      <c r="I712" s="412">
        <f>H703</f>
        <v>2.04</v>
      </c>
      <c r="J712" s="422"/>
      <c r="M712" s="524" t="s">
        <v>11</v>
      </c>
      <c r="N712" s="525"/>
      <c r="O712" s="525"/>
      <c r="P712" s="525"/>
      <c r="Q712" s="525"/>
      <c r="R712" s="525"/>
      <c r="S712" s="525"/>
      <c r="T712" s="526"/>
      <c r="U712" s="527">
        <f>+U710+U703</f>
        <v>30781.780000000002</v>
      </c>
      <c r="V712" s="528"/>
      <c r="Y712" s="429"/>
      <c r="Z712" s="441">
        <f>+Z710+Z703</f>
        <v>1805351.7615</v>
      </c>
      <c r="AA712" s="86"/>
      <c r="AB712" s="94"/>
      <c r="AC712" s="94"/>
      <c r="AD712" s="94"/>
      <c r="AE712" s="405" t="s">
        <v>133</v>
      </c>
    </row>
    <row r="713" spans="3:31" s="260" customFormat="1" x14ac:dyDescent="0.25"/>
    <row r="714" spans="3:31" s="260" customFormat="1" ht="15.75" thickBot="1" x14ac:dyDescent="0.3"/>
    <row r="715" spans="3:31" s="260" customFormat="1" ht="15.75" thickBot="1" x14ac:dyDescent="0.3">
      <c r="M715" s="363" t="s">
        <v>88</v>
      </c>
      <c r="N715" s="436" t="str">
        <f>+N666</f>
        <v>CAP.2</v>
      </c>
      <c r="O715" s="550" t="str">
        <f>IFERROR(VLOOKUP(N715,PPTO!C:H,2,0),"----")</f>
        <v>RED HIDRAULICA</v>
      </c>
      <c r="P715" s="551"/>
      <c r="Q715" s="551"/>
      <c r="R715" s="551"/>
      <c r="S715" s="551"/>
      <c r="T715" s="551"/>
      <c r="U715" s="552"/>
      <c r="V715" s="74" t="s">
        <v>91</v>
      </c>
      <c r="Y715" s="365" t="s">
        <v>104</v>
      </c>
      <c r="Z715" s="94"/>
      <c r="AA715" s="188"/>
      <c r="AB715" s="553"/>
      <c r="AC715" s="553"/>
      <c r="AD715" s="553"/>
      <c r="AE715" s="94"/>
    </row>
    <row r="716" spans="3:31" s="260" customFormat="1" ht="15.75" thickBot="1" x14ac:dyDescent="0.3">
      <c r="C716" s="369">
        <f>+N716</f>
        <v>2.0499999999999998</v>
      </c>
      <c r="D716" s="86"/>
      <c r="E716" s="86"/>
      <c r="F716" s="86"/>
      <c r="G716" s="86"/>
      <c r="H716" s="86"/>
      <c r="I716" s="86"/>
      <c r="J716" s="86"/>
      <c r="K716" s="370"/>
      <c r="M716" s="75" t="s">
        <v>92</v>
      </c>
      <c r="N716" s="371">
        <f>+ROUNDUP(N667+0.01,2)</f>
        <v>2.0499999999999998</v>
      </c>
      <c r="O716" s="554" t="str">
        <f>IFERROR(VLOOKUP(N716,PPTO!C:H,2,0),"----")</f>
        <v>Tuberia PVC Ø1_1/2"</v>
      </c>
      <c r="P716" s="555"/>
      <c r="Q716" s="555"/>
      <c r="R716" s="555"/>
      <c r="S716" s="555"/>
      <c r="T716" s="555"/>
      <c r="U716" s="556"/>
      <c r="V716" s="76" t="str">
        <f>IFERROR(VLOOKUP(N716,PPTO!C:H,3,0),"----")</f>
        <v>ML</v>
      </c>
      <c r="Y716" s="373">
        <f>SUMIFS(PPTO!F:F,PPTO!C:C,APUS!N716)</f>
        <v>52</v>
      </c>
      <c r="Z716" s="94"/>
      <c r="AA716" s="86"/>
      <c r="AB716" s="94"/>
      <c r="AC716" s="94"/>
      <c r="AD716" s="94"/>
      <c r="AE716" s="94"/>
    </row>
    <row r="717" spans="3:31" s="260" customFormat="1" ht="15.75" thickBot="1" x14ac:dyDescent="0.3">
      <c r="C717" s="84"/>
      <c r="D717" s="86"/>
      <c r="E717" s="86"/>
      <c r="F717" s="86"/>
      <c r="G717" s="86"/>
      <c r="H717" s="86"/>
      <c r="I717" s="86"/>
      <c r="J717" s="86"/>
      <c r="K717" s="88"/>
      <c r="M717" s="557"/>
      <c r="N717" s="557"/>
      <c r="O717" s="557"/>
      <c r="P717" s="557"/>
      <c r="Q717" s="557"/>
      <c r="R717" s="557"/>
      <c r="S717" s="557"/>
      <c r="T717" s="557"/>
      <c r="U717" s="557"/>
      <c r="V717" s="557"/>
      <c r="Y717" s="374"/>
      <c r="Z717" s="94"/>
      <c r="AA717" s="86"/>
      <c r="AB717" s="94"/>
      <c r="AC717" s="94"/>
      <c r="AD717" s="94"/>
      <c r="AE717" s="94"/>
    </row>
    <row r="718" spans="3:31" s="260" customFormat="1" ht="15.75" thickBot="1" x14ac:dyDescent="0.3">
      <c r="C718" s="84"/>
      <c r="D718" s="375" t="s">
        <v>128</v>
      </c>
      <c r="E718" s="376" t="s">
        <v>129</v>
      </c>
      <c r="F718" s="376" t="s">
        <v>130</v>
      </c>
      <c r="G718" s="376" t="s">
        <v>131</v>
      </c>
      <c r="H718" s="376" t="s">
        <v>132</v>
      </c>
      <c r="I718" s="376" t="s">
        <v>133</v>
      </c>
      <c r="J718" s="377" t="s">
        <v>134</v>
      </c>
      <c r="K718" s="88"/>
      <c r="M718" s="558" t="s">
        <v>93</v>
      </c>
      <c r="N718" s="559"/>
      <c r="O718" s="559"/>
      <c r="P718" s="559"/>
      <c r="Q718" s="559"/>
      <c r="R718" s="559"/>
      <c r="S718" s="559"/>
      <c r="T718" s="559"/>
      <c r="U718" s="559"/>
      <c r="V718" s="560"/>
      <c r="Y718" s="378"/>
      <c r="Z718" s="121"/>
      <c r="AA718" s="86"/>
      <c r="AB718" s="513"/>
      <c r="AC718" s="514"/>
      <c r="AD718" s="94"/>
      <c r="AE718" s="379"/>
    </row>
    <row r="719" spans="3:31" s="260" customFormat="1" x14ac:dyDescent="0.25">
      <c r="C719" s="84"/>
      <c r="D719" s="380"/>
      <c r="E719" s="381"/>
      <c r="F719" s="381"/>
      <c r="G719" s="381"/>
      <c r="H719" s="381"/>
      <c r="I719" s="381"/>
      <c r="J719" s="382"/>
      <c r="K719" s="88"/>
      <c r="M719" s="99" t="s">
        <v>94</v>
      </c>
      <c r="N719" s="561" t="s">
        <v>95</v>
      </c>
      <c r="O719" s="561"/>
      <c r="P719" s="561"/>
      <c r="Q719" s="561"/>
      <c r="R719" s="95" t="s">
        <v>96</v>
      </c>
      <c r="S719" s="95" t="s">
        <v>97</v>
      </c>
      <c r="T719" s="562" t="s">
        <v>8</v>
      </c>
      <c r="U719" s="562"/>
      <c r="V719" s="100" t="s">
        <v>98</v>
      </c>
      <c r="Y719" s="383" t="s">
        <v>104</v>
      </c>
      <c r="Z719" s="119" t="s">
        <v>9</v>
      </c>
      <c r="AA719" s="86"/>
      <c r="AB719" s="384"/>
      <c r="AC719" s="385"/>
      <c r="AD719" s="94"/>
      <c r="AE719" s="386"/>
    </row>
    <row r="720" spans="3:31" s="260" customFormat="1" x14ac:dyDescent="0.25">
      <c r="C720" s="84"/>
      <c r="D720" s="85"/>
      <c r="E720" s="86"/>
      <c r="F720" s="86"/>
      <c r="G720" s="86"/>
      <c r="H720" s="86"/>
      <c r="I720" s="86"/>
      <c r="J720" s="87"/>
      <c r="K720" s="88"/>
      <c r="M720" s="102"/>
      <c r="N720" s="533" t="s">
        <v>99</v>
      </c>
      <c r="O720" s="533"/>
      <c r="P720" s="533"/>
      <c r="Q720" s="533"/>
      <c r="R720" s="78" t="s">
        <v>100</v>
      </c>
      <c r="S720" s="387">
        <f>+$AA$10</f>
        <v>0.05</v>
      </c>
      <c r="T720" s="563">
        <f>V750</f>
        <v>12690.35</v>
      </c>
      <c r="U720" s="563"/>
      <c r="V720" s="389">
        <f>+IFERROR(T720*S720,0)</f>
        <v>634.51750000000004</v>
      </c>
      <c r="Y720" s="390"/>
      <c r="Z720" s="391">
        <f>Y716*V720</f>
        <v>32994.910000000003</v>
      </c>
      <c r="AA720" s="86"/>
      <c r="AB720" s="384"/>
      <c r="AC720" s="385"/>
      <c r="AD720" s="94"/>
      <c r="AE720" s="386" t="str">
        <f>+IF(V720=0,"CERO","NO")</f>
        <v>NO</v>
      </c>
    </row>
    <row r="721" spans="3:31" s="260" customFormat="1" x14ac:dyDescent="0.25">
      <c r="C721" s="84"/>
      <c r="D721" s="85"/>
      <c r="E721" s="86"/>
      <c r="F721" s="86"/>
      <c r="G721" s="86"/>
      <c r="H721" s="86"/>
      <c r="I721" s="86"/>
      <c r="J721" s="87"/>
      <c r="K721" s="88"/>
      <c r="M721" s="106"/>
      <c r="N721" s="533" t="str">
        <f>IFERROR(VLOOKUP(M721,INSUMOS!$C$8:$K$928,2,0),"-----")</f>
        <v>-----</v>
      </c>
      <c r="O721" s="533"/>
      <c r="P721" s="533"/>
      <c r="Q721" s="533"/>
      <c r="R721" s="78" t="str">
        <f>IFERROR(VLOOKUP(M721,INSUMOS!$C$8:$K$928,6,0),"-----")</f>
        <v>-----</v>
      </c>
      <c r="S721" s="392"/>
      <c r="T721" s="529" t="str">
        <f>IFERROR(VLOOKUP(M721,INSUMOS!$C$8:$K$928,7,0),"0")</f>
        <v>0</v>
      </c>
      <c r="U721" s="529"/>
      <c r="V721" s="389">
        <f>+IFERROR(T721*S721,0)</f>
        <v>0</v>
      </c>
      <c r="Y721" s="393">
        <f>+IFERROR(Y716*S721,0)</f>
        <v>0</v>
      </c>
      <c r="Z721" s="391">
        <f>Y716*V721</f>
        <v>0</v>
      </c>
      <c r="AA721" s="394"/>
      <c r="AB721" s="395">
        <f>+Y721*T721</f>
        <v>0</v>
      </c>
      <c r="AC721" s="93">
        <f>+AB721-Z721</f>
        <v>0</v>
      </c>
      <c r="AD721" s="94"/>
      <c r="AE721" s="386" t="str">
        <f>+IF(V721=0,"CERO","NO")</f>
        <v>CERO</v>
      </c>
    </row>
    <row r="722" spans="3:31" s="260" customFormat="1" x14ac:dyDescent="0.25">
      <c r="C722" s="84"/>
      <c r="D722" s="85"/>
      <c r="E722" s="86"/>
      <c r="F722" s="86"/>
      <c r="G722" s="86"/>
      <c r="H722" s="86"/>
      <c r="I722" s="86"/>
      <c r="J722" s="87"/>
      <c r="K722" s="88"/>
      <c r="M722" s="102">
        <v>0</v>
      </c>
      <c r="N722" s="533"/>
      <c r="O722" s="533"/>
      <c r="P722" s="533"/>
      <c r="Q722" s="533"/>
      <c r="R722" s="78"/>
      <c r="S722" s="396"/>
      <c r="T722" s="529"/>
      <c r="U722" s="529"/>
      <c r="V722" s="397"/>
      <c r="Y722" s="393">
        <f>+IFERROR(Y716*S722,0)</f>
        <v>0</v>
      </c>
      <c r="Z722" s="391">
        <f>Y716*V722</f>
        <v>0</v>
      </c>
      <c r="AA722" s="394"/>
      <c r="AB722" s="395">
        <f>+Y722*T722</f>
        <v>0</v>
      </c>
      <c r="AC722" s="93">
        <f>+AB722-Z722</f>
        <v>0</v>
      </c>
      <c r="AD722" s="94"/>
      <c r="AE722" s="386" t="str">
        <f>+IF(V722=0,"CERO","NO")</f>
        <v>CERO</v>
      </c>
    </row>
    <row r="723" spans="3:31" s="260" customFormat="1" x14ac:dyDescent="0.25">
      <c r="C723" s="84"/>
      <c r="D723" s="85"/>
      <c r="E723" s="86"/>
      <c r="F723" s="86"/>
      <c r="G723" s="86"/>
      <c r="H723" s="86"/>
      <c r="I723" s="86"/>
      <c r="J723" s="87"/>
      <c r="K723" s="88"/>
      <c r="M723" s="102">
        <v>0</v>
      </c>
      <c r="N723" s="533"/>
      <c r="O723" s="533"/>
      <c r="P723" s="533"/>
      <c r="Q723" s="533"/>
      <c r="R723" s="78"/>
      <c r="S723" s="396"/>
      <c r="T723" s="529"/>
      <c r="U723" s="529"/>
      <c r="V723" s="397"/>
      <c r="Y723" s="393">
        <f>+IFERROR(Y716*S723,0)</f>
        <v>0</v>
      </c>
      <c r="Z723" s="391">
        <f>Y716*V723</f>
        <v>0</v>
      </c>
      <c r="AA723" s="394"/>
      <c r="AB723" s="395">
        <f>+Y723*T723</f>
        <v>0</v>
      </c>
      <c r="AC723" s="93">
        <f>+AB723-Z723</f>
        <v>0</v>
      </c>
      <c r="AD723" s="94"/>
      <c r="AE723" s="386" t="str">
        <f>+IF(V723=0,"CERO","NO")</f>
        <v>CERO</v>
      </c>
    </row>
    <row r="724" spans="3:31" s="260" customFormat="1" ht="15.75" thickBot="1" x14ac:dyDescent="0.3">
      <c r="C724" s="84"/>
      <c r="D724" s="85"/>
      <c r="E724" s="86"/>
      <c r="F724" s="86"/>
      <c r="G724" s="86"/>
      <c r="H724" s="86"/>
      <c r="I724" s="86"/>
      <c r="J724" s="87"/>
      <c r="K724" s="88"/>
      <c r="M724" s="102">
        <v>0</v>
      </c>
      <c r="N724" s="564"/>
      <c r="O724" s="564"/>
      <c r="P724" s="564"/>
      <c r="Q724" s="564"/>
      <c r="R724" s="96"/>
      <c r="S724" s="96"/>
      <c r="T724" s="565"/>
      <c r="U724" s="565"/>
      <c r="V724" s="101"/>
      <c r="Y724" s="393">
        <f>+IFERROR(Y716*S724,0)</f>
        <v>0</v>
      </c>
      <c r="Z724" s="391">
        <f>Y716*V724</f>
        <v>0</v>
      </c>
      <c r="AA724" s="394"/>
      <c r="AB724" s="395">
        <f>+Y724*T724</f>
        <v>0</v>
      </c>
      <c r="AC724" s="93">
        <f>+AB724-Z724</f>
        <v>0</v>
      </c>
      <c r="AD724" s="94"/>
      <c r="AE724" s="386" t="str">
        <f>+IF(V724=0,"CERO","NO")</f>
        <v>CERO</v>
      </c>
    </row>
    <row r="725" spans="3:31" s="260" customFormat="1" ht="15.75" thickBot="1" x14ac:dyDescent="0.3">
      <c r="C725" s="84"/>
      <c r="D725" s="375" t="s">
        <v>128</v>
      </c>
      <c r="E725" s="376" t="s">
        <v>129</v>
      </c>
      <c r="F725" s="376" t="s">
        <v>130</v>
      </c>
      <c r="G725" s="376" t="s">
        <v>131</v>
      </c>
      <c r="H725" s="376" t="s">
        <v>132</v>
      </c>
      <c r="I725" s="376" t="s">
        <v>133</v>
      </c>
      <c r="J725" s="377" t="s">
        <v>134</v>
      </c>
      <c r="K725" s="88"/>
      <c r="M725" s="534"/>
      <c r="N725" s="536" t="s">
        <v>101</v>
      </c>
      <c r="O725" s="536"/>
      <c r="P725" s="536"/>
      <c r="Q725" s="536"/>
      <c r="R725" s="536"/>
      <c r="S725" s="536"/>
      <c r="T725" s="536"/>
      <c r="U725" s="536"/>
      <c r="V725" s="389">
        <f>+SUM(V720:V724)</f>
        <v>634.51750000000004</v>
      </c>
      <c r="Y725" s="398" t="s">
        <v>135</v>
      </c>
      <c r="Z725" s="397">
        <f>+SUM(Z720:Z724)</f>
        <v>32994.910000000003</v>
      </c>
      <c r="AA725" s="86"/>
      <c r="AB725" s="384"/>
      <c r="AC725" s="385"/>
      <c r="AD725" s="94"/>
      <c r="AE725" s="399"/>
    </row>
    <row r="726" spans="3:31" s="260" customFormat="1" ht="15.75" thickBot="1" x14ac:dyDescent="0.3">
      <c r="C726" s="84"/>
      <c r="D726" s="375">
        <f>C716</f>
        <v>2.0499999999999998</v>
      </c>
      <c r="E726" s="376"/>
      <c r="F726" s="376"/>
      <c r="G726" s="376"/>
      <c r="H726" s="376"/>
      <c r="I726" s="376"/>
      <c r="J726" s="377"/>
      <c r="K726" s="88"/>
      <c r="M726" s="566"/>
      <c r="N726" s="567" t="s">
        <v>102</v>
      </c>
      <c r="O726" s="567"/>
      <c r="P726" s="567"/>
      <c r="Q726" s="567"/>
      <c r="R726" s="567"/>
      <c r="S726" s="567"/>
      <c r="T726" s="567"/>
      <c r="U726" s="567"/>
      <c r="V726" s="400">
        <f>+ROUND(V725,$AA$5)</f>
        <v>634.52</v>
      </c>
      <c r="Y726" s="401" t="s">
        <v>136</v>
      </c>
      <c r="Z726" s="402">
        <f>+ROUND(Z725,$AA$5)</f>
        <v>32994.910000000003</v>
      </c>
      <c r="AA726" s="86"/>
      <c r="AB726" s="403">
        <f>+V726*Y716</f>
        <v>32995.040000000001</v>
      </c>
      <c r="AC726" s="404">
        <f>+AB726-Z726</f>
        <v>0.12999999999738066</v>
      </c>
      <c r="AD726" s="94"/>
      <c r="AE726" s="405"/>
    </row>
    <row r="727" spans="3:31" s="260" customFormat="1" x14ac:dyDescent="0.25">
      <c r="C727" s="84"/>
      <c r="D727" s="380"/>
      <c r="E727" s="381"/>
      <c r="F727" s="381"/>
      <c r="G727" s="381"/>
      <c r="H727" s="381"/>
      <c r="I727" s="381"/>
      <c r="J727" s="382"/>
      <c r="K727" s="88"/>
      <c r="M727" s="510" t="s">
        <v>103</v>
      </c>
      <c r="N727" s="511"/>
      <c r="O727" s="511"/>
      <c r="P727" s="511"/>
      <c r="Q727" s="511"/>
      <c r="R727" s="511"/>
      <c r="S727" s="511"/>
      <c r="T727" s="511"/>
      <c r="U727" s="511"/>
      <c r="V727" s="512"/>
      <c r="Y727" s="378"/>
      <c r="Z727" s="121"/>
      <c r="AA727" s="86"/>
      <c r="AB727" s="513"/>
      <c r="AC727" s="514"/>
      <c r="AD727" s="94"/>
      <c r="AE727" s="126"/>
    </row>
    <row r="728" spans="3:31" s="260" customFormat="1" x14ac:dyDescent="0.25">
      <c r="C728" s="84"/>
      <c r="D728" s="85"/>
      <c r="E728" s="86"/>
      <c r="F728" s="86"/>
      <c r="G728" s="86"/>
      <c r="H728" s="86"/>
      <c r="I728" s="86"/>
      <c r="J728" s="87"/>
      <c r="K728" s="88"/>
      <c r="M728" s="99" t="s">
        <v>94</v>
      </c>
      <c r="N728" s="561" t="s">
        <v>95</v>
      </c>
      <c r="O728" s="561"/>
      <c r="P728" s="561"/>
      <c r="Q728" s="561"/>
      <c r="R728" s="95" t="s">
        <v>96</v>
      </c>
      <c r="S728" s="95" t="s">
        <v>104</v>
      </c>
      <c r="T728" s="356" t="s">
        <v>105</v>
      </c>
      <c r="U728" s="356" t="s">
        <v>8</v>
      </c>
      <c r="V728" s="100" t="s">
        <v>98</v>
      </c>
      <c r="Y728" s="383" t="s">
        <v>104</v>
      </c>
      <c r="Z728" s="119" t="s">
        <v>9</v>
      </c>
      <c r="AA728" s="86"/>
      <c r="AB728" s="384"/>
      <c r="AC728" s="385"/>
      <c r="AD728" s="94"/>
      <c r="AE728" s="406"/>
    </row>
    <row r="729" spans="3:31" s="260" customFormat="1" x14ac:dyDescent="0.25">
      <c r="C729" s="84"/>
      <c r="D729" s="85"/>
      <c r="E729" s="86"/>
      <c r="F729" s="86"/>
      <c r="G729" s="86"/>
      <c r="H729" s="86"/>
      <c r="I729" s="86"/>
      <c r="J729" s="87"/>
      <c r="K729" s="88"/>
      <c r="M729" s="102">
        <v>686</v>
      </c>
      <c r="N729" s="533" t="str">
        <f>IFERROR(VLOOKUP(M729,INSUMOS!$C$8:$K$928,2,0),"-----")</f>
        <v>TUBO PVC-P 1 1/2" RDE 21</v>
      </c>
      <c r="O729" s="533"/>
      <c r="P729" s="533"/>
      <c r="Q729" s="533"/>
      <c r="R729" s="78" t="str">
        <f>IFERROR(VLOOKUP(M729,INSUMOS!$C$8:$K$928,6,0),"-----")</f>
        <v>ml</v>
      </c>
      <c r="S729" s="396">
        <v>1</v>
      </c>
      <c r="T729" s="387">
        <v>0.02</v>
      </c>
      <c r="U729" s="388">
        <f>IFERROR(VLOOKUP(M729,INSUMOS!$C$8:$K$928,7,0),"0")</f>
        <v>15187.833333333334</v>
      </c>
      <c r="V729" s="389">
        <f>+IFERROR(U729*(S729*(1+T729)),0)</f>
        <v>15491.59</v>
      </c>
      <c r="Y729" s="393">
        <f>+IFERROR(Y716*(S729*(1+T729)),0)</f>
        <v>53.04</v>
      </c>
      <c r="Z729" s="391">
        <f>Y716*V729</f>
        <v>805562.68</v>
      </c>
      <c r="AA729" s="394"/>
      <c r="AB729" s="395">
        <f>+Y729*U729</f>
        <v>805562.68</v>
      </c>
      <c r="AC729" s="93">
        <f>+AB729-Z729</f>
        <v>0</v>
      </c>
      <c r="AD729" s="94"/>
      <c r="AE729" s="406" t="str">
        <f>+IF(V729=0,"CERO","NO")</f>
        <v>NO</v>
      </c>
    </row>
    <row r="730" spans="3:31" s="260" customFormat="1" x14ac:dyDescent="0.25">
      <c r="C730" s="84"/>
      <c r="D730" s="85"/>
      <c r="E730" s="86"/>
      <c r="F730" s="86"/>
      <c r="G730" s="86"/>
      <c r="H730" s="86"/>
      <c r="I730" s="86"/>
      <c r="J730" s="87"/>
      <c r="K730" s="88"/>
      <c r="M730" s="102">
        <v>699</v>
      </c>
      <c r="N730" s="533" t="str">
        <f>IFERROR(VLOOKUP(M730,INSUMOS!$C$8:$K$928,2,0),"-----")</f>
        <v>SOLDADURA PVC LIQUIDA 1/4"</v>
      </c>
      <c r="O730" s="533"/>
      <c r="P730" s="533"/>
      <c r="Q730" s="533"/>
      <c r="R730" s="78" t="str">
        <f>IFERROR(VLOOKUP(M730,INSUMOS!$C$8:$K$928,6,0),"-----")</f>
        <v>und</v>
      </c>
      <c r="S730" s="396">
        <v>0.02</v>
      </c>
      <c r="T730" s="387">
        <v>0.02</v>
      </c>
      <c r="U730" s="388">
        <f>IFERROR(VLOOKUP(M730,INSUMOS!$C$8:$K$928,7,0),"0")</f>
        <v>146569</v>
      </c>
      <c r="V730" s="389">
        <f>+IFERROR(U730*(S730*(1+T730)),0)</f>
        <v>2990.0076000000004</v>
      </c>
      <c r="Y730" s="393">
        <f>+IFERROR(Y716*(S730*(1+T730)),0)</f>
        <v>1.0608</v>
      </c>
      <c r="Z730" s="391">
        <f>Y716*V730</f>
        <v>155480.39520000003</v>
      </c>
      <c r="AA730" s="394"/>
      <c r="AB730" s="395">
        <f>+Y730*U730</f>
        <v>155480.3952</v>
      </c>
      <c r="AC730" s="93">
        <f>+AB730-Z730</f>
        <v>0</v>
      </c>
      <c r="AD730" s="94"/>
      <c r="AE730" s="406" t="str">
        <f>+IF(V730=0,"CERO","NO")</f>
        <v>NO</v>
      </c>
    </row>
    <row r="731" spans="3:31" s="260" customFormat="1" x14ac:dyDescent="0.25">
      <c r="C731" s="84"/>
      <c r="D731" s="85"/>
      <c r="E731" s="86"/>
      <c r="F731" s="86"/>
      <c r="G731" s="86"/>
      <c r="H731" s="86"/>
      <c r="I731" s="86"/>
      <c r="J731" s="87"/>
      <c r="K731" s="88"/>
      <c r="M731" s="102">
        <v>700</v>
      </c>
      <c r="N731" s="533" t="str">
        <f>IFERROR(VLOOKUP(M731,INSUMOS!$C$8:$K$928,2,0),"-----")</f>
        <v>LIMPIADOR PVC 1/4</v>
      </c>
      <c r="O731" s="533"/>
      <c r="P731" s="533"/>
      <c r="Q731" s="533"/>
      <c r="R731" s="78" t="str">
        <f>IFERROR(VLOOKUP(M731,INSUMOS!$C$8:$K$928,6,0),"-----")</f>
        <v>und</v>
      </c>
      <c r="S731" s="396">
        <v>0.02</v>
      </c>
      <c r="T731" s="387">
        <v>0.02</v>
      </c>
      <c r="U731" s="388">
        <f>IFERROR(VLOOKUP(M731,INSUMOS!$C$8:$K$928,7,0),"0")</f>
        <v>65913</v>
      </c>
      <c r="V731" s="389">
        <f>+IFERROR(U731*(S731*(1+T731)),0)</f>
        <v>1344.6252000000002</v>
      </c>
      <c r="Y731" s="393">
        <f>+IFERROR(Y716*(S731*(1+T731)),0)</f>
        <v>1.0608</v>
      </c>
      <c r="Z731" s="391">
        <f>Y716*V731</f>
        <v>69920.510400000014</v>
      </c>
      <c r="AA731" s="394"/>
      <c r="AB731" s="395">
        <f>+Y731*U731</f>
        <v>69920.510399999999</v>
      </c>
      <c r="AC731" s="93">
        <f>+AB731-Z731</f>
        <v>0</v>
      </c>
      <c r="AD731" s="94"/>
      <c r="AE731" s="406" t="str">
        <f>+IF(V731=0,"CERO","NO")</f>
        <v>NO</v>
      </c>
    </row>
    <row r="732" spans="3:31" s="260" customFormat="1" x14ac:dyDescent="0.25">
      <c r="C732" s="84"/>
      <c r="D732" s="85"/>
      <c r="E732" s="86"/>
      <c r="F732" s="86"/>
      <c r="G732" s="86"/>
      <c r="H732" s="86"/>
      <c r="I732" s="86"/>
      <c r="J732" s="87"/>
      <c r="K732" s="88"/>
      <c r="M732" s="102">
        <v>0</v>
      </c>
      <c r="N732" s="533" t="str">
        <f>IFERROR(VLOOKUP(M732,INSUMOS!$C$8:$K$928,2,0),"-----")</f>
        <v>-----</v>
      </c>
      <c r="O732" s="533"/>
      <c r="P732" s="533"/>
      <c r="Q732" s="533"/>
      <c r="R732" s="78" t="str">
        <f>IFERROR(VLOOKUP(M732,INSUMOS!$C$8:$K$928,6,0),"-----")</f>
        <v>-----</v>
      </c>
      <c r="S732" s="396"/>
      <c r="T732" s="387"/>
      <c r="U732" s="388" t="str">
        <f>IFERROR(VLOOKUP(M732,INSUMOS!$C$8:$K$928,7,0),"0")</f>
        <v>0</v>
      </c>
      <c r="V732" s="389">
        <f>+IFERROR(U732*(S732*(1+T732)),0)</f>
        <v>0</v>
      </c>
      <c r="Y732" s="393">
        <f>+IFERROR(Y716*(S732*(1+T732)),0)</f>
        <v>0</v>
      </c>
      <c r="Z732" s="391">
        <f>Y716*V732</f>
        <v>0</v>
      </c>
      <c r="AA732" s="394"/>
      <c r="AB732" s="395">
        <f>+Y732*U732</f>
        <v>0</v>
      </c>
      <c r="AC732" s="93">
        <f>+AB732-Z732</f>
        <v>0</v>
      </c>
      <c r="AD732" s="94"/>
      <c r="AE732" s="406" t="str">
        <f>+IF(V732=0,"CERO","NO")</f>
        <v>CERO</v>
      </c>
    </row>
    <row r="733" spans="3:31" s="260" customFormat="1" ht="15.75" thickBot="1" x14ac:dyDescent="0.3">
      <c r="C733" s="84"/>
      <c r="D733" s="85"/>
      <c r="E733" s="86"/>
      <c r="F733" s="86"/>
      <c r="G733" s="86"/>
      <c r="H733" s="86"/>
      <c r="I733" s="86"/>
      <c r="J733" s="87"/>
      <c r="K733" s="88"/>
      <c r="M733" s="102">
        <v>0</v>
      </c>
      <c r="N733" s="564"/>
      <c r="O733" s="564"/>
      <c r="P733" s="564"/>
      <c r="Q733" s="564"/>
      <c r="R733" s="96"/>
      <c r="S733" s="79"/>
      <c r="T733" s="97"/>
      <c r="U733" s="358"/>
      <c r="V733" s="397"/>
      <c r="Y733" s="393">
        <f>+IFERROR(Y716*(S733*(1+T733)),0)</f>
        <v>0</v>
      </c>
      <c r="Z733" s="391">
        <f>Y716*V733</f>
        <v>0</v>
      </c>
      <c r="AA733" s="394"/>
      <c r="AB733" s="395">
        <f>+Y733*U733</f>
        <v>0</v>
      </c>
      <c r="AC733" s="93">
        <f>+AB733-Z733</f>
        <v>0</v>
      </c>
      <c r="AD733" s="94"/>
      <c r="AE733" s="406" t="str">
        <f>+IF(V733=0,"CERO","NO")</f>
        <v>CERO</v>
      </c>
    </row>
    <row r="734" spans="3:31" s="260" customFormat="1" ht="15.75" thickBot="1" x14ac:dyDescent="0.3">
      <c r="C734" s="84"/>
      <c r="D734" s="375" t="s">
        <v>128</v>
      </c>
      <c r="E734" s="376" t="s">
        <v>129</v>
      </c>
      <c r="F734" s="376" t="s">
        <v>130</v>
      </c>
      <c r="G734" s="376" t="s">
        <v>131</v>
      </c>
      <c r="H734" s="376" t="s">
        <v>132</v>
      </c>
      <c r="I734" s="376" t="s">
        <v>133</v>
      </c>
      <c r="J734" s="377" t="s">
        <v>134</v>
      </c>
      <c r="K734" s="88"/>
      <c r="M734" s="534"/>
      <c r="N734" s="536" t="s">
        <v>106</v>
      </c>
      <c r="O734" s="536"/>
      <c r="P734" s="536"/>
      <c r="Q734" s="536"/>
      <c r="R734" s="536"/>
      <c r="S734" s="536"/>
      <c r="T734" s="536"/>
      <c r="U734" s="536"/>
      <c r="V734" s="389">
        <f>+SUM(V729:V733)</f>
        <v>19826.2228</v>
      </c>
      <c r="Y734" s="398" t="s">
        <v>135</v>
      </c>
      <c r="Z734" s="397">
        <f>+SUM(Z729:Z733)</f>
        <v>1030963.5856000001</v>
      </c>
      <c r="AA734" s="86"/>
      <c r="AB734" s="384"/>
      <c r="AC734" s="385"/>
      <c r="AD734" s="94"/>
      <c r="AE734" s="399"/>
    </row>
    <row r="735" spans="3:31" s="260" customFormat="1" ht="15.75" thickBot="1" x14ac:dyDescent="0.3">
      <c r="C735" s="84"/>
      <c r="D735" s="375"/>
      <c r="E735" s="407">
        <f>+D726</f>
        <v>2.0499999999999998</v>
      </c>
      <c r="F735" s="376"/>
      <c r="G735" s="376"/>
      <c r="H735" s="376"/>
      <c r="I735" s="376"/>
      <c r="J735" s="377"/>
      <c r="K735" s="88"/>
      <c r="M735" s="535"/>
      <c r="N735" s="537" t="s">
        <v>107</v>
      </c>
      <c r="O735" s="537"/>
      <c r="P735" s="537"/>
      <c r="Q735" s="537"/>
      <c r="R735" s="537"/>
      <c r="S735" s="537"/>
      <c r="T735" s="537"/>
      <c r="U735" s="537"/>
      <c r="V735" s="408">
        <f>+ROUND(V734,$AA$5)</f>
        <v>19826.22</v>
      </c>
      <c r="Y735" s="401" t="s">
        <v>136</v>
      </c>
      <c r="Z735" s="402">
        <f>+ROUND(Z734,$AA$5)</f>
        <v>1030963.59</v>
      </c>
      <c r="AA735" s="86"/>
      <c r="AB735" s="403">
        <f>+V735*Y716</f>
        <v>1030963.4400000001</v>
      </c>
      <c r="AC735" s="404">
        <f>+AB735-Z735</f>
        <v>-0.14999999990686774</v>
      </c>
      <c r="AD735" s="94"/>
      <c r="AE735" s="405"/>
    </row>
    <row r="736" spans="3:31" s="260" customFormat="1" x14ac:dyDescent="0.25">
      <c r="C736" s="84"/>
      <c r="D736" s="380"/>
      <c r="E736" s="381"/>
      <c r="F736" s="381"/>
      <c r="G736" s="381"/>
      <c r="H736" s="381"/>
      <c r="I736" s="381"/>
      <c r="J736" s="382"/>
      <c r="K736" s="88"/>
      <c r="M736" s="568" t="s">
        <v>108</v>
      </c>
      <c r="N736" s="569"/>
      <c r="O736" s="569"/>
      <c r="P736" s="569"/>
      <c r="Q736" s="569"/>
      <c r="R736" s="569"/>
      <c r="S736" s="569"/>
      <c r="T736" s="569"/>
      <c r="U736" s="569"/>
      <c r="V736" s="570"/>
      <c r="Y736" s="378"/>
      <c r="Z736" s="121"/>
      <c r="AA736" s="86"/>
      <c r="AB736" s="409"/>
      <c r="AC736" s="121"/>
      <c r="AD736" s="94"/>
      <c r="AE736" s="126"/>
    </row>
    <row r="737" spans="3:31" s="260" customFormat="1" ht="25.5" x14ac:dyDescent="0.25">
      <c r="C737" s="84"/>
      <c r="D737" s="85"/>
      <c r="E737" s="86"/>
      <c r="F737" s="86"/>
      <c r="G737" s="86"/>
      <c r="H737" s="86"/>
      <c r="I737" s="86"/>
      <c r="J737" s="87"/>
      <c r="K737" s="88"/>
      <c r="M737" s="99" t="s">
        <v>94</v>
      </c>
      <c r="N737" s="561" t="s">
        <v>95</v>
      </c>
      <c r="O737" s="561"/>
      <c r="P737" s="561"/>
      <c r="Q737" s="95" t="s">
        <v>109</v>
      </c>
      <c r="R737" s="95" t="s">
        <v>110</v>
      </c>
      <c r="S737" s="95" t="s">
        <v>111</v>
      </c>
      <c r="T737" s="562" t="s">
        <v>112</v>
      </c>
      <c r="U737" s="562"/>
      <c r="V737" s="100" t="s">
        <v>98</v>
      </c>
      <c r="Y737" s="383" t="s">
        <v>104</v>
      </c>
      <c r="Z737" s="119" t="s">
        <v>9</v>
      </c>
      <c r="AA737" s="86"/>
      <c r="AB737" s="384"/>
      <c r="AC737" s="385"/>
      <c r="AD737" s="94"/>
      <c r="AE737" s="410"/>
    </row>
    <row r="738" spans="3:31" s="260" customFormat="1" x14ac:dyDescent="0.25">
      <c r="C738" s="84"/>
      <c r="D738" s="85"/>
      <c r="E738" s="86"/>
      <c r="F738" s="86"/>
      <c r="G738" s="86"/>
      <c r="H738" s="86"/>
      <c r="I738" s="86"/>
      <c r="J738" s="87"/>
      <c r="K738" s="88"/>
      <c r="M738" s="102">
        <v>129</v>
      </c>
      <c r="N738" s="530" t="str">
        <f>IFERROR(VLOOKUP(M738,INSUMOS!$C$8:$K$928,2,0),"-----")</f>
        <v>transporte materiales en general</v>
      </c>
      <c r="O738" s="531"/>
      <c r="P738" s="532"/>
      <c r="Q738" s="78" t="str">
        <f>IFERROR(VLOOKUP(M738,INSUMOS!$C$8:$K$928,5,0),"-----")</f>
        <v>Km</v>
      </c>
      <c r="R738" s="80">
        <v>1</v>
      </c>
      <c r="S738" s="80">
        <f>IFERROR(VLOOKUP(M738,INSUMOS!$C$8:$K$928,6,0),"0")</f>
        <v>348</v>
      </c>
      <c r="T738" s="529">
        <f>IFERROR(VLOOKUP(M738,INSUMOS!$C$8:$K$928,7,0),"0")</f>
        <v>0.99776362060288992</v>
      </c>
      <c r="U738" s="529"/>
      <c r="V738" s="82">
        <f>+T738*S738*R738</f>
        <v>347.2217399698057</v>
      </c>
      <c r="Y738" s="393">
        <f>+IFERROR((R738*S738)*Y716,0)</f>
        <v>18096</v>
      </c>
      <c r="Z738" s="391">
        <f>Y716*V738</f>
        <v>18055.530478429897</v>
      </c>
      <c r="AA738" s="86"/>
      <c r="AB738" s="92">
        <f>+Y738*T738</f>
        <v>18055.530478429897</v>
      </c>
      <c r="AC738" s="93">
        <f>+AB738-Z738</f>
        <v>0</v>
      </c>
      <c r="AD738" s="94"/>
      <c r="AE738" s="406" t="str">
        <f>+IF(V738=0,"CERO","NO")</f>
        <v>NO</v>
      </c>
    </row>
    <row r="739" spans="3:31" s="260" customFormat="1" x14ac:dyDescent="0.25">
      <c r="C739" s="84"/>
      <c r="D739" s="85"/>
      <c r="E739" s="86"/>
      <c r="F739" s="86"/>
      <c r="G739" s="86"/>
      <c r="H739" s="86"/>
      <c r="I739" s="86"/>
      <c r="J739" s="87"/>
      <c r="K739" s="88"/>
      <c r="M739" s="102">
        <v>0</v>
      </c>
      <c r="N739" s="530" t="str">
        <f>IFERROR(VLOOKUP(M739,INSUMOS!$C$8:$K$928,2,0),"-----")</f>
        <v>-----</v>
      </c>
      <c r="O739" s="531"/>
      <c r="P739" s="532"/>
      <c r="Q739" s="78" t="str">
        <f>IFERROR(VLOOKUP(M739,INSUMOS!$C$8:$K$928,5,0),"-----")</f>
        <v>-----</v>
      </c>
      <c r="R739" s="80"/>
      <c r="S739" s="80" t="str">
        <f>IFERROR(VLOOKUP(M739,INSUMOS!$C$8:$K$928,6,0),"0")</f>
        <v>0</v>
      </c>
      <c r="T739" s="529" t="str">
        <f>IFERROR(VLOOKUP(M739,INSUMOS!$C$8:$K$928,7,0),"0")</f>
        <v>0</v>
      </c>
      <c r="U739" s="529"/>
      <c r="V739" s="82">
        <f>+T739*S739*R739</f>
        <v>0</v>
      </c>
      <c r="Y739" s="393">
        <f>+IFERROR((R739*S739)*Y716,0)</f>
        <v>0</v>
      </c>
      <c r="Z739" s="391">
        <f>Y716*V739</f>
        <v>0</v>
      </c>
      <c r="AA739" s="86"/>
      <c r="AB739" s="92">
        <f>+Y739*T739</f>
        <v>0</v>
      </c>
      <c r="AC739" s="93">
        <f>+AB739-Z739</f>
        <v>0</v>
      </c>
      <c r="AD739" s="94"/>
      <c r="AE739" s="406" t="str">
        <f>+IF(V739=0,"CERO","NO")</f>
        <v>CERO</v>
      </c>
    </row>
    <row r="740" spans="3:31" s="260" customFormat="1" x14ac:dyDescent="0.25">
      <c r="C740" s="84"/>
      <c r="D740" s="85"/>
      <c r="E740" s="86"/>
      <c r="F740" s="86"/>
      <c r="G740" s="86"/>
      <c r="H740" s="86"/>
      <c r="I740" s="86"/>
      <c r="J740" s="87"/>
      <c r="K740" s="88"/>
      <c r="M740" s="102">
        <v>0</v>
      </c>
      <c r="N740" s="530" t="str">
        <f>IFERROR(VLOOKUP(M740,INSUMOS!$C$8:$K$928,2,0),"-----")</f>
        <v>-----</v>
      </c>
      <c r="O740" s="531"/>
      <c r="P740" s="532"/>
      <c r="Q740" s="78" t="str">
        <f>IFERROR(VLOOKUP(M740,INSUMOS!$C$8:$K$928,5,0),"-----")</f>
        <v>-----</v>
      </c>
      <c r="R740" s="80"/>
      <c r="S740" s="80" t="str">
        <f>IFERROR(VLOOKUP(M740,INSUMOS!$C$8:$K$928,6,0),"0")</f>
        <v>0</v>
      </c>
      <c r="T740" s="529" t="str">
        <f>IFERROR(VLOOKUP(M740,INSUMOS!$C$8:$K$928,7,0),"0")</f>
        <v>0</v>
      </c>
      <c r="U740" s="529"/>
      <c r="V740" s="82">
        <f>+T740*S740*R740</f>
        <v>0</v>
      </c>
      <c r="Y740" s="393">
        <f>+IFERROR((R740*S740)*Y716,0)</f>
        <v>0</v>
      </c>
      <c r="Z740" s="391">
        <f>Y716*V740</f>
        <v>0</v>
      </c>
      <c r="AA740" s="86"/>
      <c r="AB740" s="92">
        <f>+Y740*T740</f>
        <v>0</v>
      </c>
      <c r="AC740" s="93">
        <f>+AB740-Z740</f>
        <v>0</v>
      </c>
      <c r="AD740" s="94"/>
      <c r="AE740" s="406" t="str">
        <f>+IF(V740=0,"CERO","NO")</f>
        <v>CERO</v>
      </c>
    </row>
    <row r="741" spans="3:31" s="260" customFormat="1" ht="15.75" thickBot="1" x14ac:dyDescent="0.3">
      <c r="C741" s="84"/>
      <c r="D741" s="89"/>
      <c r="E741" s="90"/>
      <c r="F741" s="90"/>
      <c r="G741" s="90"/>
      <c r="H741" s="90"/>
      <c r="I741" s="90"/>
      <c r="J741" s="91"/>
      <c r="K741" s="88"/>
      <c r="M741" s="102">
        <v>0</v>
      </c>
      <c r="N741" s="533"/>
      <c r="O741" s="533"/>
      <c r="P741" s="533"/>
      <c r="Q741" s="79"/>
      <c r="R741" s="78"/>
      <c r="S741" s="81"/>
      <c r="T741" s="529"/>
      <c r="U741" s="529"/>
      <c r="V741" s="82"/>
      <c r="Y741" s="393">
        <f>+IFERROR((R741*S741)*Y716,0)</f>
        <v>0</v>
      </c>
      <c r="Z741" s="391">
        <f>Y716*V741</f>
        <v>0</v>
      </c>
      <c r="AA741" s="86"/>
      <c r="AB741" s="92">
        <f>+Y741*T741</f>
        <v>0</v>
      </c>
      <c r="AC741" s="93">
        <f>+AB741-Z741</f>
        <v>0</v>
      </c>
      <c r="AD741" s="94"/>
      <c r="AE741" s="406" t="str">
        <f>+IF(V741=0,"CERO","NO")</f>
        <v>CERO</v>
      </c>
    </row>
    <row r="742" spans="3:31" s="260" customFormat="1" ht="15.75" thickBot="1" x14ac:dyDescent="0.3">
      <c r="C742" s="84"/>
      <c r="D742" s="375" t="s">
        <v>128</v>
      </c>
      <c r="E742" s="376" t="s">
        <v>129</v>
      </c>
      <c r="F742" s="376" t="s">
        <v>130</v>
      </c>
      <c r="G742" s="376" t="s">
        <v>131</v>
      </c>
      <c r="H742" s="376" t="s">
        <v>132</v>
      </c>
      <c r="I742" s="376" t="s">
        <v>133</v>
      </c>
      <c r="J742" s="377" t="s">
        <v>134</v>
      </c>
      <c r="K742" s="88"/>
      <c r="M742" s="534"/>
      <c r="N742" s="536" t="s">
        <v>113</v>
      </c>
      <c r="O742" s="536"/>
      <c r="P742" s="536"/>
      <c r="Q742" s="536"/>
      <c r="R742" s="536"/>
      <c r="S742" s="536"/>
      <c r="T742" s="536"/>
      <c r="U742" s="536"/>
      <c r="V742" s="411">
        <f>+SUM(V738:V741)</f>
        <v>347.2217399698057</v>
      </c>
      <c r="Y742" s="398" t="s">
        <v>135</v>
      </c>
      <c r="Z742" s="397">
        <f>+SUM(Z738:Z741)</f>
        <v>18055.530478429897</v>
      </c>
      <c r="AA742" s="86"/>
      <c r="AB742" s="384"/>
      <c r="AC742" s="385"/>
      <c r="AD742" s="94"/>
      <c r="AE742" s="399"/>
    </row>
    <row r="743" spans="3:31" s="260" customFormat="1" ht="15.75" thickBot="1" x14ac:dyDescent="0.3">
      <c r="C743" s="84"/>
      <c r="D743" s="355"/>
      <c r="E743" s="367"/>
      <c r="F743" s="412">
        <f>+E735</f>
        <v>2.0499999999999998</v>
      </c>
      <c r="G743" s="367"/>
      <c r="H743" s="367"/>
      <c r="I743" s="367"/>
      <c r="J743" s="368"/>
      <c r="K743" s="88"/>
      <c r="M743" s="535"/>
      <c r="N743" s="537" t="s">
        <v>114</v>
      </c>
      <c r="O743" s="537"/>
      <c r="P743" s="537"/>
      <c r="Q743" s="537"/>
      <c r="R743" s="537"/>
      <c r="S743" s="537"/>
      <c r="T743" s="537"/>
      <c r="U743" s="537"/>
      <c r="V743" s="413">
        <f>+ROUND(V742,$AA$5)</f>
        <v>347.22</v>
      </c>
      <c r="Y743" s="401" t="s">
        <v>136</v>
      </c>
      <c r="Z743" s="402">
        <f>+ROUND(Z742,$AA$5)</f>
        <v>18055.53</v>
      </c>
      <c r="AA743" s="86"/>
      <c r="AB743" s="403">
        <f>+V743*Y716</f>
        <v>18055.440000000002</v>
      </c>
      <c r="AC743" s="414"/>
      <c r="AD743" s="94"/>
      <c r="AE743" s="405"/>
    </row>
    <row r="744" spans="3:31" s="260" customFormat="1" ht="15.75" thickBot="1" x14ac:dyDescent="0.3">
      <c r="C744" s="84"/>
      <c r="D744" s="415"/>
      <c r="E744" s="416"/>
      <c r="F744" s="416"/>
      <c r="G744" s="416"/>
      <c r="H744" s="416"/>
      <c r="I744" s="416"/>
      <c r="J744" s="417"/>
      <c r="K744" s="88"/>
      <c r="M744" s="538" t="s">
        <v>115</v>
      </c>
      <c r="N744" s="539"/>
      <c r="O744" s="539"/>
      <c r="P744" s="539"/>
      <c r="Q744" s="539"/>
      <c r="R744" s="539"/>
      <c r="S744" s="539"/>
      <c r="T744" s="539"/>
      <c r="U744" s="539"/>
      <c r="V744" s="540"/>
      <c r="Y744" s="378"/>
      <c r="Z744" s="121"/>
      <c r="AA744" s="86"/>
      <c r="AB744" s="409"/>
      <c r="AC744" s="121"/>
      <c r="AD744" s="94"/>
      <c r="AE744" s="126"/>
    </row>
    <row r="745" spans="3:31" s="260" customFormat="1" ht="15.75" thickBot="1" x14ac:dyDescent="0.3">
      <c r="C745" s="84"/>
      <c r="D745" s="375" t="s">
        <v>128</v>
      </c>
      <c r="E745" s="376" t="s">
        <v>129</v>
      </c>
      <c r="F745" s="376" t="s">
        <v>130</v>
      </c>
      <c r="G745" s="376" t="s">
        <v>131</v>
      </c>
      <c r="H745" s="376" t="s">
        <v>132</v>
      </c>
      <c r="I745" s="376" t="s">
        <v>133</v>
      </c>
      <c r="J745" s="377" t="s">
        <v>134</v>
      </c>
      <c r="K745" s="88"/>
      <c r="M745" s="99" t="s">
        <v>94</v>
      </c>
      <c r="N745" s="98" t="s">
        <v>95</v>
      </c>
      <c r="O745" s="95" t="s">
        <v>96</v>
      </c>
      <c r="P745" s="359" t="s">
        <v>104</v>
      </c>
      <c r="Q745" s="95" t="s">
        <v>116</v>
      </c>
      <c r="R745" s="418" t="s">
        <v>117</v>
      </c>
      <c r="S745" s="95" t="s">
        <v>347</v>
      </c>
      <c r="T745" s="419" t="s">
        <v>118</v>
      </c>
      <c r="U745" s="189" t="s">
        <v>119</v>
      </c>
      <c r="V745" s="100" t="s">
        <v>98</v>
      </c>
      <c r="Y745" s="383" t="s">
        <v>104</v>
      </c>
      <c r="Z745" s="119" t="s">
        <v>9</v>
      </c>
      <c r="AA745" s="86"/>
      <c r="AB745" s="384"/>
      <c r="AC745" s="385"/>
      <c r="AD745" s="94"/>
      <c r="AE745" s="410"/>
    </row>
    <row r="746" spans="3:31" s="260" customFormat="1" ht="25.5" x14ac:dyDescent="0.25">
      <c r="C746" s="84"/>
      <c r="D746" s="354"/>
      <c r="E746" s="96"/>
      <c r="F746" s="96"/>
      <c r="G746" s="96"/>
      <c r="H746" s="96"/>
      <c r="I746" s="96"/>
      <c r="J746" s="420">
        <f>+F743</f>
        <v>2.0499999999999998</v>
      </c>
      <c r="K746" s="88"/>
      <c r="M746" s="102">
        <v>207</v>
      </c>
      <c r="N746" s="347" t="str">
        <f>IFERROR(VLOOKUP(M746,INSUMOS!$C$8:$K$928,2,0),"-----")</f>
        <v>Oficial Hidrosanitario</v>
      </c>
      <c r="O746" s="78" t="str">
        <f>IFERROR(VLOOKUP(M746,INSUMOS!$C$8:$K$928,3,0),"-----")</f>
        <v>JORNAL+PS</v>
      </c>
      <c r="P746" s="80">
        <v>1</v>
      </c>
      <c r="Q746" s="79">
        <v>23</v>
      </c>
      <c r="R746" s="190">
        <f>IFERROR(VLOOKUP(M746,INSUMOS!$C$8:$K$928,4,0),"-----")</f>
        <v>92983</v>
      </c>
      <c r="S746" s="190">
        <f>IFERROR(VLOOKUP(M746,INSUMOS!$C$8:$K$928,6,0),"-----")</f>
        <v>74386</v>
      </c>
      <c r="T746" s="190">
        <f>IFERROR(VLOOKUP(M746,INSUMOS!$C$8:$K$928,5,0),"-----")</f>
        <v>0</v>
      </c>
      <c r="U746" s="388">
        <f>SUM(R746:T746)</f>
        <v>167369</v>
      </c>
      <c r="V746" s="82">
        <f>+IFERROR((P746/Q746)*U746,0)</f>
        <v>7276.913043478261</v>
      </c>
      <c r="Y746" s="393">
        <f>+IFERROR((Y716/Q746*P746),0)</f>
        <v>2.2608695652173911</v>
      </c>
      <c r="Z746" s="391">
        <f>Y716*V746</f>
        <v>378399.47826086957</v>
      </c>
      <c r="AA746" s="86"/>
      <c r="AB746" s="92">
        <f>+(U746)*Y746</f>
        <v>378399.47826086951</v>
      </c>
      <c r="AC746" s="93">
        <f>+AB746-Z746</f>
        <v>0</v>
      </c>
      <c r="AD746" s="421"/>
      <c r="AE746" s="410" t="str">
        <f>+IF(V746=0,"CERO","NO")</f>
        <v>NO</v>
      </c>
    </row>
    <row r="747" spans="3:31" s="260" customFormat="1" ht="26.25" thickBot="1" x14ac:dyDescent="0.3">
      <c r="C747" s="84"/>
      <c r="D747" s="355"/>
      <c r="E747" s="367"/>
      <c r="F747" s="367"/>
      <c r="G747" s="367"/>
      <c r="H747" s="367"/>
      <c r="I747" s="367"/>
      <c r="J747" s="422">
        <f>+J746</f>
        <v>2.0499999999999998</v>
      </c>
      <c r="K747" s="88"/>
      <c r="M747" s="102">
        <v>208</v>
      </c>
      <c r="N747" s="347" t="str">
        <f>IFERROR(VLOOKUP(M747,INSUMOS!$C$8:$K$928,2,0),"-----")</f>
        <v>Ayudante Hidrosanitario</v>
      </c>
      <c r="O747" s="78" t="str">
        <f>IFERROR(VLOOKUP(M747,INSUMOS!$C$8:$K$928,3,0),"-----")</f>
        <v>JORNAL+PS</v>
      </c>
      <c r="P747" s="80">
        <v>1</v>
      </c>
      <c r="Q747" s="79">
        <v>23</v>
      </c>
      <c r="R747" s="190">
        <f>IFERROR(VLOOKUP(M747,INSUMOS!$C$8:$K$928,4,0),"-----")</f>
        <v>69172</v>
      </c>
      <c r="S747" s="190">
        <f>IFERROR(VLOOKUP(M747,INSUMOS!$C$8:$K$928,6,0),"-----")</f>
        <v>55337</v>
      </c>
      <c r="T747" s="190">
        <f>IFERROR(VLOOKUP(M747,INSUMOS!$C$8:$K$928,5,0),"-----")</f>
        <v>0</v>
      </c>
      <c r="U747" s="388">
        <f>SUM(R747:T747)</f>
        <v>124509</v>
      </c>
      <c r="V747" s="82">
        <f>+IFERROR((P747/Q747)*U747,0)</f>
        <v>5413.4347826086951</v>
      </c>
      <c r="Y747" s="393">
        <f>+IFERROR((Y716/Q747*P747),0)</f>
        <v>2.2608695652173911</v>
      </c>
      <c r="Z747" s="391">
        <f>Y716*V747</f>
        <v>281498.60869565216</v>
      </c>
      <c r="AA747" s="86"/>
      <c r="AB747" s="92">
        <f>+U747*Y747</f>
        <v>281498.60869565216</v>
      </c>
      <c r="AC747" s="93">
        <f>+AB747-Z747</f>
        <v>0</v>
      </c>
      <c r="AD747" s="94"/>
      <c r="AE747" s="410" t="str">
        <f>+IF(V747=0,"CERO","NO")</f>
        <v>NO</v>
      </c>
    </row>
    <row r="748" spans="3:31" s="260" customFormat="1" ht="15.75" thickBot="1" x14ac:dyDescent="0.3">
      <c r="C748" s="84"/>
      <c r="D748" s="380"/>
      <c r="E748" s="381"/>
      <c r="F748" s="381"/>
      <c r="G748" s="381"/>
      <c r="H748" s="381"/>
      <c r="I748" s="381"/>
      <c r="J748" s="382"/>
      <c r="K748" s="88"/>
      <c r="M748" s="102">
        <v>0</v>
      </c>
      <c r="N748" s="347"/>
      <c r="O748" s="79"/>
      <c r="P748" s="423"/>
      <c r="Q748" s="81"/>
      <c r="R748" s="111"/>
      <c r="S748" s="357"/>
      <c r="T748" s="111"/>
      <c r="U748" s="388"/>
      <c r="V748" s="426"/>
      <c r="Y748" s="393">
        <f>+IFERROR((Y716/Q748*P748),0)</f>
        <v>0</v>
      </c>
      <c r="Z748" s="391">
        <f>Y716*V748</f>
        <v>0</v>
      </c>
      <c r="AA748" s="86"/>
      <c r="AB748" s="92">
        <f>+(U748)*Y748*P748</f>
        <v>0</v>
      </c>
      <c r="AC748" s="93">
        <f>+AB748-Z748</f>
        <v>0</v>
      </c>
      <c r="AD748" s="94"/>
      <c r="AE748" s="410" t="str">
        <f>+IF(V748=0,"CERO","NO")</f>
        <v>CERO</v>
      </c>
    </row>
    <row r="749" spans="3:31" s="260" customFormat="1" ht="15.75" thickBot="1" x14ac:dyDescent="0.3">
      <c r="C749" s="84"/>
      <c r="D749" s="375" t="s">
        <v>128</v>
      </c>
      <c r="E749" s="376" t="s">
        <v>129</v>
      </c>
      <c r="F749" s="376" t="s">
        <v>130</v>
      </c>
      <c r="G749" s="376" t="s">
        <v>131</v>
      </c>
      <c r="H749" s="376" t="s">
        <v>132</v>
      </c>
      <c r="I749" s="376" t="s">
        <v>133</v>
      </c>
      <c r="J749" s="377" t="s">
        <v>134</v>
      </c>
      <c r="K749" s="88"/>
      <c r="M749" s="534"/>
      <c r="N749" s="536" t="s">
        <v>120</v>
      </c>
      <c r="O749" s="536"/>
      <c r="P749" s="536"/>
      <c r="Q749" s="536"/>
      <c r="R749" s="536"/>
      <c r="S749" s="536"/>
      <c r="T749" s="536"/>
      <c r="U749" s="536"/>
      <c r="V749" s="82">
        <f>+SUM(V746:V748)</f>
        <v>12690.347826086956</v>
      </c>
      <c r="Y749" s="398" t="s">
        <v>135</v>
      </c>
      <c r="Z749" s="397">
        <f>+SUM(Z746:Z748)</f>
        <v>659898.08695652173</v>
      </c>
      <c r="AA749" s="86"/>
      <c r="AB749" s="384"/>
      <c r="AC749" s="385"/>
      <c r="AD749" s="94"/>
      <c r="AE749" s="399"/>
    </row>
    <row r="750" spans="3:31" s="260" customFormat="1" ht="15.75" thickBot="1" x14ac:dyDescent="0.3">
      <c r="C750" s="84"/>
      <c r="D750" s="354"/>
      <c r="E750" s="96"/>
      <c r="F750" s="96"/>
      <c r="G750" s="107">
        <f>+F743</f>
        <v>2.0499999999999998</v>
      </c>
      <c r="H750" s="96"/>
      <c r="I750" s="96"/>
      <c r="J750" s="427"/>
      <c r="K750" s="88"/>
      <c r="M750" s="535"/>
      <c r="N750" s="537" t="s">
        <v>121</v>
      </c>
      <c r="O750" s="537"/>
      <c r="P750" s="537"/>
      <c r="Q750" s="537"/>
      <c r="R750" s="537"/>
      <c r="S750" s="537"/>
      <c r="T750" s="537"/>
      <c r="U750" s="537"/>
      <c r="V750" s="413">
        <f>+ROUND(V749,$AA$5)</f>
        <v>12690.35</v>
      </c>
      <c r="Y750" s="401" t="s">
        <v>136</v>
      </c>
      <c r="Z750" s="402">
        <f>+ROUND(Z749,$AA$5)</f>
        <v>659898.09</v>
      </c>
      <c r="AA750" s="86"/>
      <c r="AB750" s="403">
        <f>+V750*Y716</f>
        <v>659898.20000000007</v>
      </c>
      <c r="AC750" s="404">
        <f>+AB750-Z750</f>
        <v>0.11000000010244548</v>
      </c>
      <c r="AD750" s="94"/>
      <c r="AE750" s="405"/>
    </row>
    <row r="751" spans="3:31" s="260" customFormat="1" ht="15.75" thickBot="1" x14ac:dyDescent="0.3">
      <c r="C751" s="84"/>
      <c r="D751" s="375" t="s">
        <v>128</v>
      </c>
      <c r="E751" s="376" t="s">
        <v>129</v>
      </c>
      <c r="F751" s="376" t="s">
        <v>130</v>
      </c>
      <c r="G751" s="376" t="s">
        <v>131</v>
      </c>
      <c r="H751" s="376" t="s">
        <v>132</v>
      </c>
      <c r="I751" s="376" t="s">
        <v>133</v>
      </c>
      <c r="J751" s="377" t="s">
        <v>134</v>
      </c>
      <c r="K751" s="88"/>
      <c r="M751" s="541"/>
      <c r="N751" s="542"/>
      <c r="O751" s="542"/>
      <c r="P751" s="542"/>
      <c r="Q751" s="542"/>
      <c r="R751" s="542"/>
      <c r="S751" s="542"/>
      <c r="T751" s="542"/>
      <c r="U751" s="542"/>
      <c r="V751" s="543"/>
      <c r="Y751" s="378"/>
      <c r="Z751" s="121"/>
      <c r="AA751" s="86"/>
      <c r="AB751" s="409"/>
      <c r="AC751" s="121"/>
      <c r="AD751" s="94"/>
      <c r="AE751" s="428"/>
    </row>
    <row r="752" spans="3:31" s="260" customFormat="1" ht="15.75" thickBot="1" x14ac:dyDescent="0.3">
      <c r="C752" s="84"/>
      <c r="D752" s="355"/>
      <c r="E752" s="367"/>
      <c r="F752" s="367"/>
      <c r="G752" s="367"/>
      <c r="H752" s="412">
        <f>G750</f>
        <v>2.0499999999999998</v>
      </c>
      <c r="I752" s="412"/>
      <c r="J752" s="422"/>
      <c r="K752" s="88"/>
      <c r="M752" s="544" t="s">
        <v>122</v>
      </c>
      <c r="N752" s="537"/>
      <c r="O752" s="537"/>
      <c r="P752" s="537"/>
      <c r="Q752" s="537"/>
      <c r="R752" s="537"/>
      <c r="S752" s="537"/>
      <c r="T752" s="537"/>
      <c r="U752" s="545">
        <f>+V750+V743+V735+V726</f>
        <v>33498.31</v>
      </c>
      <c r="V752" s="546"/>
      <c r="Y752" s="429"/>
      <c r="Z752" s="430">
        <f>+Z750+Z743+Z735+Z726</f>
        <v>1741912.1199999999</v>
      </c>
      <c r="AA752" s="86"/>
      <c r="AB752" s="431">
        <f>+AB750+AB743+AB735+AB726</f>
        <v>1741912.12</v>
      </c>
      <c r="AC752" s="404">
        <f>+AB752-Z752</f>
        <v>0</v>
      </c>
      <c r="AD752" s="94"/>
      <c r="AE752" s="432"/>
    </row>
    <row r="753" spans="3:31" s="260" customFormat="1" ht="15.75" thickBot="1" x14ac:dyDescent="0.3"/>
    <row r="754" spans="3:31" s="260" customFormat="1" x14ac:dyDescent="0.25">
      <c r="M754" s="547" t="s">
        <v>348</v>
      </c>
      <c r="N754" s="548"/>
      <c r="O754" s="548"/>
      <c r="P754" s="548"/>
      <c r="Q754" s="548"/>
      <c r="R754" s="548"/>
      <c r="S754" s="548"/>
      <c r="T754" s="548"/>
      <c r="U754" s="548"/>
      <c r="V754" s="549"/>
      <c r="Y754" s="378"/>
      <c r="Z754" s="121"/>
      <c r="AA754" s="86"/>
      <c r="AB754" s="94"/>
      <c r="AC754" s="94"/>
      <c r="AD754" s="94"/>
      <c r="AE754" s="126" t="s">
        <v>133</v>
      </c>
    </row>
    <row r="755" spans="3:31" s="260" customFormat="1" x14ac:dyDescent="0.25">
      <c r="M755" s="515" t="s">
        <v>138</v>
      </c>
      <c r="N755" s="516"/>
      <c r="O755" s="516"/>
      <c r="P755" s="516"/>
      <c r="Q755" s="516"/>
      <c r="R755" s="516"/>
      <c r="S755" s="516"/>
      <c r="T755" s="437">
        <v>0</v>
      </c>
      <c r="U755" s="517">
        <f>+ROUND(U752*T755,$AA$5)</f>
        <v>0</v>
      </c>
      <c r="V755" s="518"/>
      <c r="Y755" s="390"/>
      <c r="Z755" s="438">
        <f>+Z752*T755</f>
        <v>0</v>
      </c>
      <c r="AA755" s="86"/>
      <c r="AB755" s="94"/>
      <c r="AC755" s="94"/>
      <c r="AD755" s="94"/>
      <c r="AE755" s="386" t="s">
        <v>133</v>
      </c>
    </row>
    <row r="756" spans="3:31" s="260" customFormat="1" x14ac:dyDescent="0.25">
      <c r="M756" s="515" t="s">
        <v>19</v>
      </c>
      <c r="N756" s="516"/>
      <c r="O756" s="516"/>
      <c r="P756" s="516"/>
      <c r="Q756" s="516"/>
      <c r="R756" s="516"/>
      <c r="S756" s="516"/>
      <c r="T756" s="437">
        <v>0.05</v>
      </c>
      <c r="U756" s="517">
        <f>+ROUND(U752*T756,$AA$5)</f>
        <v>1674.92</v>
      </c>
      <c r="V756" s="518"/>
      <c r="Y756" s="390"/>
      <c r="Z756" s="438">
        <f>+Z752*T756</f>
        <v>87095.606</v>
      </c>
      <c r="AA756" s="86"/>
      <c r="AB756" s="94"/>
      <c r="AC756" s="94"/>
      <c r="AD756" s="94"/>
      <c r="AE756" s="386" t="s">
        <v>133</v>
      </c>
    </row>
    <row r="757" spans="3:31" s="260" customFormat="1" x14ac:dyDescent="0.25">
      <c r="M757" s="515" t="s">
        <v>20</v>
      </c>
      <c r="N757" s="516"/>
      <c r="O757" s="516"/>
      <c r="P757" s="516"/>
      <c r="Q757" s="516"/>
      <c r="R757" s="516"/>
      <c r="S757" s="516"/>
      <c r="T757" s="437">
        <v>0</v>
      </c>
      <c r="U757" s="517">
        <f>+ROUND(U752*T757,$AA$5)</f>
        <v>0</v>
      </c>
      <c r="V757" s="518"/>
      <c r="Y757" s="390"/>
      <c r="Z757" s="438">
        <f>+Z752*T757</f>
        <v>0</v>
      </c>
      <c r="AA757" s="86"/>
      <c r="AB757" s="94"/>
      <c r="AC757" s="94"/>
      <c r="AD757" s="94"/>
      <c r="AE757" s="386" t="s">
        <v>133</v>
      </c>
    </row>
    <row r="758" spans="3:31" s="260" customFormat="1" x14ac:dyDescent="0.25">
      <c r="M758" s="515" t="s">
        <v>21</v>
      </c>
      <c r="N758" s="516"/>
      <c r="O758" s="516"/>
      <c r="P758" s="516"/>
      <c r="Q758" s="516"/>
      <c r="R758" s="516"/>
      <c r="S758" s="516"/>
      <c r="T758" s="437">
        <f>$AA$9</f>
        <v>0</v>
      </c>
      <c r="U758" s="517">
        <f>+ROUND(U752*T758,$AA$5)</f>
        <v>0</v>
      </c>
      <c r="V758" s="518"/>
      <c r="Y758" s="390"/>
      <c r="Z758" s="438">
        <f>+Z757*T758</f>
        <v>0</v>
      </c>
      <c r="AA758" s="86"/>
      <c r="AB758" s="94"/>
      <c r="AC758" s="94"/>
      <c r="AD758" s="94"/>
      <c r="AE758" s="386" t="s">
        <v>133</v>
      </c>
    </row>
    <row r="759" spans="3:31" s="260" customFormat="1" ht="15.75" thickBot="1" x14ac:dyDescent="0.3">
      <c r="M759" s="519" t="s">
        <v>349</v>
      </c>
      <c r="N759" s="520"/>
      <c r="O759" s="520"/>
      <c r="P759" s="520"/>
      <c r="Q759" s="520"/>
      <c r="R759" s="520"/>
      <c r="S759" s="520"/>
      <c r="T759" s="520"/>
      <c r="U759" s="521">
        <f>+SUM(U755:V758)</f>
        <v>1674.92</v>
      </c>
      <c r="V759" s="522"/>
      <c r="Y759" s="390"/>
      <c r="Z759" s="439">
        <f>+SUM(Z755:Z758)</f>
        <v>87095.606</v>
      </c>
      <c r="AA759" s="86"/>
      <c r="AB759" s="94"/>
      <c r="AC759" s="94"/>
      <c r="AD759" s="94"/>
      <c r="AE759" s="386" t="s">
        <v>133</v>
      </c>
    </row>
    <row r="760" spans="3:31" s="260" customFormat="1" ht="15.75" thickBot="1" x14ac:dyDescent="0.3">
      <c r="D760" s="375" t="s">
        <v>128</v>
      </c>
      <c r="E760" s="376" t="s">
        <v>129</v>
      </c>
      <c r="F760" s="376" t="s">
        <v>130</v>
      </c>
      <c r="G760" s="376" t="s">
        <v>131</v>
      </c>
      <c r="H760" s="376" t="s">
        <v>132</v>
      </c>
      <c r="I760" s="376" t="s">
        <v>133</v>
      </c>
      <c r="J760" s="377" t="s">
        <v>134</v>
      </c>
      <c r="M760" s="86"/>
      <c r="N760" s="94"/>
      <c r="O760" s="94"/>
      <c r="P760" s="94"/>
      <c r="Q760" s="86"/>
      <c r="R760" s="86"/>
      <c r="S760" s="86"/>
      <c r="T760" s="440"/>
      <c r="U760" s="523"/>
      <c r="V760" s="523"/>
      <c r="Y760" s="390"/>
      <c r="Z760" s="385"/>
      <c r="AA760" s="86"/>
      <c r="AB760" s="94"/>
      <c r="AC760" s="94"/>
      <c r="AD760" s="94"/>
      <c r="AE760" s="386" t="s">
        <v>133</v>
      </c>
    </row>
    <row r="761" spans="3:31" s="260" customFormat="1" ht="15.75" thickBot="1" x14ac:dyDescent="0.3">
      <c r="D761" s="355"/>
      <c r="E761" s="367"/>
      <c r="F761" s="367"/>
      <c r="G761" s="367"/>
      <c r="H761" s="412"/>
      <c r="I761" s="412">
        <f>H752</f>
        <v>2.0499999999999998</v>
      </c>
      <c r="J761" s="422"/>
      <c r="M761" s="524" t="s">
        <v>11</v>
      </c>
      <c r="N761" s="525"/>
      <c r="O761" s="525"/>
      <c r="P761" s="525"/>
      <c r="Q761" s="525"/>
      <c r="R761" s="525"/>
      <c r="S761" s="525"/>
      <c r="T761" s="526"/>
      <c r="U761" s="527">
        <f>+U759+U752</f>
        <v>35173.229999999996</v>
      </c>
      <c r="V761" s="528"/>
      <c r="Y761" s="429"/>
      <c r="Z761" s="441">
        <f>+Z759+Z752</f>
        <v>1829007.7259999998</v>
      </c>
      <c r="AA761" s="86"/>
      <c r="AB761" s="94"/>
      <c r="AC761" s="94"/>
      <c r="AD761" s="94"/>
      <c r="AE761" s="405" t="s">
        <v>133</v>
      </c>
    </row>
    <row r="762" spans="3:31" s="260" customFormat="1" x14ac:dyDescent="0.25"/>
    <row r="763" spans="3:31" s="260" customFormat="1" ht="15.75" thickBot="1" x14ac:dyDescent="0.3"/>
    <row r="764" spans="3:31" s="260" customFormat="1" ht="15.75" thickBot="1" x14ac:dyDescent="0.3">
      <c r="M764" s="363" t="s">
        <v>88</v>
      </c>
      <c r="N764" s="436" t="str">
        <f>+N715</f>
        <v>CAP.2</v>
      </c>
      <c r="O764" s="550" t="str">
        <f>IFERROR(VLOOKUP(N764,PPTO!C:H,2,0),"----")</f>
        <v>RED HIDRAULICA</v>
      </c>
      <c r="P764" s="551"/>
      <c r="Q764" s="551"/>
      <c r="R764" s="551"/>
      <c r="S764" s="551"/>
      <c r="T764" s="551"/>
      <c r="U764" s="552"/>
      <c r="V764" s="74" t="s">
        <v>91</v>
      </c>
      <c r="Y764" s="365" t="s">
        <v>104</v>
      </c>
      <c r="Z764" s="94"/>
      <c r="AA764" s="188"/>
      <c r="AB764" s="553"/>
      <c r="AC764" s="553"/>
      <c r="AD764" s="553"/>
      <c r="AE764" s="94"/>
    </row>
    <row r="765" spans="3:31" s="260" customFormat="1" ht="15.75" thickBot="1" x14ac:dyDescent="0.3">
      <c r="C765" s="369">
        <f>+N765</f>
        <v>2.06</v>
      </c>
      <c r="D765" s="86"/>
      <c r="E765" s="86"/>
      <c r="F765" s="86"/>
      <c r="G765" s="86"/>
      <c r="H765" s="86"/>
      <c r="I765" s="86"/>
      <c r="J765" s="86"/>
      <c r="K765" s="370"/>
      <c r="M765" s="75" t="s">
        <v>92</v>
      </c>
      <c r="N765" s="371">
        <f>+ROUNDUP(N716+0.01,2)</f>
        <v>2.06</v>
      </c>
      <c r="O765" s="554" t="str">
        <f>IFERROR(VLOOKUP(N765,PPTO!C:H,2,0),"----")</f>
        <v>Tuberia PVC Ø2"</v>
      </c>
      <c r="P765" s="555"/>
      <c r="Q765" s="555"/>
      <c r="R765" s="555"/>
      <c r="S765" s="555"/>
      <c r="T765" s="555"/>
      <c r="U765" s="556"/>
      <c r="V765" s="76" t="str">
        <f>IFERROR(VLOOKUP(N765,PPTO!C:H,3,0),"----")</f>
        <v>ML</v>
      </c>
      <c r="Y765" s="373">
        <f>SUMIFS(PPTO!F:F,PPTO!C:C,APUS!N765)</f>
        <v>10.5</v>
      </c>
      <c r="Z765" s="94"/>
      <c r="AA765" s="86"/>
      <c r="AB765" s="94"/>
      <c r="AC765" s="94"/>
      <c r="AD765" s="94"/>
      <c r="AE765" s="94"/>
    </row>
    <row r="766" spans="3:31" s="260" customFormat="1" ht="15.75" thickBot="1" x14ac:dyDescent="0.3">
      <c r="C766" s="84"/>
      <c r="D766" s="86"/>
      <c r="E766" s="86"/>
      <c r="F766" s="86"/>
      <c r="G766" s="86"/>
      <c r="H766" s="86"/>
      <c r="I766" s="86"/>
      <c r="J766" s="86"/>
      <c r="K766" s="88"/>
      <c r="M766" s="557"/>
      <c r="N766" s="557"/>
      <c r="O766" s="557"/>
      <c r="P766" s="557"/>
      <c r="Q766" s="557"/>
      <c r="R766" s="557"/>
      <c r="S766" s="557"/>
      <c r="T766" s="557"/>
      <c r="U766" s="557"/>
      <c r="V766" s="557"/>
      <c r="Y766" s="374"/>
      <c r="Z766" s="94"/>
      <c r="AA766" s="86"/>
      <c r="AB766" s="94"/>
      <c r="AC766" s="94"/>
      <c r="AD766" s="94"/>
      <c r="AE766" s="94"/>
    </row>
    <row r="767" spans="3:31" s="260" customFormat="1" ht="15.75" thickBot="1" x14ac:dyDescent="0.3">
      <c r="C767" s="84"/>
      <c r="D767" s="375" t="s">
        <v>128</v>
      </c>
      <c r="E767" s="376" t="s">
        <v>129</v>
      </c>
      <c r="F767" s="376" t="s">
        <v>130</v>
      </c>
      <c r="G767" s="376" t="s">
        <v>131</v>
      </c>
      <c r="H767" s="376" t="s">
        <v>132</v>
      </c>
      <c r="I767" s="376" t="s">
        <v>133</v>
      </c>
      <c r="J767" s="377" t="s">
        <v>134</v>
      </c>
      <c r="K767" s="88"/>
      <c r="M767" s="558" t="s">
        <v>93</v>
      </c>
      <c r="N767" s="559"/>
      <c r="O767" s="559"/>
      <c r="P767" s="559"/>
      <c r="Q767" s="559"/>
      <c r="R767" s="559"/>
      <c r="S767" s="559"/>
      <c r="T767" s="559"/>
      <c r="U767" s="559"/>
      <c r="V767" s="560"/>
      <c r="Y767" s="378"/>
      <c r="Z767" s="121"/>
      <c r="AA767" s="86"/>
      <c r="AB767" s="513"/>
      <c r="AC767" s="514"/>
      <c r="AD767" s="94"/>
      <c r="AE767" s="379"/>
    </row>
    <row r="768" spans="3:31" s="260" customFormat="1" x14ac:dyDescent="0.25">
      <c r="C768" s="84"/>
      <c r="D768" s="380"/>
      <c r="E768" s="381"/>
      <c r="F768" s="381"/>
      <c r="G768" s="381"/>
      <c r="H768" s="381"/>
      <c r="I768" s="381"/>
      <c r="J768" s="382"/>
      <c r="K768" s="88"/>
      <c r="M768" s="99" t="s">
        <v>94</v>
      </c>
      <c r="N768" s="561" t="s">
        <v>95</v>
      </c>
      <c r="O768" s="561"/>
      <c r="P768" s="561"/>
      <c r="Q768" s="561"/>
      <c r="R768" s="95" t="s">
        <v>96</v>
      </c>
      <c r="S768" s="95" t="s">
        <v>97</v>
      </c>
      <c r="T768" s="562" t="s">
        <v>8</v>
      </c>
      <c r="U768" s="562"/>
      <c r="V768" s="100" t="s">
        <v>98</v>
      </c>
      <c r="Y768" s="383" t="s">
        <v>104</v>
      </c>
      <c r="Z768" s="119" t="s">
        <v>9</v>
      </c>
      <c r="AA768" s="86"/>
      <c r="AB768" s="384"/>
      <c r="AC768" s="385"/>
      <c r="AD768" s="94"/>
      <c r="AE768" s="386"/>
    </row>
    <row r="769" spans="3:31" s="260" customFormat="1" x14ac:dyDescent="0.25">
      <c r="C769" s="84"/>
      <c r="D769" s="85"/>
      <c r="E769" s="86"/>
      <c r="F769" s="86"/>
      <c r="G769" s="86"/>
      <c r="H769" s="86"/>
      <c r="I769" s="86"/>
      <c r="J769" s="87"/>
      <c r="K769" s="88"/>
      <c r="M769" s="102"/>
      <c r="N769" s="533" t="s">
        <v>99</v>
      </c>
      <c r="O769" s="533"/>
      <c r="P769" s="533"/>
      <c r="Q769" s="533"/>
      <c r="R769" s="78" t="s">
        <v>100</v>
      </c>
      <c r="S769" s="387">
        <f>+$AA$10</f>
        <v>0.05</v>
      </c>
      <c r="T769" s="563">
        <f>V799</f>
        <v>13267.18</v>
      </c>
      <c r="U769" s="563"/>
      <c r="V769" s="389">
        <f>+IFERROR(T769*S769,0)</f>
        <v>663.35900000000004</v>
      </c>
      <c r="Y769" s="390"/>
      <c r="Z769" s="391">
        <f>Y765*V769</f>
        <v>6965.2695000000003</v>
      </c>
      <c r="AA769" s="86"/>
      <c r="AB769" s="384"/>
      <c r="AC769" s="385"/>
      <c r="AD769" s="94"/>
      <c r="AE769" s="386" t="str">
        <f>+IF(V769=0,"CERO","NO")</f>
        <v>NO</v>
      </c>
    </row>
    <row r="770" spans="3:31" s="260" customFormat="1" x14ac:dyDescent="0.25">
      <c r="C770" s="84"/>
      <c r="D770" s="85"/>
      <c r="E770" s="86"/>
      <c r="F770" s="86"/>
      <c r="G770" s="86"/>
      <c r="H770" s="86"/>
      <c r="I770" s="86"/>
      <c r="J770" s="87"/>
      <c r="K770" s="88"/>
      <c r="M770" s="106"/>
      <c r="N770" s="533" t="str">
        <f>IFERROR(VLOOKUP(M770,INSUMOS!$C$8:$K$928,2,0),"-----")</f>
        <v>-----</v>
      </c>
      <c r="O770" s="533"/>
      <c r="P770" s="533"/>
      <c r="Q770" s="533"/>
      <c r="R770" s="78" t="str">
        <f>IFERROR(VLOOKUP(M770,INSUMOS!$C$8:$K$928,6,0),"-----")</f>
        <v>-----</v>
      </c>
      <c r="S770" s="392"/>
      <c r="T770" s="529" t="str">
        <f>IFERROR(VLOOKUP(M770,INSUMOS!$C$8:$K$928,7,0),"0")</f>
        <v>0</v>
      </c>
      <c r="U770" s="529"/>
      <c r="V770" s="389">
        <f>+IFERROR(T770*S770,0)</f>
        <v>0</v>
      </c>
      <c r="Y770" s="393">
        <f>+IFERROR(Y765*S770,0)</f>
        <v>0</v>
      </c>
      <c r="Z770" s="391">
        <f>Y765*V770</f>
        <v>0</v>
      </c>
      <c r="AA770" s="394"/>
      <c r="AB770" s="395">
        <f>+Y770*T770</f>
        <v>0</v>
      </c>
      <c r="AC770" s="93">
        <f>+AB770-Z770</f>
        <v>0</v>
      </c>
      <c r="AD770" s="94"/>
      <c r="AE770" s="386" t="str">
        <f>+IF(V770=0,"CERO","NO")</f>
        <v>CERO</v>
      </c>
    </row>
    <row r="771" spans="3:31" s="260" customFormat="1" x14ac:dyDescent="0.25">
      <c r="C771" s="84"/>
      <c r="D771" s="85"/>
      <c r="E771" s="86"/>
      <c r="F771" s="86"/>
      <c r="G771" s="86"/>
      <c r="H771" s="86"/>
      <c r="I771" s="86"/>
      <c r="J771" s="87"/>
      <c r="K771" s="88"/>
      <c r="M771" s="102">
        <v>0</v>
      </c>
      <c r="N771" s="533"/>
      <c r="O771" s="533"/>
      <c r="P771" s="533"/>
      <c r="Q771" s="533"/>
      <c r="R771" s="78"/>
      <c r="S771" s="396"/>
      <c r="T771" s="529"/>
      <c r="U771" s="529"/>
      <c r="V771" s="397"/>
      <c r="Y771" s="393">
        <f>+IFERROR(Y765*S771,0)</f>
        <v>0</v>
      </c>
      <c r="Z771" s="391">
        <f>Y765*V771</f>
        <v>0</v>
      </c>
      <c r="AA771" s="394"/>
      <c r="AB771" s="395">
        <f>+Y771*T771</f>
        <v>0</v>
      </c>
      <c r="AC771" s="93">
        <f>+AB771-Z771</f>
        <v>0</v>
      </c>
      <c r="AD771" s="94"/>
      <c r="AE771" s="386" t="str">
        <f>+IF(V771=0,"CERO","NO")</f>
        <v>CERO</v>
      </c>
    </row>
    <row r="772" spans="3:31" s="260" customFormat="1" x14ac:dyDescent="0.25">
      <c r="C772" s="84"/>
      <c r="D772" s="85"/>
      <c r="E772" s="86"/>
      <c r="F772" s="86"/>
      <c r="G772" s="86"/>
      <c r="H772" s="86"/>
      <c r="I772" s="86"/>
      <c r="J772" s="87"/>
      <c r="K772" s="88"/>
      <c r="M772" s="102">
        <v>0</v>
      </c>
      <c r="N772" s="533"/>
      <c r="O772" s="533"/>
      <c r="P772" s="533"/>
      <c r="Q772" s="533"/>
      <c r="R772" s="78"/>
      <c r="S772" s="396"/>
      <c r="T772" s="529"/>
      <c r="U772" s="529"/>
      <c r="V772" s="397"/>
      <c r="Y772" s="393">
        <f>+IFERROR(Y765*S772,0)</f>
        <v>0</v>
      </c>
      <c r="Z772" s="391">
        <f>Y765*V772</f>
        <v>0</v>
      </c>
      <c r="AA772" s="394"/>
      <c r="AB772" s="395">
        <f>+Y772*T772</f>
        <v>0</v>
      </c>
      <c r="AC772" s="93">
        <f>+AB772-Z772</f>
        <v>0</v>
      </c>
      <c r="AD772" s="94"/>
      <c r="AE772" s="386" t="str">
        <f>+IF(V772=0,"CERO","NO")</f>
        <v>CERO</v>
      </c>
    </row>
    <row r="773" spans="3:31" s="260" customFormat="1" ht="15.75" thickBot="1" x14ac:dyDescent="0.3">
      <c r="C773" s="84"/>
      <c r="D773" s="85"/>
      <c r="E773" s="86"/>
      <c r="F773" s="86"/>
      <c r="G773" s="86"/>
      <c r="H773" s="86"/>
      <c r="I773" s="86"/>
      <c r="J773" s="87"/>
      <c r="K773" s="88"/>
      <c r="M773" s="102">
        <v>0</v>
      </c>
      <c r="N773" s="564"/>
      <c r="O773" s="564"/>
      <c r="P773" s="564"/>
      <c r="Q773" s="564"/>
      <c r="R773" s="96"/>
      <c r="S773" s="96"/>
      <c r="T773" s="565"/>
      <c r="U773" s="565"/>
      <c r="V773" s="101"/>
      <c r="Y773" s="393">
        <f>+IFERROR(Y765*S773,0)</f>
        <v>0</v>
      </c>
      <c r="Z773" s="391">
        <f>Y765*V773</f>
        <v>0</v>
      </c>
      <c r="AA773" s="394"/>
      <c r="AB773" s="395">
        <f>+Y773*T773</f>
        <v>0</v>
      </c>
      <c r="AC773" s="93">
        <f>+AB773-Z773</f>
        <v>0</v>
      </c>
      <c r="AD773" s="94"/>
      <c r="AE773" s="386" t="str">
        <f>+IF(V773=0,"CERO","NO")</f>
        <v>CERO</v>
      </c>
    </row>
    <row r="774" spans="3:31" s="260" customFormat="1" ht="15.75" thickBot="1" x14ac:dyDescent="0.3">
      <c r="C774" s="84"/>
      <c r="D774" s="375" t="s">
        <v>128</v>
      </c>
      <c r="E774" s="376" t="s">
        <v>129</v>
      </c>
      <c r="F774" s="376" t="s">
        <v>130</v>
      </c>
      <c r="G774" s="376" t="s">
        <v>131</v>
      </c>
      <c r="H774" s="376" t="s">
        <v>132</v>
      </c>
      <c r="I774" s="376" t="s">
        <v>133</v>
      </c>
      <c r="J774" s="377" t="s">
        <v>134</v>
      </c>
      <c r="K774" s="88"/>
      <c r="M774" s="534"/>
      <c r="N774" s="536" t="s">
        <v>101</v>
      </c>
      <c r="O774" s="536"/>
      <c r="P774" s="536"/>
      <c r="Q774" s="536"/>
      <c r="R774" s="536"/>
      <c r="S774" s="536"/>
      <c r="T774" s="536"/>
      <c r="U774" s="536"/>
      <c r="V774" s="389">
        <f>+SUM(V769:V773)</f>
        <v>663.35900000000004</v>
      </c>
      <c r="Y774" s="398" t="s">
        <v>135</v>
      </c>
      <c r="Z774" s="397">
        <f>+SUM(Z769:Z773)</f>
        <v>6965.2695000000003</v>
      </c>
      <c r="AA774" s="86"/>
      <c r="AB774" s="384"/>
      <c r="AC774" s="385"/>
      <c r="AD774" s="94"/>
      <c r="AE774" s="399"/>
    </row>
    <row r="775" spans="3:31" s="260" customFormat="1" ht="15.75" thickBot="1" x14ac:dyDescent="0.3">
      <c r="C775" s="84"/>
      <c r="D775" s="375">
        <f>C765</f>
        <v>2.06</v>
      </c>
      <c r="E775" s="376"/>
      <c r="F775" s="376"/>
      <c r="G775" s="376"/>
      <c r="H775" s="376"/>
      <c r="I775" s="376"/>
      <c r="J775" s="377"/>
      <c r="K775" s="88"/>
      <c r="M775" s="566"/>
      <c r="N775" s="567" t="s">
        <v>102</v>
      </c>
      <c r="O775" s="567"/>
      <c r="P775" s="567"/>
      <c r="Q775" s="567"/>
      <c r="R775" s="567"/>
      <c r="S775" s="567"/>
      <c r="T775" s="567"/>
      <c r="U775" s="567"/>
      <c r="V775" s="400">
        <f>+ROUND(V774,$AA$5)</f>
        <v>663.36</v>
      </c>
      <c r="Y775" s="401" t="s">
        <v>136</v>
      </c>
      <c r="Z775" s="402">
        <f>+ROUND(Z774,$AA$5)</f>
        <v>6965.27</v>
      </c>
      <c r="AA775" s="86"/>
      <c r="AB775" s="403">
        <f>+V775*Y765</f>
        <v>6965.28</v>
      </c>
      <c r="AC775" s="404">
        <f>+AB775-Z775</f>
        <v>9.999999999308784E-3</v>
      </c>
      <c r="AD775" s="94"/>
      <c r="AE775" s="405"/>
    </row>
    <row r="776" spans="3:31" s="260" customFormat="1" x14ac:dyDescent="0.25">
      <c r="C776" s="84"/>
      <c r="D776" s="380"/>
      <c r="E776" s="381"/>
      <c r="F776" s="381"/>
      <c r="G776" s="381"/>
      <c r="H776" s="381"/>
      <c r="I776" s="381"/>
      <c r="J776" s="382"/>
      <c r="K776" s="88"/>
      <c r="M776" s="510" t="s">
        <v>103</v>
      </c>
      <c r="N776" s="511"/>
      <c r="O776" s="511"/>
      <c r="P776" s="511"/>
      <c r="Q776" s="511"/>
      <c r="R776" s="511"/>
      <c r="S776" s="511"/>
      <c r="T776" s="511"/>
      <c r="U776" s="511"/>
      <c r="V776" s="512"/>
      <c r="Y776" s="378"/>
      <c r="Z776" s="121"/>
      <c r="AA776" s="86"/>
      <c r="AB776" s="513"/>
      <c r="AC776" s="514"/>
      <c r="AD776" s="94"/>
      <c r="AE776" s="126"/>
    </row>
    <row r="777" spans="3:31" s="260" customFormat="1" x14ac:dyDescent="0.25">
      <c r="C777" s="84"/>
      <c r="D777" s="85"/>
      <c r="E777" s="86"/>
      <c r="F777" s="86"/>
      <c r="G777" s="86"/>
      <c r="H777" s="86"/>
      <c r="I777" s="86"/>
      <c r="J777" s="87"/>
      <c r="K777" s="88"/>
      <c r="M777" s="99" t="s">
        <v>94</v>
      </c>
      <c r="N777" s="561" t="s">
        <v>95</v>
      </c>
      <c r="O777" s="561"/>
      <c r="P777" s="561"/>
      <c r="Q777" s="561"/>
      <c r="R777" s="95" t="s">
        <v>96</v>
      </c>
      <c r="S777" s="95" t="s">
        <v>104</v>
      </c>
      <c r="T777" s="356" t="s">
        <v>105</v>
      </c>
      <c r="U777" s="356" t="s">
        <v>8</v>
      </c>
      <c r="V777" s="100" t="s">
        <v>98</v>
      </c>
      <c r="Y777" s="383" t="s">
        <v>104</v>
      </c>
      <c r="Z777" s="119" t="s">
        <v>9</v>
      </c>
      <c r="AA777" s="86"/>
      <c r="AB777" s="384"/>
      <c r="AC777" s="385"/>
      <c r="AD777" s="94"/>
      <c r="AE777" s="406"/>
    </row>
    <row r="778" spans="3:31" s="260" customFormat="1" x14ac:dyDescent="0.25">
      <c r="C778" s="84"/>
      <c r="D778" s="85"/>
      <c r="E778" s="86"/>
      <c r="F778" s="86"/>
      <c r="G778" s="86"/>
      <c r="H778" s="86"/>
      <c r="I778" s="86"/>
      <c r="J778" s="87"/>
      <c r="K778" s="88"/>
      <c r="M778" s="102">
        <v>687</v>
      </c>
      <c r="N778" s="533" t="str">
        <f>IFERROR(VLOOKUP(M778,INSUMOS!$C$8:$K$928,2,0),"-----")</f>
        <v>TUBO PVC-P 2" RDE 21</v>
      </c>
      <c r="O778" s="533"/>
      <c r="P778" s="533"/>
      <c r="Q778" s="533"/>
      <c r="R778" s="78" t="str">
        <f>IFERROR(VLOOKUP(M778,INSUMOS!$C$8:$K$928,6,0),"-----")</f>
        <v>ml</v>
      </c>
      <c r="S778" s="396">
        <v>1</v>
      </c>
      <c r="T778" s="387">
        <v>0.02</v>
      </c>
      <c r="U778" s="388">
        <f>IFERROR(VLOOKUP(M778,INSUMOS!$C$8:$K$928,7,0),"0")</f>
        <v>23289.666666666668</v>
      </c>
      <c r="V778" s="389">
        <f>+IFERROR(U778*(S778*(1+T778)),0)</f>
        <v>23755.460000000003</v>
      </c>
      <c r="Y778" s="393">
        <f>+IFERROR(Y765*(S778*(1+T778)),0)</f>
        <v>10.71</v>
      </c>
      <c r="Z778" s="391">
        <f>Y765*V778</f>
        <v>249432.33000000002</v>
      </c>
      <c r="AA778" s="394"/>
      <c r="AB778" s="395">
        <f>+Y778*U778</f>
        <v>249432.33000000005</v>
      </c>
      <c r="AC778" s="93">
        <f>+AB778-Z778</f>
        <v>0</v>
      </c>
      <c r="AD778" s="94"/>
      <c r="AE778" s="406" t="str">
        <f>+IF(V778=0,"CERO","NO")</f>
        <v>NO</v>
      </c>
    </row>
    <row r="779" spans="3:31" s="260" customFormat="1" x14ac:dyDescent="0.25">
      <c r="C779" s="84"/>
      <c r="D779" s="85"/>
      <c r="E779" s="86"/>
      <c r="F779" s="86"/>
      <c r="G779" s="86"/>
      <c r="H779" s="86"/>
      <c r="I779" s="86"/>
      <c r="J779" s="87"/>
      <c r="K779" s="88"/>
      <c r="M779" s="102">
        <v>699</v>
      </c>
      <c r="N779" s="533" t="str">
        <f>IFERROR(VLOOKUP(M779,INSUMOS!$C$8:$K$928,2,0),"-----")</f>
        <v>SOLDADURA PVC LIQUIDA 1/4"</v>
      </c>
      <c r="O779" s="533"/>
      <c r="P779" s="533"/>
      <c r="Q779" s="533"/>
      <c r="R779" s="78" t="str">
        <f>IFERROR(VLOOKUP(M779,INSUMOS!$C$8:$K$928,6,0),"-----")</f>
        <v>und</v>
      </c>
      <c r="S779" s="396">
        <v>2.5000000000000001E-2</v>
      </c>
      <c r="T779" s="387">
        <v>0.02</v>
      </c>
      <c r="U779" s="388">
        <f>IFERROR(VLOOKUP(M779,INSUMOS!$C$8:$K$928,7,0),"0")</f>
        <v>146569</v>
      </c>
      <c r="V779" s="389">
        <f>+IFERROR(U779*(S779*(1+T779)),0)</f>
        <v>3737.5095000000001</v>
      </c>
      <c r="Y779" s="393">
        <f>+IFERROR(Y765*(S779*(1+T779)),0)</f>
        <v>0.26775000000000004</v>
      </c>
      <c r="Z779" s="391">
        <f>Y765*V779</f>
        <v>39243.849750000001</v>
      </c>
      <c r="AA779" s="394"/>
      <c r="AB779" s="395">
        <f>+Y779*U779</f>
        <v>39243.849750000008</v>
      </c>
      <c r="AC779" s="93">
        <f>+AB779-Z779</f>
        <v>0</v>
      </c>
      <c r="AD779" s="94"/>
      <c r="AE779" s="406" t="str">
        <f>+IF(V779=0,"CERO","NO")</f>
        <v>NO</v>
      </c>
    </row>
    <row r="780" spans="3:31" s="260" customFormat="1" x14ac:dyDescent="0.25">
      <c r="C780" s="84"/>
      <c r="D780" s="85"/>
      <c r="E780" s="86"/>
      <c r="F780" s="86"/>
      <c r="G780" s="86"/>
      <c r="H780" s="86"/>
      <c r="I780" s="86"/>
      <c r="J780" s="87"/>
      <c r="K780" s="88"/>
      <c r="M780" s="102">
        <v>700</v>
      </c>
      <c r="N780" s="533" t="str">
        <f>IFERROR(VLOOKUP(M780,INSUMOS!$C$8:$K$928,2,0),"-----")</f>
        <v>LIMPIADOR PVC 1/4</v>
      </c>
      <c r="O780" s="533"/>
      <c r="P780" s="533"/>
      <c r="Q780" s="533"/>
      <c r="R780" s="78" t="str">
        <f>IFERROR(VLOOKUP(M780,INSUMOS!$C$8:$K$928,6,0),"-----")</f>
        <v>und</v>
      </c>
      <c r="S780" s="396">
        <v>2.5000000000000001E-2</v>
      </c>
      <c r="T780" s="387">
        <v>0.02</v>
      </c>
      <c r="U780" s="388">
        <f>IFERROR(VLOOKUP(M780,INSUMOS!$C$8:$K$928,7,0),"0")</f>
        <v>65913</v>
      </c>
      <c r="V780" s="389">
        <f>+IFERROR(U780*(S780*(1+T780)),0)</f>
        <v>1680.7815000000001</v>
      </c>
      <c r="Y780" s="393">
        <f>+IFERROR(Y765*(S780*(1+T780)),0)</f>
        <v>0.26775000000000004</v>
      </c>
      <c r="Z780" s="391">
        <f>Y765*V780</f>
        <v>17648.205750000001</v>
      </c>
      <c r="AA780" s="394"/>
      <c r="AB780" s="395">
        <f>+Y780*U780</f>
        <v>17648.205750000005</v>
      </c>
      <c r="AC780" s="93">
        <f>+AB780-Z780</f>
        <v>0</v>
      </c>
      <c r="AD780" s="94"/>
      <c r="AE780" s="406" t="str">
        <f>+IF(V780=0,"CERO","NO")</f>
        <v>NO</v>
      </c>
    </row>
    <row r="781" spans="3:31" s="260" customFormat="1" x14ac:dyDescent="0.25">
      <c r="C781" s="84"/>
      <c r="D781" s="85"/>
      <c r="E781" s="86"/>
      <c r="F781" s="86"/>
      <c r="G781" s="86"/>
      <c r="H781" s="86"/>
      <c r="I781" s="86"/>
      <c r="J781" s="87"/>
      <c r="K781" s="88"/>
      <c r="M781" s="102">
        <v>0</v>
      </c>
      <c r="N781" s="533" t="str">
        <f>IFERROR(VLOOKUP(M781,INSUMOS!$C$8:$K$928,2,0),"-----")</f>
        <v>-----</v>
      </c>
      <c r="O781" s="533"/>
      <c r="P781" s="533"/>
      <c r="Q781" s="533"/>
      <c r="R781" s="78" t="str">
        <f>IFERROR(VLOOKUP(M781,INSUMOS!$C$8:$K$928,6,0),"-----")</f>
        <v>-----</v>
      </c>
      <c r="S781" s="396"/>
      <c r="T781" s="387"/>
      <c r="U781" s="388" t="str">
        <f>IFERROR(VLOOKUP(M781,INSUMOS!$C$8:$K$928,7,0),"0")</f>
        <v>0</v>
      </c>
      <c r="V781" s="389">
        <f>+IFERROR(U781*(S781*(1+T781)),0)</f>
        <v>0</v>
      </c>
      <c r="Y781" s="393">
        <f>+IFERROR(Y765*(S781*(1+T781)),0)</f>
        <v>0</v>
      </c>
      <c r="Z781" s="391">
        <f>Y765*V781</f>
        <v>0</v>
      </c>
      <c r="AA781" s="394"/>
      <c r="AB781" s="395">
        <f>+Y781*U781</f>
        <v>0</v>
      </c>
      <c r="AC781" s="93">
        <f>+AB781-Z781</f>
        <v>0</v>
      </c>
      <c r="AD781" s="94"/>
      <c r="AE781" s="406" t="str">
        <f>+IF(V781=0,"CERO","NO")</f>
        <v>CERO</v>
      </c>
    </row>
    <row r="782" spans="3:31" s="260" customFormat="1" ht="15.75" thickBot="1" x14ac:dyDescent="0.3">
      <c r="C782" s="84"/>
      <c r="D782" s="85"/>
      <c r="E782" s="86"/>
      <c r="F782" s="86"/>
      <c r="G782" s="86"/>
      <c r="H782" s="86"/>
      <c r="I782" s="86"/>
      <c r="J782" s="87"/>
      <c r="K782" s="88"/>
      <c r="M782" s="102">
        <v>0</v>
      </c>
      <c r="N782" s="564"/>
      <c r="O782" s="564"/>
      <c r="P782" s="564"/>
      <c r="Q782" s="564"/>
      <c r="R782" s="96"/>
      <c r="S782" s="79"/>
      <c r="T782" s="97"/>
      <c r="U782" s="358"/>
      <c r="V782" s="397"/>
      <c r="Y782" s="393">
        <f>+IFERROR(Y765*(S782*(1+T782)),0)</f>
        <v>0</v>
      </c>
      <c r="Z782" s="391">
        <f>Y765*V782</f>
        <v>0</v>
      </c>
      <c r="AA782" s="394"/>
      <c r="AB782" s="395">
        <f>+Y782*U782</f>
        <v>0</v>
      </c>
      <c r="AC782" s="93">
        <f>+AB782-Z782</f>
        <v>0</v>
      </c>
      <c r="AD782" s="94"/>
      <c r="AE782" s="406" t="str">
        <f>+IF(V782=0,"CERO","NO")</f>
        <v>CERO</v>
      </c>
    </row>
    <row r="783" spans="3:31" s="260" customFormat="1" ht="15.75" thickBot="1" x14ac:dyDescent="0.3">
      <c r="C783" s="84"/>
      <c r="D783" s="375" t="s">
        <v>128</v>
      </c>
      <c r="E783" s="376" t="s">
        <v>129</v>
      </c>
      <c r="F783" s="376" t="s">
        <v>130</v>
      </c>
      <c r="G783" s="376" t="s">
        <v>131</v>
      </c>
      <c r="H783" s="376" t="s">
        <v>132</v>
      </c>
      <c r="I783" s="376" t="s">
        <v>133</v>
      </c>
      <c r="J783" s="377" t="s">
        <v>134</v>
      </c>
      <c r="K783" s="88"/>
      <c r="M783" s="534"/>
      <c r="N783" s="536" t="s">
        <v>106</v>
      </c>
      <c r="O783" s="536"/>
      <c r="P783" s="536"/>
      <c r="Q783" s="536"/>
      <c r="R783" s="536"/>
      <c r="S783" s="536"/>
      <c r="T783" s="536"/>
      <c r="U783" s="536"/>
      <c r="V783" s="389">
        <f>+SUM(V778:V782)</f>
        <v>29173.751000000004</v>
      </c>
      <c r="Y783" s="398" t="s">
        <v>135</v>
      </c>
      <c r="Z783" s="397">
        <f>+SUM(Z778:Z782)</f>
        <v>306324.38550000003</v>
      </c>
      <c r="AA783" s="86"/>
      <c r="AB783" s="384"/>
      <c r="AC783" s="385"/>
      <c r="AD783" s="94"/>
      <c r="AE783" s="399"/>
    </row>
    <row r="784" spans="3:31" s="260" customFormat="1" ht="15.75" thickBot="1" x14ac:dyDescent="0.3">
      <c r="C784" s="84"/>
      <c r="D784" s="375"/>
      <c r="E784" s="407">
        <f>+D775</f>
        <v>2.06</v>
      </c>
      <c r="F784" s="376"/>
      <c r="G784" s="376"/>
      <c r="H784" s="376"/>
      <c r="I784" s="376"/>
      <c r="J784" s="377"/>
      <c r="K784" s="88"/>
      <c r="M784" s="535"/>
      <c r="N784" s="537" t="s">
        <v>107</v>
      </c>
      <c r="O784" s="537"/>
      <c r="P784" s="537"/>
      <c r="Q784" s="537"/>
      <c r="R784" s="537"/>
      <c r="S784" s="537"/>
      <c r="T784" s="537"/>
      <c r="U784" s="537"/>
      <c r="V784" s="408">
        <f>+ROUND(V783,$AA$5)</f>
        <v>29173.75</v>
      </c>
      <c r="Y784" s="401" t="s">
        <v>136</v>
      </c>
      <c r="Z784" s="402">
        <f>+ROUND(Z783,$AA$5)</f>
        <v>306324.39</v>
      </c>
      <c r="AA784" s="86"/>
      <c r="AB784" s="403">
        <f>+V784*Y765</f>
        <v>306324.375</v>
      </c>
      <c r="AC784" s="404">
        <f>+AB784-Z784</f>
        <v>-1.5000000013969839E-2</v>
      </c>
      <c r="AD784" s="94"/>
      <c r="AE784" s="405"/>
    </row>
    <row r="785" spans="3:31" s="260" customFormat="1" x14ac:dyDescent="0.25">
      <c r="C785" s="84"/>
      <c r="D785" s="380"/>
      <c r="E785" s="381"/>
      <c r="F785" s="381"/>
      <c r="G785" s="381"/>
      <c r="H785" s="381"/>
      <c r="I785" s="381"/>
      <c r="J785" s="382"/>
      <c r="K785" s="88"/>
      <c r="M785" s="568" t="s">
        <v>108</v>
      </c>
      <c r="N785" s="569"/>
      <c r="O785" s="569"/>
      <c r="P785" s="569"/>
      <c r="Q785" s="569"/>
      <c r="R785" s="569"/>
      <c r="S785" s="569"/>
      <c r="T785" s="569"/>
      <c r="U785" s="569"/>
      <c r="V785" s="570"/>
      <c r="Y785" s="378"/>
      <c r="Z785" s="121"/>
      <c r="AA785" s="86"/>
      <c r="AB785" s="409"/>
      <c r="AC785" s="121"/>
      <c r="AD785" s="94"/>
      <c r="AE785" s="126"/>
    </row>
    <row r="786" spans="3:31" s="260" customFormat="1" ht="25.5" x14ac:dyDescent="0.25">
      <c r="C786" s="84"/>
      <c r="D786" s="85"/>
      <c r="E786" s="86"/>
      <c r="F786" s="86"/>
      <c r="G786" s="86"/>
      <c r="H786" s="86"/>
      <c r="I786" s="86"/>
      <c r="J786" s="87"/>
      <c r="K786" s="88"/>
      <c r="M786" s="99" t="s">
        <v>94</v>
      </c>
      <c r="N786" s="561" t="s">
        <v>95</v>
      </c>
      <c r="O786" s="561"/>
      <c r="P786" s="561"/>
      <c r="Q786" s="95" t="s">
        <v>109</v>
      </c>
      <c r="R786" s="95" t="s">
        <v>110</v>
      </c>
      <c r="S786" s="95" t="s">
        <v>111</v>
      </c>
      <c r="T786" s="562" t="s">
        <v>112</v>
      </c>
      <c r="U786" s="562"/>
      <c r="V786" s="100" t="s">
        <v>98</v>
      </c>
      <c r="Y786" s="383" t="s">
        <v>104</v>
      </c>
      <c r="Z786" s="119" t="s">
        <v>9</v>
      </c>
      <c r="AA786" s="86"/>
      <c r="AB786" s="384"/>
      <c r="AC786" s="385"/>
      <c r="AD786" s="94"/>
      <c r="AE786" s="410"/>
    </row>
    <row r="787" spans="3:31" s="260" customFormat="1" x14ac:dyDescent="0.25">
      <c r="C787" s="84"/>
      <c r="D787" s="85"/>
      <c r="E787" s="86"/>
      <c r="F787" s="86"/>
      <c r="G787" s="86"/>
      <c r="H787" s="86"/>
      <c r="I787" s="86"/>
      <c r="J787" s="87"/>
      <c r="K787" s="88"/>
      <c r="M787" s="102">
        <v>129</v>
      </c>
      <c r="N787" s="530" t="str">
        <f>IFERROR(VLOOKUP(M787,INSUMOS!$C$8:$K$928,2,0),"-----")</f>
        <v>transporte materiales en general</v>
      </c>
      <c r="O787" s="531"/>
      <c r="P787" s="532"/>
      <c r="Q787" s="78" t="str">
        <f>IFERROR(VLOOKUP(M787,INSUMOS!$C$8:$K$928,5,0),"-----")</f>
        <v>Km</v>
      </c>
      <c r="R787" s="80">
        <v>1</v>
      </c>
      <c r="S787" s="80">
        <f>IFERROR(VLOOKUP(M787,INSUMOS!$C$8:$K$928,6,0),"0")</f>
        <v>348</v>
      </c>
      <c r="T787" s="529">
        <f>IFERROR(VLOOKUP(M787,INSUMOS!$C$8:$K$928,7,0),"0")</f>
        <v>0.99776362060288992</v>
      </c>
      <c r="U787" s="529"/>
      <c r="V787" s="82">
        <f>+T787*S787*R787</f>
        <v>347.2217399698057</v>
      </c>
      <c r="Y787" s="393">
        <f>+IFERROR((R787*S787)*Y765,0)</f>
        <v>3654</v>
      </c>
      <c r="Z787" s="391">
        <f>Y765*V787</f>
        <v>3645.8282696829597</v>
      </c>
      <c r="AA787" s="86"/>
      <c r="AB787" s="92">
        <f>+Y787*T787</f>
        <v>3645.8282696829597</v>
      </c>
      <c r="AC787" s="93">
        <f>+AB787-Z787</f>
        <v>0</v>
      </c>
      <c r="AD787" s="94"/>
      <c r="AE787" s="406" t="str">
        <f>+IF(V787=0,"CERO","NO")</f>
        <v>NO</v>
      </c>
    </row>
    <row r="788" spans="3:31" s="260" customFormat="1" x14ac:dyDescent="0.25">
      <c r="C788" s="84"/>
      <c r="D788" s="85"/>
      <c r="E788" s="86"/>
      <c r="F788" s="86"/>
      <c r="G788" s="86"/>
      <c r="H788" s="86"/>
      <c r="I788" s="86"/>
      <c r="J788" s="87"/>
      <c r="K788" s="88"/>
      <c r="M788" s="102">
        <v>0</v>
      </c>
      <c r="N788" s="530" t="str">
        <f>IFERROR(VLOOKUP(M788,INSUMOS!$C$8:$K$928,2,0),"-----")</f>
        <v>-----</v>
      </c>
      <c r="O788" s="531"/>
      <c r="P788" s="532"/>
      <c r="Q788" s="78" t="str">
        <f>IFERROR(VLOOKUP(M788,INSUMOS!$C$8:$K$928,5,0),"-----")</f>
        <v>-----</v>
      </c>
      <c r="R788" s="80"/>
      <c r="S788" s="80" t="str">
        <f>IFERROR(VLOOKUP(M788,INSUMOS!$C$8:$K$928,6,0),"0")</f>
        <v>0</v>
      </c>
      <c r="T788" s="529" t="str">
        <f>IFERROR(VLOOKUP(M788,INSUMOS!$C$8:$K$928,7,0),"0")</f>
        <v>0</v>
      </c>
      <c r="U788" s="529"/>
      <c r="V788" s="82">
        <f>+T788*S788*R788</f>
        <v>0</v>
      </c>
      <c r="Y788" s="393">
        <f>+IFERROR((R788*S788)*Y765,0)</f>
        <v>0</v>
      </c>
      <c r="Z788" s="391">
        <f>Y765*V788</f>
        <v>0</v>
      </c>
      <c r="AA788" s="86"/>
      <c r="AB788" s="92">
        <f>+Y788*T788</f>
        <v>0</v>
      </c>
      <c r="AC788" s="93">
        <f>+AB788-Z788</f>
        <v>0</v>
      </c>
      <c r="AD788" s="94"/>
      <c r="AE788" s="406" t="str">
        <f>+IF(V788=0,"CERO","NO")</f>
        <v>CERO</v>
      </c>
    </row>
    <row r="789" spans="3:31" s="260" customFormat="1" x14ac:dyDescent="0.25">
      <c r="C789" s="84"/>
      <c r="D789" s="85"/>
      <c r="E789" s="86"/>
      <c r="F789" s="86"/>
      <c r="G789" s="86"/>
      <c r="H789" s="86"/>
      <c r="I789" s="86"/>
      <c r="J789" s="87"/>
      <c r="K789" s="88"/>
      <c r="M789" s="102">
        <v>0</v>
      </c>
      <c r="N789" s="530" t="str">
        <f>IFERROR(VLOOKUP(M789,INSUMOS!$C$8:$K$928,2,0),"-----")</f>
        <v>-----</v>
      </c>
      <c r="O789" s="531"/>
      <c r="P789" s="532"/>
      <c r="Q789" s="78" t="str">
        <f>IFERROR(VLOOKUP(M789,INSUMOS!$C$8:$K$928,5,0),"-----")</f>
        <v>-----</v>
      </c>
      <c r="R789" s="80"/>
      <c r="S789" s="80" t="str">
        <f>IFERROR(VLOOKUP(M789,INSUMOS!$C$8:$K$928,6,0),"0")</f>
        <v>0</v>
      </c>
      <c r="T789" s="529" t="str">
        <f>IFERROR(VLOOKUP(M789,INSUMOS!$C$8:$K$928,7,0),"0")</f>
        <v>0</v>
      </c>
      <c r="U789" s="529"/>
      <c r="V789" s="82">
        <f>+T789*S789*R789</f>
        <v>0</v>
      </c>
      <c r="Y789" s="393">
        <f>+IFERROR((R789*S789)*Y765,0)</f>
        <v>0</v>
      </c>
      <c r="Z789" s="391">
        <f>Y765*V789</f>
        <v>0</v>
      </c>
      <c r="AA789" s="86"/>
      <c r="AB789" s="92">
        <f>+Y789*T789</f>
        <v>0</v>
      </c>
      <c r="AC789" s="93">
        <f>+AB789-Z789</f>
        <v>0</v>
      </c>
      <c r="AD789" s="94"/>
      <c r="AE789" s="406" t="str">
        <f>+IF(V789=0,"CERO","NO")</f>
        <v>CERO</v>
      </c>
    </row>
    <row r="790" spans="3:31" s="260" customFormat="1" ht="15.75" thickBot="1" x14ac:dyDescent="0.3">
      <c r="C790" s="84"/>
      <c r="D790" s="89"/>
      <c r="E790" s="90"/>
      <c r="F790" s="90"/>
      <c r="G790" s="90"/>
      <c r="H790" s="90"/>
      <c r="I790" s="90"/>
      <c r="J790" s="91"/>
      <c r="K790" s="88"/>
      <c r="M790" s="102">
        <v>0</v>
      </c>
      <c r="N790" s="533"/>
      <c r="O790" s="533"/>
      <c r="P790" s="533"/>
      <c r="Q790" s="79"/>
      <c r="R790" s="78"/>
      <c r="S790" s="81"/>
      <c r="T790" s="529"/>
      <c r="U790" s="529"/>
      <c r="V790" s="82"/>
      <c r="Y790" s="393">
        <f>+IFERROR((R790*S790)*Y765,0)</f>
        <v>0</v>
      </c>
      <c r="Z790" s="391">
        <f>Y765*V790</f>
        <v>0</v>
      </c>
      <c r="AA790" s="86"/>
      <c r="AB790" s="92">
        <f>+Y790*T790</f>
        <v>0</v>
      </c>
      <c r="AC790" s="93">
        <f>+AB790-Z790</f>
        <v>0</v>
      </c>
      <c r="AD790" s="94"/>
      <c r="AE790" s="406" t="str">
        <f>+IF(V790=0,"CERO","NO")</f>
        <v>CERO</v>
      </c>
    </row>
    <row r="791" spans="3:31" s="260" customFormat="1" ht="15.75" thickBot="1" x14ac:dyDescent="0.3">
      <c r="C791" s="84"/>
      <c r="D791" s="375" t="s">
        <v>128</v>
      </c>
      <c r="E791" s="376" t="s">
        <v>129</v>
      </c>
      <c r="F791" s="376" t="s">
        <v>130</v>
      </c>
      <c r="G791" s="376" t="s">
        <v>131</v>
      </c>
      <c r="H791" s="376" t="s">
        <v>132</v>
      </c>
      <c r="I791" s="376" t="s">
        <v>133</v>
      </c>
      <c r="J791" s="377" t="s">
        <v>134</v>
      </c>
      <c r="K791" s="88"/>
      <c r="M791" s="534"/>
      <c r="N791" s="536" t="s">
        <v>113</v>
      </c>
      <c r="O791" s="536"/>
      <c r="P791" s="536"/>
      <c r="Q791" s="536"/>
      <c r="R791" s="536"/>
      <c r="S791" s="536"/>
      <c r="T791" s="536"/>
      <c r="U791" s="536"/>
      <c r="V791" s="411">
        <f>+SUM(V787:V790)</f>
        <v>347.2217399698057</v>
      </c>
      <c r="Y791" s="398" t="s">
        <v>135</v>
      </c>
      <c r="Z791" s="397">
        <f>+SUM(Z787:Z790)</f>
        <v>3645.8282696829597</v>
      </c>
      <c r="AA791" s="86"/>
      <c r="AB791" s="384"/>
      <c r="AC791" s="385"/>
      <c r="AD791" s="94"/>
      <c r="AE791" s="399"/>
    </row>
    <row r="792" spans="3:31" s="260" customFormat="1" ht="15.75" thickBot="1" x14ac:dyDescent="0.3">
      <c r="C792" s="84"/>
      <c r="D792" s="355"/>
      <c r="E792" s="367"/>
      <c r="F792" s="412">
        <f>+E784</f>
        <v>2.06</v>
      </c>
      <c r="G792" s="367"/>
      <c r="H792" s="367"/>
      <c r="I792" s="367"/>
      <c r="J792" s="368"/>
      <c r="K792" s="88"/>
      <c r="M792" s="535"/>
      <c r="N792" s="537" t="s">
        <v>114</v>
      </c>
      <c r="O792" s="537"/>
      <c r="P792" s="537"/>
      <c r="Q792" s="537"/>
      <c r="R792" s="537"/>
      <c r="S792" s="537"/>
      <c r="T792" s="537"/>
      <c r="U792" s="537"/>
      <c r="V792" s="413">
        <f>+ROUND(V791,$AA$5)</f>
        <v>347.22</v>
      </c>
      <c r="Y792" s="401" t="s">
        <v>136</v>
      </c>
      <c r="Z792" s="402">
        <f>+ROUND(Z791,$AA$5)</f>
        <v>3645.83</v>
      </c>
      <c r="AA792" s="86"/>
      <c r="AB792" s="403">
        <f>+V792*Y765</f>
        <v>3645.8100000000004</v>
      </c>
      <c r="AC792" s="414"/>
      <c r="AD792" s="94"/>
      <c r="AE792" s="405"/>
    </row>
    <row r="793" spans="3:31" s="260" customFormat="1" ht="15.75" thickBot="1" x14ac:dyDescent="0.3">
      <c r="C793" s="84"/>
      <c r="D793" s="415"/>
      <c r="E793" s="416"/>
      <c r="F793" s="416"/>
      <c r="G793" s="416"/>
      <c r="H793" s="416"/>
      <c r="I793" s="416"/>
      <c r="J793" s="417"/>
      <c r="K793" s="88"/>
      <c r="M793" s="538" t="s">
        <v>115</v>
      </c>
      <c r="N793" s="539"/>
      <c r="O793" s="539"/>
      <c r="P793" s="539"/>
      <c r="Q793" s="539"/>
      <c r="R793" s="539"/>
      <c r="S793" s="539"/>
      <c r="T793" s="539"/>
      <c r="U793" s="539"/>
      <c r="V793" s="540"/>
      <c r="Y793" s="378"/>
      <c r="Z793" s="121"/>
      <c r="AA793" s="86"/>
      <c r="AB793" s="409"/>
      <c r="AC793" s="121"/>
      <c r="AD793" s="94"/>
      <c r="AE793" s="126"/>
    </row>
    <row r="794" spans="3:31" s="260" customFormat="1" ht="15.75" thickBot="1" x14ac:dyDescent="0.3">
      <c r="C794" s="84"/>
      <c r="D794" s="375" t="s">
        <v>128</v>
      </c>
      <c r="E794" s="376" t="s">
        <v>129</v>
      </c>
      <c r="F794" s="376" t="s">
        <v>130</v>
      </c>
      <c r="G794" s="376" t="s">
        <v>131</v>
      </c>
      <c r="H794" s="376" t="s">
        <v>132</v>
      </c>
      <c r="I794" s="376" t="s">
        <v>133</v>
      </c>
      <c r="J794" s="377" t="s">
        <v>134</v>
      </c>
      <c r="K794" s="88"/>
      <c r="M794" s="99" t="s">
        <v>94</v>
      </c>
      <c r="N794" s="98" t="s">
        <v>95</v>
      </c>
      <c r="O794" s="95" t="s">
        <v>96</v>
      </c>
      <c r="P794" s="359" t="s">
        <v>104</v>
      </c>
      <c r="Q794" s="95" t="s">
        <v>116</v>
      </c>
      <c r="R794" s="418" t="s">
        <v>117</v>
      </c>
      <c r="S794" s="95" t="s">
        <v>347</v>
      </c>
      <c r="T794" s="419" t="s">
        <v>118</v>
      </c>
      <c r="U794" s="189" t="s">
        <v>119</v>
      </c>
      <c r="V794" s="100" t="s">
        <v>98</v>
      </c>
      <c r="Y794" s="383" t="s">
        <v>104</v>
      </c>
      <c r="Z794" s="119" t="s">
        <v>9</v>
      </c>
      <c r="AA794" s="86"/>
      <c r="AB794" s="384"/>
      <c r="AC794" s="385"/>
      <c r="AD794" s="94"/>
      <c r="AE794" s="410"/>
    </row>
    <row r="795" spans="3:31" s="260" customFormat="1" ht="25.5" x14ac:dyDescent="0.25">
      <c r="C795" s="84"/>
      <c r="D795" s="354"/>
      <c r="E795" s="96"/>
      <c r="F795" s="96"/>
      <c r="G795" s="96"/>
      <c r="H795" s="96"/>
      <c r="I795" s="96"/>
      <c r="J795" s="420">
        <f>+F792</f>
        <v>2.06</v>
      </c>
      <c r="K795" s="88"/>
      <c r="M795" s="102">
        <v>207</v>
      </c>
      <c r="N795" s="347" t="str">
        <f>IFERROR(VLOOKUP(M795,INSUMOS!$C$8:$K$928,2,0),"-----")</f>
        <v>Oficial Hidrosanitario</v>
      </c>
      <c r="O795" s="78" t="str">
        <f>IFERROR(VLOOKUP(M795,INSUMOS!$C$8:$K$928,3,0),"-----")</f>
        <v>JORNAL+PS</v>
      </c>
      <c r="P795" s="80">
        <v>1</v>
      </c>
      <c r="Q795" s="79">
        <v>22</v>
      </c>
      <c r="R795" s="190">
        <f>IFERROR(VLOOKUP(M795,INSUMOS!$C$8:$K$928,4,0),"-----")</f>
        <v>92983</v>
      </c>
      <c r="S795" s="190">
        <f>IFERROR(VLOOKUP(M795,INSUMOS!$C$8:$K$928,6,0),"-----")</f>
        <v>74386</v>
      </c>
      <c r="T795" s="190">
        <f>IFERROR(VLOOKUP(M795,INSUMOS!$C$8:$K$928,5,0),"-----")</f>
        <v>0</v>
      </c>
      <c r="U795" s="388">
        <f>SUM(R795:T795)</f>
        <v>167369</v>
      </c>
      <c r="V795" s="82">
        <f>+IFERROR((P795/Q795)*U795,0)</f>
        <v>7607.681818181818</v>
      </c>
      <c r="Y795" s="393">
        <f>+IFERROR((Y765/Q795*P795),0)</f>
        <v>0.47727272727272729</v>
      </c>
      <c r="Z795" s="391">
        <f>Y765*V795</f>
        <v>79880.659090909088</v>
      </c>
      <c r="AA795" s="86"/>
      <c r="AB795" s="92">
        <f>+(U795)*Y795</f>
        <v>79880.659090909088</v>
      </c>
      <c r="AC795" s="93">
        <f>+AB795-Z795</f>
        <v>0</v>
      </c>
      <c r="AD795" s="421"/>
      <c r="AE795" s="410" t="str">
        <f>+IF(V795=0,"CERO","NO")</f>
        <v>NO</v>
      </c>
    </row>
    <row r="796" spans="3:31" s="260" customFormat="1" ht="26.25" thickBot="1" x14ac:dyDescent="0.3">
      <c r="C796" s="84"/>
      <c r="D796" s="355"/>
      <c r="E796" s="367"/>
      <c r="F796" s="367"/>
      <c r="G796" s="367"/>
      <c r="H796" s="367"/>
      <c r="I796" s="367"/>
      <c r="J796" s="422">
        <f>+J795</f>
        <v>2.06</v>
      </c>
      <c r="K796" s="88"/>
      <c r="M796" s="102">
        <v>208</v>
      </c>
      <c r="N796" s="347" t="str">
        <f>IFERROR(VLOOKUP(M796,INSUMOS!$C$8:$K$928,2,0),"-----")</f>
        <v>Ayudante Hidrosanitario</v>
      </c>
      <c r="O796" s="78" t="str">
        <f>IFERROR(VLOOKUP(M796,INSUMOS!$C$8:$K$928,3,0),"-----")</f>
        <v>JORNAL+PS</v>
      </c>
      <c r="P796" s="80">
        <v>1</v>
      </c>
      <c r="Q796" s="79">
        <v>22</v>
      </c>
      <c r="R796" s="190">
        <f>IFERROR(VLOOKUP(M796,INSUMOS!$C$8:$K$928,4,0),"-----")</f>
        <v>69172</v>
      </c>
      <c r="S796" s="190">
        <f>IFERROR(VLOOKUP(M796,INSUMOS!$C$8:$K$928,6,0),"-----")</f>
        <v>55337</v>
      </c>
      <c r="T796" s="190">
        <f>IFERROR(VLOOKUP(M796,INSUMOS!$C$8:$K$928,5,0),"-----")</f>
        <v>0</v>
      </c>
      <c r="U796" s="388">
        <f>SUM(R796:T796)</f>
        <v>124509</v>
      </c>
      <c r="V796" s="82">
        <f>+IFERROR((P796/Q796)*U796,0)</f>
        <v>5659.5</v>
      </c>
      <c r="Y796" s="393">
        <f>+IFERROR((Y765/Q796*P796),0)</f>
        <v>0.47727272727272729</v>
      </c>
      <c r="Z796" s="391">
        <f>Y765*V796</f>
        <v>59424.75</v>
      </c>
      <c r="AA796" s="86"/>
      <c r="AB796" s="92">
        <f>+U796*Y796</f>
        <v>59424.75</v>
      </c>
      <c r="AC796" s="93">
        <f>+AB796-Z796</f>
        <v>0</v>
      </c>
      <c r="AD796" s="94"/>
      <c r="AE796" s="410" t="str">
        <f>+IF(V796=0,"CERO","NO")</f>
        <v>NO</v>
      </c>
    </row>
    <row r="797" spans="3:31" s="260" customFormat="1" ht="15.75" thickBot="1" x14ac:dyDescent="0.3">
      <c r="C797" s="84"/>
      <c r="D797" s="380"/>
      <c r="E797" s="381"/>
      <c r="F797" s="381"/>
      <c r="G797" s="381"/>
      <c r="H797" s="381"/>
      <c r="I797" s="381"/>
      <c r="J797" s="382"/>
      <c r="K797" s="88"/>
      <c r="M797" s="102">
        <v>0</v>
      </c>
      <c r="N797" s="347"/>
      <c r="O797" s="79"/>
      <c r="P797" s="423"/>
      <c r="Q797" s="81"/>
      <c r="R797" s="111"/>
      <c r="S797" s="357"/>
      <c r="T797" s="111"/>
      <c r="U797" s="388"/>
      <c r="V797" s="426"/>
      <c r="Y797" s="393">
        <f>+IFERROR((Y765/Q797*P797),0)</f>
        <v>0</v>
      </c>
      <c r="Z797" s="391">
        <f>Y765*V797</f>
        <v>0</v>
      </c>
      <c r="AA797" s="86"/>
      <c r="AB797" s="92">
        <f>+(U797)*Y797*P797</f>
        <v>0</v>
      </c>
      <c r="AC797" s="93">
        <f>+AB797-Z797</f>
        <v>0</v>
      </c>
      <c r="AD797" s="94"/>
      <c r="AE797" s="410" t="str">
        <f>+IF(V797=0,"CERO","NO")</f>
        <v>CERO</v>
      </c>
    </row>
    <row r="798" spans="3:31" s="260" customFormat="1" ht="15.75" thickBot="1" x14ac:dyDescent="0.3">
      <c r="C798" s="84"/>
      <c r="D798" s="375" t="s">
        <v>128</v>
      </c>
      <c r="E798" s="376" t="s">
        <v>129</v>
      </c>
      <c r="F798" s="376" t="s">
        <v>130</v>
      </c>
      <c r="G798" s="376" t="s">
        <v>131</v>
      </c>
      <c r="H798" s="376" t="s">
        <v>132</v>
      </c>
      <c r="I798" s="376" t="s">
        <v>133</v>
      </c>
      <c r="J798" s="377" t="s">
        <v>134</v>
      </c>
      <c r="K798" s="88"/>
      <c r="M798" s="534"/>
      <c r="N798" s="536" t="s">
        <v>120</v>
      </c>
      <c r="O798" s="536"/>
      <c r="P798" s="536"/>
      <c r="Q798" s="536"/>
      <c r="R798" s="536"/>
      <c r="S798" s="536"/>
      <c r="T798" s="536"/>
      <c r="U798" s="536"/>
      <c r="V798" s="82">
        <f>+SUM(V795:V797)</f>
        <v>13267.181818181818</v>
      </c>
      <c r="Y798" s="398" t="s">
        <v>135</v>
      </c>
      <c r="Z798" s="397">
        <f>+SUM(Z795:Z797)</f>
        <v>139305.40909090909</v>
      </c>
      <c r="AA798" s="86"/>
      <c r="AB798" s="384"/>
      <c r="AC798" s="385"/>
      <c r="AD798" s="94"/>
      <c r="AE798" s="399"/>
    </row>
    <row r="799" spans="3:31" s="260" customFormat="1" ht="15.75" thickBot="1" x14ac:dyDescent="0.3">
      <c r="C799" s="84"/>
      <c r="D799" s="354"/>
      <c r="E799" s="96"/>
      <c r="F799" s="96"/>
      <c r="G799" s="107">
        <f>+F792</f>
        <v>2.06</v>
      </c>
      <c r="H799" s="96"/>
      <c r="I799" s="96"/>
      <c r="J799" s="427"/>
      <c r="K799" s="88"/>
      <c r="M799" s="535"/>
      <c r="N799" s="537" t="s">
        <v>121</v>
      </c>
      <c r="O799" s="537"/>
      <c r="P799" s="537"/>
      <c r="Q799" s="537"/>
      <c r="R799" s="537"/>
      <c r="S799" s="537"/>
      <c r="T799" s="537"/>
      <c r="U799" s="537"/>
      <c r="V799" s="413">
        <f>+ROUND(V798,$AA$5)</f>
        <v>13267.18</v>
      </c>
      <c r="Y799" s="401" t="s">
        <v>136</v>
      </c>
      <c r="Z799" s="402">
        <f>+ROUND(Z798,$AA$5)</f>
        <v>139305.41</v>
      </c>
      <c r="AA799" s="86"/>
      <c r="AB799" s="403">
        <f>+V799*Y765</f>
        <v>139305.39000000001</v>
      </c>
      <c r="AC799" s="404">
        <f>+AB799-Z799</f>
        <v>-1.9999999989522621E-2</v>
      </c>
      <c r="AD799" s="94"/>
      <c r="AE799" s="405"/>
    </row>
    <row r="800" spans="3:31" s="260" customFormat="1" ht="15.75" thickBot="1" x14ac:dyDescent="0.3">
      <c r="C800" s="84"/>
      <c r="D800" s="375" t="s">
        <v>128</v>
      </c>
      <c r="E800" s="376" t="s">
        <v>129</v>
      </c>
      <c r="F800" s="376" t="s">
        <v>130</v>
      </c>
      <c r="G800" s="376" t="s">
        <v>131</v>
      </c>
      <c r="H800" s="376" t="s">
        <v>132</v>
      </c>
      <c r="I800" s="376" t="s">
        <v>133</v>
      </c>
      <c r="J800" s="377" t="s">
        <v>134</v>
      </c>
      <c r="K800" s="88"/>
      <c r="M800" s="541"/>
      <c r="N800" s="542"/>
      <c r="O800" s="542"/>
      <c r="P800" s="542"/>
      <c r="Q800" s="542"/>
      <c r="R800" s="542"/>
      <c r="S800" s="542"/>
      <c r="T800" s="542"/>
      <c r="U800" s="542"/>
      <c r="V800" s="543"/>
      <c r="Y800" s="378"/>
      <c r="Z800" s="121"/>
      <c r="AA800" s="86"/>
      <c r="AB800" s="409"/>
      <c r="AC800" s="121"/>
      <c r="AD800" s="94"/>
      <c r="AE800" s="428"/>
    </row>
    <row r="801" spans="3:31" s="260" customFormat="1" ht="15.75" thickBot="1" x14ac:dyDescent="0.3">
      <c r="C801" s="84"/>
      <c r="D801" s="355"/>
      <c r="E801" s="367"/>
      <c r="F801" s="367"/>
      <c r="G801" s="367"/>
      <c r="H801" s="412">
        <f>G799</f>
        <v>2.06</v>
      </c>
      <c r="I801" s="412"/>
      <c r="J801" s="422"/>
      <c r="K801" s="88"/>
      <c r="M801" s="544" t="s">
        <v>122</v>
      </c>
      <c r="N801" s="537"/>
      <c r="O801" s="537"/>
      <c r="P801" s="537"/>
      <c r="Q801" s="537"/>
      <c r="R801" s="537"/>
      <c r="S801" s="537"/>
      <c r="T801" s="537"/>
      <c r="U801" s="545">
        <f>+V799+V792+V784+V775</f>
        <v>43451.51</v>
      </c>
      <c r="V801" s="546"/>
      <c r="Y801" s="429"/>
      <c r="Z801" s="430">
        <f>+Z799+Z792+Z784+Z775</f>
        <v>456240.9</v>
      </c>
      <c r="AA801" s="86"/>
      <c r="AB801" s="431">
        <f>+AB799+AB792+AB784+AB775</f>
        <v>456240.85500000004</v>
      </c>
      <c r="AC801" s="404">
        <f>+AB801-Z801</f>
        <v>-4.4999999983701855E-2</v>
      </c>
      <c r="AD801" s="94"/>
      <c r="AE801" s="432"/>
    </row>
    <row r="802" spans="3:31" s="260" customFormat="1" ht="15.75" thickBot="1" x14ac:dyDescent="0.3"/>
    <row r="803" spans="3:31" s="260" customFormat="1" x14ac:dyDescent="0.25">
      <c r="M803" s="547" t="s">
        <v>348</v>
      </c>
      <c r="N803" s="548"/>
      <c r="O803" s="548"/>
      <c r="P803" s="548"/>
      <c r="Q803" s="548"/>
      <c r="R803" s="548"/>
      <c r="S803" s="548"/>
      <c r="T803" s="548"/>
      <c r="U803" s="548"/>
      <c r="V803" s="549"/>
      <c r="Y803" s="378"/>
      <c r="Z803" s="121"/>
      <c r="AA803" s="86"/>
      <c r="AB803" s="94"/>
      <c r="AC803" s="94"/>
      <c r="AD803" s="94"/>
      <c r="AE803" s="126" t="s">
        <v>133</v>
      </c>
    </row>
    <row r="804" spans="3:31" s="260" customFormat="1" x14ac:dyDescent="0.25">
      <c r="M804" s="515" t="s">
        <v>138</v>
      </c>
      <c r="N804" s="516"/>
      <c r="O804" s="516"/>
      <c r="P804" s="516"/>
      <c r="Q804" s="516"/>
      <c r="R804" s="516"/>
      <c r="S804" s="516"/>
      <c r="T804" s="437">
        <v>0</v>
      </c>
      <c r="U804" s="517">
        <f>+ROUND(U801*T804,$AA$5)</f>
        <v>0</v>
      </c>
      <c r="V804" s="518"/>
      <c r="Y804" s="390"/>
      <c r="Z804" s="438">
        <f>+Z801*T804</f>
        <v>0</v>
      </c>
      <c r="AA804" s="86"/>
      <c r="AB804" s="94"/>
      <c r="AC804" s="94"/>
      <c r="AD804" s="94"/>
      <c r="AE804" s="386" t="s">
        <v>133</v>
      </c>
    </row>
    <row r="805" spans="3:31" s="260" customFormat="1" x14ac:dyDescent="0.25">
      <c r="M805" s="515" t="s">
        <v>19</v>
      </c>
      <c r="N805" s="516"/>
      <c r="O805" s="516"/>
      <c r="P805" s="516"/>
      <c r="Q805" s="516"/>
      <c r="R805" s="516"/>
      <c r="S805" s="516"/>
      <c r="T805" s="437">
        <v>0.05</v>
      </c>
      <c r="U805" s="517">
        <f>+ROUND(U801*T805,$AA$5)</f>
        <v>2172.58</v>
      </c>
      <c r="V805" s="518"/>
      <c r="Y805" s="390"/>
      <c r="Z805" s="438">
        <f>+Z801*T805</f>
        <v>22812.045000000002</v>
      </c>
      <c r="AA805" s="86"/>
      <c r="AB805" s="94"/>
      <c r="AC805" s="94"/>
      <c r="AD805" s="94"/>
      <c r="AE805" s="386" t="s">
        <v>133</v>
      </c>
    </row>
    <row r="806" spans="3:31" s="260" customFormat="1" x14ac:dyDescent="0.25">
      <c r="M806" s="515" t="s">
        <v>20</v>
      </c>
      <c r="N806" s="516"/>
      <c r="O806" s="516"/>
      <c r="P806" s="516"/>
      <c r="Q806" s="516"/>
      <c r="R806" s="516"/>
      <c r="S806" s="516"/>
      <c r="T806" s="437">
        <v>0</v>
      </c>
      <c r="U806" s="517">
        <f>+ROUND(U801*T806,$AA$5)</f>
        <v>0</v>
      </c>
      <c r="V806" s="518"/>
      <c r="Y806" s="390"/>
      <c r="Z806" s="438">
        <f>+Z801*T806</f>
        <v>0</v>
      </c>
      <c r="AA806" s="86"/>
      <c r="AB806" s="94"/>
      <c r="AC806" s="94"/>
      <c r="AD806" s="94"/>
      <c r="AE806" s="386" t="s">
        <v>133</v>
      </c>
    </row>
    <row r="807" spans="3:31" s="260" customFormat="1" x14ac:dyDescent="0.25">
      <c r="M807" s="515" t="s">
        <v>21</v>
      </c>
      <c r="N807" s="516"/>
      <c r="O807" s="516"/>
      <c r="P807" s="516"/>
      <c r="Q807" s="516"/>
      <c r="R807" s="516"/>
      <c r="S807" s="516"/>
      <c r="T807" s="437">
        <f>$AA$9</f>
        <v>0</v>
      </c>
      <c r="U807" s="517">
        <f>+ROUND(U801*T807,$AA$5)</f>
        <v>0</v>
      </c>
      <c r="V807" s="518"/>
      <c r="Y807" s="390"/>
      <c r="Z807" s="438">
        <f>+Z806*T807</f>
        <v>0</v>
      </c>
      <c r="AA807" s="86"/>
      <c r="AB807" s="94"/>
      <c r="AC807" s="94"/>
      <c r="AD807" s="94"/>
      <c r="AE807" s="386" t="s">
        <v>133</v>
      </c>
    </row>
    <row r="808" spans="3:31" s="260" customFormat="1" ht="15.75" thickBot="1" x14ac:dyDescent="0.3">
      <c r="M808" s="519" t="s">
        <v>349</v>
      </c>
      <c r="N808" s="520"/>
      <c r="O808" s="520"/>
      <c r="P808" s="520"/>
      <c r="Q808" s="520"/>
      <c r="R808" s="520"/>
      <c r="S808" s="520"/>
      <c r="T808" s="520"/>
      <c r="U808" s="521">
        <f>+SUM(U804:V807)</f>
        <v>2172.58</v>
      </c>
      <c r="V808" s="522"/>
      <c r="Y808" s="390"/>
      <c r="Z808" s="439">
        <f>+SUM(Z804:Z807)</f>
        <v>22812.045000000002</v>
      </c>
      <c r="AA808" s="86"/>
      <c r="AB808" s="94"/>
      <c r="AC808" s="94"/>
      <c r="AD808" s="94"/>
      <c r="AE808" s="386" t="s">
        <v>133</v>
      </c>
    </row>
    <row r="809" spans="3:31" s="260" customFormat="1" ht="15.75" thickBot="1" x14ac:dyDescent="0.3">
      <c r="D809" s="375" t="s">
        <v>128</v>
      </c>
      <c r="E809" s="376" t="s">
        <v>129</v>
      </c>
      <c r="F809" s="376" t="s">
        <v>130</v>
      </c>
      <c r="G809" s="376" t="s">
        <v>131</v>
      </c>
      <c r="H809" s="376" t="s">
        <v>132</v>
      </c>
      <c r="I809" s="376" t="s">
        <v>133</v>
      </c>
      <c r="J809" s="377" t="s">
        <v>134</v>
      </c>
      <c r="M809" s="86"/>
      <c r="N809" s="94"/>
      <c r="O809" s="94"/>
      <c r="P809" s="94"/>
      <c r="Q809" s="86"/>
      <c r="R809" s="86"/>
      <c r="S809" s="86"/>
      <c r="T809" s="440"/>
      <c r="U809" s="523"/>
      <c r="V809" s="523"/>
      <c r="Y809" s="390"/>
      <c r="Z809" s="385"/>
      <c r="AA809" s="86"/>
      <c r="AB809" s="94"/>
      <c r="AC809" s="94"/>
      <c r="AD809" s="94"/>
      <c r="AE809" s="386" t="s">
        <v>133</v>
      </c>
    </row>
    <row r="810" spans="3:31" s="260" customFormat="1" ht="15.75" thickBot="1" x14ac:dyDescent="0.3">
      <c r="D810" s="355"/>
      <c r="E810" s="367"/>
      <c r="F810" s="367"/>
      <c r="G810" s="367"/>
      <c r="H810" s="412"/>
      <c r="I810" s="412">
        <f>H801</f>
        <v>2.06</v>
      </c>
      <c r="J810" s="422"/>
      <c r="M810" s="524" t="s">
        <v>11</v>
      </c>
      <c r="N810" s="525"/>
      <c r="O810" s="525"/>
      <c r="P810" s="525"/>
      <c r="Q810" s="525"/>
      <c r="R810" s="525"/>
      <c r="S810" s="525"/>
      <c r="T810" s="526"/>
      <c r="U810" s="527">
        <f>+U808+U801</f>
        <v>45624.090000000004</v>
      </c>
      <c r="V810" s="528"/>
      <c r="Y810" s="429"/>
      <c r="Z810" s="441">
        <f>+Z808+Z801</f>
        <v>479052.94500000001</v>
      </c>
      <c r="AA810" s="86"/>
      <c r="AB810" s="94"/>
      <c r="AC810" s="94"/>
      <c r="AD810" s="94"/>
      <c r="AE810" s="405" t="s">
        <v>133</v>
      </c>
    </row>
    <row r="811" spans="3:31" s="260" customFormat="1" x14ac:dyDescent="0.25"/>
    <row r="812" spans="3:31" s="260" customFormat="1" ht="15.75" thickBot="1" x14ac:dyDescent="0.3"/>
    <row r="813" spans="3:31" s="260" customFormat="1" ht="15.75" thickBot="1" x14ac:dyDescent="0.3">
      <c r="M813" s="363" t="s">
        <v>88</v>
      </c>
      <c r="N813" s="436" t="str">
        <f>+N764</f>
        <v>CAP.2</v>
      </c>
      <c r="O813" s="550" t="str">
        <f>IFERROR(VLOOKUP(N813,PPTO!C:H,2,0),"----")</f>
        <v>RED HIDRAULICA</v>
      </c>
      <c r="P813" s="551"/>
      <c r="Q813" s="551"/>
      <c r="R813" s="551"/>
      <c r="S813" s="551"/>
      <c r="T813" s="551"/>
      <c r="U813" s="552"/>
      <c r="V813" s="74" t="s">
        <v>91</v>
      </c>
      <c r="Y813" s="365" t="s">
        <v>104</v>
      </c>
      <c r="Z813" s="94"/>
      <c r="AA813" s="188"/>
      <c r="AB813" s="553"/>
      <c r="AC813" s="553"/>
      <c r="AD813" s="553"/>
      <c r="AE813" s="94"/>
    </row>
    <row r="814" spans="3:31" s="260" customFormat="1" ht="15.75" thickBot="1" x14ac:dyDescent="0.3">
      <c r="C814" s="369">
        <f>+N814</f>
        <v>2.0699999999999998</v>
      </c>
      <c r="D814" s="86"/>
      <c r="E814" s="86"/>
      <c r="F814" s="86"/>
      <c r="G814" s="86"/>
      <c r="H814" s="86"/>
      <c r="I814" s="86"/>
      <c r="J814" s="86"/>
      <c r="K814" s="370"/>
      <c r="M814" s="75" t="s">
        <v>92</v>
      </c>
      <c r="N814" s="371">
        <f>+ROUNDUP(N765+0.01,2)</f>
        <v>2.0699999999999998</v>
      </c>
      <c r="O814" s="554" t="str">
        <f>IFERROR(VLOOKUP(N814,PPTO!C:H,2,0),"----")</f>
        <v>Tuberia PVC Ø2_1/2"</v>
      </c>
      <c r="P814" s="555"/>
      <c r="Q814" s="555"/>
      <c r="R814" s="555"/>
      <c r="S814" s="555"/>
      <c r="T814" s="555"/>
      <c r="U814" s="556"/>
      <c r="V814" s="76" t="str">
        <f>IFERROR(VLOOKUP(N814,PPTO!C:H,3,0),"----")</f>
        <v>ML</v>
      </c>
      <c r="Y814" s="373">
        <f>SUMIFS(PPTO!F:F,PPTO!C:C,APUS!N814)</f>
        <v>7</v>
      </c>
      <c r="Z814" s="94"/>
      <c r="AA814" s="86"/>
      <c r="AB814" s="94"/>
      <c r="AC814" s="94"/>
      <c r="AD814" s="94"/>
      <c r="AE814" s="94"/>
    </row>
    <row r="815" spans="3:31" s="260" customFormat="1" ht="15.75" thickBot="1" x14ac:dyDescent="0.3">
      <c r="C815" s="84"/>
      <c r="D815" s="86"/>
      <c r="E815" s="86"/>
      <c r="F815" s="86"/>
      <c r="G815" s="86"/>
      <c r="H815" s="86"/>
      <c r="I815" s="86"/>
      <c r="J815" s="86"/>
      <c r="K815" s="88"/>
      <c r="M815" s="557"/>
      <c r="N815" s="557"/>
      <c r="O815" s="557"/>
      <c r="P815" s="557"/>
      <c r="Q815" s="557"/>
      <c r="R815" s="557"/>
      <c r="S815" s="557"/>
      <c r="T815" s="557"/>
      <c r="U815" s="557"/>
      <c r="V815" s="557"/>
      <c r="Y815" s="374"/>
      <c r="Z815" s="94"/>
      <c r="AA815" s="86"/>
      <c r="AB815" s="94"/>
      <c r="AC815" s="94"/>
      <c r="AD815" s="94"/>
      <c r="AE815" s="94"/>
    </row>
    <row r="816" spans="3:31" s="260" customFormat="1" ht="15.75" thickBot="1" x14ac:dyDescent="0.3">
      <c r="C816" s="84"/>
      <c r="D816" s="375" t="s">
        <v>128</v>
      </c>
      <c r="E816" s="376" t="s">
        <v>129</v>
      </c>
      <c r="F816" s="376" t="s">
        <v>130</v>
      </c>
      <c r="G816" s="376" t="s">
        <v>131</v>
      </c>
      <c r="H816" s="376" t="s">
        <v>132</v>
      </c>
      <c r="I816" s="376" t="s">
        <v>133</v>
      </c>
      <c r="J816" s="377" t="s">
        <v>134</v>
      </c>
      <c r="K816" s="88"/>
      <c r="M816" s="558" t="s">
        <v>93</v>
      </c>
      <c r="N816" s="559"/>
      <c r="O816" s="559"/>
      <c r="P816" s="559"/>
      <c r="Q816" s="559"/>
      <c r="R816" s="559"/>
      <c r="S816" s="559"/>
      <c r="T816" s="559"/>
      <c r="U816" s="559"/>
      <c r="V816" s="560"/>
      <c r="Y816" s="378"/>
      <c r="Z816" s="121"/>
      <c r="AA816" s="86"/>
      <c r="AB816" s="513"/>
      <c r="AC816" s="514"/>
      <c r="AD816" s="94"/>
      <c r="AE816" s="379"/>
    </row>
    <row r="817" spans="3:31" s="260" customFormat="1" x14ac:dyDescent="0.25">
      <c r="C817" s="84"/>
      <c r="D817" s="380"/>
      <c r="E817" s="381"/>
      <c r="F817" s="381"/>
      <c r="G817" s="381"/>
      <c r="H817" s="381"/>
      <c r="I817" s="381"/>
      <c r="J817" s="382"/>
      <c r="K817" s="88"/>
      <c r="M817" s="99" t="s">
        <v>94</v>
      </c>
      <c r="N817" s="561" t="s">
        <v>95</v>
      </c>
      <c r="O817" s="561"/>
      <c r="P817" s="561"/>
      <c r="Q817" s="561"/>
      <c r="R817" s="95" t="s">
        <v>96</v>
      </c>
      <c r="S817" s="95" t="s">
        <v>97</v>
      </c>
      <c r="T817" s="562" t="s">
        <v>8</v>
      </c>
      <c r="U817" s="562"/>
      <c r="V817" s="100" t="s">
        <v>98</v>
      </c>
      <c r="Y817" s="383" t="s">
        <v>104</v>
      </c>
      <c r="Z817" s="119" t="s">
        <v>9</v>
      </c>
      <c r="AA817" s="86"/>
      <c r="AB817" s="384"/>
      <c r="AC817" s="385"/>
      <c r="AD817" s="94"/>
      <c r="AE817" s="386"/>
    </row>
    <row r="818" spans="3:31" s="260" customFormat="1" x14ac:dyDescent="0.25">
      <c r="C818" s="84"/>
      <c r="D818" s="85"/>
      <c r="E818" s="86"/>
      <c r="F818" s="86"/>
      <c r="G818" s="86"/>
      <c r="H818" s="86"/>
      <c r="I818" s="86"/>
      <c r="J818" s="87"/>
      <c r="K818" s="88"/>
      <c r="M818" s="102"/>
      <c r="N818" s="533" t="s">
        <v>99</v>
      </c>
      <c r="O818" s="533"/>
      <c r="P818" s="533"/>
      <c r="Q818" s="533"/>
      <c r="R818" s="78" t="s">
        <v>100</v>
      </c>
      <c r="S818" s="387">
        <f>+$AA$10</f>
        <v>0.05</v>
      </c>
      <c r="T818" s="563">
        <f>V848</f>
        <v>14593.9</v>
      </c>
      <c r="U818" s="563"/>
      <c r="V818" s="389">
        <f>+IFERROR(T818*S818,0)</f>
        <v>729.69500000000005</v>
      </c>
      <c r="Y818" s="390"/>
      <c r="Z818" s="391">
        <f>Y814*V818</f>
        <v>5107.8650000000007</v>
      </c>
      <c r="AA818" s="86"/>
      <c r="AB818" s="384"/>
      <c r="AC818" s="385"/>
      <c r="AD818" s="94"/>
      <c r="AE818" s="386" t="str">
        <f>+IF(V818=0,"CERO","NO")</f>
        <v>NO</v>
      </c>
    </row>
    <row r="819" spans="3:31" s="260" customFormat="1" x14ac:dyDescent="0.25">
      <c r="C819" s="84"/>
      <c r="D819" s="85"/>
      <c r="E819" s="86"/>
      <c r="F819" s="86"/>
      <c r="G819" s="86"/>
      <c r="H819" s="86"/>
      <c r="I819" s="86"/>
      <c r="J819" s="87"/>
      <c r="K819" s="88"/>
      <c r="M819" s="106"/>
      <c r="N819" s="533" t="str">
        <f>IFERROR(VLOOKUP(M819,INSUMOS!$C$8:$K$928,2,0),"-----")</f>
        <v>-----</v>
      </c>
      <c r="O819" s="533"/>
      <c r="P819" s="533"/>
      <c r="Q819" s="533"/>
      <c r="R819" s="78" t="str">
        <f>IFERROR(VLOOKUP(M819,INSUMOS!$C$8:$K$928,6,0),"-----")</f>
        <v>-----</v>
      </c>
      <c r="S819" s="392"/>
      <c r="T819" s="529" t="str">
        <f>IFERROR(VLOOKUP(M819,INSUMOS!$C$8:$K$928,7,0),"0")</f>
        <v>0</v>
      </c>
      <c r="U819" s="529"/>
      <c r="V819" s="389">
        <f>+IFERROR(T819*S819,0)</f>
        <v>0</v>
      </c>
      <c r="Y819" s="393">
        <f>+IFERROR(Y814*S819,0)</f>
        <v>0</v>
      </c>
      <c r="Z819" s="391">
        <f>Y814*V819</f>
        <v>0</v>
      </c>
      <c r="AA819" s="394"/>
      <c r="AB819" s="395">
        <f>+Y819*T819</f>
        <v>0</v>
      </c>
      <c r="AC819" s="93">
        <f>+AB819-Z819</f>
        <v>0</v>
      </c>
      <c r="AD819" s="94"/>
      <c r="AE819" s="386" t="str">
        <f>+IF(V819=0,"CERO","NO")</f>
        <v>CERO</v>
      </c>
    </row>
    <row r="820" spans="3:31" s="260" customFormat="1" x14ac:dyDescent="0.25">
      <c r="C820" s="84"/>
      <c r="D820" s="85"/>
      <c r="E820" s="86"/>
      <c r="F820" s="86"/>
      <c r="G820" s="86"/>
      <c r="H820" s="86"/>
      <c r="I820" s="86"/>
      <c r="J820" s="87"/>
      <c r="K820" s="88"/>
      <c r="M820" s="102">
        <v>0</v>
      </c>
      <c r="N820" s="533"/>
      <c r="O820" s="533"/>
      <c r="P820" s="533"/>
      <c r="Q820" s="533"/>
      <c r="R820" s="78"/>
      <c r="S820" s="396"/>
      <c r="T820" s="529"/>
      <c r="U820" s="529"/>
      <c r="V820" s="397"/>
      <c r="Y820" s="393">
        <f>+IFERROR(Y814*S820,0)</f>
        <v>0</v>
      </c>
      <c r="Z820" s="391">
        <f>Y814*V820</f>
        <v>0</v>
      </c>
      <c r="AA820" s="394"/>
      <c r="AB820" s="395">
        <f>+Y820*T820</f>
        <v>0</v>
      </c>
      <c r="AC820" s="93">
        <f>+AB820-Z820</f>
        <v>0</v>
      </c>
      <c r="AD820" s="94"/>
      <c r="AE820" s="386" t="str">
        <f>+IF(V820=0,"CERO","NO")</f>
        <v>CERO</v>
      </c>
    </row>
    <row r="821" spans="3:31" s="260" customFormat="1" x14ac:dyDescent="0.25">
      <c r="C821" s="84"/>
      <c r="D821" s="85"/>
      <c r="E821" s="86"/>
      <c r="F821" s="86"/>
      <c r="G821" s="86"/>
      <c r="H821" s="86"/>
      <c r="I821" s="86"/>
      <c r="J821" s="87"/>
      <c r="K821" s="88"/>
      <c r="M821" s="102">
        <v>0</v>
      </c>
      <c r="N821" s="533"/>
      <c r="O821" s="533"/>
      <c r="P821" s="533"/>
      <c r="Q821" s="533"/>
      <c r="R821" s="78"/>
      <c r="S821" s="396"/>
      <c r="T821" s="529"/>
      <c r="U821" s="529"/>
      <c r="V821" s="397"/>
      <c r="Y821" s="393">
        <f>+IFERROR(Y814*S821,0)</f>
        <v>0</v>
      </c>
      <c r="Z821" s="391">
        <f>Y814*V821</f>
        <v>0</v>
      </c>
      <c r="AA821" s="394"/>
      <c r="AB821" s="395">
        <f>+Y821*T821</f>
        <v>0</v>
      </c>
      <c r="AC821" s="93">
        <f>+AB821-Z821</f>
        <v>0</v>
      </c>
      <c r="AD821" s="94"/>
      <c r="AE821" s="386" t="str">
        <f>+IF(V821=0,"CERO","NO")</f>
        <v>CERO</v>
      </c>
    </row>
    <row r="822" spans="3:31" s="260" customFormat="1" ht="15.75" thickBot="1" x14ac:dyDescent="0.3">
      <c r="C822" s="84"/>
      <c r="D822" s="85"/>
      <c r="E822" s="86"/>
      <c r="F822" s="86"/>
      <c r="G822" s="86"/>
      <c r="H822" s="86"/>
      <c r="I822" s="86"/>
      <c r="J822" s="87"/>
      <c r="K822" s="88"/>
      <c r="M822" s="102">
        <v>0</v>
      </c>
      <c r="N822" s="564"/>
      <c r="O822" s="564"/>
      <c r="P822" s="564"/>
      <c r="Q822" s="564"/>
      <c r="R822" s="96"/>
      <c r="S822" s="96"/>
      <c r="T822" s="565"/>
      <c r="U822" s="565"/>
      <c r="V822" s="101"/>
      <c r="Y822" s="393">
        <f>+IFERROR(Y814*S822,0)</f>
        <v>0</v>
      </c>
      <c r="Z822" s="391">
        <f>Y814*V822</f>
        <v>0</v>
      </c>
      <c r="AA822" s="394"/>
      <c r="AB822" s="395">
        <f>+Y822*T822</f>
        <v>0</v>
      </c>
      <c r="AC822" s="93">
        <f>+AB822-Z822</f>
        <v>0</v>
      </c>
      <c r="AD822" s="94"/>
      <c r="AE822" s="386" t="str">
        <f>+IF(V822=0,"CERO","NO")</f>
        <v>CERO</v>
      </c>
    </row>
    <row r="823" spans="3:31" s="260" customFormat="1" ht="15.75" thickBot="1" x14ac:dyDescent="0.3">
      <c r="C823" s="84"/>
      <c r="D823" s="375" t="s">
        <v>128</v>
      </c>
      <c r="E823" s="376" t="s">
        <v>129</v>
      </c>
      <c r="F823" s="376" t="s">
        <v>130</v>
      </c>
      <c r="G823" s="376" t="s">
        <v>131</v>
      </c>
      <c r="H823" s="376" t="s">
        <v>132</v>
      </c>
      <c r="I823" s="376" t="s">
        <v>133</v>
      </c>
      <c r="J823" s="377" t="s">
        <v>134</v>
      </c>
      <c r="K823" s="88"/>
      <c r="M823" s="534"/>
      <c r="N823" s="536" t="s">
        <v>101</v>
      </c>
      <c r="O823" s="536"/>
      <c r="P823" s="536"/>
      <c r="Q823" s="536"/>
      <c r="R823" s="536"/>
      <c r="S823" s="536"/>
      <c r="T823" s="536"/>
      <c r="U823" s="536"/>
      <c r="V823" s="389">
        <f>+SUM(V818:V822)</f>
        <v>729.69500000000005</v>
      </c>
      <c r="Y823" s="398" t="s">
        <v>135</v>
      </c>
      <c r="Z823" s="397">
        <f>+SUM(Z818:Z822)</f>
        <v>5107.8650000000007</v>
      </c>
      <c r="AA823" s="86"/>
      <c r="AB823" s="384"/>
      <c r="AC823" s="385"/>
      <c r="AD823" s="94"/>
      <c r="AE823" s="399"/>
    </row>
    <row r="824" spans="3:31" s="260" customFormat="1" ht="15.75" thickBot="1" x14ac:dyDescent="0.3">
      <c r="C824" s="84"/>
      <c r="D824" s="375">
        <f>C814</f>
        <v>2.0699999999999998</v>
      </c>
      <c r="E824" s="376"/>
      <c r="F824" s="376"/>
      <c r="G824" s="376"/>
      <c r="H824" s="376"/>
      <c r="I824" s="376"/>
      <c r="J824" s="377"/>
      <c r="K824" s="88"/>
      <c r="M824" s="566"/>
      <c r="N824" s="567" t="s">
        <v>102</v>
      </c>
      <c r="O824" s="567"/>
      <c r="P824" s="567"/>
      <c r="Q824" s="567"/>
      <c r="R824" s="567"/>
      <c r="S824" s="567"/>
      <c r="T824" s="567"/>
      <c r="U824" s="567"/>
      <c r="V824" s="400">
        <f>+ROUND(V823,$AA$5)</f>
        <v>729.7</v>
      </c>
      <c r="Y824" s="401" t="s">
        <v>136</v>
      </c>
      <c r="Z824" s="402">
        <f>+ROUND(Z823,$AA$5)</f>
        <v>5107.87</v>
      </c>
      <c r="AA824" s="86"/>
      <c r="AB824" s="403">
        <f>+V824*Y814</f>
        <v>5107.9000000000005</v>
      </c>
      <c r="AC824" s="404">
        <f>+AB824-Z824</f>
        <v>3.0000000000654836E-2</v>
      </c>
      <c r="AD824" s="94"/>
      <c r="AE824" s="405"/>
    </row>
    <row r="825" spans="3:31" s="260" customFormat="1" x14ac:dyDescent="0.25">
      <c r="C825" s="84"/>
      <c r="D825" s="380"/>
      <c r="E825" s="381"/>
      <c r="F825" s="381"/>
      <c r="G825" s="381"/>
      <c r="H825" s="381"/>
      <c r="I825" s="381"/>
      <c r="J825" s="382"/>
      <c r="K825" s="88"/>
      <c r="M825" s="510" t="s">
        <v>103</v>
      </c>
      <c r="N825" s="511"/>
      <c r="O825" s="511"/>
      <c r="P825" s="511"/>
      <c r="Q825" s="511"/>
      <c r="R825" s="511"/>
      <c r="S825" s="511"/>
      <c r="T825" s="511"/>
      <c r="U825" s="511"/>
      <c r="V825" s="512"/>
      <c r="Y825" s="378"/>
      <c r="Z825" s="121"/>
      <c r="AA825" s="86"/>
      <c r="AB825" s="513"/>
      <c r="AC825" s="514"/>
      <c r="AD825" s="94"/>
      <c r="AE825" s="126"/>
    </row>
    <row r="826" spans="3:31" s="260" customFormat="1" x14ac:dyDescent="0.25">
      <c r="C826" s="84"/>
      <c r="D826" s="85"/>
      <c r="E826" s="86"/>
      <c r="F826" s="86"/>
      <c r="G826" s="86"/>
      <c r="H826" s="86"/>
      <c r="I826" s="86"/>
      <c r="J826" s="87"/>
      <c r="K826" s="88"/>
      <c r="M826" s="99" t="s">
        <v>94</v>
      </c>
      <c r="N826" s="561" t="s">
        <v>95</v>
      </c>
      <c r="O826" s="561"/>
      <c r="P826" s="561"/>
      <c r="Q826" s="561"/>
      <c r="R826" s="95" t="s">
        <v>96</v>
      </c>
      <c r="S826" s="95" t="s">
        <v>104</v>
      </c>
      <c r="T826" s="356" t="s">
        <v>105</v>
      </c>
      <c r="U826" s="356" t="s">
        <v>8</v>
      </c>
      <c r="V826" s="100" t="s">
        <v>98</v>
      </c>
      <c r="Y826" s="383" t="s">
        <v>104</v>
      </c>
      <c r="Z826" s="119" t="s">
        <v>9</v>
      </c>
      <c r="AA826" s="86"/>
      <c r="AB826" s="384"/>
      <c r="AC826" s="385"/>
      <c r="AD826" s="94"/>
      <c r="AE826" s="406"/>
    </row>
    <row r="827" spans="3:31" s="260" customFormat="1" x14ac:dyDescent="0.25">
      <c r="C827" s="84"/>
      <c r="D827" s="85"/>
      <c r="E827" s="86"/>
      <c r="F827" s="86"/>
      <c r="G827" s="86"/>
      <c r="H827" s="86"/>
      <c r="I827" s="86"/>
      <c r="J827" s="87"/>
      <c r="K827" s="88"/>
      <c r="M827" s="102">
        <v>688</v>
      </c>
      <c r="N827" s="533" t="str">
        <f>IFERROR(VLOOKUP(M827,INSUMOS!$C$8:$K$928,2,0),"-----")</f>
        <v>TUBO PVC-P 2 1/2" RDE 21</v>
      </c>
      <c r="O827" s="533"/>
      <c r="P827" s="533"/>
      <c r="Q827" s="533"/>
      <c r="R827" s="78" t="str">
        <f>IFERROR(VLOOKUP(M827,INSUMOS!$C$8:$K$928,6,0),"-----")</f>
        <v>ml</v>
      </c>
      <c r="S827" s="396">
        <v>1</v>
      </c>
      <c r="T827" s="387">
        <v>0.02</v>
      </c>
      <c r="U827" s="388">
        <f>IFERROR(VLOOKUP(M827,INSUMOS!$C$8:$K$928,7,0),"0")</f>
        <v>44608</v>
      </c>
      <c r="V827" s="389">
        <f>+IFERROR(U827*(S827*(1+T827)),0)</f>
        <v>45500.160000000003</v>
      </c>
      <c r="Y827" s="393">
        <f>+IFERROR(Y814*(S827*(1+T827)),0)</f>
        <v>7.1400000000000006</v>
      </c>
      <c r="Z827" s="391">
        <f>Y814*V827</f>
        <v>318501.12</v>
      </c>
      <c r="AA827" s="394"/>
      <c r="AB827" s="395">
        <f>+Y827*U827</f>
        <v>318501.12000000005</v>
      </c>
      <c r="AC827" s="93">
        <f>+AB827-Z827</f>
        <v>0</v>
      </c>
      <c r="AD827" s="94"/>
      <c r="AE827" s="406" t="str">
        <f>+IF(V827=0,"CERO","NO")</f>
        <v>NO</v>
      </c>
    </row>
    <row r="828" spans="3:31" s="260" customFormat="1" x14ac:dyDescent="0.25">
      <c r="C828" s="84"/>
      <c r="D828" s="85"/>
      <c r="E828" s="86"/>
      <c r="F828" s="86"/>
      <c r="G828" s="86"/>
      <c r="H828" s="86"/>
      <c r="I828" s="86"/>
      <c r="J828" s="87"/>
      <c r="K828" s="88"/>
      <c r="M828" s="102">
        <v>699</v>
      </c>
      <c r="N828" s="533" t="str">
        <f>IFERROR(VLOOKUP(M828,INSUMOS!$C$8:$K$928,2,0),"-----")</f>
        <v>SOLDADURA PVC LIQUIDA 1/4"</v>
      </c>
      <c r="O828" s="533"/>
      <c r="P828" s="533"/>
      <c r="Q828" s="533"/>
      <c r="R828" s="78" t="str">
        <f>IFERROR(VLOOKUP(M828,INSUMOS!$C$8:$K$928,6,0),"-----")</f>
        <v>und</v>
      </c>
      <c r="S828" s="396">
        <v>0.03</v>
      </c>
      <c r="T828" s="387">
        <v>0.02</v>
      </c>
      <c r="U828" s="388">
        <f>IFERROR(VLOOKUP(M828,INSUMOS!$C$8:$K$928,7,0),"0")</f>
        <v>146569</v>
      </c>
      <c r="V828" s="389">
        <f>+IFERROR(U828*(S828*(1+T828)),0)</f>
        <v>4485.0113999999994</v>
      </c>
      <c r="Y828" s="393">
        <f>+IFERROR(Y814*(S828*(1+T828)),0)</f>
        <v>0.2142</v>
      </c>
      <c r="Z828" s="391">
        <f>Y814*V828</f>
        <v>31395.079799999996</v>
      </c>
      <c r="AA828" s="394"/>
      <c r="AB828" s="395">
        <f>+Y828*U828</f>
        <v>31395.0798</v>
      </c>
      <c r="AC828" s="93">
        <f>+AB828-Z828</f>
        <v>0</v>
      </c>
      <c r="AD828" s="94"/>
      <c r="AE828" s="406" t="str">
        <f>+IF(V828=0,"CERO","NO")</f>
        <v>NO</v>
      </c>
    </row>
    <row r="829" spans="3:31" s="260" customFormat="1" x14ac:dyDescent="0.25">
      <c r="C829" s="84"/>
      <c r="D829" s="85"/>
      <c r="E829" s="86"/>
      <c r="F829" s="86"/>
      <c r="G829" s="86"/>
      <c r="H829" s="86"/>
      <c r="I829" s="86"/>
      <c r="J829" s="87"/>
      <c r="K829" s="88"/>
      <c r="M829" s="102">
        <v>700</v>
      </c>
      <c r="N829" s="533" t="str">
        <f>IFERROR(VLOOKUP(M829,INSUMOS!$C$8:$K$928,2,0),"-----")</f>
        <v>LIMPIADOR PVC 1/4</v>
      </c>
      <c r="O829" s="533"/>
      <c r="P829" s="533"/>
      <c r="Q829" s="533"/>
      <c r="R829" s="78" t="str">
        <f>IFERROR(VLOOKUP(M829,INSUMOS!$C$8:$K$928,6,0),"-----")</f>
        <v>und</v>
      </c>
      <c r="S829" s="396">
        <v>0.03</v>
      </c>
      <c r="T829" s="387">
        <v>0.02</v>
      </c>
      <c r="U829" s="388">
        <f>IFERROR(VLOOKUP(M829,INSUMOS!$C$8:$K$928,7,0),"0")</f>
        <v>65913</v>
      </c>
      <c r="V829" s="389">
        <f>+IFERROR(U829*(S829*(1+T829)),0)</f>
        <v>2016.9377999999999</v>
      </c>
      <c r="Y829" s="393">
        <f>+IFERROR(Y814*(S829*(1+T829)),0)</f>
        <v>0.2142</v>
      </c>
      <c r="Z829" s="391">
        <f>Y814*V829</f>
        <v>14118.5646</v>
      </c>
      <c r="AA829" s="394"/>
      <c r="AB829" s="395">
        <f>+Y829*U829</f>
        <v>14118.5646</v>
      </c>
      <c r="AC829" s="93">
        <f>+AB829-Z829</f>
        <v>0</v>
      </c>
      <c r="AD829" s="94"/>
      <c r="AE829" s="406" t="str">
        <f>+IF(V829=0,"CERO","NO")</f>
        <v>NO</v>
      </c>
    </row>
    <row r="830" spans="3:31" s="260" customFormat="1" x14ac:dyDescent="0.25">
      <c r="C830" s="84"/>
      <c r="D830" s="85"/>
      <c r="E830" s="86"/>
      <c r="F830" s="86"/>
      <c r="G830" s="86"/>
      <c r="H830" s="86"/>
      <c r="I830" s="86"/>
      <c r="J830" s="87"/>
      <c r="K830" s="88"/>
      <c r="M830" s="102">
        <v>0</v>
      </c>
      <c r="N830" s="533" t="str">
        <f>IFERROR(VLOOKUP(M830,INSUMOS!$C$8:$K$928,2,0),"-----")</f>
        <v>-----</v>
      </c>
      <c r="O830" s="533"/>
      <c r="P830" s="533"/>
      <c r="Q830" s="533"/>
      <c r="R830" s="78" t="str">
        <f>IFERROR(VLOOKUP(M830,INSUMOS!$C$8:$K$928,6,0),"-----")</f>
        <v>-----</v>
      </c>
      <c r="S830" s="396"/>
      <c r="T830" s="387"/>
      <c r="U830" s="388" t="str">
        <f>IFERROR(VLOOKUP(M830,INSUMOS!$C$8:$K$928,7,0),"0")</f>
        <v>0</v>
      </c>
      <c r="V830" s="389">
        <f>+IFERROR(U830*(S830*(1+T830)),0)</f>
        <v>0</v>
      </c>
      <c r="Y830" s="393">
        <f>+IFERROR(Y814*(S830*(1+T830)),0)</f>
        <v>0</v>
      </c>
      <c r="Z830" s="391">
        <f>Y814*V830</f>
        <v>0</v>
      </c>
      <c r="AA830" s="394"/>
      <c r="AB830" s="395">
        <f>+Y830*U830</f>
        <v>0</v>
      </c>
      <c r="AC830" s="93">
        <f>+AB830-Z830</f>
        <v>0</v>
      </c>
      <c r="AD830" s="94"/>
      <c r="AE830" s="406" t="str">
        <f>+IF(V830=0,"CERO","NO")</f>
        <v>CERO</v>
      </c>
    </row>
    <row r="831" spans="3:31" s="260" customFormat="1" ht="15.75" thickBot="1" x14ac:dyDescent="0.3">
      <c r="C831" s="84"/>
      <c r="D831" s="85"/>
      <c r="E831" s="86"/>
      <c r="F831" s="86"/>
      <c r="G831" s="86"/>
      <c r="H831" s="86"/>
      <c r="I831" s="86"/>
      <c r="J831" s="87"/>
      <c r="K831" s="88"/>
      <c r="M831" s="102">
        <v>0</v>
      </c>
      <c r="N831" s="564"/>
      <c r="O831" s="564"/>
      <c r="P831" s="564"/>
      <c r="Q831" s="564"/>
      <c r="R831" s="96"/>
      <c r="S831" s="79"/>
      <c r="T831" s="97"/>
      <c r="U831" s="358"/>
      <c r="V831" s="397"/>
      <c r="Y831" s="393">
        <f>+IFERROR(Y814*(S831*(1+T831)),0)</f>
        <v>0</v>
      </c>
      <c r="Z831" s="391">
        <f>Y814*V831</f>
        <v>0</v>
      </c>
      <c r="AA831" s="394"/>
      <c r="AB831" s="395">
        <f>+Y831*U831</f>
        <v>0</v>
      </c>
      <c r="AC831" s="93">
        <f>+AB831-Z831</f>
        <v>0</v>
      </c>
      <c r="AD831" s="94"/>
      <c r="AE831" s="406" t="str">
        <f>+IF(V831=0,"CERO","NO")</f>
        <v>CERO</v>
      </c>
    </row>
    <row r="832" spans="3:31" s="260" customFormat="1" ht="15.75" thickBot="1" x14ac:dyDescent="0.3">
      <c r="C832" s="84"/>
      <c r="D832" s="375" t="s">
        <v>128</v>
      </c>
      <c r="E832" s="376" t="s">
        <v>129</v>
      </c>
      <c r="F832" s="376" t="s">
        <v>130</v>
      </c>
      <c r="G832" s="376" t="s">
        <v>131</v>
      </c>
      <c r="H832" s="376" t="s">
        <v>132</v>
      </c>
      <c r="I832" s="376" t="s">
        <v>133</v>
      </c>
      <c r="J832" s="377" t="s">
        <v>134</v>
      </c>
      <c r="K832" s="88"/>
      <c r="M832" s="534"/>
      <c r="N832" s="536" t="s">
        <v>106</v>
      </c>
      <c r="O832" s="536"/>
      <c r="P832" s="536"/>
      <c r="Q832" s="536"/>
      <c r="R832" s="536"/>
      <c r="S832" s="536"/>
      <c r="T832" s="536"/>
      <c r="U832" s="536"/>
      <c r="V832" s="389">
        <f>+SUM(V827:V831)</f>
        <v>52002.109200000006</v>
      </c>
      <c r="Y832" s="398" t="s">
        <v>135</v>
      </c>
      <c r="Z832" s="397">
        <f>+SUM(Z827:Z831)</f>
        <v>364014.76439999999</v>
      </c>
      <c r="AA832" s="86"/>
      <c r="AB832" s="384"/>
      <c r="AC832" s="385"/>
      <c r="AD832" s="94"/>
      <c r="AE832" s="399"/>
    </row>
    <row r="833" spans="3:31" s="260" customFormat="1" ht="15.75" thickBot="1" x14ac:dyDescent="0.3">
      <c r="C833" s="84"/>
      <c r="D833" s="375"/>
      <c r="E833" s="407">
        <f>+D824</f>
        <v>2.0699999999999998</v>
      </c>
      <c r="F833" s="376"/>
      <c r="G833" s="376"/>
      <c r="H833" s="376"/>
      <c r="I833" s="376"/>
      <c r="J833" s="377"/>
      <c r="K833" s="88"/>
      <c r="M833" s="535"/>
      <c r="N833" s="537" t="s">
        <v>107</v>
      </c>
      <c r="O833" s="537"/>
      <c r="P833" s="537"/>
      <c r="Q833" s="537"/>
      <c r="R833" s="537"/>
      <c r="S833" s="537"/>
      <c r="T833" s="537"/>
      <c r="U833" s="537"/>
      <c r="V833" s="408">
        <f>+ROUND(V832,$AA$5)</f>
        <v>52002.11</v>
      </c>
      <c r="Y833" s="401" t="s">
        <v>136</v>
      </c>
      <c r="Z833" s="402">
        <f>+ROUND(Z832,$AA$5)</f>
        <v>364014.76</v>
      </c>
      <c r="AA833" s="86"/>
      <c r="AB833" s="403">
        <f>+V833*Y814</f>
        <v>364014.77</v>
      </c>
      <c r="AC833" s="404">
        <f>+AB833-Z833</f>
        <v>1.0000000009313226E-2</v>
      </c>
      <c r="AD833" s="94"/>
      <c r="AE833" s="405"/>
    </row>
    <row r="834" spans="3:31" s="260" customFormat="1" x14ac:dyDescent="0.25">
      <c r="C834" s="84"/>
      <c r="D834" s="380"/>
      <c r="E834" s="381"/>
      <c r="F834" s="381"/>
      <c r="G834" s="381"/>
      <c r="H834" s="381"/>
      <c r="I834" s="381"/>
      <c r="J834" s="382"/>
      <c r="K834" s="88"/>
      <c r="M834" s="568" t="s">
        <v>108</v>
      </c>
      <c r="N834" s="569"/>
      <c r="O834" s="569"/>
      <c r="P834" s="569"/>
      <c r="Q834" s="569"/>
      <c r="R834" s="569"/>
      <c r="S834" s="569"/>
      <c r="T834" s="569"/>
      <c r="U834" s="569"/>
      <c r="V834" s="570"/>
      <c r="Y834" s="378"/>
      <c r="Z834" s="121"/>
      <c r="AA834" s="86"/>
      <c r="AB834" s="409"/>
      <c r="AC834" s="121"/>
      <c r="AD834" s="94"/>
      <c r="AE834" s="126"/>
    </row>
    <row r="835" spans="3:31" s="260" customFormat="1" ht="25.5" x14ac:dyDescent="0.25">
      <c r="C835" s="84"/>
      <c r="D835" s="85"/>
      <c r="E835" s="86"/>
      <c r="F835" s="86"/>
      <c r="G835" s="86"/>
      <c r="H835" s="86"/>
      <c r="I835" s="86"/>
      <c r="J835" s="87"/>
      <c r="K835" s="88"/>
      <c r="M835" s="99" t="s">
        <v>94</v>
      </c>
      <c r="N835" s="561" t="s">
        <v>95</v>
      </c>
      <c r="O835" s="561"/>
      <c r="P835" s="561"/>
      <c r="Q835" s="95" t="s">
        <v>109</v>
      </c>
      <c r="R835" s="95" t="s">
        <v>110</v>
      </c>
      <c r="S835" s="95" t="s">
        <v>111</v>
      </c>
      <c r="T835" s="562" t="s">
        <v>112</v>
      </c>
      <c r="U835" s="562"/>
      <c r="V835" s="100" t="s">
        <v>98</v>
      </c>
      <c r="Y835" s="383" t="s">
        <v>104</v>
      </c>
      <c r="Z835" s="119" t="s">
        <v>9</v>
      </c>
      <c r="AA835" s="86"/>
      <c r="AB835" s="384"/>
      <c r="AC835" s="385"/>
      <c r="AD835" s="94"/>
      <c r="AE835" s="410"/>
    </row>
    <row r="836" spans="3:31" s="260" customFormat="1" x14ac:dyDescent="0.25">
      <c r="C836" s="84"/>
      <c r="D836" s="85"/>
      <c r="E836" s="86"/>
      <c r="F836" s="86"/>
      <c r="G836" s="86"/>
      <c r="H836" s="86"/>
      <c r="I836" s="86"/>
      <c r="J836" s="87"/>
      <c r="K836" s="88"/>
      <c r="M836" s="102">
        <v>129</v>
      </c>
      <c r="N836" s="530" t="str">
        <f>IFERROR(VLOOKUP(M836,INSUMOS!$C$8:$K$928,2,0),"-----")</f>
        <v>transporte materiales en general</v>
      </c>
      <c r="O836" s="531"/>
      <c r="P836" s="532"/>
      <c r="Q836" s="78" t="str">
        <f>IFERROR(VLOOKUP(M836,INSUMOS!$C$8:$K$928,5,0),"-----")</f>
        <v>Km</v>
      </c>
      <c r="R836" s="80">
        <v>1</v>
      </c>
      <c r="S836" s="80">
        <f>IFERROR(VLOOKUP(M836,INSUMOS!$C$8:$K$928,6,0),"0")</f>
        <v>348</v>
      </c>
      <c r="T836" s="529">
        <f>IFERROR(VLOOKUP(M836,INSUMOS!$C$8:$K$928,7,0),"0")</f>
        <v>0.99776362060288992</v>
      </c>
      <c r="U836" s="529"/>
      <c r="V836" s="82">
        <f>+T836*S836*R836</f>
        <v>347.2217399698057</v>
      </c>
      <c r="Y836" s="393">
        <f>+IFERROR((R836*S836)*Y814,0)</f>
        <v>2436</v>
      </c>
      <c r="Z836" s="391">
        <f>Y814*V836</f>
        <v>2430.5521797886399</v>
      </c>
      <c r="AA836" s="86"/>
      <c r="AB836" s="92">
        <f>+Y836*T836</f>
        <v>2430.5521797886399</v>
      </c>
      <c r="AC836" s="93">
        <f>+AB836-Z836</f>
        <v>0</v>
      </c>
      <c r="AD836" s="94"/>
      <c r="AE836" s="406" t="str">
        <f>+IF(V836=0,"CERO","NO")</f>
        <v>NO</v>
      </c>
    </row>
    <row r="837" spans="3:31" s="260" customFormat="1" x14ac:dyDescent="0.25">
      <c r="C837" s="84"/>
      <c r="D837" s="85"/>
      <c r="E837" s="86"/>
      <c r="F837" s="86"/>
      <c r="G837" s="86"/>
      <c r="H837" s="86"/>
      <c r="I837" s="86"/>
      <c r="J837" s="87"/>
      <c r="K837" s="88"/>
      <c r="M837" s="102">
        <v>0</v>
      </c>
      <c r="N837" s="530" t="str">
        <f>IFERROR(VLOOKUP(M837,INSUMOS!$C$8:$K$928,2,0),"-----")</f>
        <v>-----</v>
      </c>
      <c r="O837" s="531"/>
      <c r="P837" s="532"/>
      <c r="Q837" s="78" t="str">
        <f>IFERROR(VLOOKUP(M837,INSUMOS!$C$8:$K$928,5,0),"-----")</f>
        <v>-----</v>
      </c>
      <c r="R837" s="80"/>
      <c r="S837" s="80" t="str">
        <f>IFERROR(VLOOKUP(M837,INSUMOS!$C$8:$K$928,6,0),"0")</f>
        <v>0</v>
      </c>
      <c r="T837" s="529" t="str">
        <f>IFERROR(VLOOKUP(M837,INSUMOS!$C$8:$K$928,7,0),"0")</f>
        <v>0</v>
      </c>
      <c r="U837" s="529"/>
      <c r="V837" s="82">
        <f>+T837*S837*R837</f>
        <v>0</v>
      </c>
      <c r="Y837" s="393">
        <f>+IFERROR((R837*S837)*Y814,0)</f>
        <v>0</v>
      </c>
      <c r="Z837" s="391">
        <f>Y814*V837</f>
        <v>0</v>
      </c>
      <c r="AA837" s="86"/>
      <c r="AB837" s="92">
        <f>+Y837*T837</f>
        <v>0</v>
      </c>
      <c r="AC837" s="93">
        <f>+AB837-Z837</f>
        <v>0</v>
      </c>
      <c r="AD837" s="94"/>
      <c r="AE837" s="406" t="str">
        <f>+IF(V837=0,"CERO","NO")</f>
        <v>CERO</v>
      </c>
    </row>
    <row r="838" spans="3:31" s="260" customFormat="1" x14ac:dyDescent="0.25">
      <c r="C838" s="84"/>
      <c r="D838" s="85"/>
      <c r="E838" s="86"/>
      <c r="F838" s="86"/>
      <c r="G838" s="86"/>
      <c r="H838" s="86"/>
      <c r="I838" s="86"/>
      <c r="J838" s="87"/>
      <c r="K838" s="88"/>
      <c r="M838" s="102">
        <v>0</v>
      </c>
      <c r="N838" s="530" t="str">
        <f>IFERROR(VLOOKUP(M838,INSUMOS!$C$8:$K$928,2,0),"-----")</f>
        <v>-----</v>
      </c>
      <c r="O838" s="531"/>
      <c r="P838" s="532"/>
      <c r="Q838" s="78" t="str">
        <f>IFERROR(VLOOKUP(M838,INSUMOS!$C$8:$K$928,5,0),"-----")</f>
        <v>-----</v>
      </c>
      <c r="R838" s="80"/>
      <c r="S838" s="80" t="str">
        <f>IFERROR(VLOOKUP(M838,INSUMOS!$C$8:$K$928,6,0),"0")</f>
        <v>0</v>
      </c>
      <c r="T838" s="529" t="str">
        <f>IFERROR(VLOOKUP(M838,INSUMOS!$C$8:$K$928,7,0),"0")</f>
        <v>0</v>
      </c>
      <c r="U838" s="529"/>
      <c r="V838" s="82">
        <f>+T838*S838*R838</f>
        <v>0</v>
      </c>
      <c r="Y838" s="393">
        <f>+IFERROR((R838*S838)*Y814,0)</f>
        <v>0</v>
      </c>
      <c r="Z838" s="391">
        <f>Y814*V838</f>
        <v>0</v>
      </c>
      <c r="AA838" s="86"/>
      <c r="AB838" s="92">
        <f>+Y838*T838</f>
        <v>0</v>
      </c>
      <c r="AC838" s="93">
        <f>+AB838-Z838</f>
        <v>0</v>
      </c>
      <c r="AD838" s="94"/>
      <c r="AE838" s="406" t="str">
        <f>+IF(V838=0,"CERO","NO")</f>
        <v>CERO</v>
      </c>
    </row>
    <row r="839" spans="3:31" s="260" customFormat="1" ht="15.75" thickBot="1" x14ac:dyDescent="0.3">
      <c r="C839" s="84"/>
      <c r="D839" s="89"/>
      <c r="E839" s="90"/>
      <c r="F839" s="90"/>
      <c r="G839" s="90"/>
      <c r="H839" s="90"/>
      <c r="I839" s="90"/>
      <c r="J839" s="91"/>
      <c r="K839" s="88"/>
      <c r="M839" s="102">
        <v>0</v>
      </c>
      <c r="N839" s="533"/>
      <c r="O839" s="533"/>
      <c r="P839" s="533"/>
      <c r="Q839" s="79"/>
      <c r="R839" s="78"/>
      <c r="S839" s="81"/>
      <c r="T839" s="529"/>
      <c r="U839" s="529"/>
      <c r="V839" s="82"/>
      <c r="Y839" s="393">
        <f>+IFERROR((R839*S839)*Y814,0)</f>
        <v>0</v>
      </c>
      <c r="Z839" s="391">
        <f>Y814*V839</f>
        <v>0</v>
      </c>
      <c r="AA839" s="86"/>
      <c r="AB839" s="92">
        <f>+Y839*T839</f>
        <v>0</v>
      </c>
      <c r="AC839" s="93">
        <f>+AB839-Z839</f>
        <v>0</v>
      </c>
      <c r="AD839" s="94"/>
      <c r="AE839" s="406" t="str">
        <f>+IF(V839=0,"CERO","NO")</f>
        <v>CERO</v>
      </c>
    </row>
    <row r="840" spans="3:31" s="260" customFormat="1" ht="15.75" thickBot="1" x14ac:dyDescent="0.3">
      <c r="C840" s="84"/>
      <c r="D840" s="375" t="s">
        <v>128</v>
      </c>
      <c r="E840" s="376" t="s">
        <v>129</v>
      </c>
      <c r="F840" s="376" t="s">
        <v>130</v>
      </c>
      <c r="G840" s="376" t="s">
        <v>131</v>
      </c>
      <c r="H840" s="376" t="s">
        <v>132</v>
      </c>
      <c r="I840" s="376" t="s">
        <v>133</v>
      </c>
      <c r="J840" s="377" t="s">
        <v>134</v>
      </c>
      <c r="K840" s="88"/>
      <c r="M840" s="534"/>
      <c r="N840" s="536" t="s">
        <v>113</v>
      </c>
      <c r="O840" s="536"/>
      <c r="P840" s="536"/>
      <c r="Q840" s="536"/>
      <c r="R840" s="536"/>
      <c r="S840" s="536"/>
      <c r="T840" s="536"/>
      <c r="U840" s="536"/>
      <c r="V840" s="411">
        <f>+SUM(V836:V839)</f>
        <v>347.2217399698057</v>
      </c>
      <c r="Y840" s="398" t="s">
        <v>135</v>
      </c>
      <c r="Z840" s="397">
        <f>+SUM(Z836:Z839)</f>
        <v>2430.5521797886399</v>
      </c>
      <c r="AA840" s="86"/>
      <c r="AB840" s="384"/>
      <c r="AC840" s="385"/>
      <c r="AD840" s="94"/>
      <c r="AE840" s="399"/>
    </row>
    <row r="841" spans="3:31" s="260" customFormat="1" ht="15.75" thickBot="1" x14ac:dyDescent="0.3">
      <c r="C841" s="84"/>
      <c r="D841" s="355"/>
      <c r="E841" s="367"/>
      <c r="F841" s="412">
        <f>+E833</f>
        <v>2.0699999999999998</v>
      </c>
      <c r="G841" s="367"/>
      <c r="H841" s="367"/>
      <c r="I841" s="367"/>
      <c r="J841" s="368"/>
      <c r="K841" s="88"/>
      <c r="M841" s="535"/>
      <c r="N841" s="537" t="s">
        <v>114</v>
      </c>
      <c r="O841" s="537"/>
      <c r="P841" s="537"/>
      <c r="Q841" s="537"/>
      <c r="R841" s="537"/>
      <c r="S841" s="537"/>
      <c r="T841" s="537"/>
      <c r="U841" s="537"/>
      <c r="V841" s="413">
        <f>+ROUND(V840,$AA$5)</f>
        <v>347.22</v>
      </c>
      <c r="Y841" s="401" t="s">
        <v>136</v>
      </c>
      <c r="Z841" s="402">
        <f>+ROUND(Z840,$AA$5)</f>
        <v>2430.5500000000002</v>
      </c>
      <c r="AA841" s="86"/>
      <c r="AB841" s="403">
        <f>+V841*Y814</f>
        <v>2430.54</v>
      </c>
      <c r="AC841" s="414"/>
      <c r="AD841" s="94"/>
      <c r="AE841" s="405"/>
    </row>
    <row r="842" spans="3:31" s="260" customFormat="1" ht="15.75" thickBot="1" x14ac:dyDescent="0.3">
      <c r="C842" s="84"/>
      <c r="D842" s="415"/>
      <c r="E842" s="416"/>
      <c r="F842" s="416"/>
      <c r="G842" s="416"/>
      <c r="H842" s="416"/>
      <c r="I842" s="416"/>
      <c r="J842" s="417"/>
      <c r="K842" s="88"/>
      <c r="M842" s="538" t="s">
        <v>115</v>
      </c>
      <c r="N842" s="539"/>
      <c r="O842" s="539"/>
      <c r="P842" s="539"/>
      <c r="Q842" s="539"/>
      <c r="R842" s="539"/>
      <c r="S842" s="539"/>
      <c r="T842" s="539"/>
      <c r="U842" s="539"/>
      <c r="V842" s="540"/>
      <c r="Y842" s="378"/>
      <c r="Z842" s="121"/>
      <c r="AA842" s="86"/>
      <c r="AB842" s="409"/>
      <c r="AC842" s="121"/>
      <c r="AD842" s="94"/>
      <c r="AE842" s="126"/>
    </row>
    <row r="843" spans="3:31" s="260" customFormat="1" ht="15.75" thickBot="1" x14ac:dyDescent="0.3">
      <c r="C843" s="84"/>
      <c r="D843" s="375" t="s">
        <v>128</v>
      </c>
      <c r="E843" s="376" t="s">
        <v>129</v>
      </c>
      <c r="F843" s="376" t="s">
        <v>130</v>
      </c>
      <c r="G843" s="376" t="s">
        <v>131</v>
      </c>
      <c r="H843" s="376" t="s">
        <v>132</v>
      </c>
      <c r="I843" s="376" t="s">
        <v>133</v>
      </c>
      <c r="J843" s="377" t="s">
        <v>134</v>
      </c>
      <c r="K843" s="88"/>
      <c r="M843" s="99" t="s">
        <v>94</v>
      </c>
      <c r="N843" s="98" t="s">
        <v>95</v>
      </c>
      <c r="O843" s="95" t="s">
        <v>96</v>
      </c>
      <c r="P843" s="359" t="s">
        <v>104</v>
      </c>
      <c r="Q843" s="95" t="s">
        <v>116</v>
      </c>
      <c r="R843" s="418" t="s">
        <v>117</v>
      </c>
      <c r="S843" s="95" t="s">
        <v>347</v>
      </c>
      <c r="T843" s="419" t="s">
        <v>118</v>
      </c>
      <c r="U843" s="189" t="s">
        <v>119</v>
      </c>
      <c r="V843" s="100" t="s">
        <v>98</v>
      </c>
      <c r="Y843" s="383" t="s">
        <v>104</v>
      </c>
      <c r="Z843" s="119" t="s">
        <v>9</v>
      </c>
      <c r="AA843" s="86"/>
      <c r="AB843" s="384"/>
      <c r="AC843" s="385"/>
      <c r="AD843" s="94"/>
      <c r="AE843" s="410"/>
    </row>
    <row r="844" spans="3:31" s="260" customFormat="1" ht="25.5" x14ac:dyDescent="0.25">
      <c r="C844" s="84"/>
      <c r="D844" s="354"/>
      <c r="E844" s="96"/>
      <c r="F844" s="96"/>
      <c r="G844" s="96"/>
      <c r="H844" s="96"/>
      <c r="I844" s="96"/>
      <c r="J844" s="420">
        <f>+F841</f>
        <v>2.0699999999999998</v>
      </c>
      <c r="K844" s="88"/>
      <c r="M844" s="102">
        <v>207</v>
      </c>
      <c r="N844" s="347" t="str">
        <f>IFERROR(VLOOKUP(M844,INSUMOS!$C$8:$K$928,2,0),"-----")</f>
        <v>Oficial Hidrosanitario</v>
      </c>
      <c r="O844" s="78" t="str">
        <f>IFERROR(VLOOKUP(M844,INSUMOS!$C$8:$K$928,3,0),"-----")</f>
        <v>JORNAL+PS</v>
      </c>
      <c r="P844" s="80">
        <v>1</v>
      </c>
      <c r="Q844" s="79">
        <v>20</v>
      </c>
      <c r="R844" s="190">
        <f>IFERROR(VLOOKUP(M844,INSUMOS!$C$8:$K$928,4,0),"-----")</f>
        <v>92983</v>
      </c>
      <c r="S844" s="190">
        <f>IFERROR(VLOOKUP(M844,INSUMOS!$C$8:$K$928,6,0),"-----")</f>
        <v>74386</v>
      </c>
      <c r="T844" s="190">
        <f>IFERROR(VLOOKUP(M844,INSUMOS!$C$8:$K$928,5,0),"-----")</f>
        <v>0</v>
      </c>
      <c r="U844" s="388">
        <f>SUM(R844:T844)</f>
        <v>167369</v>
      </c>
      <c r="V844" s="82">
        <f>+IFERROR((P844/Q844)*U844,0)</f>
        <v>8368.4500000000007</v>
      </c>
      <c r="Y844" s="393">
        <f>+IFERROR((Y814/Q844*P844),0)</f>
        <v>0.35</v>
      </c>
      <c r="Z844" s="391">
        <f>Y814*V844</f>
        <v>58579.150000000009</v>
      </c>
      <c r="AA844" s="86"/>
      <c r="AB844" s="92">
        <f>+(U844)*Y844</f>
        <v>58579.149999999994</v>
      </c>
      <c r="AC844" s="93">
        <f>+AB844-Z844</f>
        <v>0</v>
      </c>
      <c r="AD844" s="421"/>
      <c r="AE844" s="410" t="str">
        <f>+IF(V844=0,"CERO","NO")</f>
        <v>NO</v>
      </c>
    </row>
    <row r="845" spans="3:31" s="260" customFormat="1" ht="26.25" thickBot="1" x14ac:dyDescent="0.3">
      <c r="C845" s="84"/>
      <c r="D845" s="355"/>
      <c r="E845" s="367"/>
      <c r="F845" s="367"/>
      <c r="G845" s="367"/>
      <c r="H845" s="367"/>
      <c r="I845" s="367"/>
      <c r="J845" s="422">
        <f>+J844</f>
        <v>2.0699999999999998</v>
      </c>
      <c r="K845" s="88"/>
      <c r="M845" s="102">
        <v>208</v>
      </c>
      <c r="N845" s="347" t="str">
        <f>IFERROR(VLOOKUP(M845,INSUMOS!$C$8:$K$928,2,0),"-----")</f>
        <v>Ayudante Hidrosanitario</v>
      </c>
      <c r="O845" s="78" t="str">
        <f>IFERROR(VLOOKUP(M845,INSUMOS!$C$8:$K$928,3,0),"-----")</f>
        <v>JORNAL+PS</v>
      </c>
      <c r="P845" s="80">
        <v>1</v>
      </c>
      <c r="Q845" s="79">
        <v>20</v>
      </c>
      <c r="R845" s="190">
        <f>IFERROR(VLOOKUP(M845,INSUMOS!$C$8:$K$928,4,0),"-----")</f>
        <v>69172</v>
      </c>
      <c r="S845" s="190">
        <f>IFERROR(VLOOKUP(M845,INSUMOS!$C$8:$K$928,6,0),"-----")</f>
        <v>55337</v>
      </c>
      <c r="T845" s="190">
        <f>IFERROR(VLOOKUP(M845,INSUMOS!$C$8:$K$928,5,0),"-----")</f>
        <v>0</v>
      </c>
      <c r="U845" s="388">
        <f>SUM(R845:T845)</f>
        <v>124509</v>
      </c>
      <c r="V845" s="82">
        <f>+IFERROR((P845/Q845)*U845,0)</f>
        <v>6225.4500000000007</v>
      </c>
      <c r="Y845" s="393">
        <f>+IFERROR((Y814/Q845*P845),0)</f>
        <v>0.35</v>
      </c>
      <c r="Z845" s="391">
        <f>Y814*V845</f>
        <v>43578.150000000009</v>
      </c>
      <c r="AA845" s="86"/>
      <c r="AB845" s="92">
        <f>+U845*Y845</f>
        <v>43578.149999999994</v>
      </c>
      <c r="AC845" s="93">
        <f>+AB845-Z845</f>
        <v>0</v>
      </c>
      <c r="AD845" s="94"/>
      <c r="AE845" s="410" t="str">
        <f>+IF(V845=0,"CERO","NO")</f>
        <v>NO</v>
      </c>
    </row>
    <row r="846" spans="3:31" s="260" customFormat="1" ht="15.75" thickBot="1" x14ac:dyDescent="0.3">
      <c r="C846" s="84"/>
      <c r="D846" s="380"/>
      <c r="E846" s="381"/>
      <c r="F846" s="381"/>
      <c r="G846" s="381"/>
      <c r="H846" s="381"/>
      <c r="I846" s="381"/>
      <c r="J846" s="382"/>
      <c r="K846" s="88"/>
      <c r="M846" s="102">
        <v>0</v>
      </c>
      <c r="N846" s="347"/>
      <c r="O846" s="79"/>
      <c r="P846" s="423"/>
      <c r="Q846" s="81"/>
      <c r="R846" s="111"/>
      <c r="S846" s="357"/>
      <c r="T846" s="111"/>
      <c r="U846" s="388"/>
      <c r="V846" s="426"/>
      <c r="Y846" s="393">
        <f>+IFERROR((Y814/Q846*P846),0)</f>
        <v>0</v>
      </c>
      <c r="Z846" s="391">
        <f>Y814*V846</f>
        <v>0</v>
      </c>
      <c r="AA846" s="86"/>
      <c r="AB846" s="92">
        <f>+(U846)*Y846*P846</f>
        <v>0</v>
      </c>
      <c r="AC846" s="93">
        <f>+AB846-Z846</f>
        <v>0</v>
      </c>
      <c r="AD846" s="94"/>
      <c r="AE846" s="410" t="str">
        <f>+IF(V846=0,"CERO","NO")</f>
        <v>CERO</v>
      </c>
    </row>
    <row r="847" spans="3:31" s="260" customFormat="1" ht="15.75" thickBot="1" x14ac:dyDescent="0.3">
      <c r="C847" s="84"/>
      <c r="D847" s="375" t="s">
        <v>128</v>
      </c>
      <c r="E847" s="376" t="s">
        <v>129</v>
      </c>
      <c r="F847" s="376" t="s">
        <v>130</v>
      </c>
      <c r="G847" s="376" t="s">
        <v>131</v>
      </c>
      <c r="H847" s="376" t="s">
        <v>132</v>
      </c>
      <c r="I847" s="376" t="s">
        <v>133</v>
      </c>
      <c r="J847" s="377" t="s">
        <v>134</v>
      </c>
      <c r="K847" s="88"/>
      <c r="M847" s="534"/>
      <c r="N847" s="536" t="s">
        <v>120</v>
      </c>
      <c r="O847" s="536"/>
      <c r="P847" s="536"/>
      <c r="Q847" s="536"/>
      <c r="R847" s="536"/>
      <c r="S847" s="536"/>
      <c r="T847" s="536"/>
      <c r="U847" s="536"/>
      <c r="V847" s="82">
        <f>+SUM(V844:V846)</f>
        <v>14593.900000000001</v>
      </c>
      <c r="Y847" s="398" t="s">
        <v>135</v>
      </c>
      <c r="Z847" s="397">
        <f>+SUM(Z844:Z846)</f>
        <v>102157.30000000002</v>
      </c>
      <c r="AA847" s="86"/>
      <c r="AB847" s="384"/>
      <c r="AC847" s="385"/>
      <c r="AD847" s="94"/>
      <c r="AE847" s="399"/>
    </row>
    <row r="848" spans="3:31" s="260" customFormat="1" ht="15.75" thickBot="1" x14ac:dyDescent="0.3">
      <c r="C848" s="84"/>
      <c r="D848" s="354"/>
      <c r="E848" s="96"/>
      <c r="F848" s="96"/>
      <c r="G848" s="107">
        <f>+F841</f>
        <v>2.0699999999999998</v>
      </c>
      <c r="H848" s="96"/>
      <c r="I848" s="96"/>
      <c r="J848" s="427"/>
      <c r="K848" s="88"/>
      <c r="M848" s="535"/>
      <c r="N848" s="537" t="s">
        <v>121</v>
      </c>
      <c r="O848" s="537"/>
      <c r="P848" s="537"/>
      <c r="Q848" s="537"/>
      <c r="R848" s="537"/>
      <c r="S848" s="537"/>
      <c r="T848" s="537"/>
      <c r="U848" s="537"/>
      <c r="V848" s="413">
        <f>+ROUND(V847,$AA$5)</f>
        <v>14593.9</v>
      </c>
      <c r="Y848" s="401" t="s">
        <v>136</v>
      </c>
      <c r="Z848" s="402">
        <f>+ROUND(Z847,$AA$5)</f>
        <v>102157.3</v>
      </c>
      <c r="AA848" s="86"/>
      <c r="AB848" s="403">
        <f>+V848*Y814</f>
        <v>102157.3</v>
      </c>
      <c r="AC848" s="404">
        <f>+AB848-Z848</f>
        <v>0</v>
      </c>
      <c r="AD848" s="94"/>
      <c r="AE848" s="405"/>
    </row>
    <row r="849" spans="3:31" s="260" customFormat="1" ht="15.75" thickBot="1" x14ac:dyDescent="0.3">
      <c r="C849" s="84"/>
      <c r="D849" s="375" t="s">
        <v>128</v>
      </c>
      <c r="E849" s="376" t="s">
        <v>129</v>
      </c>
      <c r="F849" s="376" t="s">
        <v>130</v>
      </c>
      <c r="G849" s="376" t="s">
        <v>131</v>
      </c>
      <c r="H849" s="376" t="s">
        <v>132</v>
      </c>
      <c r="I849" s="376" t="s">
        <v>133</v>
      </c>
      <c r="J849" s="377" t="s">
        <v>134</v>
      </c>
      <c r="K849" s="88"/>
      <c r="M849" s="541"/>
      <c r="N849" s="542"/>
      <c r="O849" s="542"/>
      <c r="P849" s="542"/>
      <c r="Q849" s="542"/>
      <c r="R849" s="542"/>
      <c r="S849" s="542"/>
      <c r="T849" s="542"/>
      <c r="U849" s="542"/>
      <c r="V849" s="543"/>
      <c r="Y849" s="378"/>
      <c r="Z849" s="121"/>
      <c r="AA849" s="86"/>
      <c r="AB849" s="409"/>
      <c r="AC849" s="121"/>
      <c r="AD849" s="94"/>
      <c r="AE849" s="428"/>
    </row>
    <row r="850" spans="3:31" s="260" customFormat="1" ht="15.75" thickBot="1" x14ac:dyDescent="0.3">
      <c r="C850" s="84"/>
      <c r="D850" s="355"/>
      <c r="E850" s="367"/>
      <c r="F850" s="367"/>
      <c r="G850" s="367"/>
      <c r="H850" s="412">
        <f>G848</f>
        <v>2.0699999999999998</v>
      </c>
      <c r="I850" s="412"/>
      <c r="J850" s="422"/>
      <c r="K850" s="88"/>
      <c r="M850" s="544" t="s">
        <v>122</v>
      </c>
      <c r="N850" s="537"/>
      <c r="O850" s="537"/>
      <c r="P850" s="537"/>
      <c r="Q850" s="537"/>
      <c r="R850" s="537"/>
      <c r="S850" s="537"/>
      <c r="T850" s="537"/>
      <c r="U850" s="545">
        <f>+V848+V841+V833+V824</f>
        <v>67672.929999999993</v>
      </c>
      <c r="V850" s="546"/>
      <c r="Y850" s="429"/>
      <c r="Z850" s="430">
        <f>+Z848+Z841+Z833+Z824</f>
        <v>473710.48</v>
      </c>
      <c r="AA850" s="86"/>
      <c r="AB850" s="431">
        <f>+AB848+AB841+AB833+AB824</f>
        <v>473710.51</v>
      </c>
      <c r="AC850" s="404">
        <f>+AB850-Z850</f>
        <v>3.0000000027939677E-2</v>
      </c>
      <c r="AD850" s="94"/>
      <c r="AE850" s="432"/>
    </row>
    <row r="851" spans="3:31" s="260" customFormat="1" ht="15.75" thickBot="1" x14ac:dyDescent="0.3"/>
    <row r="852" spans="3:31" s="260" customFormat="1" x14ac:dyDescent="0.25">
      <c r="M852" s="547" t="s">
        <v>348</v>
      </c>
      <c r="N852" s="548"/>
      <c r="O852" s="548"/>
      <c r="P852" s="548"/>
      <c r="Q852" s="548"/>
      <c r="R852" s="548"/>
      <c r="S852" s="548"/>
      <c r="T852" s="548"/>
      <c r="U852" s="548"/>
      <c r="V852" s="549"/>
      <c r="Y852" s="378"/>
      <c r="Z852" s="121"/>
      <c r="AA852" s="86"/>
      <c r="AB852" s="94"/>
      <c r="AC852" s="94"/>
      <c r="AD852" s="94"/>
      <c r="AE852" s="126" t="s">
        <v>133</v>
      </c>
    </row>
    <row r="853" spans="3:31" s="260" customFormat="1" x14ac:dyDescent="0.25">
      <c r="M853" s="515" t="s">
        <v>138</v>
      </c>
      <c r="N853" s="516"/>
      <c r="O853" s="516"/>
      <c r="P853" s="516"/>
      <c r="Q853" s="516"/>
      <c r="R853" s="516"/>
      <c r="S853" s="516"/>
      <c r="T853" s="437">
        <v>0</v>
      </c>
      <c r="U853" s="517">
        <f>+ROUND(U850*T853,$AA$5)</f>
        <v>0</v>
      </c>
      <c r="V853" s="518"/>
      <c r="Y853" s="390"/>
      <c r="Z853" s="438">
        <f>+Z850*T853</f>
        <v>0</v>
      </c>
      <c r="AA853" s="86"/>
      <c r="AB853" s="94"/>
      <c r="AC853" s="94"/>
      <c r="AD853" s="94"/>
      <c r="AE853" s="386" t="s">
        <v>133</v>
      </c>
    </row>
    <row r="854" spans="3:31" s="260" customFormat="1" x14ac:dyDescent="0.25">
      <c r="M854" s="515" t="s">
        <v>19</v>
      </c>
      <c r="N854" s="516"/>
      <c r="O854" s="516"/>
      <c r="P854" s="516"/>
      <c r="Q854" s="516"/>
      <c r="R854" s="516"/>
      <c r="S854" s="516"/>
      <c r="T854" s="437">
        <v>0.05</v>
      </c>
      <c r="U854" s="517">
        <f>+ROUND(U850*T854,$AA$5)</f>
        <v>3383.65</v>
      </c>
      <c r="V854" s="518"/>
      <c r="Y854" s="390"/>
      <c r="Z854" s="438">
        <f>+Z850*T854</f>
        <v>23685.524000000001</v>
      </c>
      <c r="AA854" s="86"/>
      <c r="AB854" s="94"/>
      <c r="AC854" s="94"/>
      <c r="AD854" s="94"/>
      <c r="AE854" s="386" t="s">
        <v>133</v>
      </c>
    </row>
    <row r="855" spans="3:31" s="260" customFormat="1" x14ac:dyDescent="0.25">
      <c r="M855" s="515" t="s">
        <v>20</v>
      </c>
      <c r="N855" s="516"/>
      <c r="O855" s="516"/>
      <c r="P855" s="516"/>
      <c r="Q855" s="516"/>
      <c r="R855" s="516"/>
      <c r="S855" s="516"/>
      <c r="T855" s="437">
        <v>0</v>
      </c>
      <c r="U855" s="517">
        <f>+ROUND(U850*T855,$AA$5)</f>
        <v>0</v>
      </c>
      <c r="V855" s="518"/>
      <c r="Y855" s="390"/>
      <c r="Z855" s="438">
        <f>+Z850*T855</f>
        <v>0</v>
      </c>
      <c r="AA855" s="86"/>
      <c r="AB855" s="94"/>
      <c r="AC855" s="94"/>
      <c r="AD855" s="94"/>
      <c r="AE855" s="386" t="s">
        <v>133</v>
      </c>
    </row>
    <row r="856" spans="3:31" s="260" customFormat="1" x14ac:dyDescent="0.25">
      <c r="M856" s="515" t="s">
        <v>21</v>
      </c>
      <c r="N856" s="516"/>
      <c r="O856" s="516"/>
      <c r="P856" s="516"/>
      <c r="Q856" s="516"/>
      <c r="R856" s="516"/>
      <c r="S856" s="516"/>
      <c r="T856" s="437">
        <f>$AA$9</f>
        <v>0</v>
      </c>
      <c r="U856" s="517">
        <f>+ROUND(U850*T856,$AA$5)</f>
        <v>0</v>
      </c>
      <c r="V856" s="518"/>
      <c r="Y856" s="390"/>
      <c r="Z856" s="438">
        <f>+Z855*T856</f>
        <v>0</v>
      </c>
      <c r="AA856" s="86"/>
      <c r="AB856" s="94"/>
      <c r="AC856" s="94"/>
      <c r="AD856" s="94"/>
      <c r="AE856" s="386" t="s">
        <v>133</v>
      </c>
    </row>
    <row r="857" spans="3:31" s="260" customFormat="1" ht="15.75" thickBot="1" x14ac:dyDescent="0.3">
      <c r="M857" s="519" t="s">
        <v>349</v>
      </c>
      <c r="N857" s="520"/>
      <c r="O857" s="520"/>
      <c r="P857" s="520"/>
      <c r="Q857" s="520"/>
      <c r="R857" s="520"/>
      <c r="S857" s="520"/>
      <c r="T857" s="520"/>
      <c r="U857" s="521">
        <f>+SUM(U853:V856)</f>
        <v>3383.65</v>
      </c>
      <c r="V857" s="522"/>
      <c r="Y857" s="390"/>
      <c r="Z857" s="439">
        <f>+SUM(Z853:Z856)</f>
        <v>23685.524000000001</v>
      </c>
      <c r="AA857" s="86"/>
      <c r="AB857" s="94"/>
      <c r="AC857" s="94"/>
      <c r="AD857" s="94"/>
      <c r="AE857" s="386" t="s">
        <v>133</v>
      </c>
    </row>
    <row r="858" spans="3:31" s="260" customFormat="1" ht="15.75" thickBot="1" x14ac:dyDescent="0.3">
      <c r="D858" s="375" t="s">
        <v>128</v>
      </c>
      <c r="E858" s="376" t="s">
        <v>129</v>
      </c>
      <c r="F858" s="376" t="s">
        <v>130</v>
      </c>
      <c r="G858" s="376" t="s">
        <v>131</v>
      </c>
      <c r="H858" s="376" t="s">
        <v>132</v>
      </c>
      <c r="I858" s="376" t="s">
        <v>133</v>
      </c>
      <c r="J858" s="377" t="s">
        <v>134</v>
      </c>
      <c r="M858" s="86"/>
      <c r="N858" s="94"/>
      <c r="O858" s="94"/>
      <c r="P858" s="94"/>
      <c r="Q858" s="86"/>
      <c r="R858" s="86"/>
      <c r="S858" s="86"/>
      <c r="T858" s="440"/>
      <c r="U858" s="523"/>
      <c r="V858" s="523"/>
      <c r="Y858" s="390"/>
      <c r="Z858" s="385"/>
      <c r="AA858" s="86"/>
      <c r="AB858" s="94"/>
      <c r="AC858" s="94"/>
      <c r="AD858" s="94"/>
      <c r="AE858" s="386" t="s">
        <v>133</v>
      </c>
    </row>
    <row r="859" spans="3:31" s="260" customFormat="1" ht="15.75" thickBot="1" x14ac:dyDescent="0.3">
      <c r="D859" s="355"/>
      <c r="E859" s="367"/>
      <c r="F859" s="367"/>
      <c r="G859" s="367"/>
      <c r="H859" s="412"/>
      <c r="I859" s="412">
        <f>H850</f>
        <v>2.0699999999999998</v>
      </c>
      <c r="J859" s="422"/>
      <c r="M859" s="524" t="s">
        <v>11</v>
      </c>
      <c r="N859" s="525"/>
      <c r="O859" s="525"/>
      <c r="P859" s="525"/>
      <c r="Q859" s="525"/>
      <c r="R859" s="525"/>
      <c r="S859" s="525"/>
      <c r="T859" s="526"/>
      <c r="U859" s="527">
        <f>+U857+U850</f>
        <v>71056.579999999987</v>
      </c>
      <c r="V859" s="528"/>
      <c r="Y859" s="429"/>
      <c r="Z859" s="441">
        <f>+Z857+Z850</f>
        <v>497396.00399999996</v>
      </c>
      <c r="AA859" s="86"/>
      <c r="AB859" s="94"/>
      <c r="AC859" s="94"/>
      <c r="AD859" s="94"/>
      <c r="AE859" s="405" t="s">
        <v>133</v>
      </c>
    </row>
    <row r="860" spans="3:31" s="260" customFormat="1" x14ac:dyDescent="0.25"/>
    <row r="861" spans="3:31" s="260" customFormat="1" ht="15.75" thickBot="1" x14ac:dyDescent="0.3"/>
    <row r="862" spans="3:31" s="260" customFormat="1" ht="15.75" thickBot="1" x14ac:dyDescent="0.3">
      <c r="M862" s="363" t="s">
        <v>88</v>
      </c>
      <c r="N862" s="436" t="str">
        <f>+N813</f>
        <v>CAP.2</v>
      </c>
      <c r="O862" s="550" t="str">
        <f>IFERROR(VLOOKUP(N862,PPTO!C:H,2,0),"----")</f>
        <v>RED HIDRAULICA</v>
      </c>
      <c r="P862" s="551"/>
      <c r="Q862" s="551"/>
      <c r="R862" s="551"/>
      <c r="S862" s="551"/>
      <c r="T862" s="551"/>
      <c r="U862" s="552"/>
      <c r="V862" s="74" t="s">
        <v>91</v>
      </c>
      <c r="Y862" s="365" t="s">
        <v>104</v>
      </c>
      <c r="Z862" s="94"/>
      <c r="AA862" s="188"/>
      <c r="AB862" s="553"/>
      <c r="AC862" s="553"/>
      <c r="AD862" s="553"/>
      <c r="AE862" s="94"/>
    </row>
    <row r="863" spans="3:31" s="260" customFormat="1" ht="15.75" thickBot="1" x14ac:dyDescent="0.3">
      <c r="C863" s="369">
        <f>+N863</f>
        <v>2.08</v>
      </c>
      <c r="D863" s="86"/>
      <c r="E863" s="86"/>
      <c r="F863" s="86"/>
      <c r="G863" s="86"/>
      <c r="H863" s="86"/>
      <c r="I863" s="86"/>
      <c r="J863" s="86"/>
      <c r="K863" s="370"/>
      <c r="M863" s="75" t="s">
        <v>92</v>
      </c>
      <c r="N863" s="371">
        <f>+ROUNDUP(N814+0.01,2)</f>
        <v>2.08</v>
      </c>
      <c r="O863" s="554" t="str">
        <f>IFERROR(VLOOKUP(N863,PPTO!C:H,2,0),"----")</f>
        <v>Tuberia PVC Ø3"</v>
      </c>
      <c r="P863" s="555"/>
      <c r="Q863" s="555"/>
      <c r="R863" s="555"/>
      <c r="S863" s="555"/>
      <c r="T863" s="555"/>
      <c r="U863" s="556"/>
      <c r="V863" s="76" t="str">
        <f>IFERROR(VLOOKUP(N863,PPTO!C:H,3,0),"----")</f>
        <v>ML</v>
      </c>
      <c r="Y863" s="373">
        <f>SUMIFS(PPTO!F:F,PPTO!C:C,APUS!N863)</f>
        <v>5.25</v>
      </c>
      <c r="Z863" s="94"/>
      <c r="AA863" s="86"/>
      <c r="AB863" s="94"/>
      <c r="AC863" s="94"/>
      <c r="AD863" s="94"/>
      <c r="AE863" s="94"/>
    </row>
    <row r="864" spans="3:31" s="260" customFormat="1" ht="15.75" thickBot="1" x14ac:dyDescent="0.3">
      <c r="C864" s="84"/>
      <c r="D864" s="86"/>
      <c r="E864" s="86"/>
      <c r="F864" s="86"/>
      <c r="G864" s="86"/>
      <c r="H864" s="86"/>
      <c r="I864" s="86"/>
      <c r="J864" s="86"/>
      <c r="K864" s="88"/>
      <c r="M864" s="557"/>
      <c r="N864" s="557"/>
      <c r="O864" s="557"/>
      <c r="P864" s="557"/>
      <c r="Q864" s="557"/>
      <c r="R864" s="557"/>
      <c r="S864" s="557"/>
      <c r="T864" s="557"/>
      <c r="U864" s="557"/>
      <c r="V864" s="557"/>
      <c r="Y864" s="374"/>
      <c r="Z864" s="94"/>
      <c r="AA864" s="86"/>
      <c r="AB864" s="94"/>
      <c r="AC864" s="94"/>
      <c r="AD864" s="94"/>
      <c r="AE864" s="94"/>
    </row>
    <row r="865" spans="3:31" s="260" customFormat="1" ht="15.75" thickBot="1" x14ac:dyDescent="0.3">
      <c r="C865" s="84"/>
      <c r="D865" s="375" t="s">
        <v>128</v>
      </c>
      <c r="E865" s="376" t="s">
        <v>129</v>
      </c>
      <c r="F865" s="376" t="s">
        <v>130</v>
      </c>
      <c r="G865" s="376" t="s">
        <v>131</v>
      </c>
      <c r="H865" s="376" t="s">
        <v>132</v>
      </c>
      <c r="I865" s="376" t="s">
        <v>133</v>
      </c>
      <c r="J865" s="377" t="s">
        <v>134</v>
      </c>
      <c r="K865" s="88"/>
      <c r="M865" s="558" t="s">
        <v>93</v>
      </c>
      <c r="N865" s="559"/>
      <c r="O865" s="559"/>
      <c r="P865" s="559"/>
      <c r="Q865" s="559"/>
      <c r="R865" s="559"/>
      <c r="S865" s="559"/>
      <c r="T865" s="559"/>
      <c r="U865" s="559"/>
      <c r="V865" s="560"/>
      <c r="Y865" s="378"/>
      <c r="Z865" s="121"/>
      <c r="AA865" s="86"/>
      <c r="AB865" s="513"/>
      <c r="AC865" s="514"/>
      <c r="AD865" s="94"/>
      <c r="AE865" s="379"/>
    </row>
    <row r="866" spans="3:31" s="260" customFormat="1" x14ac:dyDescent="0.25">
      <c r="C866" s="84"/>
      <c r="D866" s="380"/>
      <c r="E866" s="381"/>
      <c r="F866" s="381"/>
      <c r="G866" s="381"/>
      <c r="H866" s="381"/>
      <c r="I866" s="381"/>
      <c r="J866" s="382"/>
      <c r="K866" s="88"/>
      <c r="M866" s="99" t="s">
        <v>94</v>
      </c>
      <c r="N866" s="561" t="s">
        <v>95</v>
      </c>
      <c r="O866" s="561"/>
      <c r="P866" s="561"/>
      <c r="Q866" s="561"/>
      <c r="R866" s="95" t="s">
        <v>96</v>
      </c>
      <c r="S866" s="95" t="s">
        <v>97</v>
      </c>
      <c r="T866" s="562" t="s">
        <v>8</v>
      </c>
      <c r="U866" s="562"/>
      <c r="V866" s="100" t="s">
        <v>98</v>
      </c>
      <c r="Y866" s="383" t="s">
        <v>104</v>
      </c>
      <c r="Z866" s="119" t="s">
        <v>9</v>
      </c>
      <c r="AA866" s="86"/>
      <c r="AB866" s="384"/>
      <c r="AC866" s="385"/>
      <c r="AD866" s="94"/>
      <c r="AE866" s="386"/>
    </row>
    <row r="867" spans="3:31" s="260" customFormat="1" x14ac:dyDescent="0.25">
      <c r="C867" s="84"/>
      <c r="D867" s="85"/>
      <c r="E867" s="86"/>
      <c r="F867" s="86"/>
      <c r="G867" s="86"/>
      <c r="H867" s="86"/>
      <c r="I867" s="86"/>
      <c r="J867" s="87"/>
      <c r="K867" s="88"/>
      <c r="M867" s="102"/>
      <c r="N867" s="533" t="s">
        <v>99</v>
      </c>
      <c r="O867" s="533"/>
      <c r="P867" s="533"/>
      <c r="Q867" s="533"/>
      <c r="R867" s="78" t="s">
        <v>100</v>
      </c>
      <c r="S867" s="387">
        <f>+$AA$10</f>
        <v>0.05</v>
      </c>
      <c r="T867" s="563">
        <f>V897</f>
        <v>14593.9</v>
      </c>
      <c r="U867" s="563"/>
      <c r="V867" s="389">
        <f>+IFERROR(T867*S867,0)</f>
        <v>729.69500000000005</v>
      </c>
      <c r="Y867" s="390"/>
      <c r="Z867" s="391">
        <f>Y863*V867</f>
        <v>3830.8987500000003</v>
      </c>
      <c r="AA867" s="86"/>
      <c r="AB867" s="384"/>
      <c r="AC867" s="385"/>
      <c r="AD867" s="94"/>
      <c r="AE867" s="386" t="str">
        <f>+IF(V867=0,"CERO","NO")</f>
        <v>NO</v>
      </c>
    </row>
    <row r="868" spans="3:31" s="260" customFormat="1" x14ac:dyDescent="0.25">
      <c r="C868" s="84"/>
      <c r="D868" s="85"/>
      <c r="E868" s="86"/>
      <c r="F868" s="86"/>
      <c r="G868" s="86"/>
      <c r="H868" s="86"/>
      <c r="I868" s="86"/>
      <c r="J868" s="87"/>
      <c r="K868" s="88"/>
      <c r="M868" s="106"/>
      <c r="N868" s="533" t="str">
        <f>IFERROR(VLOOKUP(M868,INSUMOS!$C$8:$K$928,2,0),"-----")</f>
        <v>-----</v>
      </c>
      <c r="O868" s="533"/>
      <c r="P868" s="533"/>
      <c r="Q868" s="533"/>
      <c r="R868" s="78" t="str">
        <f>IFERROR(VLOOKUP(M868,INSUMOS!$C$8:$K$928,6,0),"-----")</f>
        <v>-----</v>
      </c>
      <c r="S868" s="392"/>
      <c r="T868" s="529" t="str">
        <f>IFERROR(VLOOKUP(M868,INSUMOS!$C$8:$K$928,7,0),"0")</f>
        <v>0</v>
      </c>
      <c r="U868" s="529"/>
      <c r="V868" s="389">
        <f>+IFERROR(T868*S868,0)</f>
        <v>0</v>
      </c>
      <c r="Y868" s="393">
        <f>+IFERROR(Y863*S868,0)</f>
        <v>0</v>
      </c>
      <c r="Z868" s="391">
        <f>Y863*V868</f>
        <v>0</v>
      </c>
      <c r="AA868" s="394"/>
      <c r="AB868" s="395">
        <f>+Y868*T868</f>
        <v>0</v>
      </c>
      <c r="AC868" s="93">
        <f>+AB868-Z868</f>
        <v>0</v>
      </c>
      <c r="AD868" s="94"/>
      <c r="AE868" s="386" t="str">
        <f>+IF(V868=0,"CERO","NO")</f>
        <v>CERO</v>
      </c>
    </row>
    <row r="869" spans="3:31" s="260" customFormat="1" x14ac:dyDescent="0.25">
      <c r="C869" s="84"/>
      <c r="D869" s="85"/>
      <c r="E869" s="86"/>
      <c r="F869" s="86"/>
      <c r="G869" s="86"/>
      <c r="H869" s="86"/>
      <c r="I869" s="86"/>
      <c r="J869" s="87"/>
      <c r="K869" s="88"/>
      <c r="M869" s="102">
        <v>0</v>
      </c>
      <c r="N869" s="533"/>
      <c r="O869" s="533"/>
      <c r="P869" s="533"/>
      <c r="Q869" s="533"/>
      <c r="R869" s="78"/>
      <c r="S869" s="396"/>
      <c r="T869" s="529"/>
      <c r="U869" s="529"/>
      <c r="V869" s="397"/>
      <c r="Y869" s="393">
        <f>+IFERROR(Y863*S869,0)</f>
        <v>0</v>
      </c>
      <c r="Z869" s="391">
        <f>Y863*V869</f>
        <v>0</v>
      </c>
      <c r="AA869" s="394"/>
      <c r="AB869" s="395">
        <f>+Y869*T869</f>
        <v>0</v>
      </c>
      <c r="AC869" s="93">
        <f>+AB869-Z869</f>
        <v>0</v>
      </c>
      <c r="AD869" s="94"/>
      <c r="AE869" s="386" t="str">
        <f>+IF(V869=0,"CERO","NO")</f>
        <v>CERO</v>
      </c>
    </row>
    <row r="870" spans="3:31" s="260" customFormat="1" x14ac:dyDescent="0.25">
      <c r="C870" s="84"/>
      <c r="D870" s="85"/>
      <c r="E870" s="86"/>
      <c r="F870" s="86"/>
      <c r="G870" s="86"/>
      <c r="H870" s="86"/>
      <c r="I870" s="86"/>
      <c r="J870" s="87"/>
      <c r="K870" s="88"/>
      <c r="M870" s="102">
        <v>0</v>
      </c>
      <c r="N870" s="533"/>
      <c r="O870" s="533"/>
      <c r="P870" s="533"/>
      <c r="Q870" s="533"/>
      <c r="R870" s="78"/>
      <c r="S870" s="396"/>
      <c r="T870" s="529"/>
      <c r="U870" s="529"/>
      <c r="V870" s="397"/>
      <c r="Y870" s="393">
        <f>+IFERROR(Y863*S870,0)</f>
        <v>0</v>
      </c>
      <c r="Z870" s="391">
        <f>Y863*V870</f>
        <v>0</v>
      </c>
      <c r="AA870" s="394"/>
      <c r="AB870" s="395">
        <f>+Y870*T870</f>
        <v>0</v>
      </c>
      <c r="AC870" s="93">
        <f>+AB870-Z870</f>
        <v>0</v>
      </c>
      <c r="AD870" s="94"/>
      <c r="AE870" s="386" t="str">
        <f>+IF(V870=0,"CERO","NO")</f>
        <v>CERO</v>
      </c>
    </row>
    <row r="871" spans="3:31" s="260" customFormat="1" ht="15.75" thickBot="1" x14ac:dyDescent="0.3">
      <c r="C871" s="84"/>
      <c r="D871" s="85"/>
      <c r="E871" s="86"/>
      <c r="F871" s="86"/>
      <c r="G871" s="86"/>
      <c r="H871" s="86"/>
      <c r="I871" s="86"/>
      <c r="J871" s="87"/>
      <c r="K871" s="88"/>
      <c r="M871" s="102">
        <v>0</v>
      </c>
      <c r="N871" s="564"/>
      <c r="O871" s="564"/>
      <c r="P871" s="564"/>
      <c r="Q871" s="564"/>
      <c r="R871" s="96"/>
      <c r="S871" s="96"/>
      <c r="T871" s="565"/>
      <c r="U871" s="565"/>
      <c r="V871" s="101"/>
      <c r="Y871" s="393">
        <f>+IFERROR(Y863*S871,0)</f>
        <v>0</v>
      </c>
      <c r="Z871" s="391">
        <f>Y863*V871</f>
        <v>0</v>
      </c>
      <c r="AA871" s="394"/>
      <c r="AB871" s="395">
        <f>+Y871*T871</f>
        <v>0</v>
      </c>
      <c r="AC871" s="93">
        <f>+AB871-Z871</f>
        <v>0</v>
      </c>
      <c r="AD871" s="94"/>
      <c r="AE871" s="386" t="str">
        <f>+IF(V871=0,"CERO","NO")</f>
        <v>CERO</v>
      </c>
    </row>
    <row r="872" spans="3:31" s="260" customFormat="1" ht="15.75" thickBot="1" x14ac:dyDescent="0.3">
      <c r="C872" s="84"/>
      <c r="D872" s="375" t="s">
        <v>128</v>
      </c>
      <c r="E872" s="376" t="s">
        <v>129</v>
      </c>
      <c r="F872" s="376" t="s">
        <v>130</v>
      </c>
      <c r="G872" s="376" t="s">
        <v>131</v>
      </c>
      <c r="H872" s="376" t="s">
        <v>132</v>
      </c>
      <c r="I872" s="376" t="s">
        <v>133</v>
      </c>
      <c r="J872" s="377" t="s">
        <v>134</v>
      </c>
      <c r="K872" s="88"/>
      <c r="M872" s="534"/>
      <c r="N872" s="536" t="s">
        <v>101</v>
      </c>
      <c r="O872" s="536"/>
      <c r="P872" s="536"/>
      <c r="Q872" s="536"/>
      <c r="R872" s="536"/>
      <c r="S872" s="536"/>
      <c r="T872" s="536"/>
      <c r="U872" s="536"/>
      <c r="V872" s="389">
        <f>+SUM(V867:V871)</f>
        <v>729.69500000000005</v>
      </c>
      <c r="Y872" s="398" t="s">
        <v>135</v>
      </c>
      <c r="Z872" s="397">
        <f>+SUM(Z867:Z871)</f>
        <v>3830.8987500000003</v>
      </c>
      <c r="AA872" s="86"/>
      <c r="AB872" s="384"/>
      <c r="AC872" s="385"/>
      <c r="AD872" s="94"/>
      <c r="AE872" s="399"/>
    </row>
    <row r="873" spans="3:31" s="260" customFormat="1" ht="15.75" thickBot="1" x14ac:dyDescent="0.3">
      <c r="C873" s="84"/>
      <c r="D873" s="375">
        <f>C863</f>
        <v>2.08</v>
      </c>
      <c r="E873" s="376"/>
      <c r="F873" s="376"/>
      <c r="G873" s="376"/>
      <c r="H873" s="376"/>
      <c r="I873" s="376"/>
      <c r="J873" s="377"/>
      <c r="K873" s="88"/>
      <c r="M873" s="566"/>
      <c r="N873" s="567" t="s">
        <v>102</v>
      </c>
      <c r="O873" s="567"/>
      <c r="P873" s="567"/>
      <c r="Q873" s="567"/>
      <c r="R873" s="567"/>
      <c r="S873" s="567"/>
      <c r="T873" s="567"/>
      <c r="U873" s="567"/>
      <c r="V873" s="400">
        <f>+ROUND(V872,$AA$5)</f>
        <v>729.7</v>
      </c>
      <c r="Y873" s="401" t="s">
        <v>136</v>
      </c>
      <c r="Z873" s="402">
        <f>+ROUND(Z872,$AA$5)</f>
        <v>3830.9</v>
      </c>
      <c r="AA873" s="86"/>
      <c r="AB873" s="403">
        <f>+V873*Y863</f>
        <v>3830.9250000000002</v>
      </c>
      <c r="AC873" s="404">
        <f>+AB873-Z873</f>
        <v>2.5000000000090949E-2</v>
      </c>
      <c r="AD873" s="94"/>
      <c r="AE873" s="405"/>
    </row>
    <row r="874" spans="3:31" s="260" customFormat="1" x14ac:dyDescent="0.25">
      <c r="C874" s="84"/>
      <c r="D874" s="380"/>
      <c r="E874" s="381"/>
      <c r="F874" s="381"/>
      <c r="G874" s="381"/>
      <c r="H874" s="381"/>
      <c r="I874" s="381"/>
      <c r="J874" s="382"/>
      <c r="K874" s="88"/>
      <c r="M874" s="510" t="s">
        <v>103</v>
      </c>
      <c r="N874" s="511"/>
      <c r="O874" s="511"/>
      <c r="P874" s="511"/>
      <c r="Q874" s="511"/>
      <c r="R874" s="511"/>
      <c r="S874" s="511"/>
      <c r="T874" s="511"/>
      <c r="U874" s="511"/>
      <c r="V874" s="512"/>
      <c r="Y874" s="378"/>
      <c r="Z874" s="121"/>
      <c r="AA874" s="86"/>
      <c r="AB874" s="513"/>
      <c r="AC874" s="514"/>
      <c r="AD874" s="94"/>
      <c r="AE874" s="126"/>
    </row>
    <row r="875" spans="3:31" s="260" customFormat="1" x14ac:dyDescent="0.25">
      <c r="C875" s="84"/>
      <c r="D875" s="85"/>
      <c r="E875" s="86"/>
      <c r="F875" s="86"/>
      <c r="G875" s="86"/>
      <c r="H875" s="86"/>
      <c r="I875" s="86"/>
      <c r="J875" s="87"/>
      <c r="K875" s="88"/>
      <c r="M875" s="99" t="s">
        <v>94</v>
      </c>
      <c r="N875" s="561" t="s">
        <v>95</v>
      </c>
      <c r="O875" s="561"/>
      <c r="P875" s="561"/>
      <c r="Q875" s="561"/>
      <c r="R875" s="95" t="s">
        <v>96</v>
      </c>
      <c r="S875" s="95" t="s">
        <v>104</v>
      </c>
      <c r="T875" s="356" t="s">
        <v>105</v>
      </c>
      <c r="U875" s="356" t="s">
        <v>8</v>
      </c>
      <c r="V875" s="100" t="s">
        <v>98</v>
      </c>
      <c r="Y875" s="383" t="s">
        <v>104</v>
      </c>
      <c r="Z875" s="119" t="s">
        <v>9</v>
      </c>
      <c r="AA875" s="86"/>
      <c r="AB875" s="384"/>
      <c r="AC875" s="385"/>
      <c r="AD875" s="94"/>
      <c r="AE875" s="406"/>
    </row>
    <row r="876" spans="3:31" s="260" customFormat="1" x14ac:dyDescent="0.25">
      <c r="C876" s="84"/>
      <c r="D876" s="85"/>
      <c r="E876" s="86"/>
      <c r="F876" s="86"/>
      <c r="G876" s="86"/>
      <c r="H876" s="86"/>
      <c r="I876" s="86"/>
      <c r="J876" s="87"/>
      <c r="K876" s="88"/>
      <c r="M876" s="102">
        <v>689</v>
      </c>
      <c r="N876" s="533" t="str">
        <f>IFERROR(VLOOKUP(M876,INSUMOS!$C$8:$K$928,2,0),"-----")</f>
        <v>TUBO PVC-P 3" RDE 21</v>
      </c>
      <c r="O876" s="533"/>
      <c r="P876" s="533"/>
      <c r="Q876" s="533"/>
      <c r="R876" s="78" t="str">
        <f>IFERROR(VLOOKUP(M876,INSUMOS!$C$8:$K$928,6,0),"-----")</f>
        <v>ml</v>
      </c>
      <c r="S876" s="396">
        <v>1</v>
      </c>
      <c r="T876" s="387">
        <v>0.02</v>
      </c>
      <c r="U876" s="388">
        <f>IFERROR(VLOOKUP(M876,INSUMOS!$C$8:$K$928,7,0),"0")</f>
        <v>52394.833333333336</v>
      </c>
      <c r="V876" s="389">
        <f>+IFERROR(U876*(S876*(1+T876)),0)</f>
        <v>53442.73</v>
      </c>
      <c r="Y876" s="393">
        <f>+IFERROR(Y863*(S876*(1+T876)),0)</f>
        <v>5.3550000000000004</v>
      </c>
      <c r="Z876" s="391">
        <f>Y863*V876</f>
        <v>280574.33250000002</v>
      </c>
      <c r="AA876" s="394"/>
      <c r="AB876" s="395">
        <f>+Y876*U876</f>
        <v>280574.33250000002</v>
      </c>
      <c r="AC876" s="93">
        <f>+AB876-Z876</f>
        <v>0</v>
      </c>
      <c r="AD876" s="94"/>
      <c r="AE876" s="406" t="str">
        <f>+IF(V876=0,"CERO","NO")</f>
        <v>NO</v>
      </c>
    </row>
    <row r="877" spans="3:31" s="260" customFormat="1" x14ac:dyDescent="0.25">
      <c r="C877" s="84"/>
      <c r="D877" s="85"/>
      <c r="E877" s="86"/>
      <c r="F877" s="86"/>
      <c r="G877" s="86"/>
      <c r="H877" s="86"/>
      <c r="I877" s="86"/>
      <c r="J877" s="87"/>
      <c r="K877" s="88"/>
      <c r="M877" s="102">
        <v>699</v>
      </c>
      <c r="N877" s="533" t="str">
        <f>IFERROR(VLOOKUP(M877,INSUMOS!$C$8:$K$928,2,0),"-----")</f>
        <v>SOLDADURA PVC LIQUIDA 1/4"</v>
      </c>
      <c r="O877" s="533"/>
      <c r="P877" s="533"/>
      <c r="Q877" s="533"/>
      <c r="R877" s="78" t="str">
        <f>IFERROR(VLOOKUP(M877,INSUMOS!$C$8:$K$928,6,0),"-----")</f>
        <v>und</v>
      </c>
      <c r="S877" s="396">
        <v>0.03</v>
      </c>
      <c r="T877" s="387">
        <v>0.02</v>
      </c>
      <c r="U877" s="388">
        <f>IFERROR(VLOOKUP(M877,INSUMOS!$C$8:$K$928,7,0),"0")</f>
        <v>146569</v>
      </c>
      <c r="V877" s="389">
        <f>+IFERROR(U877*(S877*(1+T877)),0)</f>
        <v>4485.0113999999994</v>
      </c>
      <c r="Y877" s="393">
        <f>+IFERROR(Y863*(S877*(1+T877)),0)</f>
        <v>0.16064999999999999</v>
      </c>
      <c r="Z877" s="391">
        <f>Y863*V877</f>
        <v>23546.309849999998</v>
      </c>
      <c r="AA877" s="394"/>
      <c r="AB877" s="395">
        <f>+Y877*U877</f>
        <v>23546.309849999998</v>
      </c>
      <c r="AC877" s="93">
        <f>+AB877-Z877</f>
        <v>0</v>
      </c>
      <c r="AD877" s="94"/>
      <c r="AE877" s="406" t="str">
        <f>+IF(V877=0,"CERO","NO")</f>
        <v>NO</v>
      </c>
    </row>
    <row r="878" spans="3:31" s="260" customFormat="1" x14ac:dyDescent="0.25">
      <c r="C878" s="84"/>
      <c r="D878" s="85"/>
      <c r="E878" s="86"/>
      <c r="F878" s="86"/>
      <c r="G878" s="86"/>
      <c r="H878" s="86"/>
      <c r="I878" s="86"/>
      <c r="J878" s="87"/>
      <c r="K878" s="88"/>
      <c r="M878" s="102">
        <v>700</v>
      </c>
      <c r="N878" s="533" t="str">
        <f>IFERROR(VLOOKUP(M878,INSUMOS!$C$8:$K$928,2,0),"-----")</f>
        <v>LIMPIADOR PVC 1/4</v>
      </c>
      <c r="O878" s="533"/>
      <c r="P878" s="533"/>
      <c r="Q878" s="533"/>
      <c r="R878" s="78" t="str">
        <f>IFERROR(VLOOKUP(M878,INSUMOS!$C$8:$K$928,6,0),"-----")</f>
        <v>und</v>
      </c>
      <c r="S878" s="396">
        <v>0.03</v>
      </c>
      <c r="T878" s="387">
        <v>0.02</v>
      </c>
      <c r="U878" s="388">
        <f>IFERROR(VLOOKUP(M878,INSUMOS!$C$8:$K$928,7,0),"0")</f>
        <v>65913</v>
      </c>
      <c r="V878" s="389">
        <f>+IFERROR(U878*(S878*(1+T878)),0)</f>
        <v>2016.9377999999999</v>
      </c>
      <c r="Y878" s="393">
        <f>+IFERROR(Y863*(S878*(1+T878)),0)</f>
        <v>0.16064999999999999</v>
      </c>
      <c r="Z878" s="391">
        <f>Y863*V878</f>
        <v>10588.92345</v>
      </c>
      <c r="AA878" s="394"/>
      <c r="AB878" s="395">
        <f>+Y878*U878</f>
        <v>10588.923449999998</v>
      </c>
      <c r="AC878" s="93">
        <f>+AB878-Z878</f>
        <v>0</v>
      </c>
      <c r="AD878" s="94"/>
      <c r="AE878" s="406" t="str">
        <f>+IF(V878=0,"CERO","NO")</f>
        <v>NO</v>
      </c>
    </row>
    <row r="879" spans="3:31" s="260" customFormat="1" x14ac:dyDescent="0.25">
      <c r="C879" s="84"/>
      <c r="D879" s="85"/>
      <c r="E879" s="86"/>
      <c r="F879" s="86"/>
      <c r="G879" s="86"/>
      <c r="H879" s="86"/>
      <c r="I879" s="86"/>
      <c r="J879" s="87"/>
      <c r="K879" s="88"/>
      <c r="M879" s="102">
        <v>0</v>
      </c>
      <c r="N879" s="533" t="str">
        <f>IFERROR(VLOOKUP(M879,INSUMOS!$C$8:$K$928,2,0),"-----")</f>
        <v>-----</v>
      </c>
      <c r="O879" s="533"/>
      <c r="P879" s="533"/>
      <c r="Q879" s="533"/>
      <c r="R879" s="78" t="str">
        <f>IFERROR(VLOOKUP(M879,INSUMOS!$C$8:$K$928,6,0),"-----")</f>
        <v>-----</v>
      </c>
      <c r="S879" s="396"/>
      <c r="T879" s="387"/>
      <c r="U879" s="388" t="str">
        <f>IFERROR(VLOOKUP(M879,INSUMOS!$C$8:$K$928,7,0),"0")</f>
        <v>0</v>
      </c>
      <c r="V879" s="389">
        <f>+IFERROR(U879*(S879*(1+T879)),0)</f>
        <v>0</v>
      </c>
      <c r="Y879" s="393">
        <f>+IFERROR(Y863*(S879*(1+T879)),0)</f>
        <v>0</v>
      </c>
      <c r="Z879" s="391">
        <f>Y863*V879</f>
        <v>0</v>
      </c>
      <c r="AA879" s="394"/>
      <c r="AB879" s="395">
        <f>+Y879*U879</f>
        <v>0</v>
      </c>
      <c r="AC879" s="93">
        <f>+AB879-Z879</f>
        <v>0</v>
      </c>
      <c r="AD879" s="94"/>
      <c r="AE879" s="406" t="str">
        <f>+IF(V879=0,"CERO","NO")</f>
        <v>CERO</v>
      </c>
    </row>
    <row r="880" spans="3:31" s="260" customFormat="1" ht="15.75" thickBot="1" x14ac:dyDescent="0.3">
      <c r="C880" s="84"/>
      <c r="D880" s="85"/>
      <c r="E880" s="86"/>
      <c r="F880" s="86"/>
      <c r="G880" s="86"/>
      <c r="H880" s="86"/>
      <c r="I880" s="86"/>
      <c r="J880" s="87"/>
      <c r="K880" s="88"/>
      <c r="M880" s="102">
        <v>0</v>
      </c>
      <c r="N880" s="564"/>
      <c r="O880" s="564"/>
      <c r="P880" s="564"/>
      <c r="Q880" s="564"/>
      <c r="R880" s="96"/>
      <c r="S880" s="79"/>
      <c r="T880" s="97"/>
      <c r="U880" s="358"/>
      <c r="V880" s="397"/>
      <c r="Y880" s="393">
        <f>+IFERROR(Y863*(S880*(1+T880)),0)</f>
        <v>0</v>
      </c>
      <c r="Z880" s="391">
        <f>Y863*V880</f>
        <v>0</v>
      </c>
      <c r="AA880" s="394"/>
      <c r="AB880" s="395">
        <f>+Y880*U880</f>
        <v>0</v>
      </c>
      <c r="AC880" s="93">
        <f>+AB880-Z880</f>
        <v>0</v>
      </c>
      <c r="AD880" s="94"/>
      <c r="AE880" s="406" t="str">
        <f>+IF(V880=0,"CERO","NO")</f>
        <v>CERO</v>
      </c>
    </row>
    <row r="881" spans="3:31" s="260" customFormat="1" ht="15.75" thickBot="1" x14ac:dyDescent="0.3">
      <c r="C881" s="84"/>
      <c r="D881" s="375" t="s">
        <v>128</v>
      </c>
      <c r="E881" s="376" t="s">
        <v>129</v>
      </c>
      <c r="F881" s="376" t="s">
        <v>130</v>
      </c>
      <c r="G881" s="376" t="s">
        <v>131</v>
      </c>
      <c r="H881" s="376" t="s">
        <v>132</v>
      </c>
      <c r="I881" s="376" t="s">
        <v>133</v>
      </c>
      <c r="J881" s="377" t="s">
        <v>134</v>
      </c>
      <c r="K881" s="88"/>
      <c r="M881" s="534"/>
      <c r="N881" s="536" t="s">
        <v>106</v>
      </c>
      <c r="O881" s="536"/>
      <c r="P881" s="536"/>
      <c r="Q881" s="536"/>
      <c r="R881" s="536"/>
      <c r="S881" s="536"/>
      <c r="T881" s="536"/>
      <c r="U881" s="536"/>
      <c r="V881" s="389">
        <f>+SUM(V876:V880)</f>
        <v>59944.679199999999</v>
      </c>
      <c r="Y881" s="398" t="s">
        <v>135</v>
      </c>
      <c r="Z881" s="397">
        <f>+SUM(Z876:Z880)</f>
        <v>314709.56580000004</v>
      </c>
      <c r="AA881" s="86"/>
      <c r="AB881" s="384"/>
      <c r="AC881" s="385"/>
      <c r="AD881" s="94"/>
      <c r="AE881" s="399"/>
    </row>
    <row r="882" spans="3:31" s="260" customFormat="1" ht="15.75" thickBot="1" x14ac:dyDescent="0.3">
      <c r="C882" s="84"/>
      <c r="D882" s="375"/>
      <c r="E882" s="407">
        <f>+D873</f>
        <v>2.08</v>
      </c>
      <c r="F882" s="376"/>
      <c r="G882" s="376"/>
      <c r="H882" s="376"/>
      <c r="I882" s="376"/>
      <c r="J882" s="377"/>
      <c r="K882" s="88"/>
      <c r="M882" s="535"/>
      <c r="N882" s="537" t="s">
        <v>107</v>
      </c>
      <c r="O882" s="537"/>
      <c r="P882" s="537"/>
      <c r="Q882" s="537"/>
      <c r="R882" s="537"/>
      <c r="S882" s="537"/>
      <c r="T882" s="537"/>
      <c r="U882" s="537"/>
      <c r="V882" s="408">
        <f>+ROUND(V881,$AA$5)</f>
        <v>59944.68</v>
      </c>
      <c r="Y882" s="401" t="s">
        <v>136</v>
      </c>
      <c r="Z882" s="402">
        <f>+ROUND(Z881,$AA$5)</f>
        <v>314709.57</v>
      </c>
      <c r="AA882" s="86"/>
      <c r="AB882" s="403">
        <f>+V882*Y863</f>
        <v>314709.57</v>
      </c>
      <c r="AC882" s="404">
        <f>+AB882-Z882</f>
        <v>0</v>
      </c>
      <c r="AD882" s="94"/>
      <c r="AE882" s="405"/>
    </row>
    <row r="883" spans="3:31" s="260" customFormat="1" x14ac:dyDescent="0.25">
      <c r="C883" s="84"/>
      <c r="D883" s="380"/>
      <c r="E883" s="381"/>
      <c r="F883" s="381"/>
      <c r="G883" s="381"/>
      <c r="H883" s="381"/>
      <c r="I883" s="381"/>
      <c r="J883" s="382"/>
      <c r="K883" s="88"/>
      <c r="M883" s="568" t="s">
        <v>108</v>
      </c>
      <c r="N883" s="569"/>
      <c r="O883" s="569"/>
      <c r="P883" s="569"/>
      <c r="Q883" s="569"/>
      <c r="R883" s="569"/>
      <c r="S883" s="569"/>
      <c r="T883" s="569"/>
      <c r="U883" s="569"/>
      <c r="V883" s="570"/>
      <c r="Y883" s="378"/>
      <c r="Z883" s="121"/>
      <c r="AA883" s="86"/>
      <c r="AB883" s="409"/>
      <c r="AC883" s="121"/>
      <c r="AD883" s="94"/>
      <c r="AE883" s="126"/>
    </row>
    <row r="884" spans="3:31" s="260" customFormat="1" ht="25.5" x14ac:dyDescent="0.25">
      <c r="C884" s="84"/>
      <c r="D884" s="85"/>
      <c r="E884" s="86"/>
      <c r="F884" s="86"/>
      <c r="G884" s="86"/>
      <c r="H884" s="86"/>
      <c r="I884" s="86"/>
      <c r="J884" s="87"/>
      <c r="K884" s="88"/>
      <c r="M884" s="99" t="s">
        <v>94</v>
      </c>
      <c r="N884" s="561" t="s">
        <v>95</v>
      </c>
      <c r="O884" s="561"/>
      <c r="P884" s="561"/>
      <c r="Q884" s="95" t="s">
        <v>109</v>
      </c>
      <c r="R884" s="95" t="s">
        <v>110</v>
      </c>
      <c r="S884" s="95" t="s">
        <v>111</v>
      </c>
      <c r="T884" s="562" t="s">
        <v>112</v>
      </c>
      <c r="U884" s="562"/>
      <c r="V884" s="100" t="s">
        <v>98</v>
      </c>
      <c r="Y884" s="383" t="s">
        <v>104</v>
      </c>
      <c r="Z884" s="119" t="s">
        <v>9</v>
      </c>
      <c r="AA884" s="86"/>
      <c r="AB884" s="384"/>
      <c r="AC884" s="385"/>
      <c r="AD884" s="94"/>
      <c r="AE884" s="410"/>
    </row>
    <row r="885" spans="3:31" s="260" customFormat="1" x14ac:dyDescent="0.25">
      <c r="C885" s="84"/>
      <c r="D885" s="85"/>
      <c r="E885" s="86"/>
      <c r="F885" s="86"/>
      <c r="G885" s="86"/>
      <c r="H885" s="86"/>
      <c r="I885" s="86"/>
      <c r="J885" s="87"/>
      <c r="K885" s="88"/>
      <c r="M885" s="102">
        <v>129</v>
      </c>
      <c r="N885" s="530" t="str">
        <f>IFERROR(VLOOKUP(M885,INSUMOS!$C$8:$K$928,2,0),"-----")</f>
        <v>transporte materiales en general</v>
      </c>
      <c r="O885" s="531"/>
      <c r="P885" s="532"/>
      <c r="Q885" s="78" t="str">
        <f>IFERROR(VLOOKUP(M885,INSUMOS!$C$8:$K$928,5,0),"-----")</f>
        <v>Km</v>
      </c>
      <c r="R885" s="80">
        <v>1</v>
      </c>
      <c r="S885" s="80">
        <f>IFERROR(VLOOKUP(M885,INSUMOS!$C$8:$K$928,6,0),"0")</f>
        <v>348</v>
      </c>
      <c r="T885" s="529">
        <f>IFERROR(VLOOKUP(M885,INSUMOS!$C$8:$K$928,7,0),"0")</f>
        <v>0.99776362060288992</v>
      </c>
      <c r="U885" s="529"/>
      <c r="V885" s="82">
        <f>+T885*S885*R885</f>
        <v>347.2217399698057</v>
      </c>
      <c r="Y885" s="393">
        <f>+IFERROR((R885*S885)*Y863,0)</f>
        <v>1827</v>
      </c>
      <c r="Z885" s="391">
        <f>Y863*V885</f>
        <v>1822.9141348414798</v>
      </c>
      <c r="AA885" s="86"/>
      <c r="AB885" s="92">
        <f>+Y885*T885</f>
        <v>1822.9141348414798</v>
      </c>
      <c r="AC885" s="93">
        <f>+AB885-Z885</f>
        <v>0</v>
      </c>
      <c r="AD885" s="94"/>
      <c r="AE885" s="406" t="str">
        <f>+IF(V885=0,"CERO","NO")</f>
        <v>NO</v>
      </c>
    </row>
    <row r="886" spans="3:31" s="260" customFormat="1" x14ac:dyDescent="0.25">
      <c r="C886" s="84"/>
      <c r="D886" s="85"/>
      <c r="E886" s="86"/>
      <c r="F886" s="86"/>
      <c r="G886" s="86"/>
      <c r="H886" s="86"/>
      <c r="I886" s="86"/>
      <c r="J886" s="87"/>
      <c r="K886" s="88"/>
      <c r="M886" s="102">
        <v>0</v>
      </c>
      <c r="N886" s="530" t="str">
        <f>IFERROR(VLOOKUP(M886,INSUMOS!$C$8:$K$928,2,0),"-----")</f>
        <v>-----</v>
      </c>
      <c r="O886" s="531"/>
      <c r="P886" s="532"/>
      <c r="Q886" s="78" t="str">
        <f>IFERROR(VLOOKUP(M886,INSUMOS!$C$8:$K$928,5,0),"-----")</f>
        <v>-----</v>
      </c>
      <c r="R886" s="80"/>
      <c r="S886" s="80" t="str">
        <f>IFERROR(VLOOKUP(M886,INSUMOS!$C$8:$K$928,6,0),"0")</f>
        <v>0</v>
      </c>
      <c r="T886" s="529" t="str">
        <f>IFERROR(VLOOKUP(M886,INSUMOS!$C$8:$K$928,7,0),"0")</f>
        <v>0</v>
      </c>
      <c r="U886" s="529"/>
      <c r="V886" s="82">
        <f>+T886*S886*R886</f>
        <v>0</v>
      </c>
      <c r="Y886" s="393">
        <f>+IFERROR((R886*S886)*Y863,0)</f>
        <v>0</v>
      </c>
      <c r="Z886" s="391">
        <f>Y863*V886</f>
        <v>0</v>
      </c>
      <c r="AA886" s="86"/>
      <c r="AB886" s="92">
        <f>+Y886*T886</f>
        <v>0</v>
      </c>
      <c r="AC886" s="93">
        <f>+AB886-Z886</f>
        <v>0</v>
      </c>
      <c r="AD886" s="94"/>
      <c r="AE886" s="406" t="str">
        <f>+IF(V886=0,"CERO","NO")</f>
        <v>CERO</v>
      </c>
    </row>
    <row r="887" spans="3:31" s="260" customFormat="1" x14ac:dyDescent="0.25">
      <c r="C887" s="84"/>
      <c r="D887" s="85"/>
      <c r="E887" s="86"/>
      <c r="F887" s="86"/>
      <c r="G887" s="86"/>
      <c r="H887" s="86"/>
      <c r="I887" s="86"/>
      <c r="J887" s="87"/>
      <c r="K887" s="88"/>
      <c r="M887" s="102">
        <v>0</v>
      </c>
      <c r="N887" s="530" t="str">
        <f>IFERROR(VLOOKUP(M887,INSUMOS!$C$8:$K$928,2,0),"-----")</f>
        <v>-----</v>
      </c>
      <c r="O887" s="531"/>
      <c r="P887" s="532"/>
      <c r="Q887" s="78" t="str">
        <f>IFERROR(VLOOKUP(M887,INSUMOS!$C$8:$K$928,5,0),"-----")</f>
        <v>-----</v>
      </c>
      <c r="R887" s="80"/>
      <c r="S887" s="80" t="str">
        <f>IFERROR(VLOOKUP(M887,INSUMOS!$C$8:$K$928,6,0),"0")</f>
        <v>0</v>
      </c>
      <c r="T887" s="529" t="str">
        <f>IFERROR(VLOOKUP(M887,INSUMOS!$C$8:$K$928,7,0),"0")</f>
        <v>0</v>
      </c>
      <c r="U887" s="529"/>
      <c r="V887" s="82">
        <f>+T887*S887*R887</f>
        <v>0</v>
      </c>
      <c r="Y887" s="393">
        <f>+IFERROR((R887*S887)*Y863,0)</f>
        <v>0</v>
      </c>
      <c r="Z887" s="391">
        <f>Y863*V887</f>
        <v>0</v>
      </c>
      <c r="AA887" s="86"/>
      <c r="AB887" s="92">
        <f>+Y887*T887</f>
        <v>0</v>
      </c>
      <c r="AC887" s="93">
        <f>+AB887-Z887</f>
        <v>0</v>
      </c>
      <c r="AD887" s="94"/>
      <c r="AE887" s="406" t="str">
        <f>+IF(V887=0,"CERO","NO")</f>
        <v>CERO</v>
      </c>
    </row>
    <row r="888" spans="3:31" s="260" customFormat="1" ht="15.75" thickBot="1" x14ac:dyDescent="0.3">
      <c r="C888" s="84"/>
      <c r="D888" s="89"/>
      <c r="E888" s="90"/>
      <c r="F888" s="90"/>
      <c r="G888" s="90"/>
      <c r="H888" s="90"/>
      <c r="I888" s="90"/>
      <c r="J888" s="91"/>
      <c r="K888" s="88"/>
      <c r="M888" s="102">
        <v>0</v>
      </c>
      <c r="N888" s="533"/>
      <c r="O888" s="533"/>
      <c r="P888" s="533"/>
      <c r="Q888" s="79"/>
      <c r="R888" s="78"/>
      <c r="S888" s="81"/>
      <c r="T888" s="529"/>
      <c r="U888" s="529"/>
      <c r="V888" s="82"/>
      <c r="Y888" s="393">
        <f>+IFERROR((R888*S888)*Y863,0)</f>
        <v>0</v>
      </c>
      <c r="Z888" s="391">
        <f>Y863*V888</f>
        <v>0</v>
      </c>
      <c r="AA888" s="86"/>
      <c r="AB888" s="92">
        <f>+Y888*T888</f>
        <v>0</v>
      </c>
      <c r="AC888" s="93">
        <f>+AB888-Z888</f>
        <v>0</v>
      </c>
      <c r="AD888" s="94"/>
      <c r="AE888" s="406" t="str">
        <f>+IF(V888=0,"CERO","NO")</f>
        <v>CERO</v>
      </c>
    </row>
    <row r="889" spans="3:31" s="260" customFormat="1" ht="15.75" thickBot="1" x14ac:dyDescent="0.3">
      <c r="C889" s="84"/>
      <c r="D889" s="375" t="s">
        <v>128</v>
      </c>
      <c r="E889" s="376" t="s">
        <v>129</v>
      </c>
      <c r="F889" s="376" t="s">
        <v>130</v>
      </c>
      <c r="G889" s="376" t="s">
        <v>131</v>
      </c>
      <c r="H889" s="376" t="s">
        <v>132</v>
      </c>
      <c r="I889" s="376" t="s">
        <v>133</v>
      </c>
      <c r="J889" s="377" t="s">
        <v>134</v>
      </c>
      <c r="K889" s="88"/>
      <c r="M889" s="534"/>
      <c r="N889" s="536" t="s">
        <v>113</v>
      </c>
      <c r="O889" s="536"/>
      <c r="P889" s="536"/>
      <c r="Q889" s="536"/>
      <c r="R889" s="536"/>
      <c r="S889" s="536"/>
      <c r="T889" s="536"/>
      <c r="U889" s="536"/>
      <c r="V889" s="411">
        <f>+SUM(V885:V888)</f>
        <v>347.2217399698057</v>
      </c>
      <c r="Y889" s="398" t="s">
        <v>135</v>
      </c>
      <c r="Z889" s="397">
        <f>+SUM(Z885:Z888)</f>
        <v>1822.9141348414798</v>
      </c>
      <c r="AA889" s="86"/>
      <c r="AB889" s="384"/>
      <c r="AC889" s="385"/>
      <c r="AD889" s="94"/>
      <c r="AE889" s="399"/>
    </row>
    <row r="890" spans="3:31" s="260" customFormat="1" ht="15.75" thickBot="1" x14ac:dyDescent="0.3">
      <c r="C890" s="84"/>
      <c r="D890" s="355"/>
      <c r="E890" s="367"/>
      <c r="F890" s="412">
        <f>+E882</f>
        <v>2.08</v>
      </c>
      <c r="G890" s="367"/>
      <c r="H890" s="367"/>
      <c r="I890" s="367"/>
      <c r="J890" s="368"/>
      <c r="K890" s="88"/>
      <c r="M890" s="535"/>
      <c r="N890" s="537" t="s">
        <v>114</v>
      </c>
      <c r="O890" s="537"/>
      <c r="P890" s="537"/>
      <c r="Q890" s="537"/>
      <c r="R890" s="537"/>
      <c r="S890" s="537"/>
      <c r="T890" s="537"/>
      <c r="U890" s="537"/>
      <c r="V890" s="413">
        <f>+ROUND(V889,$AA$5)</f>
        <v>347.22</v>
      </c>
      <c r="Y890" s="401" t="s">
        <v>136</v>
      </c>
      <c r="Z890" s="402">
        <f>+ROUND(Z889,$AA$5)</f>
        <v>1822.91</v>
      </c>
      <c r="AA890" s="86"/>
      <c r="AB890" s="403">
        <f>+V890*Y863</f>
        <v>1822.9050000000002</v>
      </c>
      <c r="AC890" s="414"/>
      <c r="AD890" s="94"/>
      <c r="AE890" s="405"/>
    </row>
    <row r="891" spans="3:31" s="260" customFormat="1" ht="15.75" thickBot="1" x14ac:dyDescent="0.3">
      <c r="C891" s="84"/>
      <c r="D891" s="415"/>
      <c r="E891" s="416"/>
      <c r="F891" s="416"/>
      <c r="G891" s="416"/>
      <c r="H891" s="416"/>
      <c r="I891" s="416"/>
      <c r="J891" s="417"/>
      <c r="K891" s="88"/>
      <c r="M891" s="538" t="s">
        <v>115</v>
      </c>
      <c r="N891" s="539"/>
      <c r="O891" s="539"/>
      <c r="P891" s="539"/>
      <c r="Q891" s="539"/>
      <c r="R891" s="539"/>
      <c r="S891" s="539"/>
      <c r="T891" s="539"/>
      <c r="U891" s="539"/>
      <c r="V891" s="540"/>
      <c r="Y891" s="378"/>
      <c r="Z891" s="121"/>
      <c r="AA891" s="86"/>
      <c r="AB891" s="409"/>
      <c r="AC891" s="121"/>
      <c r="AD891" s="94"/>
      <c r="AE891" s="126"/>
    </row>
    <row r="892" spans="3:31" s="260" customFormat="1" ht="15.75" thickBot="1" x14ac:dyDescent="0.3">
      <c r="C892" s="84"/>
      <c r="D892" s="375" t="s">
        <v>128</v>
      </c>
      <c r="E892" s="376" t="s">
        <v>129</v>
      </c>
      <c r="F892" s="376" t="s">
        <v>130</v>
      </c>
      <c r="G892" s="376" t="s">
        <v>131</v>
      </c>
      <c r="H892" s="376" t="s">
        <v>132</v>
      </c>
      <c r="I892" s="376" t="s">
        <v>133</v>
      </c>
      <c r="J892" s="377" t="s">
        <v>134</v>
      </c>
      <c r="K892" s="88"/>
      <c r="M892" s="99" t="s">
        <v>94</v>
      </c>
      <c r="N892" s="98" t="s">
        <v>95</v>
      </c>
      <c r="O892" s="95" t="s">
        <v>96</v>
      </c>
      <c r="P892" s="359" t="s">
        <v>104</v>
      </c>
      <c r="Q892" s="95" t="s">
        <v>116</v>
      </c>
      <c r="R892" s="418" t="s">
        <v>117</v>
      </c>
      <c r="S892" s="95" t="s">
        <v>347</v>
      </c>
      <c r="T892" s="419" t="s">
        <v>118</v>
      </c>
      <c r="U892" s="189" t="s">
        <v>119</v>
      </c>
      <c r="V892" s="100" t="s">
        <v>98</v>
      </c>
      <c r="Y892" s="383" t="s">
        <v>104</v>
      </c>
      <c r="Z892" s="119" t="s">
        <v>9</v>
      </c>
      <c r="AA892" s="86"/>
      <c r="AB892" s="384"/>
      <c r="AC892" s="385"/>
      <c r="AD892" s="94"/>
      <c r="AE892" s="410"/>
    </row>
    <row r="893" spans="3:31" s="260" customFormat="1" ht="25.5" x14ac:dyDescent="0.25">
      <c r="C893" s="84"/>
      <c r="D893" s="354"/>
      <c r="E893" s="96"/>
      <c r="F893" s="96"/>
      <c r="G893" s="96"/>
      <c r="H893" s="96"/>
      <c r="I893" s="96"/>
      <c r="J893" s="420">
        <f>+F890</f>
        <v>2.08</v>
      </c>
      <c r="K893" s="88"/>
      <c r="M893" s="102">
        <v>207</v>
      </c>
      <c r="N893" s="347" t="str">
        <f>IFERROR(VLOOKUP(M893,INSUMOS!$C$8:$K$928,2,0),"-----")</f>
        <v>Oficial Hidrosanitario</v>
      </c>
      <c r="O893" s="78" t="str">
        <f>IFERROR(VLOOKUP(M893,INSUMOS!$C$8:$K$928,3,0),"-----")</f>
        <v>JORNAL+PS</v>
      </c>
      <c r="P893" s="80">
        <v>1</v>
      </c>
      <c r="Q893" s="79">
        <v>20</v>
      </c>
      <c r="R893" s="190">
        <f>IFERROR(VLOOKUP(M893,INSUMOS!$C$8:$K$928,4,0),"-----")</f>
        <v>92983</v>
      </c>
      <c r="S893" s="190">
        <f>IFERROR(VLOOKUP(M893,INSUMOS!$C$8:$K$928,6,0),"-----")</f>
        <v>74386</v>
      </c>
      <c r="T893" s="190">
        <f>IFERROR(VLOOKUP(M893,INSUMOS!$C$8:$K$928,5,0),"-----")</f>
        <v>0</v>
      </c>
      <c r="U893" s="388">
        <f>SUM(R893:T893)</f>
        <v>167369</v>
      </c>
      <c r="V893" s="82">
        <f>+IFERROR((P893/Q893)*U893,0)</f>
        <v>8368.4500000000007</v>
      </c>
      <c r="Y893" s="393">
        <f>+IFERROR((Y863/Q893*P893),0)</f>
        <v>0.26250000000000001</v>
      </c>
      <c r="Z893" s="391">
        <f>Y863*V893</f>
        <v>43934.362500000003</v>
      </c>
      <c r="AA893" s="86"/>
      <c r="AB893" s="92">
        <f>+(U893)*Y893</f>
        <v>43934.362500000003</v>
      </c>
      <c r="AC893" s="93">
        <f>+AB893-Z893</f>
        <v>0</v>
      </c>
      <c r="AD893" s="421"/>
      <c r="AE893" s="410" t="str">
        <f>+IF(V893=0,"CERO","NO")</f>
        <v>NO</v>
      </c>
    </row>
    <row r="894" spans="3:31" s="260" customFormat="1" ht="26.25" thickBot="1" x14ac:dyDescent="0.3">
      <c r="C894" s="84"/>
      <c r="D894" s="355"/>
      <c r="E894" s="367"/>
      <c r="F894" s="367"/>
      <c r="G894" s="367"/>
      <c r="H894" s="367"/>
      <c r="I894" s="367"/>
      <c r="J894" s="422">
        <f>+J893</f>
        <v>2.08</v>
      </c>
      <c r="K894" s="88"/>
      <c r="M894" s="102">
        <v>208</v>
      </c>
      <c r="N894" s="347" t="str">
        <f>IFERROR(VLOOKUP(M894,INSUMOS!$C$8:$K$928,2,0),"-----")</f>
        <v>Ayudante Hidrosanitario</v>
      </c>
      <c r="O894" s="78" t="str">
        <f>IFERROR(VLOOKUP(M894,INSUMOS!$C$8:$K$928,3,0),"-----")</f>
        <v>JORNAL+PS</v>
      </c>
      <c r="P894" s="80">
        <v>1</v>
      </c>
      <c r="Q894" s="79">
        <v>20</v>
      </c>
      <c r="R894" s="190">
        <f>IFERROR(VLOOKUP(M894,INSUMOS!$C$8:$K$928,4,0),"-----")</f>
        <v>69172</v>
      </c>
      <c r="S894" s="190">
        <f>IFERROR(VLOOKUP(M894,INSUMOS!$C$8:$K$928,6,0),"-----")</f>
        <v>55337</v>
      </c>
      <c r="T894" s="190">
        <f>IFERROR(VLOOKUP(M894,INSUMOS!$C$8:$K$928,5,0),"-----")</f>
        <v>0</v>
      </c>
      <c r="U894" s="388">
        <f>SUM(R894:T894)</f>
        <v>124509</v>
      </c>
      <c r="V894" s="82">
        <f>+IFERROR((P894/Q894)*U894,0)</f>
        <v>6225.4500000000007</v>
      </c>
      <c r="Y894" s="393">
        <f>+IFERROR((Y863/Q894*P894),0)</f>
        <v>0.26250000000000001</v>
      </c>
      <c r="Z894" s="391">
        <f>Y863*V894</f>
        <v>32683.612500000003</v>
      </c>
      <c r="AA894" s="86"/>
      <c r="AB894" s="92">
        <f>+U894*Y894</f>
        <v>32683.612500000003</v>
      </c>
      <c r="AC894" s="93">
        <f>+AB894-Z894</f>
        <v>0</v>
      </c>
      <c r="AD894" s="94"/>
      <c r="AE894" s="410" t="str">
        <f>+IF(V894=0,"CERO","NO")</f>
        <v>NO</v>
      </c>
    </row>
    <row r="895" spans="3:31" s="260" customFormat="1" ht="15.75" thickBot="1" x14ac:dyDescent="0.3">
      <c r="C895" s="84"/>
      <c r="D895" s="380"/>
      <c r="E895" s="381"/>
      <c r="F895" s="381"/>
      <c r="G895" s="381"/>
      <c r="H895" s="381"/>
      <c r="I895" s="381"/>
      <c r="J895" s="382"/>
      <c r="K895" s="88"/>
      <c r="M895" s="102">
        <v>0</v>
      </c>
      <c r="N895" s="347"/>
      <c r="O895" s="79"/>
      <c r="P895" s="423"/>
      <c r="Q895" s="81"/>
      <c r="R895" s="111"/>
      <c r="S895" s="357"/>
      <c r="T895" s="111"/>
      <c r="U895" s="388"/>
      <c r="V895" s="426"/>
      <c r="Y895" s="393">
        <f>+IFERROR((Y863/Q895*P895),0)</f>
        <v>0</v>
      </c>
      <c r="Z895" s="391">
        <f>Y863*V895</f>
        <v>0</v>
      </c>
      <c r="AA895" s="86"/>
      <c r="AB895" s="92">
        <f>+(U895)*Y895*P895</f>
        <v>0</v>
      </c>
      <c r="AC895" s="93">
        <f>+AB895-Z895</f>
        <v>0</v>
      </c>
      <c r="AD895" s="94"/>
      <c r="AE895" s="410" t="str">
        <f>+IF(V895=0,"CERO","NO")</f>
        <v>CERO</v>
      </c>
    </row>
    <row r="896" spans="3:31" s="260" customFormat="1" ht="15.75" thickBot="1" x14ac:dyDescent="0.3">
      <c r="C896" s="84"/>
      <c r="D896" s="375" t="s">
        <v>128</v>
      </c>
      <c r="E896" s="376" t="s">
        <v>129</v>
      </c>
      <c r="F896" s="376" t="s">
        <v>130</v>
      </c>
      <c r="G896" s="376" t="s">
        <v>131</v>
      </c>
      <c r="H896" s="376" t="s">
        <v>132</v>
      </c>
      <c r="I896" s="376" t="s">
        <v>133</v>
      </c>
      <c r="J896" s="377" t="s">
        <v>134</v>
      </c>
      <c r="K896" s="88"/>
      <c r="M896" s="534"/>
      <c r="N896" s="536" t="s">
        <v>120</v>
      </c>
      <c r="O896" s="536"/>
      <c r="P896" s="536"/>
      <c r="Q896" s="536"/>
      <c r="R896" s="536"/>
      <c r="S896" s="536"/>
      <c r="T896" s="536"/>
      <c r="U896" s="536"/>
      <c r="V896" s="82">
        <f>+SUM(V893:V895)</f>
        <v>14593.900000000001</v>
      </c>
      <c r="Y896" s="398" t="s">
        <v>135</v>
      </c>
      <c r="Z896" s="397">
        <f>+SUM(Z893:Z895)</f>
        <v>76617.975000000006</v>
      </c>
      <c r="AA896" s="86"/>
      <c r="AB896" s="384"/>
      <c r="AC896" s="385"/>
      <c r="AD896" s="94"/>
      <c r="AE896" s="399"/>
    </row>
    <row r="897" spans="3:31" s="260" customFormat="1" ht="15.75" thickBot="1" x14ac:dyDescent="0.3">
      <c r="C897" s="84"/>
      <c r="D897" s="354"/>
      <c r="E897" s="96"/>
      <c r="F897" s="96"/>
      <c r="G897" s="107">
        <f>+F890</f>
        <v>2.08</v>
      </c>
      <c r="H897" s="96"/>
      <c r="I897" s="96"/>
      <c r="J897" s="427"/>
      <c r="K897" s="88"/>
      <c r="M897" s="535"/>
      <c r="N897" s="537" t="s">
        <v>121</v>
      </c>
      <c r="O897" s="537"/>
      <c r="P897" s="537"/>
      <c r="Q897" s="537"/>
      <c r="R897" s="537"/>
      <c r="S897" s="537"/>
      <c r="T897" s="537"/>
      <c r="U897" s="537"/>
      <c r="V897" s="413">
        <f>+ROUND(V896,$AA$5)</f>
        <v>14593.9</v>
      </c>
      <c r="Y897" s="401" t="s">
        <v>136</v>
      </c>
      <c r="Z897" s="402">
        <f>+ROUND(Z896,$AA$5)</f>
        <v>76617.98</v>
      </c>
      <c r="AA897" s="86"/>
      <c r="AB897" s="403">
        <f>+V897*Y863</f>
        <v>76617.974999999991</v>
      </c>
      <c r="AC897" s="404">
        <f>+AB897-Z897</f>
        <v>-5.0000000046566129E-3</v>
      </c>
      <c r="AD897" s="94"/>
      <c r="AE897" s="405"/>
    </row>
    <row r="898" spans="3:31" s="260" customFormat="1" ht="15.75" thickBot="1" x14ac:dyDescent="0.3">
      <c r="C898" s="84"/>
      <c r="D898" s="375" t="s">
        <v>128</v>
      </c>
      <c r="E898" s="376" t="s">
        <v>129</v>
      </c>
      <c r="F898" s="376" t="s">
        <v>130</v>
      </c>
      <c r="G898" s="376" t="s">
        <v>131</v>
      </c>
      <c r="H898" s="376" t="s">
        <v>132</v>
      </c>
      <c r="I898" s="376" t="s">
        <v>133</v>
      </c>
      <c r="J898" s="377" t="s">
        <v>134</v>
      </c>
      <c r="K898" s="88"/>
      <c r="M898" s="541"/>
      <c r="N898" s="542"/>
      <c r="O898" s="542"/>
      <c r="P898" s="542"/>
      <c r="Q898" s="542"/>
      <c r="R898" s="542"/>
      <c r="S898" s="542"/>
      <c r="T898" s="542"/>
      <c r="U898" s="542"/>
      <c r="V898" s="543"/>
      <c r="Y898" s="378"/>
      <c r="Z898" s="121"/>
      <c r="AA898" s="86"/>
      <c r="AB898" s="409"/>
      <c r="AC898" s="121"/>
      <c r="AD898" s="94"/>
      <c r="AE898" s="428"/>
    </row>
    <row r="899" spans="3:31" s="260" customFormat="1" ht="15.75" thickBot="1" x14ac:dyDescent="0.3">
      <c r="C899" s="84"/>
      <c r="D899" s="355"/>
      <c r="E899" s="367"/>
      <c r="F899" s="367"/>
      <c r="G899" s="367"/>
      <c r="H899" s="412">
        <f>G897</f>
        <v>2.08</v>
      </c>
      <c r="I899" s="412"/>
      <c r="J899" s="422"/>
      <c r="K899" s="88"/>
      <c r="M899" s="544" t="s">
        <v>122</v>
      </c>
      <c r="N899" s="537"/>
      <c r="O899" s="537"/>
      <c r="P899" s="537"/>
      <c r="Q899" s="537"/>
      <c r="R899" s="537"/>
      <c r="S899" s="537"/>
      <c r="T899" s="537"/>
      <c r="U899" s="545">
        <f>+V897+V890+V882+V873</f>
        <v>75615.5</v>
      </c>
      <c r="V899" s="546"/>
      <c r="Y899" s="429"/>
      <c r="Z899" s="430">
        <f>+Z897+Z890+Z882+Z873</f>
        <v>396981.36000000004</v>
      </c>
      <c r="AA899" s="86"/>
      <c r="AB899" s="431">
        <f>+AB897+AB890+AB882+AB873</f>
        <v>396981.375</v>
      </c>
      <c r="AC899" s="404">
        <f>+AB899-Z899</f>
        <v>1.4999999955762178E-2</v>
      </c>
      <c r="AD899" s="94"/>
      <c r="AE899" s="432"/>
    </row>
    <row r="900" spans="3:31" s="260" customFormat="1" ht="15.75" thickBot="1" x14ac:dyDescent="0.3"/>
    <row r="901" spans="3:31" s="260" customFormat="1" x14ac:dyDescent="0.25">
      <c r="M901" s="547" t="s">
        <v>348</v>
      </c>
      <c r="N901" s="548"/>
      <c r="O901" s="548"/>
      <c r="P901" s="548"/>
      <c r="Q901" s="548"/>
      <c r="R901" s="548"/>
      <c r="S901" s="548"/>
      <c r="T901" s="548"/>
      <c r="U901" s="548"/>
      <c r="V901" s="549"/>
      <c r="Y901" s="378"/>
      <c r="Z901" s="121"/>
      <c r="AA901" s="86"/>
      <c r="AB901" s="94"/>
      <c r="AC901" s="94"/>
      <c r="AD901" s="94"/>
      <c r="AE901" s="126" t="s">
        <v>133</v>
      </c>
    </row>
    <row r="902" spans="3:31" s="260" customFormat="1" x14ac:dyDescent="0.25">
      <c r="M902" s="515" t="s">
        <v>138</v>
      </c>
      <c r="N902" s="516"/>
      <c r="O902" s="516"/>
      <c r="P902" s="516"/>
      <c r="Q902" s="516"/>
      <c r="R902" s="516"/>
      <c r="S902" s="516"/>
      <c r="T902" s="437">
        <v>0</v>
      </c>
      <c r="U902" s="517">
        <f>+ROUND(U899*T902,$AA$5)</f>
        <v>0</v>
      </c>
      <c r="V902" s="518"/>
      <c r="Y902" s="390"/>
      <c r="Z902" s="438">
        <f>+Z899*T902</f>
        <v>0</v>
      </c>
      <c r="AA902" s="86"/>
      <c r="AB902" s="94"/>
      <c r="AC902" s="94"/>
      <c r="AD902" s="94"/>
      <c r="AE902" s="386" t="s">
        <v>133</v>
      </c>
    </row>
    <row r="903" spans="3:31" s="260" customFormat="1" x14ac:dyDescent="0.25">
      <c r="M903" s="515" t="s">
        <v>19</v>
      </c>
      <c r="N903" s="516"/>
      <c r="O903" s="516"/>
      <c r="P903" s="516"/>
      <c r="Q903" s="516"/>
      <c r="R903" s="516"/>
      <c r="S903" s="516"/>
      <c r="T903" s="437">
        <v>0.05</v>
      </c>
      <c r="U903" s="517">
        <f>+ROUND(U899*T903,$AA$5)</f>
        <v>3780.78</v>
      </c>
      <c r="V903" s="518"/>
      <c r="Y903" s="390"/>
      <c r="Z903" s="438">
        <f>+Z899*T903</f>
        <v>19849.068000000003</v>
      </c>
      <c r="AA903" s="86"/>
      <c r="AB903" s="94"/>
      <c r="AC903" s="94"/>
      <c r="AD903" s="94"/>
      <c r="AE903" s="386" t="s">
        <v>133</v>
      </c>
    </row>
    <row r="904" spans="3:31" s="260" customFormat="1" x14ac:dyDescent="0.25">
      <c r="M904" s="515" t="s">
        <v>20</v>
      </c>
      <c r="N904" s="516"/>
      <c r="O904" s="516"/>
      <c r="P904" s="516"/>
      <c r="Q904" s="516"/>
      <c r="R904" s="516"/>
      <c r="S904" s="516"/>
      <c r="T904" s="437">
        <v>0</v>
      </c>
      <c r="U904" s="517">
        <f>+ROUND(U899*T904,$AA$5)</f>
        <v>0</v>
      </c>
      <c r="V904" s="518"/>
      <c r="Y904" s="390"/>
      <c r="Z904" s="438">
        <f>+Z899*T904</f>
        <v>0</v>
      </c>
      <c r="AA904" s="86"/>
      <c r="AB904" s="94"/>
      <c r="AC904" s="94"/>
      <c r="AD904" s="94"/>
      <c r="AE904" s="386" t="s">
        <v>133</v>
      </c>
    </row>
    <row r="905" spans="3:31" s="260" customFormat="1" x14ac:dyDescent="0.25">
      <c r="M905" s="515" t="s">
        <v>21</v>
      </c>
      <c r="N905" s="516"/>
      <c r="O905" s="516"/>
      <c r="P905" s="516"/>
      <c r="Q905" s="516"/>
      <c r="R905" s="516"/>
      <c r="S905" s="516"/>
      <c r="T905" s="437">
        <f>$AA$9</f>
        <v>0</v>
      </c>
      <c r="U905" s="517">
        <f>+ROUND(U899*T905,$AA$5)</f>
        <v>0</v>
      </c>
      <c r="V905" s="518"/>
      <c r="Y905" s="390"/>
      <c r="Z905" s="438">
        <f>+Z904*T905</f>
        <v>0</v>
      </c>
      <c r="AA905" s="86"/>
      <c r="AB905" s="94"/>
      <c r="AC905" s="94"/>
      <c r="AD905" s="94"/>
      <c r="AE905" s="386" t="s">
        <v>133</v>
      </c>
    </row>
    <row r="906" spans="3:31" s="260" customFormat="1" ht="15.75" thickBot="1" x14ac:dyDescent="0.3">
      <c r="M906" s="519" t="s">
        <v>349</v>
      </c>
      <c r="N906" s="520"/>
      <c r="O906" s="520"/>
      <c r="P906" s="520"/>
      <c r="Q906" s="520"/>
      <c r="R906" s="520"/>
      <c r="S906" s="520"/>
      <c r="T906" s="520"/>
      <c r="U906" s="521">
        <f>+SUM(U902:V905)</f>
        <v>3780.78</v>
      </c>
      <c r="V906" s="522"/>
      <c r="Y906" s="390"/>
      <c r="Z906" s="439">
        <f>+SUM(Z902:Z905)</f>
        <v>19849.068000000003</v>
      </c>
      <c r="AA906" s="86"/>
      <c r="AB906" s="94"/>
      <c r="AC906" s="94"/>
      <c r="AD906" s="94"/>
      <c r="AE906" s="386" t="s">
        <v>133</v>
      </c>
    </row>
    <row r="907" spans="3:31" s="260" customFormat="1" ht="15.75" thickBot="1" x14ac:dyDescent="0.3">
      <c r="D907" s="375" t="s">
        <v>128</v>
      </c>
      <c r="E907" s="376" t="s">
        <v>129</v>
      </c>
      <c r="F907" s="376" t="s">
        <v>130</v>
      </c>
      <c r="G907" s="376" t="s">
        <v>131</v>
      </c>
      <c r="H907" s="376" t="s">
        <v>132</v>
      </c>
      <c r="I907" s="376" t="s">
        <v>133</v>
      </c>
      <c r="J907" s="377" t="s">
        <v>134</v>
      </c>
      <c r="M907" s="86"/>
      <c r="N907" s="94"/>
      <c r="O907" s="94"/>
      <c r="P907" s="94"/>
      <c r="Q907" s="86"/>
      <c r="R907" s="86"/>
      <c r="S907" s="86"/>
      <c r="T907" s="440"/>
      <c r="U907" s="523"/>
      <c r="V907" s="523"/>
      <c r="Y907" s="390"/>
      <c r="Z907" s="385"/>
      <c r="AA907" s="86"/>
      <c r="AB907" s="94"/>
      <c r="AC907" s="94"/>
      <c r="AD907" s="94"/>
      <c r="AE907" s="386" t="s">
        <v>133</v>
      </c>
    </row>
    <row r="908" spans="3:31" s="260" customFormat="1" ht="15.75" thickBot="1" x14ac:dyDescent="0.3">
      <c r="D908" s="355"/>
      <c r="E908" s="367"/>
      <c r="F908" s="367"/>
      <c r="G908" s="367"/>
      <c r="H908" s="412"/>
      <c r="I908" s="412">
        <f>H899</f>
        <v>2.08</v>
      </c>
      <c r="J908" s="422"/>
      <c r="M908" s="524" t="s">
        <v>11</v>
      </c>
      <c r="N908" s="525"/>
      <c r="O908" s="525"/>
      <c r="P908" s="525"/>
      <c r="Q908" s="525"/>
      <c r="R908" s="525"/>
      <c r="S908" s="525"/>
      <c r="T908" s="526"/>
      <c r="U908" s="527">
        <f>+U906+U899</f>
        <v>79396.28</v>
      </c>
      <c r="V908" s="528"/>
      <c r="Y908" s="429"/>
      <c r="Z908" s="441">
        <f>+Z906+Z899</f>
        <v>416830.42800000007</v>
      </c>
      <c r="AA908" s="86"/>
      <c r="AB908" s="94"/>
      <c r="AC908" s="94"/>
      <c r="AD908" s="94"/>
      <c r="AE908" s="405" t="s">
        <v>133</v>
      </c>
    </row>
    <row r="909" spans="3:31" s="260" customFormat="1" x14ac:dyDescent="0.25"/>
    <row r="910" spans="3:31" s="260" customFormat="1" ht="15.75" thickBot="1" x14ac:dyDescent="0.3"/>
    <row r="911" spans="3:31" s="260" customFormat="1" ht="15.75" thickBot="1" x14ac:dyDescent="0.3">
      <c r="M911" s="363" t="s">
        <v>88</v>
      </c>
      <c r="N911" s="436" t="str">
        <f>+N862</f>
        <v>CAP.2</v>
      </c>
      <c r="O911" s="550" t="str">
        <f>IFERROR(VLOOKUP(N911,PPTO!C:H,2,0),"----")</f>
        <v>RED HIDRAULICA</v>
      </c>
      <c r="P911" s="551"/>
      <c r="Q911" s="551"/>
      <c r="R911" s="551"/>
      <c r="S911" s="551"/>
      <c r="T911" s="551"/>
      <c r="U911" s="552"/>
      <c r="V911" s="74" t="s">
        <v>91</v>
      </c>
      <c r="Y911" s="365" t="s">
        <v>104</v>
      </c>
      <c r="Z911" s="94"/>
      <c r="AA911" s="188"/>
      <c r="AB911" s="553"/>
      <c r="AC911" s="553"/>
      <c r="AD911" s="553"/>
      <c r="AE911" s="94"/>
    </row>
    <row r="912" spans="3:31" s="260" customFormat="1" ht="15.75" thickBot="1" x14ac:dyDescent="0.3">
      <c r="C912" s="369">
        <f>+N912</f>
        <v>2.09</v>
      </c>
      <c r="D912" s="86"/>
      <c r="E912" s="86"/>
      <c r="F912" s="86"/>
      <c r="G912" s="86"/>
      <c r="H912" s="86"/>
      <c r="I912" s="86"/>
      <c r="J912" s="86"/>
      <c r="K912" s="370"/>
      <c r="M912" s="75" t="s">
        <v>92</v>
      </c>
      <c r="N912" s="371">
        <f>+ROUNDUP(N863+0.01,2)</f>
        <v>2.09</v>
      </c>
      <c r="O912" s="554" t="str">
        <f>IFERROR(VLOOKUP(N912,PPTO!C:H,2,0),"----")</f>
        <v>Codo 90° PVC Ø1/2"</v>
      </c>
      <c r="P912" s="555"/>
      <c r="Q912" s="555"/>
      <c r="R912" s="555"/>
      <c r="S912" s="555"/>
      <c r="T912" s="555"/>
      <c r="U912" s="556"/>
      <c r="V912" s="76" t="str">
        <f>IFERROR(VLOOKUP(N912,PPTO!C:H,3,0),"----")</f>
        <v>UND</v>
      </c>
      <c r="Y912" s="373">
        <f>SUMIFS(PPTO!F:F,PPTO!C:C,APUS!N912)</f>
        <v>50</v>
      </c>
      <c r="Z912" s="94"/>
      <c r="AA912" s="86"/>
      <c r="AB912" s="94"/>
      <c r="AC912" s="94"/>
      <c r="AD912" s="94"/>
      <c r="AE912" s="94"/>
    </row>
    <row r="913" spans="3:31" s="260" customFormat="1" ht="15.75" thickBot="1" x14ac:dyDescent="0.3">
      <c r="C913" s="84"/>
      <c r="D913" s="86"/>
      <c r="E913" s="86"/>
      <c r="F913" s="86"/>
      <c r="G913" s="86"/>
      <c r="H913" s="86"/>
      <c r="I913" s="86"/>
      <c r="J913" s="86"/>
      <c r="K913" s="88"/>
      <c r="M913" s="557"/>
      <c r="N913" s="557"/>
      <c r="O913" s="557"/>
      <c r="P913" s="557"/>
      <c r="Q913" s="557"/>
      <c r="R913" s="557"/>
      <c r="S913" s="557"/>
      <c r="T913" s="557"/>
      <c r="U913" s="557"/>
      <c r="V913" s="557"/>
      <c r="Y913" s="374"/>
      <c r="Z913" s="94"/>
      <c r="AA913" s="86"/>
      <c r="AB913" s="94"/>
      <c r="AC913" s="94"/>
      <c r="AD913" s="94"/>
      <c r="AE913" s="94"/>
    </row>
    <row r="914" spans="3:31" s="260" customFormat="1" ht="15.75" thickBot="1" x14ac:dyDescent="0.3">
      <c r="C914" s="84"/>
      <c r="D914" s="375" t="s">
        <v>128</v>
      </c>
      <c r="E914" s="376" t="s">
        <v>129</v>
      </c>
      <c r="F914" s="376" t="s">
        <v>130</v>
      </c>
      <c r="G914" s="376" t="s">
        <v>131</v>
      </c>
      <c r="H914" s="376" t="s">
        <v>132</v>
      </c>
      <c r="I914" s="376" t="s">
        <v>133</v>
      </c>
      <c r="J914" s="377" t="s">
        <v>134</v>
      </c>
      <c r="K914" s="88"/>
      <c r="M914" s="558" t="s">
        <v>93</v>
      </c>
      <c r="N914" s="559"/>
      <c r="O914" s="559"/>
      <c r="P914" s="559"/>
      <c r="Q914" s="559"/>
      <c r="R914" s="559"/>
      <c r="S914" s="559"/>
      <c r="T914" s="559"/>
      <c r="U914" s="559"/>
      <c r="V914" s="560"/>
      <c r="Y914" s="378"/>
      <c r="Z914" s="121"/>
      <c r="AA914" s="86"/>
      <c r="AB914" s="513"/>
      <c r="AC914" s="514"/>
      <c r="AD914" s="94"/>
      <c r="AE914" s="379"/>
    </row>
    <row r="915" spans="3:31" s="260" customFormat="1" x14ac:dyDescent="0.25">
      <c r="C915" s="84"/>
      <c r="D915" s="380"/>
      <c r="E915" s="381"/>
      <c r="F915" s="381"/>
      <c r="G915" s="381"/>
      <c r="H915" s="381"/>
      <c r="I915" s="381"/>
      <c r="J915" s="382"/>
      <c r="K915" s="88"/>
      <c r="M915" s="99" t="s">
        <v>94</v>
      </c>
      <c r="N915" s="561" t="s">
        <v>95</v>
      </c>
      <c r="O915" s="561"/>
      <c r="P915" s="561"/>
      <c r="Q915" s="561"/>
      <c r="R915" s="95" t="s">
        <v>96</v>
      </c>
      <c r="S915" s="95" t="s">
        <v>97</v>
      </c>
      <c r="T915" s="562" t="s">
        <v>8</v>
      </c>
      <c r="U915" s="562"/>
      <c r="V915" s="100" t="s">
        <v>98</v>
      </c>
      <c r="Y915" s="383" t="s">
        <v>104</v>
      </c>
      <c r="Z915" s="119" t="s">
        <v>9</v>
      </c>
      <c r="AA915" s="86"/>
      <c r="AB915" s="384"/>
      <c r="AC915" s="385"/>
      <c r="AD915" s="94"/>
      <c r="AE915" s="386"/>
    </row>
    <row r="916" spans="3:31" s="260" customFormat="1" x14ac:dyDescent="0.25">
      <c r="C916" s="84"/>
      <c r="D916" s="85"/>
      <c r="E916" s="86"/>
      <c r="F916" s="86"/>
      <c r="G916" s="86"/>
      <c r="H916" s="86"/>
      <c r="I916" s="86"/>
      <c r="J916" s="87"/>
      <c r="K916" s="88"/>
      <c r="M916" s="102"/>
      <c r="N916" s="533" t="s">
        <v>99</v>
      </c>
      <c r="O916" s="533"/>
      <c r="P916" s="533"/>
      <c r="Q916" s="533"/>
      <c r="R916" s="78" t="s">
        <v>100</v>
      </c>
      <c r="S916" s="387">
        <f>+$AA$10</f>
        <v>0.05</v>
      </c>
      <c r="T916" s="563">
        <f>V946</f>
        <v>5578.97</v>
      </c>
      <c r="U916" s="563"/>
      <c r="V916" s="389">
        <f>+IFERROR(T916*S916,0)</f>
        <v>278.94850000000002</v>
      </c>
      <c r="Y916" s="390"/>
      <c r="Z916" s="391">
        <f>Y912*V916</f>
        <v>13947.425000000001</v>
      </c>
      <c r="AA916" s="86"/>
      <c r="AB916" s="384"/>
      <c r="AC916" s="385"/>
      <c r="AD916" s="94"/>
      <c r="AE916" s="386" t="str">
        <f>+IF(V916=0,"CERO","NO")</f>
        <v>NO</v>
      </c>
    </row>
    <row r="917" spans="3:31" s="260" customFormat="1" x14ac:dyDescent="0.25">
      <c r="C917" s="84"/>
      <c r="D917" s="85"/>
      <c r="E917" s="86"/>
      <c r="F917" s="86"/>
      <c r="G917" s="86"/>
      <c r="H917" s="86"/>
      <c r="I917" s="86"/>
      <c r="J917" s="87"/>
      <c r="K917" s="88"/>
      <c r="M917" s="106"/>
      <c r="N917" s="533" t="str">
        <f>IFERROR(VLOOKUP(M917,INSUMOS!$C$8:$K$928,2,0),"-----")</f>
        <v>-----</v>
      </c>
      <c r="O917" s="533"/>
      <c r="P917" s="533"/>
      <c r="Q917" s="533"/>
      <c r="R917" s="78" t="str">
        <f>IFERROR(VLOOKUP(M917,INSUMOS!$C$8:$K$928,6,0),"-----")</f>
        <v>-----</v>
      </c>
      <c r="S917" s="392"/>
      <c r="T917" s="529" t="str">
        <f>IFERROR(VLOOKUP(M917,INSUMOS!$C$8:$K$928,7,0),"0")</f>
        <v>0</v>
      </c>
      <c r="U917" s="529"/>
      <c r="V917" s="389">
        <f>+IFERROR(T917*S917,0)</f>
        <v>0</v>
      </c>
      <c r="Y917" s="393">
        <f>+IFERROR(Y912*S917,0)</f>
        <v>0</v>
      </c>
      <c r="Z917" s="391">
        <f>Y912*V917</f>
        <v>0</v>
      </c>
      <c r="AA917" s="394"/>
      <c r="AB917" s="395">
        <f>+Y917*T917</f>
        <v>0</v>
      </c>
      <c r="AC917" s="93">
        <f>+AB917-Z917</f>
        <v>0</v>
      </c>
      <c r="AD917" s="94"/>
      <c r="AE917" s="386" t="str">
        <f>+IF(V917=0,"CERO","NO")</f>
        <v>CERO</v>
      </c>
    </row>
    <row r="918" spans="3:31" s="260" customFormat="1" x14ac:dyDescent="0.25">
      <c r="C918" s="84"/>
      <c r="D918" s="85"/>
      <c r="E918" s="86"/>
      <c r="F918" s="86"/>
      <c r="G918" s="86"/>
      <c r="H918" s="86"/>
      <c r="I918" s="86"/>
      <c r="J918" s="87"/>
      <c r="K918" s="88"/>
      <c r="M918" s="102">
        <v>0</v>
      </c>
      <c r="N918" s="533"/>
      <c r="O918" s="533"/>
      <c r="P918" s="533"/>
      <c r="Q918" s="533"/>
      <c r="R918" s="78"/>
      <c r="S918" s="396"/>
      <c r="T918" s="529"/>
      <c r="U918" s="529"/>
      <c r="V918" s="397"/>
      <c r="Y918" s="393">
        <f>+IFERROR(Y912*S918,0)</f>
        <v>0</v>
      </c>
      <c r="Z918" s="391">
        <f>Y912*V918</f>
        <v>0</v>
      </c>
      <c r="AA918" s="394"/>
      <c r="AB918" s="395">
        <f>+Y918*T918</f>
        <v>0</v>
      </c>
      <c r="AC918" s="93">
        <f>+AB918-Z918</f>
        <v>0</v>
      </c>
      <c r="AD918" s="94"/>
      <c r="AE918" s="386" t="str">
        <f>+IF(V918=0,"CERO","NO")</f>
        <v>CERO</v>
      </c>
    </row>
    <row r="919" spans="3:31" s="260" customFormat="1" x14ac:dyDescent="0.25">
      <c r="C919" s="84"/>
      <c r="D919" s="85"/>
      <c r="E919" s="86"/>
      <c r="F919" s="86"/>
      <c r="G919" s="86"/>
      <c r="H919" s="86"/>
      <c r="I919" s="86"/>
      <c r="J919" s="87"/>
      <c r="K919" s="88"/>
      <c r="M919" s="102">
        <v>0</v>
      </c>
      <c r="N919" s="533"/>
      <c r="O919" s="533"/>
      <c r="P919" s="533"/>
      <c r="Q919" s="533"/>
      <c r="R919" s="78"/>
      <c r="S919" s="396"/>
      <c r="T919" s="529"/>
      <c r="U919" s="529"/>
      <c r="V919" s="397"/>
      <c r="Y919" s="393">
        <f>+IFERROR(Y912*S919,0)</f>
        <v>0</v>
      </c>
      <c r="Z919" s="391">
        <f>Y912*V919</f>
        <v>0</v>
      </c>
      <c r="AA919" s="394"/>
      <c r="AB919" s="395">
        <f>+Y919*T919</f>
        <v>0</v>
      </c>
      <c r="AC919" s="93">
        <f>+AB919-Z919</f>
        <v>0</v>
      </c>
      <c r="AD919" s="94"/>
      <c r="AE919" s="386" t="str">
        <f>+IF(V919=0,"CERO","NO")</f>
        <v>CERO</v>
      </c>
    </row>
    <row r="920" spans="3:31" s="260" customFormat="1" ht="15.75" thickBot="1" x14ac:dyDescent="0.3">
      <c r="C920" s="84"/>
      <c r="D920" s="85"/>
      <c r="E920" s="86"/>
      <c r="F920" s="86"/>
      <c r="G920" s="86"/>
      <c r="H920" s="86"/>
      <c r="I920" s="86"/>
      <c r="J920" s="87"/>
      <c r="K920" s="88"/>
      <c r="M920" s="102">
        <v>0</v>
      </c>
      <c r="N920" s="564"/>
      <c r="O920" s="564"/>
      <c r="P920" s="564"/>
      <c r="Q920" s="564"/>
      <c r="R920" s="96"/>
      <c r="S920" s="96"/>
      <c r="T920" s="565"/>
      <c r="U920" s="565"/>
      <c r="V920" s="101"/>
      <c r="Y920" s="393">
        <f>+IFERROR(Y912*S920,0)</f>
        <v>0</v>
      </c>
      <c r="Z920" s="391">
        <f>Y912*V920</f>
        <v>0</v>
      </c>
      <c r="AA920" s="394"/>
      <c r="AB920" s="395">
        <f>+Y920*T920</f>
        <v>0</v>
      </c>
      <c r="AC920" s="93">
        <f>+AB920-Z920</f>
        <v>0</v>
      </c>
      <c r="AD920" s="94"/>
      <c r="AE920" s="386" t="str">
        <f>+IF(V920=0,"CERO","NO")</f>
        <v>CERO</v>
      </c>
    </row>
    <row r="921" spans="3:31" s="260" customFormat="1" ht="15.75" thickBot="1" x14ac:dyDescent="0.3">
      <c r="C921" s="84"/>
      <c r="D921" s="375" t="s">
        <v>128</v>
      </c>
      <c r="E921" s="376" t="s">
        <v>129</v>
      </c>
      <c r="F921" s="376" t="s">
        <v>130</v>
      </c>
      <c r="G921" s="376" t="s">
        <v>131</v>
      </c>
      <c r="H921" s="376" t="s">
        <v>132</v>
      </c>
      <c r="I921" s="376" t="s">
        <v>133</v>
      </c>
      <c r="J921" s="377" t="s">
        <v>134</v>
      </c>
      <c r="K921" s="88"/>
      <c r="M921" s="534"/>
      <c r="N921" s="536" t="s">
        <v>101</v>
      </c>
      <c r="O921" s="536"/>
      <c r="P921" s="536"/>
      <c r="Q921" s="536"/>
      <c r="R921" s="536"/>
      <c r="S921" s="536"/>
      <c r="T921" s="536"/>
      <c r="U921" s="536"/>
      <c r="V921" s="389">
        <f>+SUM(V916:V920)</f>
        <v>278.94850000000002</v>
      </c>
      <c r="Y921" s="398" t="s">
        <v>135</v>
      </c>
      <c r="Z921" s="397">
        <f>+SUM(Z916:Z920)</f>
        <v>13947.425000000001</v>
      </c>
      <c r="AA921" s="86"/>
      <c r="AB921" s="384"/>
      <c r="AC921" s="385"/>
      <c r="AD921" s="94"/>
      <c r="AE921" s="399"/>
    </row>
    <row r="922" spans="3:31" s="260" customFormat="1" ht="15.75" thickBot="1" x14ac:dyDescent="0.3">
      <c r="C922" s="84"/>
      <c r="D922" s="375">
        <f>C912</f>
        <v>2.09</v>
      </c>
      <c r="E922" s="376"/>
      <c r="F922" s="376"/>
      <c r="G922" s="376"/>
      <c r="H922" s="376"/>
      <c r="I922" s="376"/>
      <c r="J922" s="377"/>
      <c r="K922" s="88"/>
      <c r="M922" s="566"/>
      <c r="N922" s="567" t="s">
        <v>102</v>
      </c>
      <c r="O922" s="567"/>
      <c r="P922" s="567"/>
      <c r="Q922" s="567"/>
      <c r="R922" s="567"/>
      <c r="S922" s="567"/>
      <c r="T922" s="567"/>
      <c r="U922" s="567"/>
      <c r="V922" s="400">
        <f>+ROUND(V921,$AA$5)</f>
        <v>278.95</v>
      </c>
      <c r="Y922" s="401" t="s">
        <v>136</v>
      </c>
      <c r="Z922" s="402">
        <f>+ROUND(Z921,$AA$5)</f>
        <v>13947.43</v>
      </c>
      <c r="AA922" s="86"/>
      <c r="AB922" s="403">
        <f>+V922*Y912</f>
        <v>13947.5</v>
      </c>
      <c r="AC922" s="404">
        <f>+AB922-Z922</f>
        <v>6.9999999999708962E-2</v>
      </c>
      <c r="AD922" s="94"/>
      <c r="AE922" s="405"/>
    </row>
    <row r="923" spans="3:31" s="260" customFormat="1" x14ac:dyDescent="0.25">
      <c r="C923" s="84"/>
      <c r="D923" s="380"/>
      <c r="E923" s="381"/>
      <c r="F923" s="381"/>
      <c r="G923" s="381"/>
      <c r="H923" s="381"/>
      <c r="I923" s="381"/>
      <c r="J923" s="382"/>
      <c r="K923" s="88"/>
      <c r="M923" s="510" t="s">
        <v>103</v>
      </c>
      <c r="N923" s="511"/>
      <c r="O923" s="511"/>
      <c r="P923" s="511"/>
      <c r="Q923" s="511"/>
      <c r="R923" s="511"/>
      <c r="S923" s="511"/>
      <c r="T923" s="511"/>
      <c r="U923" s="511"/>
      <c r="V923" s="512"/>
      <c r="Y923" s="378"/>
      <c r="Z923" s="121"/>
      <c r="AA923" s="86"/>
      <c r="AB923" s="513"/>
      <c r="AC923" s="514"/>
      <c r="AD923" s="94"/>
      <c r="AE923" s="126"/>
    </row>
    <row r="924" spans="3:31" s="260" customFormat="1" x14ac:dyDescent="0.25">
      <c r="C924" s="84"/>
      <c r="D924" s="85"/>
      <c r="E924" s="86"/>
      <c r="F924" s="86"/>
      <c r="G924" s="86"/>
      <c r="H924" s="86"/>
      <c r="I924" s="86"/>
      <c r="J924" s="87"/>
      <c r="K924" s="88"/>
      <c r="M924" s="99" t="s">
        <v>94</v>
      </c>
      <c r="N924" s="561" t="s">
        <v>95</v>
      </c>
      <c r="O924" s="561"/>
      <c r="P924" s="561"/>
      <c r="Q924" s="561"/>
      <c r="R924" s="95" t="s">
        <v>96</v>
      </c>
      <c r="S924" s="95" t="s">
        <v>104</v>
      </c>
      <c r="T924" s="356" t="s">
        <v>105</v>
      </c>
      <c r="U924" s="356" t="s">
        <v>8</v>
      </c>
      <c r="V924" s="100" t="s">
        <v>98</v>
      </c>
      <c r="Y924" s="383" t="s">
        <v>104</v>
      </c>
      <c r="Z924" s="119" t="s">
        <v>9</v>
      </c>
      <c r="AA924" s="86"/>
      <c r="AB924" s="384"/>
      <c r="AC924" s="385"/>
      <c r="AD924" s="94"/>
      <c r="AE924" s="406"/>
    </row>
    <row r="925" spans="3:31" s="260" customFormat="1" x14ac:dyDescent="0.25">
      <c r="C925" s="84"/>
      <c r="D925" s="85"/>
      <c r="E925" s="86"/>
      <c r="F925" s="86"/>
      <c r="G925" s="86"/>
      <c r="H925" s="86"/>
      <c r="I925" s="86"/>
      <c r="J925" s="87"/>
      <c r="K925" s="88"/>
      <c r="M925" s="102">
        <v>701</v>
      </c>
      <c r="N925" s="533" t="str">
        <f>IFERROR(VLOOKUP(M925,INSUMOS!$C$8:$K$928,2,0),"-----")</f>
        <v>CODO 90 PVC-P 1/2"</v>
      </c>
      <c r="O925" s="533"/>
      <c r="P925" s="533"/>
      <c r="Q925" s="533"/>
      <c r="R925" s="78" t="str">
        <f>IFERROR(VLOOKUP(M925,INSUMOS!$C$8:$K$928,6,0),"-----")</f>
        <v>und</v>
      </c>
      <c r="S925" s="396">
        <v>1</v>
      </c>
      <c r="T925" s="387">
        <v>0</v>
      </c>
      <c r="U925" s="388">
        <f>IFERROR(VLOOKUP(M925,INSUMOS!$C$8:$K$928,7,0),"0")</f>
        <v>863</v>
      </c>
      <c r="V925" s="389">
        <f>+IFERROR(U925*(S925*(1+T925)),0)</f>
        <v>863</v>
      </c>
      <c r="Y925" s="393">
        <f>+IFERROR(Y912*(S925*(1+T925)),0)</f>
        <v>50</v>
      </c>
      <c r="Z925" s="391">
        <f>Y912*V925</f>
        <v>43150</v>
      </c>
      <c r="AA925" s="394"/>
      <c r="AB925" s="395">
        <f>+Y925*U925</f>
        <v>43150</v>
      </c>
      <c r="AC925" s="93">
        <f>+AB925-Z925</f>
        <v>0</v>
      </c>
      <c r="AD925" s="94"/>
      <c r="AE925" s="406" t="str">
        <f>+IF(V925=0,"CERO","NO")</f>
        <v>NO</v>
      </c>
    </row>
    <row r="926" spans="3:31" s="260" customFormat="1" x14ac:dyDescent="0.25">
      <c r="C926" s="84"/>
      <c r="D926" s="85"/>
      <c r="E926" s="86"/>
      <c r="F926" s="86"/>
      <c r="G926" s="86"/>
      <c r="H926" s="86"/>
      <c r="I926" s="86"/>
      <c r="J926" s="87"/>
      <c r="K926" s="88"/>
      <c r="M926" s="102">
        <v>699</v>
      </c>
      <c r="N926" s="533" t="str">
        <f>IFERROR(VLOOKUP(M926,INSUMOS!$C$8:$K$928,2,0),"-----")</f>
        <v>SOLDADURA PVC LIQUIDA 1/4"</v>
      </c>
      <c r="O926" s="533"/>
      <c r="P926" s="533"/>
      <c r="Q926" s="533"/>
      <c r="R926" s="78" t="str">
        <f>IFERROR(VLOOKUP(M926,INSUMOS!$C$8:$K$928,6,0),"-----")</f>
        <v>und</v>
      </c>
      <c r="S926" s="392">
        <v>5.0000000000000001E-3</v>
      </c>
      <c r="T926" s="387">
        <v>0.02</v>
      </c>
      <c r="U926" s="388">
        <f>IFERROR(VLOOKUP(M926,INSUMOS!$C$8:$K$928,7,0),"0")</f>
        <v>146569</v>
      </c>
      <c r="V926" s="389">
        <f>+IFERROR(U926*(S926*(1+T926)),0)</f>
        <v>747.50190000000009</v>
      </c>
      <c r="Y926" s="393">
        <f>+IFERROR(Y912*(S926*(1+T926)),0)</f>
        <v>0.255</v>
      </c>
      <c r="Z926" s="391">
        <f>Y912*V926</f>
        <v>37375.095000000001</v>
      </c>
      <c r="AA926" s="394"/>
      <c r="AB926" s="395">
        <f>+Y926*U926</f>
        <v>37375.095000000001</v>
      </c>
      <c r="AC926" s="93">
        <f>+AB926-Z926</f>
        <v>0</v>
      </c>
      <c r="AD926" s="94"/>
      <c r="AE926" s="406" t="str">
        <f>+IF(V926=0,"CERO","NO")</f>
        <v>NO</v>
      </c>
    </row>
    <row r="927" spans="3:31" s="260" customFormat="1" x14ac:dyDescent="0.25">
      <c r="C927" s="84"/>
      <c r="D927" s="85"/>
      <c r="E927" s="86"/>
      <c r="F927" s="86"/>
      <c r="G927" s="86"/>
      <c r="H927" s="86"/>
      <c r="I927" s="86"/>
      <c r="J927" s="87"/>
      <c r="K927" s="88"/>
      <c r="M927" s="102">
        <v>700</v>
      </c>
      <c r="N927" s="533" t="str">
        <f>IFERROR(VLOOKUP(M927,INSUMOS!$C$8:$K$928,2,0),"-----")</f>
        <v>LIMPIADOR PVC 1/4</v>
      </c>
      <c r="O927" s="533"/>
      <c r="P927" s="533"/>
      <c r="Q927" s="533"/>
      <c r="R927" s="78" t="str">
        <f>IFERROR(VLOOKUP(M927,INSUMOS!$C$8:$K$928,6,0),"-----")</f>
        <v>und</v>
      </c>
      <c r="S927" s="392">
        <v>5.0000000000000001E-3</v>
      </c>
      <c r="T927" s="387">
        <v>0.02</v>
      </c>
      <c r="U927" s="388">
        <f>IFERROR(VLOOKUP(M927,INSUMOS!$C$8:$K$928,7,0),"0")</f>
        <v>65913</v>
      </c>
      <c r="V927" s="389">
        <f>+IFERROR(U927*(S927*(1+T927)),0)</f>
        <v>336.15630000000004</v>
      </c>
      <c r="Y927" s="393">
        <f>+IFERROR(Y912*(S927*(1+T927)),0)</f>
        <v>0.255</v>
      </c>
      <c r="Z927" s="391">
        <f>Y912*V927</f>
        <v>16807.815000000002</v>
      </c>
      <c r="AA927" s="394"/>
      <c r="AB927" s="395">
        <f>+Y927*U927</f>
        <v>16807.814999999999</v>
      </c>
      <c r="AC927" s="93">
        <f>+AB927-Z927</f>
        <v>0</v>
      </c>
      <c r="AD927" s="94"/>
      <c r="AE927" s="406" t="str">
        <f>+IF(V927=0,"CERO","NO")</f>
        <v>NO</v>
      </c>
    </row>
    <row r="928" spans="3:31" s="260" customFormat="1" x14ac:dyDescent="0.25">
      <c r="C928" s="84"/>
      <c r="D928" s="85"/>
      <c r="E928" s="86"/>
      <c r="F928" s="86"/>
      <c r="G928" s="86"/>
      <c r="H928" s="86"/>
      <c r="I928" s="86"/>
      <c r="J928" s="87"/>
      <c r="K928" s="88"/>
      <c r="M928" s="102">
        <v>0</v>
      </c>
      <c r="N928" s="533" t="str">
        <f>IFERROR(VLOOKUP(M928,INSUMOS!$C$8:$K$928,2,0),"-----")</f>
        <v>-----</v>
      </c>
      <c r="O928" s="533"/>
      <c r="P928" s="533"/>
      <c r="Q928" s="533"/>
      <c r="R928" s="78" t="str">
        <f>IFERROR(VLOOKUP(M928,INSUMOS!$C$8:$K$928,6,0),"-----")</f>
        <v>-----</v>
      </c>
      <c r="S928" s="396"/>
      <c r="T928" s="387"/>
      <c r="U928" s="388" t="str">
        <f>IFERROR(VLOOKUP(M928,INSUMOS!$C$8:$K$928,7,0),"0")</f>
        <v>0</v>
      </c>
      <c r="V928" s="389">
        <f>+IFERROR(U928*(S928*(1+T928)),0)</f>
        <v>0</v>
      </c>
      <c r="Y928" s="393">
        <f>+IFERROR(Y912*(S928*(1+T928)),0)</f>
        <v>0</v>
      </c>
      <c r="Z928" s="391">
        <f>Y912*V928</f>
        <v>0</v>
      </c>
      <c r="AA928" s="394"/>
      <c r="AB928" s="395">
        <f>+Y928*U928</f>
        <v>0</v>
      </c>
      <c r="AC928" s="93">
        <f>+AB928-Z928</f>
        <v>0</v>
      </c>
      <c r="AD928" s="94"/>
      <c r="AE928" s="406" t="str">
        <f>+IF(V928=0,"CERO","NO")</f>
        <v>CERO</v>
      </c>
    </row>
    <row r="929" spans="3:31" s="260" customFormat="1" ht="15.75" thickBot="1" x14ac:dyDescent="0.3">
      <c r="C929" s="84"/>
      <c r="D929" s="85"/>
      <c r="E929" s="86"/>
      <c r="F929" s="86"/>
      <c r="G929" s="86"/>
      <c r="H929" s="86"/>
      <c r="I929" s="86"/>
      <c r="J929" s="87"/>
      <c r="K929" s="88"/>
      <c r="M929" s="102">
        <v>0</v>
      </c>
      <c r="N929" s="564"/>
      <c r="O929" s="564"/>
      <c r="P929" s="564"/>
      <c r="Q929" s="564"/>
      <c r="R929" s="96"/>
      <c r="S929" s="79"/>
      <c r="T929" s="97"/>
      <c r="U929" s="358"/>
      <c r="V929" s="397"/>
      <c r="Y929" s="393">
        <f>+IFERROR(Y912*(S929*(1+T929)),0)</f>
        <v>0</v>
      </c>
      <c r="Z929" s="391">
        <f>Y912*V929</f>
        <v>0</v>
      </c>
      <c r="AA929" s="394"/>
      <c r="AB929" s="395">
        <f>+Y929*U929</f>
        <v>0</v>
      </c>
      <c r="AC929" s="93">
        <f>+AB929-Z929</f>
        <v>0</v>
      </c>
      <c r="AD929" s="94"/>
      <c r="AE929" s="406" t="str">
        <f>+IF(V929=0,"CERO","NO")</f>
        <v>CERO</v>
      </c>
    </row>
    <row r="930" spans="3:31" s="260" customFormat="1" ht="15.75" thickBot="1" x14ac:dyDescent="0.3">
      <c r="C930" s="84"/>
      <c r="D930" s="375" t="s">
        <v>128</v>
      </c>
      <c r="E930" s="376" t="s">
        <v>129</v>
      </c>
      <c r="F930" s="376" t="s">
        <v>130</v>
      </c>
      <c r="G930" s="376" t="s">
        <v>131</v>
      </c>
      <c r="H930" s="376" t="s">
        <v>132</v>
      </c>
      <c r="I930" s="376" t="s">
        <v>133</v>
      </c>
      <c r="J930" s="377" t="s">
        <v>134</v>
      </c>
      <c r="K930" s="88"/>
      <c r="M930" s="534"/>
      <c r="N930" s="536" t="s">
        <v>106</v>
      </c>
      <c r="O930" s="536"/>
      <c r="P930" s="536"/>
      <c r="Q930" s="536"/>
      <c r="R930" s="536"/>
      <c r="S930" s="536"/>
      <c r="T930" s="536"/>
      <c r="U930" s="536"/>
      <c r="V930" s="389">
        <f>+SUM(V925:V929)</f>
        <v>1946.6582000000003</v>
      </c>
      <c r="Y930" s="398" t="s">
        <v>135</v>
      </c>
      <c r="Z930" s="397">
        <f>+SUM(Z925:Z929)</f>
        <v>97332.91</v>
      </c>
      <c r="AA930" s="86"/>
      <c r="AB930" s="384"/>
      <c r="AC930" s="385"/>
      <c r="AD930" s="94"/>
      <c r="AE930" s="399"/>
    </row>
    <row r="931" spans="3:31" s="260" customFormat="1" ht="15.75" thickBot="1" x14ac:dyDescent="0.3">
      <c r="C931" s="84"/>
      <c r="D931" s="375"/>
      <c r="E931" s="407">
        <f>+D922</f>
        <v>2.09</v>
      </c>
      <c r="F931" s="376"/>
      <c r="G931" s="376"/>
      <c r="H931" s="376"/>
      <c r="I931" s="376"/>
      <c r="J931" s="377"/>
      <c r="K931" s="88"/>
      <c r="M931" s="535"/>
      <c r="N931" s="537" t="s">
        <v>107</v>
      </c>
      <c r="O931" s="537"/>
      <c r="P931" s="537"/>
      <c r="Q931" s="537"/>
      <c r="R931" s="537"/>
      <c r="S931" s="537"/>
      <c r="T931" s="537"/>
      <c r="U931" s="537"/>
      <c r="V931" s="408">
        <f>+ROUND(V930,$AA$5)</f>
        <v>1946.66</v>
      </c>
      <c r="Y931" s="401" t="s">
        <v>136</v>
      </c>
      <c r="Z931" s="402">
        <f>+ROUND(Z930,$AA$5)</f>
        <v>97332.91</v>
      </c>
      <c r="AA931" s="86"/>
      <c r="AB931" s="403">
        <f>+V931*Y912</f>
        <v>97333</v>
      </c>
      <c r="AC931" s="404">
        <f>+AB931-Z931</f>
        <v>8.999999999650754E-2</v>
      </c>
      <c r="AD931" s="94"/>
      <c r="AE931" s="405"/>
    </row>
    <row r="932" spans="3:31" s="260" customFormat="1" x14ac:dyDescent="0.25">
      <c r="C932" s="84"/>
      <c r="D932" s="380"/>
      <c r="E932" s="381"/>
      <c r="F932" s="381"/>
      <c r="G932" s="381"/>
      <c r="H932" s="381"/>
      <c r="I932" s="381"/>
      <c r="J932" s="382"/>
      <c r="K932" s="88"/>
      <c r="M932" s="568" t="s">
        <v>108</v>
      </c>
      <c r="N932" s="569"/>
      <c r="O932" s="569"/>
      <c r="P932" s="569"/>
      <c r="Q932" s="569"/>
      <c r="R932" s="569"/>
      <c r="S932" s="569"/>
      <c r="T932" s="569"/>
      <c r="U932" s="569"/>
      <c r="V932" s="570"/>
      <c r="Y932" s="378"/>
      <c r="Z932" s="121"/>
      <c r="AA932" s="86"/>
      <c r="AB932" s="409"/>
      <c r="AC932" s="121"/>
      <c r="AD932" s="94"/>
      <c r="AE932" s="126"/>
    </row>
    <row r="933" spans="3:31" s="260" customFormat="1" ht="25.5" x14ac:dyDescent="0.25">
      <c r="C933" s="84"/>
      <c r="D933" s="85"/>
      <c r="E933" s="86"/>
      <c r="F933" s="86"/>
      <c r="G933" s="86"/>
      <c r="H933" s="86"/>
      <c r="I933" s="86"/>
      <c r="J933" s="87"/>
      <c r="K933" s="88"/>
      <c r="M933" s="99" t="s">
        <v>94</v>
      </c>
      <c r="N933" s="561" t="s">
        <v>95</v>
      </c>
      <c r="O933" s="561"/>
      <c r="P933" s="561"/>
      <c r="Q933" s="95" t="s">
        <v>109</v>
      </c>
      <c r="R933" s="95" t="s">
        <v>110</v>
      </c>
      <c r="S933" s="95" t="s">
        <v>111</v>
      </c>
      <c r="T933" s="562" t="s">
        <v>112</v>
      </c>
      <c r="U933" s="562"/>
      <c r="V933" s="100" t="s">
        <v>98</v>
      </c>
      <c r="Y933" s="383" t="s">
        <v>104</v>
      </c>
      <c r="Z933" s="119" t="s">
        <v>9</v>
      </c>
      <c r="AA933" s="86"/>
      <c r="AB933" s="384"/>
      <c r="AC933" s="385"/>
      <c r="AD933" s="94"/>
      <c r="AE933" s="410"/>
    </row>
    <row r="934" spans="3:31" s="260" customFormat="1" x14ac:dyDescent="0.25">
      <c r="C934" s="84"/>
      <c r="D934" s="85"/>
      <c r="E934" s="86"/>
      <c r="F934" s="86"/>
      <c r="G934" s="86"/>
      <c r="H934" s="86"/>
      <c r="I934" s="86"/>
      <c r="J934" s="87"/>
      <c r="K934" s="88"/>
      <c r="M934" s="102">
        <v>129</v>
      </c>
      <c r="N934" s="530" t="str">
        <f>IFERROR(VLOOKUP(M934,INSUMOS!$C$8:$K$928,2,0),"-----")</f>
        <v>transporte materiales en general</v>
      </c>
      <c r="O934" s="531"/>
      <c r="P934" s="532"/>
      <c r="Q934" s="78" t="str">
        <f>IFERROR(VLOOKUP(M934,INSUMOS!$C$8:$K$928,5,0),"-----")</f>
        <v>Km</v>
      </c>
      <c r="R934" s="80">
        <v>1</v>
      </c>
      <c r="S934" s="80">
        <f>IFERROR(VLOOKUP(M934,INSUMOS!$C$8:$K$928,6,0),"0")</f>
        <v>348</v>
      </c>
      <c r="T934" s="529">
        <f>IFERROR(VLOOKUP(M934,INSUMOS!$C$8:$K$928,7,0),"0")</f>
        <v>0.99776362060288992</v>
      </c>
      <c r="U934" s="529"/>
      <c r="V934" s="82">
        <f>+T934*S934*R934</f>
        <v>347.2217399698057</v>
      </c>
      <c r="Y934" s="393">
        <f>+IFERROR((R934*S934)*Y912,0)</f>
        <v>17400</v>
      </c>
      <c r="Z934" s="391">
        <f>Y912*V934</f>
        <v>17361.086998490286</v>
      </c>
      <c r="AA934" s="86"/>
      <c r="AB934" s="92">
        <f>+Y934*T934</f>
        <v>17361.086998490286</v>
      </c>
      <c r="AC934" s="93">
        <f>+AB934-Z934</f>
        <v>0</v>
      </c>
      <c r="AD934" s="94"/>
      <c r="AE934" s="406" t="str">
        <f>+IF(V934=0,"CERO","NO")</f>
        <v>NO</v>
      </c>
    </row>
    <row r="935" spans="3:31" s="260" customFormat="1" x14ac:dyDescent="0.25">
      <c r="C935" s="84"/>
      <c r="D935" s="85"/>
      <c r="E935" s="86"/>
      <c r="F935" s="86"/>
      <c r="G935" s="86"/>
      <c r="H935" s="86"/>
      <c r="I935" s="86"/>
      <c r="J935" s="87"/>
      <c r="K935" s="88"/>
      <c r="M935" s="102">
        <v>0</v>
      </c>
      <c r="N935" s="530" t="str">
        <f>IFERROR(VLOOKUP(M935,INSUMOS!$C$8:$K$928,2,0),"-----")</f>
        <v>-----</v>
      </c>
      <c r="O935" s="531"/>
      <c r="P935" s="532"/>
      <c r="Q935" s="78" t="str">
        <f>IFERROR(VLOOKUP(M935,INSUMOS!$C$8:$K$928,5,0),"-----")</f>
        <v>-----</v>
      </c>
      <c r="R935" s="80"/>
      <c r="S935" s="80" t="str">
        <f>IFERROR(VLOOKUP(M935,INSUMOS!$C$8:$K$928,6,0),"0")</f>
        <v>0</v>
      </c>
      <c r="T935" s="529" t="str">
        <f>IFERROR(VLOOKUP(M935,INSUMOS!$C$8:$K$928,7,0),"0")</f>
        <v>0</v>
      </c>
      <c r="U935" s="529"/>
      <c r="V935" s="82">
        <f>+T935*S935*R935</f>
        <v>0</v>
      </c>
      <c r="Y935" s="393">
        <f>+IFERROR((R935*S935)*Y912,0)</f>
        <v>0</v>
      </c>
      <c r="Z935" s="391">
        <f>Y912*V935</f>
        <v>0</v>
      </c>
      <c r="AA935" s="86"/>
      <c r="AB935" s="92">
        <f>+Y935*T935</f>
        <v>0</v>
      </c>
      <c r="AC935" s="93">
        <f>+AB935-Z935</f>
        <v>0</v>
      </c>
      <c r="AD935" s="94"/>
      <c r="AE935" s="406" t="str">
        <f>+IF(V935=0,"CERO","NO")</f>
        <v>CERO</v>
      </c>
    </row>
    <row r="936" spans="3:31" s="260" customFormat="1" x14ac:dyDescent="0.25">
      <c r="C936" s="84"/>
      <c r="D936" s="85"/>
      <c r="E936" s="86"/>
      <c r="F936" s="86"/>
      <c r="G936" s="86"/>
      <c r="H936" s="86"/>
      <c r="I936" s="86"/>
      <c r="J936" s="87"/>
      <c r="K936" s="88"/>
      <c r="M936" s="102">
        <v>0</v>
      </c>
      <c r="N936" s="530" t="str">
        <f>IFERROR(VLOOKUP(M936,INSUMOS!$C$8:$K$928,2,0),"-----")</f>
        <v>-----</v>
      </c>
      <c r="O936" s="531"/>
      <c r="P936" s="532"/>
      <c r="Q936" s="78" t="str">
        <f>IFERROR(VLOOKUP(M936,INSUMOS!$C$8:$K$928,5,0),"-----")</f>
        <v>-----</v>
      </c>
      <c r="R936" s="80"/>
      <c r="S936" s="80" t="str">
        <f>IFERROR(VLOOKUP(M936,INSUMOS!$C$8:$K$928,6,0),"0")</f>
        <v>0</v>
      </c>
      <c r="T936" s="529" t="str">
        <f>IFERROR(VLOOKUP(M936,INSUMOS!$C$8:$K$928,7,0),"0")</f>
        <v>0</v>
      </c>
      <c r="U936" s="529"/>
      <c r="V936" s="82">
        <f>+T936*S936*R936</f>
        <v>0</v>
      </c>
      <c r="Y936" s="393">
        <f>+IFERROR((R936*S936)*Y912,0)</f>
        <v>0</v>
      </c>
      <c r="Z936" s="391">
        <f>Y912*V936</f>
        <v>0</v>
      </c>
      <c r="AA936" s="86"/>
      <c r="AB936" s="92">
        <f>+Y936*T936</f>
        <v>0</v>
      </c>
      <c r="AC936" s="93">
        <f>+AB936-Z936</f>
        <v>0</v>
      </c>
      <c r="AD936" s="94"/>
      <c r="AE936" s="406" t="str">
        <f>+IF(V936=0,"CERO","NO")</f>
        <v>CERO</v>
      </c>
    </row>
    <row r="937" spans="3:31" s="260" customFormat="1" ht="15.75" thickBot="1" x14ac:dyDescent="0.3">
      <c r="C937" s="84"/>
      <c r="D937" s="89"/>
      <c r="E937" s="90"/>
      <c r="F937" s="90"/>
      <c r="G937" s="90"/>
      <c r="H937" s="90"/>
      <c r="I937" s="90"/>
      <c r="J937" s="91"/>
      <c r="K937" s="88"/>
      <c r="M937" s="102">
        <v>0</v>
      </c>
      <c r="N937" s="533"/>
      <c r="O937" s="533"/>
      <c r="P937" s="533"/>
      <c r="Q937" s="79"/>
      <c r="R937" s="78"/>
      <c r="S937" s="81"/>
      <c r="T937" s="529"/>
      <c r="U937" s="529"/>
      <c r="V937" s="82"/>
      <c r="Y937" s="393">
        <f>+IFERROR((R937*S937)*Y912,0)</f>
        <v>0</v>
      </c>
      <c r="Z937" s="391">
        <f>Y912*V937</f>
        <v>0</v>
      </c>
      <c r="AA937" s="86"/>
      <c r="AB937" s="92">
        <f>+Y937*T937</f>
        <v>0</v>
      </c>
      <c r="AC937" s="93">
        <f>+AB937-Z937</f>
        <v>0</v>
      </c>
      <c r="AD937" s="94"/>
      <c r="AE937" s="406" t="str">
        <f>+IF(V937=0,"CERO","NO")</f>
        <v>CERO</v>
      </c>
    </row>
    <row r="938" spans="3:31" s="260" customFormat="1" ht="15.75" thickBot="1" x14ac:dyDescent="0.3">
      <c r="C938" s="84"/>
      <c r="D938" s="375" t="s">
        <v>128</v>
      </c>
      <c r="E938" s="376" t="s">
        <v>129</v>
      </c>
      <c r="F938" s="376" t="s">
        <v>130</v>
      </c>
      <c r="G938" s="376" t="s">
        <v>131</v>
      </c>
      <c r="H938" s="376" t="s">
        <v>132</v>
      </c>
      <c r="I938" s="376" t="s">
        <v>133</v>
      </c>
      <c r="J938" s="377" t="s">
        <v>134</v>
      </c>
      <c r="K938" s="88"/>
      <c r="M938" s="534"/>
      <c r="N938" s="536" t="s">
        <v>113</v>
      </c>
      <c r="O938" s="536"/>
      <c r="P938" s="536"/>
      <c r="Q938" s="536"/>
      <c r="R938" s="536"/>
      <c r="S938" s="536"/>
      <c r="T938" s="536"/>
      <c r="U938" s="536"/>
      <c r="V938" s="411">
        <f>+SUM(V934:V937)</f>
        <v>347.2217399698057</v>
      </c>
      <c r="Y938" s="398" t="s">
        <v>135</v>
      </c>
      <c r="Z938" s="397">
        <f>+SUM(Z934:Z937)</f>
        <v>17361.086998490286</v>
      </c>
      <c r="AA938" s="86"/>
      <c r="AB938" s="384"/>
      <c r="AC938" s="385"/>
      <c r="AD938" s="94"/>
      <c r="AE938" s="399"/>
    </row>
    <row r="939" spans="3:31" s="260" customFormat="1" ht="15.75" thickBot="1" x14ac:dyDescent="0.3">
      <c r="C939" s="84"/>
      <c r="D939" s="355"/>
      <c r="E939" s="367"/>
      <c r="F939" s="412">
        <f>+E931</f>
        <v>2.09</v>
      </c>
      <c r="G939" s="367"/>
      <c r="H939" s="367"/>
      <c r="I939" s="367"/>
      <c r="J939" s="368"/>
      <c r="K939" s="88"/>
      <c r="M939" s="535"/>
      <c r="N939" s="537" t="s">
        <v>114</v>
      </c>
      <c r="O939" s="537"/>
      <c r="P939" s="537"/>
      <c r="Q939" s="537"/>
      <c r="R939" s="537"/>
      <c r="S939" s="537"/>
      <c r="T939" s="537"/>
      <c r="U939" s="537"/>
      <c r="V939" s="413">
        <f>+ROUND(V938,$AA$5)</f>
        <v>347.22</v>
      </c>
      <c r="Y939" s="401" t="s">
        <v>136</v>
      </c>
      <c r="Z939" s="402">
        <f>+ROUND(Z938,$AA$5)</f>
        <v>17361.09</v>
      </c>
      <c r="AA939" s="86"/>
      <c r="AB939" s="403">
        <f>+V939*Y912</f>
        <v>17361</v>
      </c>
      <c r="AC939" s="414"/>
      <c r="AD939" s="94"/>
      <c r="AE939" s="405"/>
    </row>
    <row r="940" spans="3:31" s="260" customFormat="1" ht="15.75" thickBot="1" x14ac:dyDescent="0.3">
      <c r="C940" s="84"/>
      <c r="D940" s="415"/>
      <c r="E940" s="416"/>
      <c r="F940" s="416"/>
      <c r="G940" s="416"/>
      <c r="H940" s="416"/>
      <c r="I940" s="416"/>
      <c r="J940" s="417"/>
      <c r="K940" s="88"/>
      <c r="M940" s="538" t="s">
        <v>115</v>
      </c>
      <c r="N940" s="539"/>
      <c r="O940" s="539"/>
      <c r="P940" s="539"/>
      <c r="Q940" s="539"/>
      <c r="R940" s="539"/>
      <c r="S940" s="539"/>
      <c r="T940" s="539"/>
      <c r="U940" s="539"/>
      <c r="V940" s="540"/>
      <c r="Y940" s="378"/>
      <c r="Z940" s="121"/>
      <c r="AA940" s="86"/>
      <c r="AB940" s="409"/>
      <c r="AC940" s="121"/>
      <c r="AD940" s="94"/>
      <c r="AE940" s="126"/>
    </row>
    <row r="941" spans="3:31" s="260" customFormat="1" ht="15.75" thickBot="1" x14ac:dyDescent="0.3">
      <c r="C941" s="84"/>
      <c r="D941" s="375" t="s">
        <v>128</v>
      </c>
      <c r="E941" s="376" t="s">
        <v>129</v>
      </c>
      <c r="F941" s="376" t="s">
        <v>130</v>
      </c>
      <c r="G941" s="376" t="s">
        <v>131</v>
      </c>
      <c r="H941" s="376" t="s">
        <v>132</v>
      </c>
      <c r="I941" s="376" t="s">
        <v>133</v>
      </c>
      <c r="J941" s="377" t="s">
        <v>134</v>
      </c>
      <c r="K941" s="88"/>
      <c r="M941" s="99" t="s">
        <v>94</v>
      </c>
      <c r="N941" s="98" t="s">
        <v>95</v>
      </c>
      <c r="O941" s="95" t="s">
        <v>96</v>
      </c>
      <c r="P941" s="359" t="s">
        <v>104</v>
      </c>
      <c r="Q941" s="95" t="s">
        <v>116</v>
      </c>
      <c r="R941" s="418" t="s">
        <v>117</v>
      </c>
      <c r="S941" s="95" t="s">
        <v>347</v>
      </c>
      <c r="T941" s="419" t="s">
        <v>118</v>
      </c>
      <c r="U941" s="189" t="s">
        <v>119</v>
      </c>
      <c r="V941" s="100" t="s">
        <v>98</v>
      </c>
      <c r="Y941" s="383" t="s">
        <v>104</v>
      </c>
      <c r="Z941" s="119" t="s">
        <v>9</v>
      </c>
      <c r="AA941" s="86"/>
      <c r="AB941" s="384"/>
      <c r="AC941" s="385"/>
      <c r="AD941" s="94"/>
      <c r="AE941" s="410"/>
    </row>
    <row r="942" spans="3:31" s="260" customFormat="1" ht="25.5" x14ac:dyDescent="0.25">
      <c r="C942" s="84"/>
      <c r="D942" s="354"/>
      <c r="E942" s="96"/>
      <c r="F942" s="96"/>
      <c r="G942" s="96"/>
      <c r="H942" s="96"/>
      <c r="I942" s="96"/>
      <c r="J942" s="420">
        <f>+F939</f>
        <v>2.09</v>
      </c>
      <c r="K942" s="88"/>
      <c r="M942" s="102">
        <v>207</v>
      </c>
      <c r="N942" s="347" t="str">
        <f>IFERROR(VLOOKUP(M942,INSUMOS!$C$8:$K$928,2,0),"-----")</f>
        <v>Oficial Hidrosanitario</v>
      </c>
      <c r="O942" s="78" t="str">
        <f>IFERROR(VLOOKUP(M942,INSUMOS!$C$8:$K$928,3,0),"-----")</f>
        <v>JORNAL+PS</v>
      </c>
      <c r="P942" s="80">
        <v>1</v>
      </c>
      <c r="Q942" s="79">
        <v>30</v>
      </c>
      <c r="R942" s="190">
        <f>IFERROR(VLOOKUP(M942,INSUMOS!$C$8:$K$928,4,0),"-----")</f>
        <v>92983</v>
      </c>
      <c r="S942" s="190">
        <f>IFERROR(VLOOKUP(M942,INSUMOS!$C$8:$K$928,6,0),"-----")</f>
        <v>74386</v>
      </c>
      <c r="T942" s="190">
        <f>IFERROR(VLOOKUP(M942,INSUMOS!$C$8:$K$928,5,0),"-----")</f>
        <v>0</v>
      </c>
      <c r="U942" s="388">
        <f>SUM(R942:T942)</f>
        <v>167369</v>
      </c>
      <c r="V942" s="82">
        <f>+IFERROR((P942/Q942)*U942,0)</f>
        <v>5578.9666666666662</v>
      </c>
      <c r="Y942" s="393">
        <f>+IFERROR((Y912/Q942*P942),0)</f>
        <v>1.6666666666666667</v>
      </c>
      <c r="Z942" s="391">
        <f>Y912*V942</f>
        <v>278948.33333333331</v>
      </c>
      <c r="AA942" s="86"/>
      <c r="AB942" s="92">
        <f>+(U942)*Y942</f>
        <v>278948.33333333337</v>
      </c>
      <c r="AC942" s="93">
        <f>+AB942-Z942</f>
        <v>0</v>
      </c>
      <c r="AD942" s="421"/>
      <c r="AE942" s="410" t="str">
        <f>+IF(V942=0,"CERO","NO")</f>
        <v>NO</v>
      </c>
    </row>
    <row r="943" spans="3:31" s="260" customFormat="1" ht="15.75" thickBot="1" x14ac:dyDescent="0.3">
      <c r="C943" s="84"/>
      <c r="D943" s="355"/>
      <c r="E943" s="367"/>
      <c r="F943" s="367"/>
      <c r="G943" s="367"/>
      <c r="H943" s="367"/>
      <c r="I943" s="367"/>
      <c r="J943" s="422">
        <f>+J942</f>
        <v>2.09</v>
      </c>
      <c r="K943" s="88"/>
      <c r="M943" s="102"/>
      <c r="N943" s="347" t="str">
        <f>IFERROR(VLOOKUP(M943,INSUMOS!$C$8:$K$928,2,0),"-----")</f>
        <v>-----</v>
      </c>
      <c r="O943" s="78" t="str">
        <f>IFERROR(VLOOKUP(M943,INSUMOS!$C$8:$K$928,3,0),"-----")</f>
        <v>-----</v>
      </c>
      <c r="P943" s="80"/>
      <c r="Q943" s="79"/>
      <c r="R943" s="190" t="str">
        <f>IFERROR(VLOOKUP(M943,INSUMOS!$C$8:$K$928,4,0),"-----")</f>
        <v>-----</v>
      </c>
      <c r="S943" s="190" t="str">
        <f>IFERROR(VLOOKUP(M943,INSUMOS!$C$8:$K$928,6,0),"-----")</f>
        <v>-----</v>
      </c>
      <c r="T943" s="190" t="str">
        <f>IFERROR(VLOOKUP(M943,INSUMOS!$C$8:$K$928,5,0),"-----")</f>
        <v>-----</v>
      </c>
      <c r="U943" s="388">
        <f>SUM(R943:T943)</f>
        <v>0</v>
      </c>
      <c r="V943" s="82">
        <f>+IFERROR((P943/Q943)*U943,0)</f>
        <v>0</v>
      </c>
      <c r="Y943" s="393">
        <f>+IFERROR((Y912/Q943*P943),0)</f>
        <v>0</v>
      </c>
      <c r="Z943" s="391">
        <f>Y912*V943</f>
        <v>0</v>
      </c>
      <c r="AA943" s="86"/>
      <c r="AB943" s="92">
        <f>+U943*Y943</f>
        <v>0</v>
      </c>
      <c r="AC943" s="93">
        <f>+AB943-Z943</f>
        <v>0</v>
      </c>
      <c r="AD943" s="94"/>
      <c r="AE943" s="410" t="str">
        <f>+IF(V943=0,"CERO","NO")</f>
        <v>CERO</v>
      </c>
    </row>
    <row r="944" spans="3:31" s="260" customFormat="1" ht="15.75" thickBot="1" x14ac:dyDescent="0.3">
      <c r="C944" s="84"/>
      <c r="D944" s="380"/>
      <c r="E944" s="381"/>
      <c r="F944" s="381"/>
      <c r="G944" s="381"/>
      <c r="H944" s="381"/>
      <c r="I944" s="381"/>
      <c r="J944" s="382"/>
      <c r="K944" s="88"/>
      <c r="M944" s="102">
        <v>0</v>
      </c>
      <c r="N944" s="347"/>
      <c r="O944" s="79"/>
      <c r="P944" s="423"/>
      <c r="Q944" s="81"/>
      <c r="R944" s="111"/>
      <c r="S944" s="357"/>
      <c r="T944" s="111"/>
      <c r="U944" s="388"/>
      <c r="V944" s="426"/>
      <c r="Y944" s="393">
        <f>+IFERROR((Y912/Q944*P944),0)</f>
        <v>0</v>
      </c>
      <c r="Z944" s="391">
        <f>Y912*V944</f>
        <v>0</v>
      </c>
      <c r="AA944" s="86"/>
      <c r="AB944" s="92">
        <f>+(U944)*Y944*P944</f>
        <v>0</v>
      </c>
      <c r="AC944" s="93">
        <f>+AB944-Z944</f>
        <v>0</v>
      </c>
      <c r="AD944" s="94"/>
      <c r="AE944" s="410" t="str">
        <f>+IF(V944=0,"CERO","NO")</f>
        <v>CERO</v>
      </c>
    </row>
    <row r="945" spans="3:31" s="260" customFormat="1" ht="15.75" thickBot="1" x14ac:dyDescent="0.3">
      <c r="C945" s="84"/>
      <c r="D945" s="375" t="s">
        <v>128</v>
      </c>
      <c r="E945" s="376" t="s">
        <v>129</v>
      </c>
      <c r="F945" s="376" t="s">
        <v>130</v>
      </c>
      <c r="G945" s="376" t="s">
        <v>131</v>
      </c>
      <c r="H945" s="376" t="s">
        <v>132</v>
      </c>
      <c r="I945" s="376" t="s">
        <v>133</v>
      </c>
      <c r="J945" s="377" t="s">
        <v>134</v>
      </c>
      <c r="K945" s="88"/>
      <c r="M945" s="534"/>
      <c r="N945" s="536" t="s">
        <v>120</v>
      </c>
      <c r="O945" s="536"/>
      <c r="P945" s="536"/>
      <c r="Q945" s="536"/>
      <c r="R945" s="536"/>
      <c r="S945" s="536"/>
      <c r="T945" s="536"/>
      <c r="U945" s="536"/>
      <c r="V945" s="82">
        <f>+SUM(V942:V944)</f>
        <v>5578.9666666666662</v>
      </c>
      <c r="Y945" s="398" t="s">
        <v>135</v>
      </c>
      <c r="Z945" s="397">
        <f>+SUM(Z942:Z944)</f>
        <v>278948.33333333331</v>
      </c>
      <c r="AA945" s="86"/>
      <c r="AB945" s="384"/>
      <c r="AC945" s="385"/>
      <c r="AD945" s="94"/>
      <c r="AE945" s="399"/>
    </row>
    <row r="946" spans="3:31" s="260" customFormat="1" ht="15.75" thickBot="1" x14ac:dyDescent="0.3">
      <c r="C946" s="84"/>
      <c r="D946" s="354"/>
      <c r="E946" s="96"/>
      <c r="F946" s="96"/>
      <c r="G946" s="107">
        <f>+F939</f>
        <v>2.09</v>
      </c>
      <c r="H946" s="96"/>
      <c r="I946" s="96"/>
      <c r="J946" s="427"/>
      <c r="K946" s="88"/>
      <c r="M946" s="535"/>
      <c r="N946" s="537" t="s">
        <v>121</v>
      </c>
      <c r="O946" s="537"/>
      <c r="P946" s="537"/>
      <c r="Q946" s="537"/>
      <c r="R946" s="537"/>
      <c r="S946" s="537"/>
      <c r="T946" s="537"/>
      <c r="U946" s="537"/>
      <c r="V946" s="413">
        <f>+ROUND(V945,$AA$5)</f>
        <v>5578.97</v>
      </c>
      <c r="Y946" s="401" t="s">
        <v>136</v>
      </c>
      <c r="Z946" s="402">
        <f>+ROUND(Z945,$AA$5)</f>
        <v>278948.33</v>
      </c>
      <c r="AA946" s="86"/>
      <c r="AB946" s="403">
        <f>+V946*Y912</f>
        <v>278948.5</v>
      </c>
      <c r="AC946" s="404">
        <f>+AB946-Z946</f>
        <v>0.16999999998370185</v>
      </c>
      <c r="AD946" s="94"/>
      <c r="AE946" s="405"/>
    </row>
    <row r="947" spans="3:31" s="260" customFormat="1" ht="15.75" thickBot="1" x14ac:dyDescent="0.3">
      <c r="C947" s="84"/>
      <c r="D947" s="375" t="s">
        <v>128</v>
      </c>
      <c r="E947" s="376" t="s">
        <v>129</v>
      </c>
      <c r="F947" s="376" t="s">
        <v>130</v>
      </c>
      <c r="G947" s="376" t="s">
        <v>131</v>
      </c>
      <c r="H947" s="376" t="s">
        <v>132</v>
      </c>
      <c r="I947" s="376" t="s">
        <v>133</v>
      </c>
      <c r="J947" s="377" t="s">
        <v>134</v>
      </c>
      <c r="K947" s="88"/>
      <c r="M947" s="541"/>
      <c r="N947" s="542"/>
      <c r="O947" s="542"/>
      <c r="P947" s="542"/>
      <c r="Q947" s="542"/>
      <c r="R947" s="542"/>
      <c r="S947" s="542"/>
      <c r="T947" s="542"/>
      <c r="U947" s="542"/>
      <c r="V947" s="543"/>
      <c r="Y947" s="378"/>
      <c r="Z947" s="121"/>
      <c r="AA947" s="86"/>
      <c r="AB947" s="409"/>
      <c r="AC947" s="121"/>
      <c r="AD947" s="94"/>
      <c r="AE947" s="428"/>
    </row>
    <row r="948" spans="3:31" s="260" customFormat="1" ht="15.75" thickBot="1" x14ac:dyDescent="0.3">
      <c r="C948" s="84"/>
      <c r="D948" s="355"/>
      <c r="E948" s="367"/>
      <c r="F948" s="367"/>
      <c r="G948" s="367"/>
      <c r="H948" s="412">
        <f>G946</f>
        <v>2.09</v>
      </c>
      <c r="I948" s="412"/>
      <c r="J948" s="422"/>
      <c r="K948" s="88"/>
      <c r="M948" s="544" t="s">
        <v>122</v>
      </c>
      <c r="N948" s="537"/>
      <c r="O948" s="537"/>
      <c r="P948" s="537"/>
      <c r="Q948" s="537"/>
      <c r="R948" s="537"/>
      <c r="S948" s="537"/>
      <c r="T948" s="537"/>
      <c r="U948" s="545">
        <f>+V946+V939+V931+V922</f>
        <v>8151.8</v>
      </c>
      <c r="V948" s="546"/>
      <c r="Y948" s="429"/>
      <c r="Z948" s="430">
        <f>+Z946+Z939+Z931+Z922</f>
        <v>407589.76000000007</v>
      </c>
      <c r="AA948" s="86"/>
      <c r="AB948" s="431">
        <f>+AB946+AB939+AB931+AB922</f>
        <v>407590</v>
      </c>
      <c r="AC948" s="404">
        <f>+AB948-Z948</f>
        <v>0.23999999993247911</v>
      </c>
      <c r="AD948" s="94"/>
      <c r="AE948" s="432"/>
    </row>
    <row r="949" spans="3:31" s="260" customFormat="1" ht="15.75" thickBot="1" x14ac:dyDescent="0.3"/>
    <row r="950" spans="3:31" s="260" customFormat="1" x14ac:dyDescent="0.25">
      <c r="M950" s="547" t="s">
        <v>348</v>
      </c>
      <c r="N950" s="548"/>
      <c r="O950" s="548"/>
      <c r="P950" s="548"/>
      <c r="Q950" s="548"/>
      <c r="R950" s="548"/>
      <c r="S950" s="548"/>
      <c r="T950" s="548"/>
      <c r="U950" s="548"/>
      <c r="V950" s="549"/>
      <c r="Y950" s="378"/>
      <c r="Z950" s="121"/>
      <c r="AA950" s="86"/>
      <c r="AB950" s="94"/>
      <c r="AC950" s="94"/>
      <c r="AD950" s="94"/>
      <c r="AE950" s="126" t="s">
        <v>133</v>
      </c>
    </row>
    <row r="951" spans="3:31" s="260" customFormat="1" x14ac:dyDescent="0.25">
      <c r="M951" s="515" t="s">
        <v>138</v>
      </c>
      <c r="N951" s="516"/>
      <c r="O951" s="516"/>
      <c r="P951" s="516"/>
      <c r="Q951" s="516"/>
      <c r="R951" s="516"/>
      <c r="S951" s="516"/>
      <c r="T951" s="437">
        <v>0</v>
      </c>
      <c r="U951" s="517">
        <f>+ROUND(U948*T951,$AA$5)</f>
        <v>0</v>
      </c>
      <c r="V951" s="518"/>
      <c r="Y951" s="390"/>
      <c r="Z951" s="438">
        <f>+Z948*T951</f>
        <v>0</v>
      </c>
      <c r="AA951" s="86"/>
      <c r="AB951" s="94"/>
      <c r="AC951" s="94"/>
      <c r="AD951" s="94"/>
      <c r="AE951" s="386" t="s">
        <v>133</v>
      </c>
    </row>
    <row r="952" spans="3:31" s="260" customFormat="1" x14ac:dyDescent="0.25">
      <c r="M952" s="515" t="s">
        <v>19</v>
      </c>
      <c r="N952" s="516"/>
      <c r="O952" s="516"/>
      <c r="P952" s="516"/>
      <c r="Q952" s="516"/>
      <c r="R952" s="516"/>
      <c r="S952" s="516"/>
      <c r="T952" s="437">
        <v>0.05</v>
      </c>
      <c r="U952" s="517">
        <f>+ROUND(U948*T952,$AA$5)</f>
        <v>407.59</v>
      </c>
      <c r="V952" s="518"/>
      <c r="Y952" s="390"/>
      <c r="Z952" s="438">
        <f>+Z948*T952</f>
        <v>20379.488000000005</v>
      </c>
      <c r="AA952" s="86"/>
      <c r="AB952" s="94"/>
      <c r="AC952" s="94"/>
      <c r="AD952" s="94"/>
      <c r="AE952" s="386" t="s">
        <v>133</v>
      </c>
    </row>
    <row r="953" spans="3:31" s="260" customFormat="1" x14ac:dyDescent="0.25">
      <c r="M953" s="515" t="s">
        <v>20</v>
      </c>
      <c r="N953" s="516"/>
      <c r="O953" s="516"/>
      <c r="P953" s="516"/>
      <c r="Q953" s="516"/>
      <c r="R953" s="516"/>
      <c r="S953" s="516"/>
      <c r="T953" s="437">
        <v>0</v>
      </c>
      <c r="U953" s="517">
        <f>+ROUND(U948*T953,$AA$5)</f>
        <v>0</v>
      </c>
      <c r="V953" s="518"/>
      <c r="Y953" s="390"/>
      <c r="Z953" s="438">
        <f>+Z948*T953</f>
        <v>0</v>
      </c>
      <c r="AA953" s="86"/>
      <c r="AB953" s="94"/>
      <c r="AC953" s="94"/>
      <c r="AD953" s="94"/>
      <c r="AE953" s="386" t="s">
        <v>133</v>
      </c>
    </row>
    <row r="954" spans="3:31" s="260" customFormat="1" x14ac:dyDescent="0.25">
      <c r="M954" s="515" t="s">
        <v>21</v>
      </c>
      <c r="N954" s="516"/>
      <c r="O954" s="516"/>
      <c r="P954" s="516"/>
      <c r="Q954" s="516"/>
      <c r="R954" s="516"/>
      <c r="S954" s="516"/>
      <c r="T954" s="437">
        <f>$AA$9</f>
        <v>0</v>
      </c>
      <c r="U954" s="517">
        <f>+ROUND(U948*T954,$AA$5)</f>
        <v>0</v>
      </c>
      <c r="V954" s="518"/>
      <c r="Y954" s="390"/>
      <c r="Z954" s="438">
        <f>+Z953*T954</f>
        <v>0</v>
      </c>
      <c r="AA954" s="86"/>
      <c r="AB954" s="94"/>
      <c r="AC954" s="94"/>
      <c r="AD954" s="94"/>
      <c r="AE954" s="386" t="s">
        <v>133</v>
      </c>
    </row>
    <row r="955" spans="3:31" s="260" customFormat="1" ht="15.75" thickBot="1" x14ac:dyDescent="0.3">
      <c r="M955" s="519" t="s">
        <v>349</v>
      </c>
      <c r="N955" s="520"/>
      <c r="O955" s="520"/>
      <c r="P955" s="520"/>
      <c r="Q955" s="520"/>
      <c r="R955" s="520"/>
      <c r="S955" s="520"/>
      <c r="T955" s="520"/>
      <c r="U955" s="521">
        <f>+SUM(U951:V954)</f>
        <v>407.59</v>
      </c>
      <c r="V955" s="522"/>
      <c r="Y955" s="390"/>
      <c r="Z955" s="439">
        <f>+SUM(Z951:Z954)</f>
        <v>20379.488000000005</v>
      </c>
      <c r="AA955" s="86"/>
      <c r="AB955" s="94"/>
      <c r="AC955" s="94"/>
      <c r="AD955" s="94"/>
      <c r="AE955" s="386" t="s">
        <v>133</v>
      </c>
    </row>
    <row r="956" spans="3:31" s="260" customFormat="1" ht="15.75" thickBot="1" x14ac:dyDescent="0.3">
      <c r="D956" s="375" t="s">
        <v>128</v>
      </c>
      <c r="E956" s="376" t="s">
        <v>129</v>
      </c>
      <c r="F956" s="376" t="s">
        <v>130</v>
      </c>
      <c r="G956" s="376" t="s">
        <v>131</v>
      </c>
      <c r="H956" s="376" t="s">
        <v>132</v>
      </c>
      <c r="I956" s="376" t="s">
        <v>133</v>
      </c>
      <c r="J956" s="377" t="s">
        <v>134</v>
      </c>
      <c r="M956" s="86"/>
      <c r="N956" s="94"/>
      <c r="O956" s="94"/>
      <c r="P956" s="94"/>
      <c r="Q956" s="86"/>
      <c r="R956" s="86"/>
      <c r="S956" s="86"/>
      <c r="T956" s="440"/>
      <c r="U956" s="523"/>
      <c r="V956" s="523"/>
      <c r="Y956" s="390"/>
      <c r="Z956" s="385"/>
      <c r="AA956" s="86"/>
      <c r="AB956" s="94"/>
      <c r="AC956" s="94"/>
      <c r="AD956" s="94"/>
      <c r="AE956" s="386" t="s">
        <v>133</v>
      </c>
    </row>
    <row r="957" spans="3:31" s="260" customFormat="1" ht="15.75" thickBot="1" x14ac:dyDescent="0.3">
      <c r="D957" s="355"/>
      <c r="E957" s="367"/>
      <c r="F957" s="367"/>
      <c r="G957" s="367"/>
      <c r="H957" s="412"/>
      <c r="I957" s="412">
        <f>H948</f>
        <v>2.09</v>
      </c>
      <c r="J957" s="422"/>
      <c r="M957" s="524" t="s">
        <v>11</v>
      </c>
      <c r="N957" s="525"/>
      <c r="O957" s="525"/>
      <c r="P957" s="525"/>
      <c r="Q957" s="525"/>
      <c r="R957" s="525"/>
      <c r="S957" s="525"/>
      <c r="T957" s="526"/>
      <c r="U957" s="527">
        <f>+U955+U948</f>
        <v>8559.39</v>
      </c>
      <c r="V957" s="528"/>
      <c r="Y957" s="429"/>
      <c r="Z957" s="441">
        <f>+Z955+Z948</f>
        <v>427969.24800000008</v>
      </c>
      <c r="AA957" s="86"/>
      <c r="AB957" s="94"/>
      <c r="AC957" s="94"/>
      <c r="AD957" s="94"/>
      <c r="AE957" s="405" t="s">
        <v>133</v>
      </c>
    </row>
    <row r="958" spans="3:31" s="260" customFormat="1" x14ac:dyDescent="0.25"/>
    <row r="959" spans="3:31" s="260" customFormat="1" ht="15.75" thickBot="1" x14ac:dyDescent="0.3"/>
    <row r="960" spans="3:31" s="260" customFormat="1" ht="15.75" thickBot="1" x14ac:dyDescent="0.3">
      <c r="M960" s="363" t="s">
        <v>88</v>
      </c>
      <c r="N960" s="436" t="str">
        <f>+N911</f>
        <v>CAP.2</v>
      </c>
      <c r="O960" s="550" t="str">
        <f>IFERROR(VLOOKUP(N960,PPTO!C:H,2,0),"----")</f>
        <v>RED HIDRAULICA</v>
      </c>
      <c r="P960" s="551"/>
      <c r="Q960" s="551"/>
      <c r="R960" s="551"/>
      <c r="S960" s="551"/>
      <c r="T960" s="551"/>
      <c r="U960" s="552"/>
      <c r="V960" s="74" t="s">
        <v>91</v>
      </c>
      <c r="Y960" s="365" t="s">
        <v>104</v>
      </c>
      <c r="Z960" s="94"/>
      <c r="AA960" s="188"/>
      <c r="AB960" s="553"/>
      <c r="AC960" s="553"/>
      <c r="AD960" s="553"/>
      <c r="AE960" s="94"/>
    </row>
    <row r="961" spans="3:31" s="260" customFormat="1" ht="15.75" thickBot="1" x14ac:dyDescent="0.3">
      <c r="C961" s="369">
        <f>+N961</f>
        <v>2.1</v>
      </c>
      <c r="D961" s="86"/>
      <c r="E961" s="86"/>
      <c r="F961" s="86"/>
      <c r="G961" s="86"/>
      <c r="H961" s="86"/>
      <c r="I961" s="86"/>
      <c r="J961" s="86"/>
      <c r="K961" s="370"/>
      <c r="M961" s="75" t="s">
        <v>92</v>
      </c>
      <c r="N961" s="371">
        <f>+ROUNDUP(N912+0.01,2)</f>
        <v>2.1</v>
      </c>
      <c r="O961" s="554" t="str">
        <f>IFERROR(VLOOKUP(N961,PPTO!C:H,2,0),"----")</f>
        <v>Codo 90° PVC Ø3/4"</v>
      </c>
      <c r="P961" s="555"/>
      <c r="Q961" s="555"/>
      <c r="R961" s="555"/>
      <c r="S961" s="555"/>
      <c r="T961" s="555"/>
      <c r="U961" s="556"/>
      <c r="V961" s="76" t="str">
        <f>IFERROR(VLOOKUP(N961,PPTO!C:H,3,0),"----")</f>
        <v>UND</v>
      </c>
      <c r="Y961" s="373">
        <f>SUMIFS(PPTO!F:F,PPTO!C:C,APUS!N961)</f>
        <v>29</v>
      </c>
      <c r="Z961" s="94"/>
      <c r="AA961" s="86"/>
      <c r="AB961" s="94"/>
      <c r="AC961" s="94"/>
      <c r="AD961" s="94"/>
      <c r="AE961" s="94"/>
    </row>
    <row r="962" spans="3:31" s="260" customFormat="1" ht="15.75" thickBot="1" x14ac:dyDescent="0.3">
      <c r="C962" s="84"/>
      <c r="D962" s="86"/>
      <c r="E962" s="86"/>
      <c r="F962" s="86"/>
      <c r="G962" s="86"/>
      <c r="H962" s="86"/>
      <c r="I962" s="86"/>
      <c r="J962" s="86"/>
      <c r="K962" s="88"/>
      <c r="M962" s="557"/>
      <c r="N962" s="557"/>
      <c r="O962" s="557"/>
      <c r="P962" s="557"/>
      <c r="Q962" s="557"/>
      <c r="R962" s="557"/>
      <c r="S962" s="557"/>
      <c r="T962" s="557"/>
      <c r="U962" s="557"/>
      <c r="V962" s="557"/>
      <c r="Y962" s="374"/>
      <c r="Z962" s="94"/>
      <c r="AA962" s="86"/>
      <c r="AB962" s="94"/>
      <c r="AC962" s="94"/>
      <c r="AD962" s="94"/>
      <c r="AE962" s="94"/>
    </row>
    <row r="963" spans="3:31" s="260" customFormat="1" ht="15.75" thickBot="1" x14ac:dyDescent="0.3">
      <c r="C963" s="84"/>
      <c r="D963" s="375" t="s">
        <v>128</v>
      </c>
      <c r="E963" s="376" t="s">
        <v>129</v>
      </c>
      <c r="F963" s="376" t="s">
        <v>130</v>
      </c>
      <c r="G963" s="376" t="s">
        <v>131</v>
      </c>
      <c r="H963" s="376" t="s">
        <v>132</v>
      </c>
      <c r="I963" s="376" t="s">
        <v>133</v>
      </c>
      <c r="J963" s="377" t="s">
        <v>134</v>
      </c>
      <c r="K963" s="88"/>
      <c r="M963" s="558" t="s">
        <v>93</v>
      </c>
      <c r="N963" s="559"/>
      <c r="O963" s="559"/>
      <c r="P963" s="559"/>
      <c r="Q963" s="559"/>
      <c r="R963" s="559"/>
      <c r="S963" s="559"/>
      <c r="T963" s="559"/>
      <c r="U963" s="559"/>
      <c r="V963" s="560"/>
      <c r="Y963" s="378"/>
      <c r="Z963" s="121"/>
      <c r="AA963" s="86"/>
      <c r="AB963" s="513"/>
      <c r="AC963" s="514"/>
      <c r="AD963" s="94"/>
      <c r="AE963" s="379"/>
    </row>
    <row r="964" spans="3:31" s="260" customFormat="1" x14ac:dyDescent="0.25">
      <c r="C964" s="84"/>
      <c r="D964" s="380"/>
      <c r="E964" s="381"/>
      <c r="F964" s="381"/>
      <c r="G964" s="381"/>
      <c r="H964" s="381"/>
      <c r="I964" s="381"/>
      <c r="J964" s="382"/>
      <c r="K964" s="88"/>
      <c r="M964" s="99" t="s">
        <v>94</v>
      </c>
      <c r="N964" s="561" t="s">
        <v>95</v>
      </c>
      <c r="O964" s="561"/>
      <c r="P964" s="561"/>
      <c r="Q964" s="561"/>
      <c r="R964" s="95" t="s">
        <v>96</v>
      </c>
      <c r="S964" s="95" t="s">
        <v>97</v>
      </c>
      <c r="T964" s="562" t="s">
        <v>8</v>
      </c>
      <c r="U964" s="562"/>
      <c r="V964" s="100" t="s">
        <v>98</v>
      </c>
      <c r="Y964" s="383" t="s">
        <v>104</v>
      </c>
      <c r="Z964" s="119" t="s">
        <v>9</v>
      </c>
      <c r="AA964" s="86"/>
      <c r="AB964" s="384"/>
      <c r="AC964" s="385"/>
      <c r="AD964" s="94"/>
      <c r="AE964" s="386"/>
    </row>
    <row r="965" spans="3:31" s="260" customFormat="1" x14ac:dyDescent="0.25">
      <c r="C965" s="84"/>
      <c r="D965" s="85"/>
      <c r="E965" s="86"/>
      <c r="F965" s="86"/>
      <c r="G965" s="86"/>
      <c r="H965" s="86"/>
      <c r="I965" s="86"/>
      <c r="J965" s="87"/>
      <c r="K965" s="88"/>
      <c r="M965" s="102"/>
      <c r="N965" s="533" t="s">
        <v>99</v>
      </c>
      <c r="O965" s="533"/>
      <c r="P965" s="533"/>
      <c r="Q965" s="533"/>
      <c r="R965" s="78" t="s">
        <v>100</v>
      </c>
      <c r="S965" s="387">
        <f>+$AA$10</f>
        <v>0.05</v>
      </c>
      <c r="T965" s="563">
        <f>V995</f>
        <v>5578.97</v>
      </c>
      <c r="U965" s="563"/>
      <c r="V965" s="389">
        <f>+IFERROR(T965*S965,0)</f>
        <v>278.94850000000002</v>
      </c>
      <c r="Y965" s="390"/>
      <c r="Z965" s="391">
        <f>Y961*V965</f>
        <v>8089.5065000000004</v>
      </c>
      <c r="AA965" s="86"/>
      <c r="AB965" s="384"/>
      <c r="AC965" s="385"/>
      <c r="AD965" s="94"/>
      <c r="AE965" s="386" t="str">
        <f>+IF(V965=0,"CERO","NO")</f>
        <v>NO</v>
      </c>
    </row>
    <row r="966" spans="3:31" s="260" customFormat="1" x14ac:dyDescent="0.25">
      <c r="C966" s="84"/>
      <c r="D966" s="85"/>
      <c r="E966" s="86"/>
      <c r="F966" s="86"/>
      <c r="G966" s="86"/>
      <c r="H966" s="86"/>
      <c r="I966" s="86"/>
      <c r="J966" s="87"/>
      <c r="K966" s="88"/>
      <c r="M966" s="106"/>
      <c r="N966" s="533" t="str">
        <f>IFERROR(VLOOKUP(M966,INSUMOS!$C$8:$K$928,2,0),"-----")</f>
        <v>-----</v>
      </c>
      <c r="O966" s="533"/>
      <c r="P966" s="533"/>
      <c r="Q966" s="533"/>
      <c r="R966" s="78" t="str">
        <f>IFERROR(VLOOKUP(M966,INSUMOS!$C$8:$K$928,6,0),"-----")</f>
        <v>-----</v>
      </c>
      <c r="S966" s="392"/>
      <c r="T966" s="529" t="str">
        <f>IFERROR(VLOOKUP(M966,INSUMOS!$C$8:$K$928,7,0),"0")</f>
        <v>0</v>
      </c>
      <c r="U966" s="529"/>
      <c r="V966" s="389">
        <f>+IFERROR(T966*S966,0)</f>
        <v>0</v>
      </c>
      <c r="Y966" s="393">
        <f>+IFERROR(Y961*S966,0)</f>
        <v>0</v>
      </c>
      <c r="Z966" s="391">
        <f>Y961*V966</f>
        <v>0</v>
      </c>
      <c r="AA966" s="394"/>
      <c r="AB966" s="395">
        <f>+Y966*T966</f>
        <v>0</v>
      </c>
      <c r="AC966" s="93">
        <f>+AB966-Z966</f>
        <v>0</v>
      </c>
      <c r="AD966" s="94"/>
      <c r="AE966" s="386" t="str">
        <f>+IF(V966=0,"CERO","NO")</f>
        <v>CERO</v>
      </c>
    </row>
    <row r="967" spans="3:31" s="260" customFormat="1" x14ac:dyDescent="0.25">
      <c r="C967" s="84"/>
      <c r="D967" s="85"/>
      <c r="E967" s="86"/>
      <c r="F967" s="86"/>
      <c r="G967" s="86"/>
      <c r="H967" s="86"/>
      <c r="I967" s="86"/>
      <c r="J967" s="87"/>
      <c r="K967" s="88"/>
      <c r="M967" s="102">
        <v>0</v>
      </c>
      <c r="N967" s="533"/>
      <c r="O967" s="533"/>
      <c r="P967" s="533"/>
      <c r="Q967" s="533"/>
      <c r="R967" s="78"/>
      <c r="S967" s="396"/>
      <c r="T967" s="529"/>
      <c r="U967" s="529"/>
      <c r="V967" s="397"/>
      <c r="Y967" s="393">
        <f>+IFERROR(Y961*S967,0)</f>
        <v>0</v>
      </c>
      <c r="Z967" s="391">
        <f>Y961*V967</f>
        <v>0</v>
      </c>
      <c r="AA967" s="394"/>
      <c r="AB967" s="395">
        <f>+Y967*T967</f>
        <v>0</v>
      </c>
      <c r="AC967" s="93">
        <f>+AB967-Z967</f>
        <v>0</v>
      </c>
      <c r="AD967" s="94"/>
      <c r="AE967" s="386" t="str">
        <f>+IF(V967=0,"CERO","NO")</f>
        <v>CERO</v>
      </c>
    </row>
    <row r="968" spans="3:31" s="260" customFormat="1" x14ac:dyDescent="0.25">
      <c r="C968" s="84"/>
      <c r="D968" s="85"/>
      <c r="E968" s="86"/>
      <c r="F968" s="86"/>
      <c r="G968" s="86"/>
      <c r="H968" s="86"/>
      <c r="I968" s="86"/>
      <c r="J968" s="87"/>
      <c r="K968" s="88"/>
      <c r="M968" s="102">
        <v>0</v>
      </c>
      <c r="N968" s="533"/>
      <c r="O968" s="533"/>
      <c r="P968" s="533"/>
      <c r="Q968" s="533"/>
      <c r="R968" s="78"/>
      <c r="S968" s="396"/>
      <c r="T968" s="529"/>
      <c r="U968" s="529"/>
      <c r="V968" s="397"/>
      <c r="Y968" s="393">
        <f>+IFERROR(Y961*S968,0)</f>
        <v>0</v>
      </c>
      <c r="Z968" s="391">
        <f>Y961*V968</f>
        <v>0</v>
      </c>
      <c r="AA968" s="394"/>
      <c r="AB968" s="395">
        <f>+Y968*T968</f>
        <v>0</v>
      </c>
      <c r="AC968" s="93">
        <f>+AB968-Z968</f>
        <v>0</v>
      </c>
      <c r="AD968" s="94"/>
      <c r="AE968" s="386" t="str">
        <f>+IF(V968=0,"CERO","NO")</f>
        <v>CERO</v>
      </c>
    </row>
    <row r="969" spans="3:31" s="260" customFormat="1" ht="15.75" thickBot="1" x14ac:dyDescent="0.3">
      <c r="C969" s="84"/>
      <c r="D969" s="85"/>
      <c r="E969" s="86"/>
      <c r="F969" s="86"/>
      <c r="G969" s="86"/>
      <c r="H969" s="86"/>
      <c r="I969" s="86"/>
      <c r="J969" s="87"/>
      <c r="K969" s="88"/>
      <c r="M969" s="102">
        <v>0</v>
      </c>
      <c r="N969" s="564"/>
      <c r="O969" s="564"/>
      <c r="P969" s="564"/>
      <c r="Q969" s="564"/>
      <c r="R969" s="96"/>
      <c r="S969" s="96"/>
      <c r="T969" s="565"/>
      <c r="U969" s="565"/>
      <c r="V969" s="101"/>
      <c r="Y969" s="393">
        <f>+IFERROR(Y961*S969,0)</f>
        <v>0</v>
      </c>
      <c r="Z969" s="391">
        <f>Y961*V969</f>
        <v>0</v>
      </c>
      <c r="AA969" s="394"/>
      <c r="AB969" s="395">
        <f>+Y969*T969</f>
        <v>0</v>
      </c>
      <c r="AC969" s="93">
        <f>+AB969-Z969</f>
        <v>0</v>
      </c>
      <c r="AD969" s="94"/>
      <c r="AE969" s="386" t="str">
        <f>+IF(V969=0,"CERO","NO")</f>
        <v>CERO</v>
      </c>
    </row>
    <row r="970" spans="3:31" s="260" customFormat="1" ht="15.75" thickBot="1" x14ac:dyDescent="0.3">
      <c r="C970" s="84"/>
      <c r="D970" s="375" t="s">
        <v>128</v>
      </c>
      <c r="E970" s="376" t="s">
        <v>129</v>
      </c>
      <c r="F970" s="376" t="s">
        <v>130</v>
      </c>
      <c r="G970" s="376" t="s">
        <v>131</v>
      </c>
      <c r="H970" s="376" t="s">
        <v>132</v>
      </c>
      <c r="I970" s="376" t="s">
        <v>133</v>
      </c>
      <c r="J970" s="377" t="s">
        <v>134</v>
      </c>
      <c r="K970" s="88"/>
      <c r="M970" s="534"/>
      <c r="N970" s="536" t="s">
        <v>101</v>
      </c>
      <c r="O970" s="536"/>
      <c r="P970" s="536"/>
      <c r="Q970" s="536"/>
      <c r="R970" s="536"/>
      <c r="S970" s="536"/>
      <c r="T970" s="536"/>
      <c r="U970" s="536"/>
      <c r="V970" s="389">
        <f>+SUM(V965:V969)</f>
        <v>278.94850000000002</v>
      </c>
      <c r="Y970" s="398" t="s">
        <v>135</v>
      </c>
      <c r="Z970" s="397">
        <f>+SUM(Z965:Z969)</f>
        <v>8089.5065000000004</v>
      </c>
      <c r="AA970" s="86"/>
      <c r="AB970" s="384"/>
      <c r="AC970" s="385"/>
      <c r="AD970" s="94"/>
      <c r="AE970" s="399"/>
    </row>
    <row r="971" spans="3:31" s="260" customFormat="1" ht="15.75" thickBot="1" x14ac:dyDescent="0.3">
      <c r="C971" s="84"/>
      <c r="D971" s="375">
        <f>C961</f>
        <v>2.1</v>
      </c>
      <c r="E971" s="376"/>
      <c r="F971" s="376"/>
      <c r="G971" s="376"/>
      <c r="H971" s="376"/>
      <c r="I971" s="376"/>
      <c r="J971" s="377"/>
      <c r="K971" s="88"/>
      <c r="M971" s="566"/>
      <c r="N971" s="567" t="s">
        <v>102</v>
      </c>
      <c r="O971" s="567"/>
      <c r="P971" s="567"/>
      <c r="Q971" s="567"/>
      <c r="R971" s="567"/>
      <c r="S971" s="567"/>
      <c r="T971" s="567"/>
      <c r="U971" s="567"/>
      <c r="V971" s="400">
        <f>+ROUND(V970,$AA$5)</f>
        <v>278.95</v>
      </c>
      <c r="Y971" s="401" t="s">
        <v>136</v>
      </c>
      <c r="Z971" s="402">
        <f>+ROUND(Z970,$AA$5)</f>
        <v>8089.51</v>
      </c>
      <c r="AA971" s="86"/>
      <c r="AB971" s="403">
        <f>+V971*Y961</f>
        <v>8089.5499999999993</v>
      </c>
      <c r="AC971" s="404">
        <f>+AB971-Z971</f>
        <v>3.9999999999054126E-2</v>
      </c>
      <c r="AD971" s="94"/>
      <c r="AE971" s="405"/>
    </row>
    <row r="972" spans="3:31" s="260" customFormat="1" x14ac:dyDescent="0.25">
      <c r="C972" s="84"/>
      <c r="D972" s="380"/>
      <c r="E972" s="381"/>
      <c r="F972" s="381"/>
      <c r="G972" s="381"/>
      <c r="H972" s="381"/>
      <c r="I972" s="381"/>
      <c r="J972" s="382"/>
      <c r="K972" s="88"/>
      <c r="M972" s="510" t="s">
        <v>103</v>
      </c>
      <c r="N972" s="511"/>
      <c r="O972" s="511"/>
      <c r="P972" s="511"/>
      <c r="Q972" s="511"/>
      <c r="R972" s="511"/>
      <c r="S972" s="511"/>
      <c r="T972" s="511"/>
      <c r="U972" s="511"/>
      <c r="V972" s="512"/>
      <c r="Y972" s="378"/>
      <c r="Z972" s="121"/>
      <c r="AA972" s="86"/>
      <c r="AB972" s="513"/>
      <c r="AC972" s="514"/>
      <c r="AD972" s="94"/>
      <c r="AE972" s="126"/>
    </row>
    <row r="973" spans="3:31" s="260" customFormat="1" x14ac:dyDescent="0.25">
      <c r="C973" s="84"/>
      <c r="D973" s="85"/>
      <c r="E973" s="86"/>
      <c r="F973" s="86"/>
      <c r="G973" s="86"/>
      <c r="H973" s="86"/>
      <c r="I973" s="86"/>
      <c r="J973" s="87"/>
      <c r="K973" s="88"/>
      <c r="M973" s="99" t="s">
        <v>94</v>
      </c>
      <c r="N973" s="561" t="s">
        <v>95</v>
      </c>
      <c r="O973" s="561"/>
      <c r="P973" s="561"/>
      <c r="Q973" s="561"/>
      <c r="R973" s="95" t="s">
        <v>96</v>
      </c>
      <c r="S973" s="95" t="s">
        <v>104</v>
      </c>
      <c r="T973" s="356" t="s">
        <v>105</v>
      </c>
      <c r="U973" s="356" t="s">
        <v>8</v>
      </c>
      <c r="V973" s="100" t="s">
        <v>98</v>
      </c>
      <c r="Y973" s="383" t="s">
        <v>104</v>
      </c>
      <c r="Z973" s="119" t="s">
        <v>9</v>
      </c>
      <c r="AA973" s="86"/>
      <c r="AB973" s="384"/>
      <c r="AC973" s="385"/>
      <c r="AD973" s="94"/>
      <c r="AE973" s="406"/>
    </row>
    <row r="974" spans="3:31" s="260" customFormat="1" x14ac:dyDescent="0.25">
      <c r="C974" s="84"/>
      <c r="D974" s="85"/>
      <c r="E974" s="86"/>
      <c r="F974" s="86"/>
      <c r="G974" s="86"/>
      <c r="H974" s="86"/>
      <c r="I974" s="86"/>
      <c r="J974" s="87"/>
      <c r="K974" s="88"/>
      <c r="M974" s="102">
        <v>702</v>
      </c>
      <c r="N974" s="533" t="str">
        <f>IFERROR(VLOOKUP(M974,INSUMOS!$C$8:$K$928,2,0),"-----")</f>
        <v>CODO 90 PVC-P 3/4"</v>
      </c>
      <c r="O974" s="533"/>
      <c r="P974" s="533"/>
      <c r="Q974" s="533"/>
      <c r="R974" s="78" t="str">
        <f>IFERROR(VLOOKUP(M974,INSUMOS!$C$8:$K$928,6,0),"-----")</f>
        <v>und</v>
      </c>
      <c r="S974" s="396">
        <v>1</v>
      </c>
      <c r="T974" s="387">
        <v>0</v>
      </c>
      <c r="U974" s="388">
        <f>IFERROR(VLOOKUP(M974,INSUMOS!$C$8:$K$928,7,0),"0")</f>
        <v>1381</v>
      </c>
      <c r="V974" s="389">
        <f>+IFERROR(U974*(S974*(1+T974)),0)</f>
        <v>1381</v>
      </c>
      <c r="Y974" s="393">
        <f>+IFERROR(Y961*(S974*(1+T974)),0)</f>
        <v>29</v>
      </c>
      <c r="Z974" s="391">
        <f>Y961*V974</f>
        <v>40049</v>
      </c>
      <c r="AA974" s="394"/>
      <c r="AB974" s="395">
        <f>+Y974*U974</f>
        <v>40049</v>
      </c>
      <c r="AC974" s="93">
        <f>+AB974-Z974</f>
        <v>0</v>
      </c>
      <c r="AD974" s="94"/>
      <c r="AE974" s="406" t="str">
        <f>+IF(V974=0,"CERO","NO")</f>
        <v>NO</v>
      </c>
    </row>
    <row r="975" spans="3:31" s="260" customFormat="1" x14ac:dyDescent="0.25">
      <c r="C975" s="84"/>
      <c r="D975" s="85"/>
      <c r="E975" s="86"/>
      <c r="F975" s="86"/>
      <c r="G975" s="86"/>
      <c r="H975" s="86"/>
      <c r="I975" s="86"/>
      <c r="J975" s="87"/>
      <c r="K975" s="88"/>
      <c r="M975" s="102">
        <v>699</v>
      </c>
      <c r="N975" s="533" t="str">
        <f>IFERROR(VLOOKUP(M975,INSUMOS!$C$8:$K$928,2,0),"-----")</f>
        <v>SOLDADURA PVC LIQUIDA 1/4"</v>
      </c>
      <c r="O975" s="533"/>
      <c r="P975" s="533"/>
      <c r="Q975" s="533"/>
      <c r="R975" s="78" t="str">
        <f>IFERROR(VLOOKUP(M975,INSUMOS!$C$8:$K$928,6,0),"-----")</f>
        <v>und</v>
      </c>
      <c r="S975" s="392">
        <v>5.0000000000000001E-3</v>
      </c>
      <c r="T975" s="387">
        <v>0.02</v>
      </c>
      <c r="U975" s="388">
        <f>IFERROR(VLOOKUP(M975,INSUMOS!$C$8:$K$928,7,0),"0")</f>
        <v>146569</v>
      </c>
      <c r="V975" s="389">
        <f>+IFERROR(U975*(S975*(1+T975)),0)</f>
        <v>747.50190000000009</v>
      </c>
      <c r="Y975" s="393">
        <f>+IFERROR(Y961*(S975*(1+T975)),0)</f>
        <v>0.1479</v>
      </c>
      <c r="Z975" s="391">
        <f>Y961*V975</f>
        <v>21677.555100000001</v>
      </c>
      <c r="AA975" s="394"/>
      <c r="AB975" s="395">
        <f>+Y975*U975</f>
        <v>21677.555100000001</v>
      </c>
      <c r="AC975" s="93">
        <f>+AB975-Z975</f>
        <v>0</v>
      </c>
      <c r="AD975" s="94"/>
      <c r="AE975" s="406" t="str">
        <f>+IF(V975=0,"CERO","NO")</f>
        <v>NO</v>
      </c>
    </row>
    <row r="976" spans="3:31" s="260" customFormat="1" x14ac:dyDescent="0.25">
      <c r="C976" s="84"/>
      <c r="D976" s="85"/>
      <c r="E976" s="86"/>
      <c r="F976" s="86"/>
      <c r="G976" s="86"/>
      <c r="H976" s="86"/>
      <c r="I976" s="86"/>
      <c r="J976" s="87"/>
      <c r="K976" s="88"/>
      <c r="M976" s="102">
        <v>700</v>
      </c>
      <c r="N976" s="533" t="str">
        <f>IFERROR(VLOOKUP(M976,INSUMOS!$C$8:$K$928,2,0),"-----")</f>
        <v>LIMPIADOR PVC 1/4</v>
      </c>
      <c r="O976" s="533"/>
      <c r="P976" s="533"/>
      <c r="Q976" s="533"/>
      <c r="R976" s="78" t="str">
        <f>IFERROR(VLOOKUP(M976,INSUMOS!$C$8:$K$928,6,0),"-----")</f>
        <v>und</v>
      </c>
      <c r="S976" s="392">
        <v>5.0000000000000001E-3</v>
      </c>
      <c r="T976" s="387">
        <v>0.02</v>
      </c>
      <c r="U976" s="388">
        <f>IFERROR(VLOOKUP(M976,INSUMOS!$C$8:$K$928,7,0),"0")</f>
        <v>65913</v>
      </c>
      <c r="V976" s="389">
        <f>+IFERROR(U976*(S976*(1+T976)),0)</f>
        <v>336.15630000000004</v>
      </c>
      <c r="Y976" s="393">
        <f>+IFERROR(Y961*(S976*(1+T976)),0)</f>
        <v>0.1479</v>
      </c>
      <c r="Z976" s="391">
        <f>Y961*V976</f>
        <v>9748.5327000000016</v>
      </c>
      <c r="AA976" s="394"/>
      <c r="AB976" s="395">
        <f>+Y976*U976</f>
        <v>9748.5326999999997</v>
      </c>
      <c r="AC976" s="93">
        <f>+AB976-Z976</f>
        <v>0</v>
      </c>
      <c r="AD976" s="94"/>
      <c r="AE976" s="406" t="str">
        <f>+IF(V976=0,"CERO","NO")</f>
        <v>NO</v>
      </c>
    </row>
    <row r="977" spans="3:31" s="260" customFormat="1" x14ac:dyDescent="0.25">
      <c r="C977" s="84"/>
      <c r="D977" s="85"/>
      <c r="E977" s="86"/>
      <c r="F977" s="86"/>
      <c r="G977" s="86"/>
      <c r="H977" s="86"/>
      <c r="I977" s="86"/>
      <c r="J977" s="87"/>
      <c r="K977" s="88"/>
      <c r="M977" s="102">
        <v>0</v>
      </c>
      <c r="N977" s="533" t="str">
        <f>IFERROR(VLOOKUP(M977,INSUMOS!$C$8:$K$928,2,0),"-----")</f>
        <v>-----</v>
      </c>
      <c r="O977" s="533"/>
      <c r="P977" s="533"/>
      <c r="Q977" s="533"/>
      <c r="R977" s="78" t="str">
        <f>IFERROR(VLOOKUP(M977,INSUMOS!$C$8:$K$928,6,0),"-----")</f>
        <v>-----</v>
      </c>
      <c r="S977" s="396"/>
      <c r="T977" s="387"/>
      <c r="U977" s="388" t="str">
        <f>IFERROR(VLOOKUP(M977,INSUMOS!$C$8:$K$928,7,0),"0")</f>
        <v>0</v>
      </c>
      <c r="V977" s="389">
        <f>+IFERROR(U977*(S977*(1+T977)),0)</f>
        <v>0</v>
      </c>
      <c r="Y977" s="393">
        <f>+IFERROR(Y961*(S977*(1+T977)),0)</f>
        <v>0</v>
      </c>
      <c r="Z977" s="391">
        <f>Y961*V977</f>
        <v>0</v>
      </c>
      <c r="AA977" s="394"/>
      <c r="AB977" s="395">
        <f>+Y977*U977</f>
        <v>0</v>
      </c>
      <c r="AC977" s="93">
        <f>+AB977-Z977</f>
        <v>0</v>
      </c>
      <c r="AD977" s="94"/>
      <c r="AE977" s="406" t="str">
        <f>+IF(V977=0,"CERO","NO")</f>
        <v>CERO</v>
      </c>
    </row>
    <row r="978" spans="3:31" s="260" customFormat="1" ht="15.75" thickBot="1" x14ac:dyDescent="0.3">
      <c r="C978" s="84"/>
      <c r="D978" s="85"/>
      <c r="E978" s="86"/>
      <c r="F978" s="86"/>
      <c r="G978" s="86"/>
      <c r="H978" s="86"/>
      <c r="I978" s="86"/>
      <c r="J978" s="87"/>
      <c r="K978" s="88"/>
      <c r="M978" s="102">
        <v>0</v>
      </c>
      <c r="N978" s="564"/>
      <c r="O978" s="564"/>
      <c r="P978" s="564"/>
      <c r="Q978" s="564"/>
      <c r="R978" s="96"/>
      <c r="S978" s="79"/>
      <c r="T978" s="97"/>
      <c r="U978" s="358"/>
      <c r="V978" s="397"/>
      <c r="Y978" s="393">
        <f>+IFERROR(Y961*(S978*(1+T978)),0)</f>
        <v>0</v>
      </c>
      <c r="Z978" s="391">
        <f>Y961*V978</f>
        <v>0</v>
      </c>
      <c r="AA978" s="394"/>
      <c r="AB978" s="395">
        <f>+Y978*U978</f>
        <v>0</v>
      </c>
      <c r="AC978" s="93">
        <f>+AB978-Z978</f>
        <v>0</v>
      </c>
      <c r="AD978" s="94"/>
      <c r="AE978" s="406" t="str">
        <f>+IF(V978=0,"CERO","NO")</f>
        <v>CERO</v>
      </c>
    </row>
    <row r="979" spans="3:31" s="260" customFormat="1" ht="15.75" thickBot="1" x14ac:dyDescent="0.3">
      <c r="C979" s="84"/>
      <c r="D979" s="375" t="s">
        <v>128</v>
      </c>
      <c r="E979" s="376" t="s">
        <v>129</v>
      </c>
      <c r="F979" s="376" t="s">
        <v>130</v>
      </c>
      <c r="G979" s="376" t="s">
        <v>131</v>
      </c>
      <c r="H979" s="376" t="s">
        <v>132</v>
      </c>
      <c r="I979" s="376" t="s">
        <v>133</v>
      </c>
      <c r="J979" s="377" t="s">
        <v>134</v>
      </c>
      <c r="K979" s="88"/>
      <c r="M979" s="534"/>
      <c r="N979" s="536" t="s">
        <v>106</v>
      </c>
      <c r="O979" s="536"/>
      <c r="P979" s="536"/>
      <c r="Q979" s="536"/>
      <c r="R979" s="536"/>
      <c r="S979" s="536"/>
      <c r="T979" s="536"/>
      <c r="U979" s="536"/>
      <c r="V979" s="389">
        <f>+SUM(V974:V978)</f>
        <v>2464.6582000000003</v>
      </c>
      <c r="Y979" s="398" t="s">
        <v>135</v>
      </c>
      <c r="Z979" s="397">
        <f>+SUM(Z974:Z978)</f>
        <v>71475.087799999994</v>
      </c>
      <c r="AA979" s="86"/>
      <c r="AB979" s="384"/>
      <c r="AC979" s="385"/>
      <c r="AD979" s="94"/>
      <c r="AE979" s="399"/>
    </row>
    <row r="980" spans="3:31" s="260" customFormat="1" ht="15.75" thickBot="1" x14ac:dyDescent="0.3">
      <c r="C980" s="84"/>
      <c r="D980" s="375"/>
      <c r="E980" s="407">
        <f>+D971</f>
        <v>2.1</v>
      </c>
      <c r="F980" s="376"/>
      <c r="G980" s="376"/>
      <c r="H980" s="376"/>
      <c r="I980" s="376"/>
      <c r="J980" s="377"/>
      <c r="K980" s="88"/>
      <c r="M980" s="535"/>
      <c r="N980" s="537" t="s">
        <v>107</v>
      </c>
      <c r="O980" s="537"/>
      <c r="P980" s="537"/>
      <c r="Q980" s="537"/>
      <c r="R980" s="537"/>
      <c r="S980" s="537"/>
      <c r="T980" s="537"/>
      <c r="U980" s="537"/>
      <c r="V980" s="408">
        <f>+ROUND(V979,$AA$5)</f>
        <v>2464.66</v>
      </c>
      <c r="Y980" s="401" t="s">
        <v>136</v>
      </c>
      <c r="Z980" s="402">
        <f>+ROUND(Z979,$AA$5)</f>
        <v>71475.09</v>
      </c>
      <c r="AA980" s="86"/>
      <c r="AB980" s="403">
        <f>+V980*Y961</f>
        <v>71475.14</v>
      </c>
      <c r="AC980" s="404">
        <f>+AB980-Z980</f>
        <v>5.0000000002910383E-2</v>
      </c>
      <c r="AD980" s="94"/>
      <c r="AE980" s="405"/>
    </row>
    <row r="981" spans="3:31" s="260" customFormat="1" x14ac:dyDescent="0.25">
      <c r="C981" s="84"/>
      <c r="D981" s="380"/>
      <c r="E981" s="381"/>
      <c r="F981" s="381"/>
      <c r="G981" s="381"/>
      <c r="H981" s="381"/>
      <c r="I981" s="381"/>
      <c r="J981" s="382"/>
      <c r="K981" s="88"/>
      <c r="M981" s="568" t="s">
        <v>108</v>
      </c>
      <c r="N981" s="569"/>
      <c r="O981" s="569"/>
      <c r="P981" s="569"/>
      <c r="Q981" s="569"/>
      <c r="R981" s="569"/>
      <c r="S981" s="569"/>
      <c r="T981" s="569"/>
      <c r="U981" s="569"/>
      <c r="V981" s="570"/>
      <c r="Y981" s="378"/>
      <c r="Z981" s="121"/>
      <c r="AA981" s="86"/>
      <c r="AB981" s="409"/>
      <c r="AC981" s="121"/>
      <c r="AD981" s="94"/>
      <c r="AE981" s="126"/>
    </row>
    <row r="982" spans="3:31" s="260" customFormat="1" ht="25.5" x14ac:dyDescent="0.25">
      <c r="C982" s="84"/>
      <c r="D982" s="85"/>
      <c r="E982" s="86"/>
      <c r="F982" s="86"/>
      <c r="G982" s="86"/>
      <c r="H982" s="86"/>
      <c r="I982" s="86"/>
      <c r="J982" s="87"/>
      <c r="K982" s="88"/>
      <c r="M982" s="99" t="s">
        <v>94</v>
      </c>
      <c r="N982" s="561" t="s">
        <v>95</v>
      </c>
      <c r="O982" s="561"/>
      <c r="P982" s="561"/>
      <c r="Q982" s="95" t="s">
        <v>109</v>
      </c>
      <c r="R982" s="95" t="s">
        <v>110</v>
      </c>
      <c r="S982" s="95" t="s">
        <v>111</v>
      </c>
      <c r="T982" s="562" t="s">
        <v>112</v>
      </c>
      <c r="U982" s="562"/>
      <c r="V982" s="100" t="s">
        <v>98</v>
      </c>
      <c r="Y982" s="383" t="s">
        <v>104</v>
      </c>
      <c r="Z982" s="119" t="s">
        <v>9</v>
      </c>
      <c r="AA982" s="86"/>
      <c r="AB982" s="384"/>
      <c r="AC982" s="385"/>
      <c r="AD982" s="94"/>
      <c r="AE982" s="410"/>
    </row>
    <row r="983" spans="3:31" s="260" customFormat="1" x14ac:dyDescent="0.25">
      <c r="C983" s="84"/>
      <c r="D983" s="85"/>
      <c r="E983" s="86"/>
      <c r="F983" s="86"/>
      <c r="G983" s="86"/>
      <c r="H983" s="86"/>
      <c r="I983" s="86"/>
      <c r="J983" s="87"/>
      <c r="K983" s="88"/>
      <c r="M983" s="102">
        <v>129</v>
      </c>
      <c r="N983" s="530" t="str">
        <f>IFERROR(VLOOKUP(M983,INSUMOS!$C$8:$K$928,2,0),"-----")</f>
        <v>transporte materiales en general</v>
      </c>
      <c r="O983" s="531"/>
      <c r="P983" s="532"/>
      <c r="Q983" s="78" t="str">
        <f>IFERROR(VLOOKUP(M983,INSUMOS!$C$8:$K$928,5,0),"-----")</f>
        <v>Km</v>
      </c>
      <c r="R983" s="80">
        <v>1</v>
      </c>
      <c r="S983" s="80">
        <f>IFERROR(VLOOKUP(M983,INSUMOS!$C$8:$K$928,6,0),"0")</f>
        <v>348</v>
      </c>
      <c r="T983" s="529">
        <f>IFERROR(VLOOKUP(M983,INSUMOS!$C$8:$K$928,7,0),"0")</f>
        <v>0.99776362060288992</v>
      </c>
      <c r="U983" s="529"/>
      <c r="V983" s="82">
        <f>+T983*S983*R983</f>
        <v>347.2217399698057</v>
      </c>
      <c r="Y983" s="393">
        <f>+IFERROR((R983*S983)*Y961,0)</f>
        <v>10092</v>
      </c>
      <c r="Z983" s="391">
        <f>Y961*V983</f>
        <v>10069.430459124365</v>
      </c>
      <c r="AA983" s="86"/>
      <c r="AB983" s="92">
        <f>+Y983*T983</f>
        <v>10069.430459124365</v>
      </c>
      <c r="AC983" s="93">
        <f>+AB983-Z983</f>
        <v>0</v>
      </c>
      <c r="AD983" s="94"/>
      <c r="AE983" s="406" t="str">
        <f>+IF(V983=0,"CERO","NO")</f>
        <v>NO</v>
      </c>
    </row>
    <row r="984" spans="3:31" s="260" customFormat="1" x14ac:dyDescent="0.25">
      <c r="C984" s="84"/>
      <c r="D984" s="85"/>
      <c r="E984" s="86"/>
      <c r="F984" s="86"/>
      <c r="G984" s="86"/>
      <c r="H984" s="86"/>
      <c r="I984" s="86"/>
      <c r="J984" s="87"/>
      <c r="K984" s="88"/>
      <c r="M984" s="102">
        <v>0</v>
      </c>
      <c r="N984" s="530" t="str">
        <f>IFERROR(VLOOKUP(M984,INSUMOS!$C$8:$K$928,2,0),"-----")</f>
        <v>-----</v>
      </c>
      <c r="O984" s="531"/>
      <c r="P984" s="532"/>
      <c r="Q984" s="78" t="str">
        <f>IFERROR(VLOOKUP(M984,INSUMOS!$C$8:$K$928,5,0),"-----")</f>
        <v>-----</v>
      </c>
      <c r="R984" s="80"/>
      <c r="S984" s="80" t="str">
        <f>IFERROR(VLOOKUP(M984,INSUMOS!$C$8:$K$928,6,0),"0")</f>
        <v>0</v>
      </c>
      <c r="T984" s="529" t="str">
        <f>IFERROR(VLOOKUP(M984,INSUMOS!$C$8:$K$928,7,0),"0")</f>
        <v>0</v>
      </c>
      <c r="U984" s="529"/>
      <c r="V984" s="82">
        <f>+T984*S984*R984</f>
        <v>0</v>
      </c>
      <c r="Y984" s="393">
        <f>+IFERROR((R984*S984)*Y961,0)</f>
        <v>0</v>
      </c>
      <c r="Z984" s="391">
        <f>Y961*V984</f>
        <v>0</v>
      </c>
      <c r="AA984" s="86"/>
      <c r="AB984" s="92">
        <f>+Y984*T984</f>
        <v>0</v>
      </c>
      <c r="AC984" s="93">
        <f>+AB984-Z984</f>
        <v>0</v>
      </c>
      <c r="AD984" s="94"/>
      <c r="AE984" s="406" t="str">
        <f>+IF(V984=0,"CERO","NO")</f>
        <v>CERO</v>
      </c>
    </row>
    <row r="985" spans="3:31" s="260" customFormat="1" x14ac:dyDescent="0.25">
      <c r="C985" s="84"/>
      <c r="D985" s="85"/>
      <c r="E985" s="86"/>
      <c r="F985" s="86"/>
      <c r="G985" s="86"/>
      <c r="H985" s="86"/>
      <c r="I985" s="86"/>
      <c r="J985" s="87"/>
      <c r="K985" s="88"/>
      <c r="M985" s="102">
        <v>0</v>
      </c>
      <c r="N985" s="530" t="str">
        <f>IFERROR(VLOOKUP(M985,INSUMOS!$C$8:$K$928,2,0),"-----")</f>
        <v>-----</v>
      </c>
      <c r="O985" s="531"/>
      <c r="P985" s="532"/>
      <c r="Q985" s="78" t="str">
        <f>IFERROR(VLOOKUP(M985,INSUMOS!$C$8:$K$928,5,0),"-----")</f>
        <v>-----</v>
      </c>
      <c r="R985" s="80"/>
      <c r="S985" s="80" t="str">
        <f>IFERROR(VLOOKUP(M985,INSUMOS!$C$8:$K$928,6,0),"0")</f>
        <v>0</v>
      </c>
      <c r="T985" s="529" t="str">
        <f>IFERROR(VLOOKUP(M985,INSUMOS!$C$8:$K$928,7,0),"0")</f>
        <v>0</v>
      </c>
      <c r="U985" s="529"/>
      <c r="V985" s="82">
        <f>+T985*S985*R985</f>
        <v>0</v>
      </c>
      <c r="Y985" s="393">
        <f>+IFERROR((R985*S985)*Y961,0)</f>
        <v>0</v>
      </c>
      <c r="Z985" s="391">
        <f>Y961*V985</f>
        <v>0</v>
      </c>
      <c r="AA985" s="86"/>
      <c r="AB985" s="92">
        <f>+Y985*T985</f>
        <v>0</v>
      </c>
      <c r="AC985" s="93">
        <f>+AB985-Z985</f>
        <v>0</v>
      </c>
      <c r="AD985" s="94"/>
      <c r="AE985" s="406" t="str">
        <f>+IF(V985=0,"CERO","NO")</f>
        <v>CERO</v>
      </c>
    </row>
    <row r="986" spans="3:31" s="260" customFormat="1" ht="15.75" thickBot="1" x14ac:dyDescent="0.3">
      <c r="C986" s="84"/>
      <c r="D986" s="89"/>
      <c r="E986" s="90"/>
      <c r="F986" s="90"/>
      <c r="G986" s="90"/>
      <c r="H986" s="90"/>
      <c r="I986" s="90"/>
      <c r="J986" s="91"/>
      <c r="K986" s="88"/>
      <c r="M986" s="102">
        <v>0</v>
      </c>
      <c r="N986" s="533"/>
      <c r="O986" s="533"/>
      <c r="P986" s="533"/>
      <c r="Q986" s="79"/>
      <c r="R986" s="78"/>
      <c r="S986" s="81"/>
      <c r="T986" s="529"/>
      <c r="U986" s="529"/>
      <c r="V986" s="82"/>
      <c r="Y986" s="393">
        <f>+IFERROR((R986*S986)*Y961,0)</f>
        <v>0</v>
      </c>
      <c r="Z986" s="391">
        <f>Y961*V986</f>
        <v>0</v>
      </c>
      <c r="AA986" s="86"/>
      <c r="AB986" s="92">
        <f>+Y986*T986</f>
        <v>0</v>
      </c>
      <c r="AC986" s="93">
        <f>+AB986-Z986</f>
        <v>0</v>
      </c>
      <c r="AD986" s="94"/>
      <c r="AE986" s="406" t="str">
        <f>+IF(V986=0,"CERO","NO")</f>
        <v>CERO</v>
      </c>
    </row>
    <row r="987" spans="3:31" s="260" customFormat="1" ht="15.75" thickBot="1" x14ac:dyDescent="0.3">
      <c r="C987" s="84"/>
      <c r="D987" s="375" t="s">
        <v>128</v>
      </c>
      <c r="E987" s="376" t="s">
        <v>129</v>
      </c>
      <c r="F987" s="376" t="s">
        <v>130</v>
      </c>
      <c r="G987" s="376" t="s">
        <v>131</v>
      </c>
      <c r="H987" s="376" t="s">
        <v>132</v>
      </c>
      <c r="I987" s="376" t="s">
        <v>133</v>
      </c>
      <c r="J987" s="377" t="s">
        <v>134</v>
      </c>
      <c r="K987" s="88"/>
      <c r="M987" s="534"/>
      <c r="N987" s="536" t="s">
        <v>113</v>
      </c>
      <c r="O987" s="536"/>
      <c r="P987" s="536"/>
      <c r="Q987" s="536"/>
      <c r="R987" s="536"/>
      <c r="S987" s="536"/>
      <c r="T987" s="536"/>
      <c r="U987" s="536"/>
      <c r="V987" s="411">
        <f>+SUM(V983:V986)</f>
        <v>347.2217399698057</v>
      </c>
      <c r="Y987" s="398" t="s">
        <v>135</v>
      </c>
      <c r="Z987" s="397">
        <f>+SUM(Z983:Z986)</f>
        <v>10069.430459124365</v>
      </c>
      <c r="AA987" s="86"/>
      <c r="AB987" s="384"/>
      <c r="AC987" s="385"/>
      <c r="AD987" s="94"/>
      <c r="AE987" s="399"/>
    </row>
    <row r="988" spans="3:31" s="260" customFormat="1" ht="15.75" thickBot="1" x14ac:dyDescent="0.3">
      <c r="C988" s="84"/>
      <c r="D988" s="355"/>
      <c r="E988" s="367"/>
      <c r="F988" s="412">
        <f>+E980</f>
        <v>2.1</v>
      </c>
      <c r="G988" s="367"/>
      <c r="H988" s="367"/>
      <c r="I988" s="367"/>
      <c r="J988" s="368"/>
      <c r="K988" s="88"/>
      <c r="M988" s="535"/>
      <c r="N988" s="537" t="s">
        <v>114</v>
      </c>
      <c r="O988" s="537"/>
      <c r="P988" s="537"/>
      <c r="Q988" s="537"/>
      <c r="R988" s="537"/>
      <c r="S988" s="537"/>
      <c r="T988" s="537"/>
      <c r="U988" s="537"/>
      <c r="V988" s="413">
        <f>+ROUND(V987,$AA$5)</f>
        <v>347.22</v>
      </c>
      <c r="Y988" s="401" t="s">
        <v>136</v>
      </c>
      <c r="Z988" s="402">
        <f>+ROUND(Z987,$AA$5)</f>
        <v>10069.43</v>
      </c>
      <c r="AA988" s="86"/>
      <c r="AB988" s="403">
        <f>+V988*Y961</f>
        <v>10069.380000000001</v>
      </c>
      <c r="AC988" s="414"/>
      <c r="AD988" s="94"/>
      <c r="AE988" s="405"/>
    </row>
    <row r="989" spans="3:31" s="260" customFormat="1" ht="15.75" thickBot="1" x14ac:dyDescent="0.3">
      <c r="C989" s="84"/>
      <c r="D989" s="415"/>
      <c r="E989" s="416"/>
      <c r="F989" s="416"/>
      <c r="G989" s="416"/>
      <c r="H989" s="416"/>
      <c r="I989" s="416"/>
      <c r="J989" s="417"/>
      <c r="K989" s="88"/>
      <c r="M989" s="538" t="s">
        <v>115</v>
      </c>
      <c r="N989" s="539"/>
      <c r="O989" s="539"/>
      <c r="P989" s="539"/>
      <c r="Q989" s="539"/>
      <c r="R989" s="539"/>
      <c r="S989" s="539"/>
      <c r="T989" s="539"/>
      <c r="U989" s="539"/>
      <c r="V989" s="540"/>
      <c r="Y989" s="378"/>
      <c r="Z989" s="121"/>
      <c r="AA989" s="86"/>
      <c r="AB989" s="409"/>
      <c r="AC989" s="121"/>
      <c r="AD989" s="94"/>
      <c r="AE989" s="126"/>
    </row>
    <row r="990" spans="3:31" s="260" customFormat="1" ht="15.75" thickBot="1" x14ac:dyDescent="0.3">
      <c r="C990" s="84"/>
      <c r="D990" s="375" t="s">
        <v>128</v>
      </c>
      <c r="E990" s="376" t="s">
        <v>129</v>
      </c>
      <c r="F990" s="376" t="s">
        <v>130</v>
      </c>
      <c r="G990" s="376" t="s">
        <v>131</v>
      </c>
      <c r="H990" s="376" t="s">
        <v>132</v>
      </c>
      <c r="I990" s="376" t="s">
        <v>133</v>
      </c>
      <c r="J990" s="377" t="s">
        <v>134</v>
      </c>
      <c r="K990" s="88"/>
      <c r="M990" s="99" t="s">
        <v>94</v>
      </c>
      <c r="N990" s="98" t="s">
        <v>95</v>
      </c>
      <c r="O990" s="95" t="s">
        <v>96</v>
      </c>
      <c r="P990" s="359" t="s">
        <v>104</v>
      </c>
      <c r="Q990" s="95" t="s">
        <v>116</v>
      </c>
      <c r="R990" s="418" t="s">
        <v>117</v>
      </c>
      <c r="S990" s="95" t="s">
        <v>347</v>
      </c>
      <c r="T990" s="419" t="s">
        <v>118</v>
      </c>
      <c r="U990" s="189" t="s">
        <v>119</v>
      </c>
      <c r="V990" s="100" t="s">
        <v>98</v>
      </c>
      <c r="Y990" s="383" t="s">
        <v>104</v>
      </c>
      <c r="Z990" s="119" t="s">
        <v>9</v>
      </c>
      <c r="AA990" s="86"/>
      <c r="AB990" s="384"/>
      <c r="AC990" s="385"/>
      <c r="AD990" s="94"/>
      <c r="AE990" s="410"/>
    </row>
    <row r="991" spans="3:31" s="260" customFormat="1" ht="25.5" x14ac:dyDescent="0.25">
      <c r="C991" s="84"/>
      <c r="D991" s="354"/>
      <c r="E991" s="96"/>
      <c r="F991" s="96"/>
      <c r="G991" s="96"/>
      <c r="H991" s="96"/>
      <c r="I991" s="96"/>
      <c r="J991" s="420">
        <f>+F988</f>
        <v>2.1</v>
      </c>
      <c r="K991" s="88"/>
      <c r="M991" s="102">
        <v>207</v>
      </c>
      <c r="N991" s="347" t="str">
        <f>IFERROR(VLOOKUP(M991,INSUMOS!$C$8:$K$928,2,0),"-----")</f>
        <v>Oficial Hidrosanitario</v>
      </c>
      <c r="O991" s="78" t="str">
        <f>IFERROR(VLOOKUP(M991,INSUMOS!$C$8:$K$928,3,0),"-----")</f>
        <v>JORNAL+PS</v>
      </c>
      <c r="P991" s="80">
        <v>1</v>
      </c>
      <c r="Q991" s="79">
        <v>30</v>
      </c>
      <c r="R991" s="190">
        <f>IFERROR(VLOOKUP(M991,INSUMOS!$C$8:$K$928,4,0),"-----")</f>
        <v>92983</v>
      </c>
      <c r="S991" s="190">
        <f>IFERROR(VLOOKUP(M991,INSUMOS!$C$8:$K$928,6,0),"-----")</f>
        <v>74386</v>
      </c>
      <c r="T991" s="190">
        <f>IFERROR(VLOOKUP(M991,INSUMOS!$C$8:$K$928,5,0),"-----")</f>
        <v>0</v>
      </c>
      <c r="U991" s="388">
        <f>SUM(R991:T991)</f>
        <v>167369</v>
      </c>
      <c r="V991" s="82">
        <f>+IFERROR((P991/Q991)*U991,0)</f>
        <v>5578.9666666666662</v>
      </c>
      <c r="Y991" s="393">
        <f>+IFERROR((Y961/Q991*P991),0)</f>
        <v>0.96666666666666667</v>
      </c>
      <c r="Z991" s="391">
        <f>Y961*V991</f>
        <v>161790.03333333333</v>
      </c>
      <c r="AA991" s="86"/>
      <c r="AB991" s="92">
        <f>+(U991)*Y991</f>
        <v>161790.03333333333</v>
      </c>
      <c r="AC991" s="93">
        <f>+AB991-Z991</f>
        <v>0</v>
      </c>
      <c r="AD991" s="421"/>
      <c r="AE991" s="410" t="str">
        <f>+IF(V991=0,"CERO","NO")</f>
        <v>NO</v>
      </c>
    </row>
    <row r="992" spans="3:31" s="260" customFormat="1" ht="15.75" thickBot="1" x14ac:dyDescent="0.3">
      <c r="C992" s="84"/>
      <c r="D992" s="355"/>
      <c r="E992" s="367"/>
      <c r="F992" s="367"/>
      <c r="G992" s="367"/>
      <c r="H992" s="367"/>
      <c r="I992" s="367"/>
      <c r="J992" s="422">
        <f>+J991</f>
        <v>2.1</v>
      </c>
      <c r="K992" s="88"/>
      <c r="M992" s="102"/>
      <c r="N992" s="347" t="str">
        <f>IFERROR(VLOOKUP(M992,INSUMOS!$C$8:$K$928,2,0),"-----")</f>
        <v>-----</v>
      </c>
      <c r="O992" s="78" t="str">
        <f>IFERROR(VLOOKUP(M992,INSUMOS!$C$8:$K$928,3,0),"-----")</f>
        <v>-----</v>
      </c>
      <c r="P992" s="80"/>
      <c r="Q992" s="79"/>
      <c r="R992" s="190" t="str">
        <f>IFERROR(VLOOKUP(M992,INSUMOS!$C$8:$K$928,4,0),"-----")</f>
        <v>-----</v>
      </c>
      <c r="S992" s="190" t="str">
        <f>IFERROR(VLOOKUP(M992,INSUMOS!$C$8:$K$928,6,0),"-----")</f>
        <v>-----</v>
      </c>
      <c r="T992" s="190" t="str">
        <f>IFERROR(VLOOKUP(M992,INSUMOS!$C$8:$K$928,5,0),"-----")</f>
        <v>-----</v>
      </c>
      <c r="U992" s="388">
        <f>SUM(R992:T992)</f>
        <v>0</v>
      </c>
      <c r="V992" s="82">
        <f>+IFERROR((P992/Q992)*U992,0)</f>
        <v>0</v>
      </c>
      <c r="Y992" s="393">
        <f>+IFERROR((Y961/Q992*P992),0)</f>
        <v>0</v>
      </c>
      <c r="Z992" s="391">
        <f>Y961*V992</f>
        <v>0</v>
      </c>
      <c r="AA992" s="86"/>
      <c r="AB992" s="92">
        <f>+U992*Y992</f>
        <v>0</v>
      </c>
      <c r="AC992" s="93">
        <f>+AB992-Z992</f>
        <v>0</v>
      </c>
      <c r="AD992" s="94"/>
      <c r="AE992" s="410" t="str">
        <f>+IF(V992=0,"CERO","NO")</f>
        <v>CERO</v>
      </c>
    </row>
    <row r="993" spans="3:31" s="260" customFormat="1" ht="15.75" thickBot="1" x14ac:dyDescent="0.3">
      <c r="C993" s="84"/>
      <c r="D993" s="380"/>
      <c r="E993" s="381"/>
      <c r="F993" s="381"/>
      <c r="G993" s="381"/>
      <c r="H993" s="381"/>
      <c r="I993" s="381"/>
      <c r="J993" s="382"/>
      <c r="K993" s="88"/>
      <c r="M993" s="102">
        <v>0</v>
      </c>
      <c r="N993" s="347"/>
      <c r="O993" s="79"/>
      <c r="P993" s="423"/>
      <c r="Q993" s="81"/>
      <c r="R993" s="111"/>
      <c r="S993" s="357"/>
      <c r="T993" s="111"/>
      <c r="U993" s="388"/>
      <c r="V993" s="426"/>
      <c r="Y993" s="393">
        <f>+IFERROR((Y961/Q993*P993),0)</f>
        <v>0</v>
      </c>
      <c r="Z993" s="391">
        <f>Y961*V993</f>
        <v>0</v>
      </c>
      <c r="AA993" s="86"/>
      <c r="AB993" s="92">
        <f>+(U993)*Y993*P993</f>
        <v>0</v>
      </c>
      <c r="AC993" s="93">
        <f>+AB993-Z993</f>
        <v>0</v>
      </c>
      <c r="AD993" s="94"/>
      <c r="AE993" s="410" t="str">
        <f>+IF(V993=0,"CERO","NO")</f>
        <v>CERO</v>
      </c>
    </row>
    <row r="994" spans="3:31" s="260" customFormat="1" ht="15.75" thickBot="1" x14ac:dyDescent="0.3">
      <c r="C994" s="84"/>
      <c r="D994" s="375" t="s">
        <v>128</v>
      </c>
      <c r="E994" s="376" t="s">
        <v>129</v>
      </c>
      <c r="F994" s="376" t="s">
        <v>130</v>
      </c>
      <c r="G994" s="376" t="s">
        <v>131</v>
      </c>
      <c r="H994" s="376" t="s">
        <v>132</v>
      </c>
      <c r="I994" s="376" t="s">
        <v>133</v>
      </c>
      <c r="J994" s="377" t="s">
        <v>134</v>
      </c>
      <c r="K994" s="88"/>
      <c r="M994" s="534"/>
      <c r="N994" s="536" t="s">
        <v>120</v>
      </c>
      <c r="O994" s="536"/>
      <c r="P994" s="536"/>
      <c r="Q994" s="536"/>
      <c r="R994" s="536"/>
      <c r="S994" s="536"/>
      <c r="T994" s="536"/>
      <c r="U994" s="536"/>
      <c r="V994" s="82">
        <f>+SUM(V991:V993)</f>
        <v>5578.9666666666662</v>
      </c>
      <c r="Y994" s="398" t="s">
        <v>135</v>
      </c>
      <c r="Z994" s="397">
        <f>+SUM(Z991:Z993)</f>
        <v>161790.03333333333</v>
      </c>
      <c r="AA994" s="86"/>
      <c r="AB994" s="384"/>
      <c r="AC994" s="385"/>
      <c r="AD994" s="94"/>
      <c r="AE994" s="399"/>
    </row>
    <row r="995" spans="3:31" s="260" customFormat="1" ht="15.75" thickBot="1" x14ac:dyDescent="0.3">
      <c r="C995" s="84"/>
      <c r="D995" s="354"/>
      <c r="E995" s="96"/>
      <c r="F995" s="96"/>
      <c r="G995" s="107">
        <f>+F988</f>
        <v>2.1</v>
      </c>
      <c r="H995" s="96"/>
      <c r="I995" s="96"/>
      <c r="J995" s="427"/>
      <c r="K995" s="88"/>
      <c r="M995" s="535"/>
      <c r="N995" s="537" t="s">
        <v>121</v>
      </c>
      <c r="O995" s="537"/>
      <c r="P995" s="537"/>
      <c r="Q995" s="537"/>
      <c r="R995" s="537"/>
      <c r="S995" s="537"/>
      <c r="T995" s="537"/>
      <c r="U995" s="537"/>
      <c r="V995" s="413">
        <f>+ROUND(V994,$AA$5)</f>
        <v>5578.97</v>
      </c>
      <c r="Y995" s="401" t="s">
        <v>136</v>
      </c>
      <c r="Z995" s="402">
        <f>+ROUND(Z994,$AA$5)</f>
        <v>161790.03</v>
      </c>
      <c r="AA995" s="86"/>
      <c r="AB995" s="403">
        <f>+V995*Y961</f>
        <v>161790.13</v>
      </c>
      <c r="AC995" s="404">
        <f>+AB995-Z995</f>
        <v>0.10000000000582077</v>
      </c>
      <c r="AD995" s="94"/>
      <c r="AE995" s="405"/>
    </row>
    <row r="996" spans="3:31" s="260" customFormat="1" ht="15.75" thickBot="1" x14ac:dyDescent="0.3">
      <c r="C996" s="84"/>
      <c r="D996" s="375" t="s">
        <v>128</v>
      </c>
      <c r="E996" s="376" t="s">
        <v>129</v>
      </c>
      <c r="F996" s="376" t="s">
        <v>130</v>
      </c>
      <c r="G996" s="376" t="s">
        <v>131</v>
      </c>
      <c r="H996" s="376" t="s">
        <v>132</v>
      </c>
      <c r="I996" s="376" t="s">
        <v>133</v>
      </c>
      <c r="J996" s="377" t="s">
        <v>134</v>
      </c>
      <c r="K996" s="88"/>
      <c r="M996" s="541"/>
      <c r="N996" s="542"/>
      <c r="O996" s="542"/>
      <c r="P996" s="542"/>
      <c r="Q996" s="542"/>
      <c r="R996" s="542"/>
      <c r="S996" s="542"/>
      <c r="T996" s="542"/>
      <c r="U996" s="542"/>
      <c r="V996" s="543"/>
      <c r="Y996" s="378"/>
      <c r="Z996" s="121"/>
      <c r="AA996" s="86"/>
      <c r="AB996" s="409"/>
      <c r="AC996" s="121"/>
      <c r="AD996" s="94"/>
      <c r="AE996" s="428"/>
    </row>
    <row r="997" spans="3:31" s="260" customFormat="1" ht="15.75" thickBot="1" x14ac:dyDescent="0.3">
      <c r="C997" s="84"/>
      <c r="D997" s="355"/>
      <c r="E997" s="367"/>
      <c r="F997" s="367"/>
      <c r="G997" s="367"/>
      <c r="H997" s="412">
        <f>G995</f>
        <v>2.1</v>
      </c>
      <c r="I997" s="412"/>
      <c r="J997" s="422"/>
      <c r="K997" s="88"/>
      <c r="M997" s="544" t="s">
        <v>122</v>
      </c>
      <c r="N997" s="537"/>
      <c r="O997" s="537"/>
      <c r="P997" s="537"/>
      <c r="Q997" s="537"/>
      <c r="R997" s="537"/>
      <c r="S997" s="537"/>
      <c r="T997" s="537"/>
      <c r="U997" s="545">
        <f>+V995+V988+V980+V971</f>
        <v>8669.8000000000011</v>
      </c>
      <c r="V997" s="546"/>
      <c r="Y997" s="429"/>
      <c r="Z997" s="430">
        <f>+Z995+Z988+Z980+Z971</f>
        <v>251424.06</v>
      </c>
      <c r="AA997" s="86"/>
      <c r="AB997" s="431">
        <f>+AB995+AB988+AB980+AB971</f>
        <v>251424.2</v>
      </c>
      <c r="AC997" s="404">
        <f>+AB997-Z997</f>
        <v>0.14000000001396984</v>
      </c>
      <c r="AD997" s="94"/>
      <c r="AE997" s="432"/>
    </row>
    <row r="998" spans="3:31" s="260" customFormat="1" ht="15.75" thickBot="1" x14ac:dyDescent="0.3"/>
    <row r="999" spans="3:31" s="260" customFormat="1" x14ac:dyDescent="0.25">
      <c r="M999" s="547" t="s">
        <v>348</v>
      </c>
      <c r="N999" s="548"/>
      <c r="O999" s="548"/>
      <c r="P999" s="548"/>
      <c r="Q999" s="548"/>
      <c r="R999" s="548"/>
      <c r="S999" s="548"/>
      <c r="T999" s="548"/>
      <c r="U999" s="548"/>
      <c r="V999" s="549"/>
      <c r="Y999" s="378"/>
      <c r="Z999" s="121"/>
      <c r="AA999" s="86"/>
      <c r="AB999" s="94"/>
      <c r="AC999" s="94"/>
      <c r="AD999" s="94"/>
      <c r="AE999" s="126" t="s">
        <v>133</v>
      </c>
    </row>
    <row r="1000" spans="3:31" s="260" customFormat="1" x14ac:dyDescent="0.25">
      <c r="M1000" s="515" t="s">
        <v>138</v>
      </c>
      <c r="N1000" s="516"/>
      <c r="O1000" s="516"/>
      <c r="P1000" s="516"/>
      <c r="Q1000" s="516"/>
      <c r="R1000" s="516"/>
      <c r="S1000" s="516"/>
      <c r="T1000" s="437">
        <v>0</v>
      </c>
      <c r="U1000" s="517">
        <f>+ROUND(U997*T1000,$AA$5)</f>
        <v>0</v>
      </c>
      <c r="V1000" s="518"/>
      <c r="Y1000" s="390"/>
      <c r="Z1000" s="438">
        <f>+Z997*T1000</f>
        <v>0</v>
      </c>
      <c r="AA1000" s="86"/>
      <c r="AB1000" s="94"/>
      <c r="AC1000" s="94"/>
      <c r="AD1000" s="94"/>
      <c r="AE1000" s="386" t="s">
        <v>133</v>
      </c>
    </row>
    <row r="1001" spans="3:31" s="260" customFormat="1" x14ac:dyDescent="0.25">
      <c r="M1001" s="515" t="s">
        <v>19</v>
      </c>
      <c r="N1001" s="516"/>
      <c r="O1001" s="516"/>
      <c r="P1001" s="516"/>
      <c r="Q1001" s="516"/>
      <c r="R1001" s="516"/>
      <c r="S1001" s="516"/>
      <c r="T1001" s="437">
        <v>0.05</v>
      </c>
      <c r="U1001" s="517">
        <f>+ROUND(U997*T1001,$AA$5)</f>
        <v>433.49</v>
      </c>
      <c r="V1001" s="518"/>
      <c r="Y1001" s="390"/>
      <c r="Z1001" s="438">
        <f>+Z997*T1001</f>
        <v>12571.203000000001</v>
      </c>
      <c r="AA1001" s="86"/>
      <c r="AB1001" s="94"/>
      <c r="AC1001" s="94"/>
      <c r="AD1001" s="94"/>
      <c r="AE1001" s="386" t="s">
        <v>133</v>
      </c>
    </row>
    <row r="1002" spans="3:31" s="260" customFormat="1" x14ac:dyDescent="0.25">
      <c r="M1002" s="515" t="s">
        <v>20</v>
      </c>
      <c r="N1002" s="516"/>
      <c r="O1002" s="516"/>
      <c r="P1002" s="516"/>
      <c r="Q1002" s="516"/>
      <c r="R1002" s="516"/>
      <c r="S1002" s="516"/>
      <c r="T1002" s="437">
        <v>0</v>
      </c>
      <c r="U1002" s="517">
        <f>+ROUND(U997*T1002,$AA$5)</f>
        <v>0</v>
      </c>
      <c r="V1002" s="518"/>
      <c r="Y1002" s="390"/>
      <c r="Z1002" s="438">
        <f>+Z997*T1002</f>
        <v>0</v>
      </c>
      <c r="AA1002" s="86"/>
      <c r="AB1002" s="94"/>
      <c r="AC1002" s="94"/>
      <c r="AD1002" s="94"/>
      <c r="AE1002" s="386" t="s">
        <v>133</v>
      </c>
    </row>
    <row r="1003" spans="3:31" s="260" customFormat="1" x14ac:dyDescent="0.25">
      <c r="M1003" s="515" t="s">
        <v>21</v>
      </c>
      <c r="N1003" s="516"/>
      <c r="O1003" s="516"/>
      <c r="P1003" s="516"/>
      <c r="Q1003" s="516"/>
      <c r="R1003" s="516"/>
      <c r="S1003" s="516"/>
      <c r="T1003" s="437">
        <f>$AA$9</f>
        <v>0</v>
      </c>
      <c r="U1003" s="517">
        <f>+ROUND(U997*T1003,$AA$5)</f>
        <v>0</v>
      </c>
      <c r="V1003" s="518"/>
      <c r="Y1003" s="390"/>
      <c r="Z1003" s="438">
        <f>+Z1002*T1003</f>
        <v>0</v>
      </c>
      <c r="AA1003" s="86"/>
      <c r="AB1003" s="94"/>
      <c r="AC1003" s="94"/>
      <c r="AD1003" s="94"/>
      <c r="AE1003" s="386" t="s">
        <v>133</v>
      </c>
    </row>
    <row r="1004" spans="3:31" s="260" customFormat="1" ht="15.75" thickBot="1" x14ac:dyDescent="0.3">
      <c r="M1004" s="519" t="s">
        <v>349</v>
      </c>
      <c r="N1004" s="520"/>
      <c r="O1004" s="520"/>
      <c r="P1004" s="520"/>
      <c r="Q1004" s="520"/>
      <c r="R1004" s="520"/>
      <c r="S1004" s="520"/>
      <c r="T1004" s="520"/>
      <c r="U1004" s="521">
        <f>+SUM(U1000:V1003)</f>
        <v>433.49</v>
      </c>
      <c r="V1004" s="522"/>
      <c r="Y1004" s="390"/>
      <c r="Z1004" s="439">
        <f>+SUM(Z1000:Z1003)</f>
        <v>12571.203000000001</v>
      </c>
      <c r="AA1004" s="86"/>
      <c r="AB1004" s="94"/>
      <c r="AC1004" s="94"/>
      <c r="AD1004" s="94"/>
      <c r="AE1004" s="386" t="s">
        <v>133</v>
      </c>
    </row>
    <row r="1005" spans="3:31" s="260" customFormat="1" ht="15.75" thickBot="1" x14ac:dyDescent="0.3">
      <c r="D1005" s="375" t="s">
        <v>128</v>
      </c>
      <c r="E1005" s="376" t="s">
        <v>129</v>
      </c>
      <c r="F1005" s="376" t="s">
        <v>130</v>
      </c>
      <c r="G1005" s="376" t="s">
        <v>131</v>
      </c>
      <c r="H1005" s="376" t="s">
        <v>132</v>
      </c>
      <c r="I1005" s="376" t="s">
        <v>133</v>
      </c>
      <c r="J1005" s="377" t="s">
        <v>134</v>
      </c>
      <c r="M1005" s="86"/>
      <c r="N1005" s="94"/>
      <c r="O1005" s="94"/>
      <c r="P1005" s="94"/>
      <c r="Q1005" s="86"/>
      <c r="R1005" s="86"/>
      <c r="S1005" s="86"/>
      <c r="T1005" s="440"/>
      <c r="U1005" s="523"/>
      <c r="V1005" s="523"/>
      <c r="Y1005" s="390"/>
      <c r="Z1005" s="385"/>
      <c r="AA1005" s="86"/>
      <c r="AB1005" s="94"/>
      <c r="AC1005" s="94"/>
      <c r="AD1005" s="94"/>
      <c r="AE1005" s="386" t="s">
        <v>133</v>
      </c>
    </row>
    <row r="1006" spans="3:31" s="260" customFormat="1" ht="15.75" thickBot="1" x14ac:dyDescent="0.3">
      <c r="D1006" s="355"/>
      <c r="E1006" s="367"/>
      <c r="F1006" s="367"/>
      <c r="G1006" s="367"/>
      <c r="H1006" s="412"/>
      <c r="I1006" s="412">
        <f>H997</f>
        <v>2.1</v>
      </c>
      <c r="J1006" s="422"/>
      <c r="M1006" s="524" t="s">
        <v>11</v>
      </c>
      <c r="N1006" s="525"/>
      <c r="O1006" s="525"/>
      <c r="P1006" s="525"/>
      <c r="Q1006" s="525"/>
      <c r="R1006" s="525"/>
      <c r="S1006" s="525"/>
      <c r="T1006" s="526"/>
      <c r="U1006" s="527">
        <f>+U1004+U997</f>
        <v>9103.2900000000009</v>
      </c>
      <c r="V1006" s="528"/>
      <c r="Y1006" s="429"/>
      <c r="Z1006" s="441">
        <f>+Z1004+Z997</f>
        <v>263995.26299999998</v>
      </c>
      <c r="AA1006" s="86"/>
      <c r="AB1006" s="94"/>
      <c r="AC1006" s="94"/>
      <c r="AD1006" s="94"/>
      <c r="AE1006" s="405" t="s">
        <v>133</v>
      </c>
    </row>
    <row r="1007" spans="3:31" s="260" customFormat="1" x14ac:dyDescent="0.25"/>
    <row r="1008" spans="3:31" s="260" customFormat="1" ht="15.75" thickBot="1" x14ac:dyDescent="0.3"/>
    <row r="1009" spans="3:31" s="260" customFormat="1" ht="15.75" thickBot="1" x14ac:dyDescent="0.3">
      <c r="M1009" s="363" t="s">
        <v>88</v>
      </c>
      <c r="N1009" s="436" t="str">
        <f>+N960</f>
        <v>CAP.2</v>
      </c>
      <c r="O1009" s="550" t="str">
        <f>IFERROR(VLOOKUP(N1009,PPTO!C:H,2,0),"----")</f>
        <v>RED HIDRAULICA</v>
      </c>
      <c r="P1009" s="551"/>
      <c r="Q1009" s="551"/>
      <c r="R1009" s="551"/>
      <c r="S1009" s="551"/>
      <c r="T1009" s="551"/>
      <c r="U1009" s="552"/>
      <c r="V1009" s="74" t="s">
        <v>91</v>
      </c>
      <c r="Y1009" s="365" t="s">
        <v>104</v>
      </c>
      <c r="Z1009" s="94"/>
      <c r="AA1009" s="188"/>
      <c r="AB1009" s="553"/>
      <c r="AC1009" s="553"/>
      <c r="AD1009" s="553"/>
      <c r="AE1009" s="94"/>
    </row>
    <row r="1010" spans="3:31" s="260" customFormat="1" ht="15.75" thickBot="1" x14ac:dyDescent="0.3">
      <c r="C1010" s="369">
        <f>+N1010</f>
        <v>2.11</v>
      </c>
      <c r="D1010" s="86"/>
      <c r="E1010" s="86"/>
      <c r="F1010" s="86"/>
      <c r="G1010" s="86"/>
      <c r="H1010" s="86"/>
      <c r="I1010" s="86"/>
      <c r="J1010" s="86"/>
      <c r="K1010" s="370"/>
      <c r="M1010" s="75" t="s">
        <v>92</v>
      </c>
      <c r="N1010" s="371">
        <f>+ROUNDUP(N961+0.01,2)</f>
        <v>2.11</v>
      </c>
      <c r="O1010" s="554" t="str">
        <f>IFERROR(VLOOKUP(N1010,PPTO!C:H,2,0),"----")</f>
        <v>Tee PVC Ø3/4"</v>
      </c>
      <c r="P1010" s="555"/>
      <c r="Q1010" s="555"/>
      <c r="R1010" s="555"/>
      <c r="S1010" s="555"/>
      <c r="T1010" s="555"/>
      <c r="U1010" s="556"/>
      <c r="V1010" s="76" t="str">
        <f>IFERROR(VLOOKUP(N1010,PPTO!C:H,3,0),"----")</f>
        <v>UND</v>
      </c>
      <c r="Y1010" s="373">
        <f>SUMIFS(PPTO!F:F,PPTO!C:C,APUS!N1010)</f>
        <v>24</v>
      </c>
      <c r="Z1010" s="94"/>
      <c r="AA1010" s="86"/>
      <c r="AB1010" s="94"/>
      <c r="AC1010" s="94"/>
      <c r="AD1010" s="94"/>
      <c r="AE1010" s="94"/>
    </row>
    <row r="1011" spans="3:31" s="260" customFormat="1" ht="15.75" thickBot="1" x14ac:dyDescent="0.3">
      <c r="C1011" s="84"/>
      <c r="D1011" s="86"/>
      <c r="E1011" s="86"/>
      <c r="F1011" s="86"/>
      <c r="G1011" s="86"/>
      <c r="H1011" s="86"/>
      <c r="I1011" s="86"/>
      <c r="J1011" s="86"/>
      <c r="K1011" s="88"/>
      <c r="M1011" s="557"/>
      <c r="N1011" s="557"/>
      <c r="O1011" s="557"/>
      <c r="P1011" s="557"/>
      <c r="Q1011" s="557"/>
      <c r="R1011" s="557"/>
      <c r="S1011" s="557"/>
      <c r="T1011" s="557"/>
      <c r="U1011" s="557"/>
      <c r="V1011" s="557"/>
      <c r="Y1011" s="374"/>
      <c r="Z1011" s="94"/>
      <c r="AA1011" s="86"/>
      <c r="AB1011" s="94"/>
      <c r="AC1011" s="94"/>
      <c r="AD1011" s="94"/>
      <c r="AE1011" s="94"/>
    </row>
    <row r="1012" spans="3:31" s="260" customFormat="1" ht="15.75" thickBot="1" x14ac:dyDescent="0.3">
      <c r="C1012" s="84"/>
      <c r="D1012" s="375" t="s">
        <v>128</v>
      </c>
      <c r="E1012" s="376" t="s">
        <v>129</v>
      </c>
      <c r="F1012" s="376" t="s">
        <v>130</v>
      </c>
      <c r="G1012" s="376" t="s">
        <v>131</v>
      </c>
      <c r="H1012" s="376" t="s">
        <v>132</v>
      </c>
      <c r="I1012" s="376" t="s">
        <v>133</v>
      </c>
      <c r="J1012" s="377" t="s">
        <v>134</v>
      </c>
      <c r="K1012" s="88"/>
      <c r="M1012" s="558" t="s">
        <v>93</v>
      </c>
      <c r="N1012" s="559"/>
      <c r="O1012" s="559"/>
      <c r="P1012" s="559"/>
      <c r="Q1012" s="559"/>
      <c r="R1012" s="559"/>
      <c r="S1012" s="559"/>
      <c r="T1012" s="559"/>
      <c r="U1012" s="559"/>
      <c r="V1012" s="560"/>
      <c r="Y1012" s="378"/>
      <c r="Z1012" s="121"/>
      <c r="AA1012" s="86"/>
      <c r="AB1012" s="513"/>
      <c r="AC1012" s="514"/>
      <c r="AD1012" s="94"/>
      <c r="AE1012" s="379"/>
    </row>
    <row r="1013" spans="3:31" s="260" customFormat="1" x14ac:dyDescent="0.25">
      <c r="C1013" s="84"/>
      <c r="D1013" s="380"/>
      <c r="E1013" s="381"/>
      <c r="F1013" s="381"/>
      <c r="G1013" s="381"/>
      <c r="H1013" s="381"/>
      <c r="I1013" s="381"/>
      <c r="J1013" s="382"/>
      <c r="K1013" s="88"/>
      <c r="M1013" s="99" t="s">
        <v>94</v>
      </c>
      <c r="N1013" s="561" t="s">
        <v>95</v>
      </c>
      <c r="O1013" s="561"/>
      <c r="P1013" s="561"/>
      <c r="Q1013" s="561"/>
      <c r="R1013" s="95" t="s">
        <v>96</v>
      </c>
      <c r="S1013" s="95" t="s">
        <v>97</v>
      </c>
      <c r="T1013" s="562" t="s">
        <v>8</v>
      </c>
      <c r="U1013" s="562"/>
      <c r="V1013" s="100" t="s">
        <v>98</v>
      </c>
      <c r="Y1013" s="383" t="s">
        <v>104</v>
      </c>
      <c r="Z1013" s="119" t="s">
        <v>9</v>
      </c>
      <c r="AA1013" s="86"/>
      <c r="AB1013" s="384"/>
      <c r="AC1013" s="385"/>
      <c r="AD1013" s="94"/>
      <c r="AE1013" s="386"/>
    </row>
    <row r="1014" spans="3:31" s="260" customFormat="1" x14ac:dyDescent="0.25">
      <c r="C1014" s="84"/>
      <c r="D1014" s="85"/>
      <c r="E1014" s="86"/>
      <c r="F1014" s="86"/>
      <c r="G1014" s="86"/>
      <c r="H1014" s="86"/>
      <c r="I1014" s="86"/>
      <c r="J1014" s="87"/>
      <c r="K1014" s="88"/>
      <c r="M1014" s="102"/>
      <c r="N1014" s="533" t="s">
        <v>99</v>
      </c>
      <c r="O1014" s="533"/>
      <c r="P1014" s="533"/>
      <c r="Q1014" s="533"/>
      <c r="R1014" s="78" t="s">
        <v>100</v>
      </c>
      <c r="S1014" s="387">
        <f>+$AA$10</f>
        <v>0.05</v>
      </c>
      <c r="T1014" s="563">
        <f>V1044</f>
        <v>5578.97</v>
      </c>
      <c r="U1014" s="563"/>
      <c r="V1014" s="389">
        <f>+IFERROR(T1014*S1014,0)</f>
        <v>278.94850000000002</v>
      </c>
      <c r="Y1014" s="390"/>
      <c r="Z1014" s="391">
        <f>Y1010*V1014</f>
        <v>6694.764000000001</v>
      </c>
      <c r="AA1014" s="86"/>
      <c r="AB1014" s="384"/>
      <c r="AC1014" s="385"/>
      <c r="AD1014" s="94"/>
      <c r="AE1014" s="386" t="str">
        <f>+IF(V1014=0,"CERO","NO")</f>
        <v>NO</v>
      </c>
    </row>
    <row r="1015" spans="3:31" s="260" customFormat="1" x14ac:dyDescent="0.25">
      <c r="C1015" s="84"/>
      <c r="D1015" s="85"/>
      <c r="E1015" s="86"/>
      <c r="F1015" s="86"/>
      <c r="G1015" s="86"/>
      <c r="H1015" s="86"/>
      <c r="I1015" s="86"/>
      <c r="J1015" s="87"/>
      <c r="K1015" s="88"/>
      <c r="M1015" s="106"/>
      <c r="N1015" s="533" t="str">
        <f>IFERROR(VLOOKUP(M1015,INSUMOS!$C$8:$K$928,2,0),"-----")</f>
        <v>-----</v>
      </c>
      <c r="O1015" s="533"/>
      <c r="P1015" s="533"/>
      <c r="Q1015" s="533"/>
      <c r="R1015" s="78" t="str">
        <f>IFERROR(VLOOKUP(M1015,INSUMOS!$C$8:$K$928,6,0),"-----")</f>
        <v>-----</v>
      </c>
      <c r="S1015" s="392"/>
      <c r="T1015" s="529" t="str">
        <f>IFERROR(VLOOKUP(M1015,INSUMOS!$C$8:$K$928,7,0),"0")</f>
        <v>0</v>
      </c>
      <c r="U1015" s="529"/>
      <c r="V1015" s="389">
        <f>+IFERROR(T1015*S1015,0)</f>
        <v>0</v>
      </c>
      <c r="Y1015" s="393">
        <f>+IFERROR(Y1010*S1015,0)</f>
        <v>0</v>
      </c>
      <c r="Z1015" s="391">
        <f>Y1010*V1015</f>
        <v>0</v>
      </c>
      <c r="AA1015" s="394"/>
      <c r="AB1015" s="395">
        <f>+Y1015*T1015</f>
        <v>0</v>
      </c>
      <c r="AC1015" s="93">
        <f>+AB1015-Z1015</f>
        <v>0</v>
      </c>
      <c r="AD1015" s="94"/>
      <c r="AE1015" s="386" t="str">
        <f>+IF(V1015=0,"CERO","NO")</f>
        <v>CERO</v>
      </c>
    </row>
    <row r="1016" spans="3:31" s="260" customFormat="1" x14ac:dyDescent="0.25">
      <c r="C1016" s="84"/>
      <c r="D1016" s="85"/>
      <c r="E1016" s="86"/>
      <c r="F1016" s="86"/>
      <c r="G1016" s="86"/>
      <c r="H1016" s="86"/>
      <c r="I1016" s="86"/>
      <c r="J1016" s="87"/>
      <c r="K1016" s="88"/>
      <c r="M1016" s="102">
        <v>0</v>
      </c>
      <c r="N1016" s="533"/>
      <c r="O1016" s="533"/>
      <c r="P1016" s="533"/>
      <c r="Q1016" s="533"/>
      <c r="R1016" s="78"/>
      <c r="S1016" s="396"/>
      <c r="T1016" s="529"/>
      <c r="U1016" s="529"/>
      <c r="V1016" s="397"/>
      <c r="Y1016" s="393">
        <f>+IFERROR(Y1010*S1016,0)</f>
        <v>0</v>
      </c>
      <c r="Z1016" s="391">
        <f>Y1010*V1016</f>
        <v>0</v>
      </c>
      <c r="AA1016" s="394"/>
      <c r="AB1016" s="395">
        <f>+Y1016*T1016</f>
        <v>0</v>
      </c>
      <c r="AC1016" s="93">
        <f>+AB1016-Z1016</f>
        <v>0</v>
      </c>
      <c r="AD1016" s="94"/>
      <c r="AE1016" s="386" t="str">
        <f>+IF(V1016=0,"CERO","NO")</f>
        <v>CERO</v>
      </c>
    </row>
    <row r="1017" spans="3:31" s="260" customFormat="1" x14ac:dyDescent="0.25">
      <c r="C1017" s="84"/>
      <c r="D1017" s="85"/>
      <c r="E1017" s="86"/>
      <c r="F1017" s="86"/>
      <c r="G1017" s="86"/>
      <c r="H1017" s="86"/>
      <c r="I1017" s="86"/>
      <c r="J1017" s="87"/>
      <c r="K1017" s="88"/>
      <c r="M1017" s="102">
        <v>0</v>
      </c>
      <c r="N1017" s="533"/>
      <c r="O1017" s="533"/>
      <c r="P1017" s="533"/>
      <c r="Q1017" s="533"/>
      <c r="R1017" s="78"/>
      <c r="S1017" s="396"/>
      <c r="T1017" s="529"/>
      <c r="U1017" s="529"/>
      <c r="V1017" s="397"/>
      <c r="Y1017" s="393">
        <f>+IFERROR(Y1010*S1017,0)</f>
        <v>0</v>
      </c>
      <c r="Z1017" s="391">
        <f>Y1010*V1017</f>
        <v>0</v>
      </c>
      <c r="AA1017" s="394"/>
      <c r="AB1017" s="395">
        <f>+Y1017*T1017</f>
        <v>0</v>
      </c>
      <c r="AC1017" s="93">
        <f>+AB1017-Z1017</f>
        <v>0</v>
      </c>
      <c r="AD1017" s="94"/>
      <c r="AE1017" s="386" t="str">
        <f>+IF(V1017=0,"CERO","NO")</f>
        <v>CERO</v>
      </c>
    </row>
    <row r="1018" spans="3:31" s="260" customFormat="1" ht="15.75" thickBot="1" x14ac:dyDescent="0.3">
      <c r="C1018" s="84"/>
      <c r="D1018" s="85"/>
      <c r="E1018" s="86"/>
      <c r="F1018" s="86"/>
      <c r="G1018" s="86"/>
      <c r="H1018" s="86"/>
      <c r="I1018" s="86"/>
      <c r="J1018" s="87"/>
      <c r="K1018" s="88"/>
      <c r="M1018" s="102">
        <v>0</v>
      </c>
      <c r="N1018" s="564"/>
      <c r="O1018" s="564"/>
      <c r="P1018" s="564"/>
      <c r="Q1018" s="564"/>
      <c r="R1018" s="96"/>
      <c r="S1018" s="96"/>
      <c r="T1018" s="565"/>
      <c r="U1018" s="565"/>
      <c r="V1018" s="101"/>
      <c r="Y1018" s="393">
        <f>+IFERROR(Y1010*S1018,0)</f>
        <v>0</v>
      </c>
      <c r="Z1018" s="391">
        <f>Y1010*V1018</f>
        <v>0</v>
      </c>
      <c r="AA1018" s="394"/>
      <c r="AB1018" s="395">
        <f>+Y1018*T1018</f>
        <v>0</v>
      </c>
      <c r="AC1018" s="93">
        <f>+AB1018-Z1018</f>
        <v>0</v>
      </c>
      <c r="AD1018" s="94"/>
      <c r="AE1018" s="386" t="str">
        <f>+IF(V1018=0,"CERO","NO")</f>
        <v>CERO</v>
      </c>
    </row>
    <row r="1019" spans="3:31" s="260" customFormat="1" ht="15.75" thickBot="1" x14ac:dyDescent="0.3">
      <c r="C1019" s="84"/>
      <c r="D1019" s="375" t="s">
        <v>128</v>
      </c>
      <c r="E1019" s="376" t="s">
        <v>129</v>
      </c>
      <c r="F1019" s="376" t="s">
        <v>130</v>
      </c>
      <c r="G1019" s="376" t="s">
        <v>131</v>
      </c>
      <c r="H1019" s="376" t="s">
        <v>132</v>
      </c>
      <c r="I1019" s="376" t="s">
        <v>133</v>
      </c>
      <c r="J1019" s="377" t="s">
        <v>134</v>
      </c>
      <c r="K1019" s="88"/>
      <c r="M1019" s="534"/>
      <c r="N1019" s="536" t="s">
        <v>101</v>
      </c>
      <c r="O1019" s="536"/>
      <c r="P1019" s="536"/>
      <c r="Q1019" s="536"/>
      <c r="R1019" s="536"/>
      <c r="S1019" s="536"/>
      <c r="T1019" s="536"/>
      <c r="U1019" s="536"/>
      <c r="V1019" s="389">
        <f>+SUM(V1014:V1018)</f>
        <v>278.94850000000002</v>
      </c>
      <c r="Y1019" s="398" t="s">
        <v>135</v>
      </c>
      <c r="Z1019" s="397">
        <f>+SUM(Z1014:Z1018)</f>
        <v>6694.764000000001</v>
      </c>
      <c r="AA1019" s="86"/>
      <c r="AB1019" s="384"/>
      <c r="AC1019" s="385"/>
      <c r="AD1019" s="94"/>
      <c r="AE1019" s="399"/>
    </row>
    <row r="1020" spans="3:31" s="260" customFormat="1" ht="15.75" thickBot="1" x14ac:dyDescent="0.3">
      <c r="C1020" s="84"/>
      <c r="D1020" s="375">
        <f>C1010</f>
        <v>2.11</v>
      </c>
      <c r="E1020" s="376"/>
      <c r="F1020" s="376"/>
      <c r="G1020" s="376"/>
      <c r="H1020" s="376"/>
      <c r="I1020" s="376"/>
      <c r="J1020" s="377"/>
      <c r="K1020" s="88"/>
      <c r="M1020" s="566"/>
      <c r="N1020" s="567" t="s">
        <v>102</v>
      </c>
      <c r="O1020" s="567"/>
      <c r="P1020" s="567"/>
      <c r="Q1020" s="567"/>
      <c r="R1020" s="567"/>
      <c r="S1020" s="567"/>
      <c r="T1020" s="567"/>
      <c r="U1020" s="567"/>
      <c r="V1020" s="400">
        <f>+ROUND(V1019,$AA$5)</f>
        <v>278.95</v>
      </c>
      <c r="Y1020" s="401" t="s">
        <v>136</v>
      </c>
      <c r="Z1020" s="402">
        <f>+ROUND(Z1019,$AA$5)</f>
        <v>6694.76</v>
      </c>
      <c r="AA1020" s="86"/>
      <c r="AB1020" s="403">
        <f>+V1020*Y1010</f>
        <v>6694.7999999999993</v>
      </c>
      <c r="AC1020" s="404">
        <f>+AB1020-Z1020</f>
        <v>3.9999999999054126E-2</v>
      </c>
      <c r="AD1020" s="94"/>
      <c r="AE1020" s="405"/>
    </row>
    <row r="1021" spans="3:31" s="260" customFormat="1" x14ac:dyDescent="0.25">
      <c r="C1021" s="84"/>
      <c r="D1021" s="380"/>
      <c r="E1021" s="381"/>
      <c r="F1021" s="381"/>
      <c r="G1021" s="381"/>
      <c r="H1021" s="381"/>
      <c r="I1021" s="381"/>
      <c r="J1021" s="382"/>
      <c r="K1021" s="88"/>
      <c r="M1021" s="510" t="s">
        <v>103</v>
      </c>
      <c r="N1021" s="511"/>
      <c r="O1021" s="511"/>
      <c r="P1021" s="511"/>
      <c r="Q1021" s="511"/>
      <c r="R1021" s="511"/>
      <c r="S1021" s="511"/>
      <c r="T1021" s="511"/>
      <c r="U1021" s="511"/>
      <c r="V1021" s="512"/>
      <c r="Y1021" s="378"/>
      <c r="Z1021" s="121"/>
      <c r="AA1021" s="86"/>
      <c r="AB1021" s="513"/>
      <c r="AC1021" s="514"/>
      <c r="AD1021" s="94"/>
      <c r="AE1021" s="126"/>
    </row>
    <row r="1022" spans="3:31" s="260" customFormat="1" x14ac:dyDescent="0.25">
      <c r="C1022" s="84"/>
      <c r="D1022" s="85"/>
      <c r="E1022" s="86"/>
      <c r="F1022" s="86"/>
      <c r="G1022" s="86"/>
      <c r="H1022" s="86"/>
      <c r="I1022" s="86"/>
      <c r="J1022" s="87"/>
      <c r="K1022" s="88"/>
      <c r="M1022" s="99" t="s">
        <v>94</v>
      </c>
      <c r="N1022" s="561" t="s">
        <v>95</v>
      </c>
      <c r="O1022" s="561"/>
      <c r="P1022" s="561"/>
      <c r="Q1022" s="561"/>
      <c r="R1022" s="95" t="s">
        <v>96</v>
      </c>
      <c r="S1022" s="95" t="s">
        <v>104</v>
      </c>
      <c r="T1022" s="356" t="s">
        <v>105</v>
      </c>
      <c r="U1022" s="356" t="s">
        <v>8</v>
      </c>
      <c r="V1022" s="100" t="s">
        <v>98</v>
      </c>
      <c r="Y1022" s="383" t="s">
        <v>104</v>
      </c>
      <c r="Z1022" s="119" t="s">
        <v>9</v>
      </c>
      <c r="AA1022" s="86"/>
      <c r="AB1022" s="384"/>
      <c r="AC1022" s="385"/>
      <c r="AD1022" s="94"/>
      <c r="AE1022" s="406"/>
    </row>
    <row r="1023" spans="3:31" s="260" customFormat="1" x14ac:dyDescent="0.25">
      <c r="C1023" s="84"/>
      <c r="D1023" s="85"/>
      <c r="E1023" s="86"/>
      <c r="F1023" s="86"/>
      <c r="G1023" s="86"/>
      <c r="H1023" s="86"/>
      <c r="I1023" s="86"/>
      <c r="J1023" s="87"/>
      <c r="K1023" s="88"/>
      <c r="M1023" s="102">
        <v>710</v>
      </c>
      <c r="N1023" s="533" t="str">
        <f>IFERROR(VLOOKUP(M1023,INSUMOS!$C$8:$K$928,2,0),"-----")</f>
        <v>TEE PVC-P 3/4"</v>
      </c>
      <c r="O1023" s="533"/>
      <c r="P1023" s="533"/>
      <c r="Q1023" s="533"/>
      <c r="R1023" s="78" t="str">
        <f>IFERROR(VLOOKUP(M1023,INSUMOS!$C$8:$K$928,6,0),"-----")</f>
        <v>und</v>
      </c>
      <c r="S1023" s="396">
        <v>1</v>
      </c>
      <c r="T1023" s="387">
        <v>0</v>
      </c>
      <c r="U1023" s="388">
        <f>IFERROR(VLOOKUP(M1023,INSUMOS!$C$8:$K$928,7,0),"0")</f>
        <v>1922</v>
      </c>
      <c r="V1023" s="389">
        <f>+IFERROR(U1023*(S1023*(1+T1023)),0)</f>
        <v>1922</v>
      </c>
      <c r="Y1023" s="393">
        <f>+IFERROR(Y1010*(S1023*(1+T1023)),0)</f>
        <v>24</v>
      </c>
      <c r="Z1023" s="391">
        <f>Y1010*V1023</f>
        <v>46128</v>
      </c>
      <c r="AA1023" s="394"/>
      <c r="AB1023" s="395">
        <f>+Y1023*U1023</f>
        <v>46128</v>
      </c>
      <c r="AC1023" s="93">
        <f>+AB1023-Z1023</f>
        <v>0</v>
      </c>
      <c r="AD1023" s="94"/>
      <c r="AE1023" s="406" t="str">
        <f>+IF(V1023=0,"CERO","NO")</f>
        <v>NO</v>
      </c>
    </row>
    <row r="1024" spans="3:31" s="260" customFormat="1" x14ac:dyDescent="0.25">
      <c r="C1024" s="84"/>
      <c r="D1024" s="85"/>
      <c r="E1024" s="86"/>
      <c r="F1024" s="86"/>
      <c r="G1024" s="86"/>
      <c r="H1024" s="86"/>
      <c r="I1024" s="86"/>
      <c r="J1024" s="87"/>
      <c r="K1024" s="88"/>
      <c r="M1024" s="102">
        <v>699</v>
      </c>
      <c r="N1024" s="533" t="str">
        <f>IFERROR(VLOOKUP(M1024,INSUMOS!$C$8:$K$928,2,0),"-----")</f>
        <v>SOLDADURA PVC LIQUIDA 1/4"</v>
      </c>
      <c r="O1024" s="533"/>
      <c r="P1024" s="533"/>
      <c r="Q1024" s="533"/>
      <c r="R1024" s="78" t="str">
        <f>IFERROR(VLOOKUP(M1024,INSUMOS!$C$8:$K$928,6,0),"-----")</f>
        <v>und</v>
      </c>
      <c r="S1024" s="392">
        <v>5.0000000000000001E-3</v>
      </c>
      <c r="T1024" s="387">
        <v>0.02</v>
      </c>
      <c r="U1024" s="388">
        <f>IFERROR(VLOOKUP(M1024,INSUMOS!$C$8:$K$928,7,0),"0")</f>
        <v>146569</v>
      </c>
      <c r="V1024" s="389">
        <f>+IFERROR(U1024*(S1024*(1+T1024)),0)</f>
        <v>747.50190000000009</v>
      </c>
      <c r="Y1024" s="393">
        <f>+IFERROR(Y1010*(S1024*(1+T1024)),0)</f>
        <v>0.12240000000000001</v>
      </c>
      <c r="Z1024" s="391">
        <f>Y1010*V1024</f>
        <v>17940.045600000001</v>
      </c>
      <c r="AA1024" s="394"/>
      <c r="AB1024" s="395">
        <f>+Y1024*U1024</f>
        <v>17940.045600000001</v>
      </c>
      <c r="AC1024" s="93">
        <f>+AB1024-Z1024</f>
        <v>0</v>
      </c>
      <c r="AD1024" s="94"/>
      <c r="AE1024" s="406" t="str">
        <f>+IF(V1024=0,"CERO","NO")</f>
        <v>NO</v>
      </c>
    </row>
    <row r="1025" spans="3:31" s="260" customFormat="1" x14ac:dyDescent="0.25">
      <c r="C1025" s="84"/>
      <c r="D1025" s="85"/>
      <c r="E1025" s="86"/>
      <c r="F1025" s="86"/>
      <c r="G1025" s="86"/>
      <c r="H1025" s="86"/>
      <c r="I1025" s="86"/>
      <c r="J1025" s="87"/>
      <c r="K1025" s="88"/>
      <c r="M1025" s="102">
        <v>700</v>
      </c>
      <c r="N1025" s="533" t="str">
        <f>IFERROR(VLOOKUP(M1025,INSUMOS!$C$8:$K$928,2,0),"-----")</f>
        <v>LIMPIADOR PVC 1/4</v>
      </c>
      <c r="O1025" s="533"/>
      <c r="P1025" s="533"/>
      <c r="Q1025" s="533"/>
      <c r="R1025" s="78" t="str">
        <f>IFERROR(VLOOKUP(M1025,INSUMOS!$C$8:$K$928,6,0),"-----")</f>
        <v>und</v>
      </c>
      <c r="S1025" s="392">
        <v>5.0000000000000001E-3</v>
      </c>
      <c r="T1025" s="387">
        <v>0.02</v>
      </c>
      <c r="U1025" s="388">
        <f>IFERROR(VLOOKUP(M1025,INSUMOS!$C$8:$K$928,7,0),"0")</f>
        <v>65913</v>
      </c>
      <c r="V1025" s="389">
        <f>+IFERROR(U1025*(S1025*(1+T1025)),0)</f>
        <v>336.15630000000004</v>
      </c>
      <c r="Y1025" s="393">
        <f>+IFERROR(Y1010*(S1025*(1+T1025)),0)</f>
        <v>0.12240000000000001</v>
      </c>
      <c r="Z1025" s="391">
        <f>Y1010*V1025</f>
        <v>8067.7512000000006</v>
      </c>
      <c r="AA1025" s="394"/>
      <c r="AB1025" s="395">
        <f>+Y1025*U1025</f>
        <v>8067.7512000000006</v>
      </c>
      <c r="AC1025" s="93">
        <f>+AB1025-Z1025</f>
        <v>0</v>
      </c>
      <c r="AD1025" s="94"/>
      <c r="AE1025" s="406" t="str">
        <f>+IF(V1025=0,"CERO","NO")</f>
        <v>NO</v>
      </c>
    </row>
    <row r="1026" spans="3:31" s="260" customFormat="1" x14ac:dyDescent="0.25">
      <c r="C1026" s="84"/>
      <c r="D1026" s="85"/>
      <c r="E1026" s="86"/>
      <c r="F1026" s="86"/>
      <c r="G1026" s="86"/>
      <c r="H1026" s="86"/>
      <c r="I1026" s="86"/>
      <c r="J1026" s="87"/>
      <c r="K1026" s="88"/>
      <c r="M1026" s="102">
        <v>0</v>
      </c>
      <c r="N1026" s="533" t="str">
        <f>IFERROR(VLOOKUP(M1026,INSUMOS!$C$8:$K$928,2,0),"-----")</f>
        <v>-----</v>
      </c>
      <c r="O1026" s="533"/>
      <c r="P1026" s="533"/>
      <c r="Q1026" s="533"/>
      <c r="R1026" s="78" t="str">
        <f>IFERROR(VLOOKUP(M1026,INSUMOS!$C$8:$K$928,6,0),"-----")</f>
        <v>-----</v>
      </c>
      <c r="S1026" s="396"/>
      <c r="T1026" s="387"/>
      <c r="U1026" s="388" t="str">
        <f>IFERROR(VLOOKUP(M1026,INSUMOS!$C$8:$K$928,7,0),"0")</f>
        <v>0</v>
      </c>
      <c r="V1026" s="389">
        <f>+IFERROR(U1026*(S1026*(1+T1026)),0)</f>
        <v>0</v>
      </c>
      <c r="Y1026" s="393">
        <f>+IFERROR(Y1010*(S1026*(1+T1026)),0)</f>
        <v>0</v>
      </c>
      <c r="Z1026" s="391">
        <f>Y1010*V1026</f>
        <v>0</v>
      </c>
      <c r="AA1026" s="394"/>
      <c r="AB1026" s="395">
        <f>+Y1026*U1026</f>
        <v>0</v>
      </c>
      <c r="AC1026" s="93">
        <f>+AB1026-Z1026</f>
        <v>0</v>
      </c>
      <c r="AD1026" s="94"/>
      <c r="AE1026" s="406" t="str">
        <f>+IF(V1026=0,"CERO","NO")</f>
        <v>CERO</v>
      </c>
    </row>
    <row r="1027" spans="3:31" s="260" customFormat="1" ht="15.75" thickBot="1" x14ac:dyDescent="0.3">
      <c r="C1027" s="84"/>
      <c r="D1027" s="85"/>
      <c r="E1027" s="86"/>
      <c r="F1027" s="86"/>
      <c r="G1027" s="86"/>
      <c r="H1027" s="86"/>
      <c r="I1027" s="86"/>
      <c r="J1027" s="87"/>
      <c r="K1027" s="88"/>
      <c r="M1027" s="102">
        <v>0</v>
      </c>
      <c r="N1027" s="564"/>
      <c r="O1027" s="564"/>
      <c r="P1027" s="564"/>
      <c r="Q1027" s="564"/>
      <c r="R1027" s="96"/>
      <c r="S1027" s="79"/>
      <c r="T1027" s="97"/>
      <c r="U1027" s="358"/>
      <c r="V1027" s="397"/>
      <c r="Y1027" s="393">
        <f>+IFERROR(Y1010*(S1027*(1+T1027)),0)</f>
        <v>0</v>
      </c>
      <c r="Z1027" s="391">
        <f>Y1010*V1027</f>
        <v>0</v>
      </c>
      <c r="AA1027" s="394"/>
      <c r="AB1027" s="395">
        <f>+Y1027*U1027</f>
        <v>0</v>
      </c>
      <c r="AC1027" s="93">
        <f>+AB1027-Z1027</f>
        <v>0</v>
      </c>
      <c r="AD1027" s="94"/>
      <c r="AE1027" s="406" t="str">
        <f>+IF(V1027=0,"CERO","NO")</f>
        <v>CERO</v>
      </c>
    </row>
    <row r="1028" spans="3:31" s="260" customFormat="1" ht="15.75" thickBot="1" x14ac:dyDescent="0.3">
      <c r="C1028" s="84"/>
      <c r="D1028" s="375" t="s">
        <v>128</v>
      </c>
      <c r="E1028" s="376" t="s">
        <v>129</v>
      </c>
      <c r="F1028" s="376" t="s">
        <v>130</v>
      </c>
      <c r="G1028" s="376" t="s">
        <v>131</v>
      </c>
      <c r="H1028" s="376" t="s">
        <v>132</v>
      </c>
      <c r="I1028" s="376" t="s">
        <v>133</v>
      </c>
      <c r="J1028" s="377" t="s">
        <v>134</v>
      </c>
      <c r="K1028" s="88"/>
      <c r="M1028" s="534"/>
      <c r="N1028" s="536" t="s">
        <v>106</v>
      </c>
      <c r="O1028" s="536"/>
      <c r="P1028" s="536"/>
      <c r="Q1028" s="536"/>
      <c r="R1028" s="536"/>
      <c r="S1028" s="536"/>
      <c r="T1028" s="536"/>
      <c r="U1028" s="536"/>
      <c r="V1028" s="389">
        <f>+SUM(V1023:V1027)</f>
        <v>3005.6582000000003</v>
      </c>
      <c r="Y1028" s="398" t="s">
        <v>135</v>
      </c>
      <c r="Z1028" s="397">
        <f>+SUM(Z1023:Z1027)</f>
        <v>72135.796799999996</v>
      </c>
      <c r="AA1028" s="86"/>
      <c r="AB1028" s="384"/>
      <c r="AC1028" s="385"/>
      <c r="AD1028" s="94"/>
      <c r="AE1028" s="399"/>
    </row>
    <row r="1029" spans="3:31" s="260" customFormat="1" ht="15.75" thickBot="1" x14ac:dyDescent="0.3">
      <c r="C1029" s="84"/>
      <c r="D1029" s="375"/>
      <c r="E1029" s="407">
        <f>+D1020</f>
        <v>2.11</v>
      </c>
      <c r="F1029" s="376"/>
      <c r="G1029" s="376"/>
      <c r="H1029" s="376"/>
      <c r="I1029" s="376"/>
      <c r="J1029" s="377"/>
      <c r="K1029" s="88"/>
      <c r="M1029" s="535"/>
      <c r="N1029" s="537" t="s">
        <v>107</v>
      </c>
      <c r="O1029" s="537"/>
      <c r="P1029" s="537"/>
      <c r="Q1029" s="537"/>
      <c r="R1029" s="537"/>
      <c r="S1029" s="537"/>
      <c r="T1029" s="537"/>
      <c r="U1029" s="537"/>
      <c r="V1029" s="408">
        <f>+ROUND(V1028,$AA$5)</f>
        <v>3005.66</v>
      </c>
      <c r="Y1029" s="401" t="s">
        <v>136</v>
      </c>
      <c r="Z1029" s="402">
        <f>+ROUND(Z1028,$AA$5)</f>
        <v>72135.8</v>
      </c>
      <c r="AA1029" s="86"/>
      <c r="AB1029" s="403">
        <f>+V1029*Y1010</f>
        <v>72135.839999999997</v>
      </c>
      <c r="AC1029" s="404">
        <f>+AB1029-Z1029</f>
        <v>3.9999999993597157E-2</v>
      </c>
      <c r="AD1029" s="94"/>
      <c r="AE1029" s="405"/>
    </row>
    <row r="1030" spans="3:31" s="260" customFormat="1" x14ac:dyDescent="0.25">
      <c r="C1030" s="84"/>
      <c r="D1030" s="380"/>
      <c r="E1030" s="381"/>
      <c r="F1030" s="381"/>
      <c r="G1030" s="381"/>
      <c r="H1030" s="381"/>
      <c r="I1030" s="381"/>
      <c r="J1030" s="382"/>
      <c r="K1030" s="88"/>
      <c r="M1030" s="568" t="s">
        <v>108</v>
      </c>
      <c r="N1030" s="569"/>
      <c r="O1030" s="569"/>
      <c r="P1030" s="569"/>
      <c r="Q1030" s="569"/>
      <c r="R1030" s="569"/>
      <c r="S1030" s="569"/>
      <c r="T1030" s="569"/>
      <c r="U1030" s="569"/>
      <c r="V1030" s="570"/>
      <c r="Y1030" s="378"/>
      <c r="Z1030" s="121"/>
      <c r="AA1030" s="86"/>
      <c r="AB1030" s="409"/>
      <c r="AC1030" s="121"/>
      <c r="AD1030" s="94"/>
      <c r="AE1030" s="126"/>
    </row>
    <row r="1031" spans="3:31" s="260" customFormat="1" ht="25.5" x14ac:dyDescent="0.25">
      <c r="C1031" s="84"/>
      <c r="D1031" s="85"/>
      <c r="E1031" s="86"/>
      <c r="F1031" s="86"/>
      <c r="G1031" s="86"/>
      <c r="H1031" s="86"/>
      <c r="I1031" s="86"/>
      <c r="J1031" s="87"/>
      <c r="K1031" s="88"/>
      <c r="M1031" s="99" t="s">
        <v>94</v>
      </c>
      <c r="N1031" s="561" t="s">
        <v>95</v>
      </c>
      <c r="O1031" s="561"/>
      <c r="P1031" s="561"/>
      <c r="Q1031" s="95" t="s">
        <v>109</v>
      </c>
      <c r="R1031" s="95" t="s">
        <v>110</v>
      </c>
      <c r="S1031" s="95" t="s">
        <v>111</v>
      </c>
      <c r="T1031" s="562" t="s">
        <v>112</v>
      </c>
      <c r="U1031" s="562"/>
      <c r="V1031" s="100" t="s">
        <v>98</v>
      </c>
      <c r="Y1031" s="383" t="s">
        <v>104</v>
      </c>
      <c r="Z1031" s="119" t="s">
        <v>9</v>
      </c>
      <c r="AA1031" s="86"/>
      <c r="AB1031" s="384"/>
      <c r="AC1031" s="385"/>
      <c r="AD1031" s="94"/>
      <c r="AE1031" s="410"/>
    </row>
    <row r="1032" spans="3:31" s="260" customFormat="1" x14ac:dyDescent="0.25">
      <c r="C1032" s="84"/>
      <c r="D1032" s="85"/>
      <c r="E1032" s="86"/>
      <c r="F1032" s="86"/>
      <c r="G1032" s="86"/>
      <c r="H1032" s="86"/>
      <c r="I1032" s="86"/>
      <c r="J1032" s="87"/>
      <c r="K1032" s="88"/>
      <c r="M1032" s="102">
        <v>129</v>
      </c>
      <c r="N1032" s="530" t="str">
        <f>IFERROR(VLOOKUP(M1032,INSUMOS!$C$8:$K$928,2,0),"-----")</f>
        <v>transporte materiales en general</v>
      </c>
      <c r="O1032" s="531"/>
      <c r="P1032" s="532"/>
      <c r="Q1032" s="78" t="str">
        <f>IFERROR(VLOOKUP(M1032,INSUMOS!$C$8:$K$928,5,0),"-----")</f>
        <v>Km</v>
      </c>
      <c r="R1032" s="80">
        <v>1</v>
      </c>
      <c r="S1032" s="80">
        <f>IFERROR(VLOOKUP(M1032,INSUMOS!$C$8:$K$928,6,0),"0")</f>
        <v>348</v>
      </c>
      <c r="T1032" s="529">
        <f>IFERROR(VLOOKUP(M1032,INSUMOS!$C$8:$K$928,7,0),"0")</f>
        <v>0.99776362060288992</v>
      </c>
      <c r="U1032" s="529"/>
      <c r="V1032" s="82">
        <f>+T1032*S1032*R1032</f>
        <v>347.2217399698057</v>
      </c>
      <c r="Y1032" s="393">
        <f>+IFERROR((R1032*S1032)*Y1010,0)</f>
        <v>8352</v>
      </c>
      <c r="Z1032" s="391">
        <f>Y1010*V1032</f>
        <v>8333.3217592753372</v>
      </c>
      <c r="AA1032" s="86"/>
      <c r="AB1032" s="92">
        <f>+Y1032*T1032</f>
        <v>8333.3217592753372</v>
      </c>
      <c r="AC1032" s="93">
        <f>+AB1032-Z1032</f>
        <v>0</v>
      </c>
      <c r="AD1032" s="94"/>
      <c r="AE1032" s="406" t="str">
        <f>+IF(V1032=0,"CERO","NO")</f>
        <v>NO</v>
      </c>
    </row>
    <row r="1033" spans="3:31" s="260" customFormat="1" x14ac:dyDescent="0.25">
      <c r="C1033" s="84"/>
      <c r="D1033" s="85"/>
      <c r="E1033" s="86"/>
      <c r="F1033" s="86"/>
      <c r="G1033" s="86"/>
      <c r="H1033" s="86"/>
      <c r="I1033" s="86"/>
      <c r="J1033" s="87"/>
      <c r="K1033" s="88"/>
      <c r="M1033" s="102">
        <v>0</v>
      </c>
      <c r="N1033" s="530" t="str">
        <f>IFERROR(VLOOKUP(M1033,INSUMOS!$C$8:$K$928,2,0),"-----")</f>
        <v>-----</v>
      </c>
      <c r="O1033" s="531"/>
      <c r="P1033" s="532"/>
      <c r="Q1033" s="78" t="str">
        <f>IFERROR(VLOOKUP(M1033,INSUMOS!$C$8:$K$928,5,0),"-----")</f>
        <v>-----</v>
      </c>
      <c r="R1033" s="80"/>
      <c r="S1033" s="80" t="str">
        <f>IFERROR(VLOOKUP(M1033,INSUMOS!$C$8:$K$928,6,0),"0")</f>
        <v>0</v>
      </c>
      <c r="T1033" s="529" t="str">
        <f>IFERROR(VLOOKUP(M1033,INSUMOS!$C$8:$K$928,7,0),"0")</f>
        <v>0</v>
      </c>
      <c r="U1033" s="529"/>
      <c r="V1033" s="82">
        <f>+T1033*S1033*R1033</f>
        <v>0</v>
      </c>
      <c r="Y1033" s="393">
        <f>+IFERROR((R1033*S1033)*Y1010,0)</f>
        <v>0</v>
      </c>
      <c r="Z1033" s="391">
        <f>Y1010*V1033</f>
        <v>0</v>
      </c>
      <c r="AA1033" s="86"/>
      <c r="AB1033" s="92">
        <f>+Y1033*T1033</f>
        <v>0</v>
      </c>
      <c r="AC1033" s="93">
        <f>+AB1033-Z1033</f>
        <v>0</v>
      </c>
      <c r="AD1033" s="94"/>
      <c r="AE1033" s="406" t="str">
        <f>+IF(V1033=0,"CERO","NO")</f>
        <v>CERO</v>
      </c>
    </row>
    <row r="1034" spans="3:31" s="260" customFormat="1" x14ac:dyDescent="0.25">
      <c r="C1034" s="84"/>
      <c r="D1034" s="85"/>
      <c r="E1034" s="86"/>
      <c r="F1034" s="86"/>
      <c r="G1034" s="86"/>
      <c r="H1034" s="86"/>
      <c r="I1034" s="86"/>
      <c r="J1034" s="87"/>
      <c r="K1034" s="88"/>
      <c r="M1034" s="102">
        <v>0</v>
      </c>
      <c r="N1034" s="530" t="str">
        <f>IFERROR(VLOOKUP(M1034,INSUMOS!$C$8:$K$928,2,0),"-----")</f>
        <v>-----</v>
      </c>
      <c r="O1034" s="531"/>
      <c r="P1034" s="532"/>
      <c r="Q1034" s="78" t="str">
        <f>IFERROR(VLOOKUP(M1034,INSUMOS!$C$8:$K$928,5,0),"-----")</f>
        <v>-----</v>
      </c>
      <c r="R1034" s="80"/>
      <c r="S1034" s="80" t="str">
        <f>IFERROR(VLOOKUP(M1034,INSUMOS!$C$8:$K$928,6,0),"0")</f>
        <v>0</v>
      </c>
      <c r="T1034" s="529" t="str">
        <f>IFERROR(VLOOKUP(M1034,INSUMOS!$C$8:$K$928,7,0),"0")</f>
        <v>0</v>
      </c>
      <c r="U1034" s="529"/>
      <c r="V1034" s="82">
        <f>+T1034*S1034*R1034</f>
        <v>0</v>
      </c>
      <c r="Y1034" s="393">
        <f>+IFERROR((R1034*S1034)*Y1010,0)</f>
        <v>0</v>
      </c>
      <c r="Z1034" s="391">
        <f>Y1010*V1034</f>
        <v>0</v>
      </c>
      <c r="AA1034" s="86"/>
      <c r="AB1034" s="92">
        <f>+Y1034*T1034</f>
        <v>0</v>
      </c>
      <c r="AC1034" s="93">
        <f>+AB1034-Z1034</f>
        <v>0</v>
      </c>
      <c r="AD1034" s="94"/>
      <c r="AE1034" s="406" t="str">
        <f>+IF(V1034=0,"CERO","NO")</f>
        <v>CERO</v>
      </c>
    </row>
    <row r="1035" spans="3:31" s="260" customFormat="1" ht="15.75" thickBot="1" x14ac:dyDescent="0.3">
      <c r="C1035" s="84"/>
      <c r="D1035" s="89"/>
      <c r="E1035" s="90"/>
      <c r="F1035" s="90"/>
      <c r="G1035" s="90"/>
      <c r="H1035" s="90"/>
      <c r="I1035" s="90"/>
      <c r="J1035" s="91"/>
      <c r="K1035" s="88"/>
      <c r="M1035" s="102">
        <v>0</v>
      </c>
      <c r="N1035" s="533"/>
      <c r="O1035" s="533"/>
      <c r="P1035" s="533"/>
      <c r="Q1035" s="79"/>
      <c r="R1035" s="78"/>
      <c r="S1035" s="81"/>
      <c r="T1035" s="529"/>
      <c r="U1035" s="529"/>
      <c r="V1035" s="82"/>
      <c r="Y1035" s="393">
        <f>+IFERROR((R1035*S1035)*Y1010,0)</f>
        <v>0</v>
      </c>
      <c r="Z1035" s="391">
        <f>Y1010*V1035</f>
        <v>0</v>
      </c>
      <c r="AA1035" s="86"/>
      <c r="AB1035" s="92">
        <f>+Y1035*T1035</f>
        <v>0</v>
      </c>
      <c r="AC1035" s="93">
        <f>+AB1035-Z1035</f>
        <v>0</v>
      </c>
      <c r="AD1035" s="94"/>
      <c r="AE1035" s="406" t="str">
        <f>+IF(V1035=0,"CERO","NO")</f>
        <v>CERO</v>
      </c>
    </row>
    <row r="1036" spans="3:31" s="260" customFormat="1" ht="15.75" thickBot="1" x14ac:dyDescent="0.3">
      <c r="C1036" s="84"/>
      <c r="D1036" s="375" t="s">
        <v>128</v>
      </c>
      <c r="E1036" s="376" t="s">
        <v>129</v>
      </c>
      <c r="F1036" s="376" t="s">
        <v>130</v>
      </c>
      <c r="G1036" s="376" t="s">
        <v>131</v>
      </c>
      <c r="H1036" s="376" t="s">
        <v>132</v>
      </c>
      <c r="I1036" s="376" t="s">
        <v>133</v>
      </c>
      <c r="J1036" s="377" t="s">
        <v>134</v>
      </c>
      <c r="K1036" s="88"/>
      <c r="M1036" s="534"/>
      <c r="N1036" s="536" t="s">
        <v>113</v>
      </c>
      <c r="O1036" s="536"/>
      <c r="P1036" s="536"/>
      <c r="Q1036" s="536"/>
      <c r="R1036" s="536"/>
      <c r="S1036" s="536"/>
      <c r="T1036" s="536"/>
      <c r="U1036" s="536"/>
      <c r="V1036" s="411">
        <f>+SUM(V1032:V1035)</f>
        <v>347.2217399698057</v>
      </c>
      <c r="Y1036" s="398" t="s">
        <v>135</v>
      </c>
      <c r="Z1036" s="397">
        <f>+SUM(Z1032:Z1035)</f>
        <v>8333.3217592753372</v>
      </c>
      <c r="AA1036" s="86"/>
      <c r="AB1036" s="384"/>
      <c r="AC1036" s="385"/>
      <c r="AD1036" s="94"/>
      <c r="AE1036" s="399"/>
    </row>
    <row r="1037" spans="3:31" s="260" customFormat="1" ht="15.75" thickBot="1" x14ac:dyDescent="0.3">
      <c r="C1037" s="84"/>
      <c r="D1037" s="355"/>
      <c r="E1037" s="367"/>
      <c r="F1037" s="412">
        <f>+E1029</f>
        <v>2.11</v>
      </c>
      <c r="G1037" s="367"/>
      <c r="H1037" s="367"/>
      <c r="I1037" s="367"/>
      <c r="J1037" s="368"/>
      <c r="K1037" s="88"/>
      <c r="M1037" s="535"/>
      <c r="N1037" s="537" t="s">
        <v>114</v>
      </c>
      <c r="O1037" s="537"/>
      <c r="P1037" s="537"/>
      <c r="Q1037" s="537"/>
      <c r="R1037" s="537"/>
      <c r="S1037" s="537"/>
      <c r="T1037" s="537"/>
      <c r="U1037" s="537"/>
      <c r="V1037" s="413">
        <f>+ROUND(V1036,$AA$5)</f>
        <v>347.22</v>
      </c>
      <c r="Y1037" s="401" t="s">
        <v>136</v>
      </c>
      <c r="Z1037" s="402">
        <f>+ROUND(Z1036,$AA$5)</f>
        <v>8333.32</v>
      </c>
      <c r="AA1037" s="86"/>
      <c r="AB1037" s="403">
        <f>+V1037*Y1010</f>
        <v>8333.2800000000007</v>
      </c>
      <c r="AC1037" s="414"/>
      <c r="AD1037" s="94"/>
      <c r="AE1037" s="405"/>
    </row>
    <row r="1038" spans="3:31" s="260" customFormat="1" ht="15.75" thickBot="1" x14ac:dyDescent="0.3">
      <c r="C1038" s="84"/>
      <c r="D1038" s="415"/>
      <c r="E1038" s="416"/>
      <c r="F1038" s="416"/>
      <c r="G1038" s="416"/>
      <c r="H1038" s="416"/>
      <c r="I1038" s="416"/>
      <c r="J1038" s="417"/>
      <c r="K1038" s="88"/>
      <c r="M1038" s="538" t="s">
        <v>115</v>
      </c>
      <c r="N1038" s="539"/>
      <c r="O1038" s="539"/>
      <c r="P1038" s="539"/>
      <c r="Q1038" s="539"/>
      <c r="R1038" s="539"/>
      <c r="S1038" s="539"/>
      <c r="T1038" s="539"/>
      <c r="U1038" s="539"/>
      <c r="V1038" s="540"/>
      <c r="Y1038" s="378"/>
      <c r="Z1038" s="121"/>
      <c r="AA1038" s="86"/>
      <c r="AB1038" s="409"/>
      <c r="AC1038" s="121"/>
      <c r="AD1038" s="94"/>
      <c r="AE1038" s="126"/>
    </row>
    <row r="1039" spans="3:31" s="260" customFormat="1" ht="15.75" thickBot="1" x14ac:dyDescent="0.3">
      <c r="C1039" s="84"/>
      <c r="D1039" s="375" t="s">
        <v>128</v>
      </c>
      <c r="E1039" s="376" t="s">
        <v>129</v>
      </c>
      <c r="F1039" s="376" t="s">
        <v>130</v>
      </c>
      <c r="G1039" s="376" t="s">
        <v>131</v>
      </c>
      <c r="H1039" s="376" t="s">
        <v>132</v>
      </c>
      <c r="I1039" s="376" t="s">
        <v>133</v>
      </c>
      <c r="J1039" s="377" t="s">
        <v>134</v>
      </c>
      <c r="K1039" s="88"/>
      <c r="M1039" s="99" t="s">
        <v>94</v>
      </c>
      <c r="N1039" s="98" t="s">
        <v>95</v>
      </c>
      <c r="O1039" s="95" t="s">
        <v>96</v>
      </c>
      <c r="P1039" s="359" t="s">
        <v>104</v>
      </c>
      <c r="Q1039" s="95" t="s">
        <v>116</v>
      </c>
      <c r="R1039" s="418" t="s">
        <v>117</v>
      </c>
      <c r="S1039" s="95" t="s">
        <v>347</v>
      </c>
      <c r="T1039" s="419" t="s">
        <v>118</v>
      </c>
      <c r="U1039" s="189" t="s">
        <v>119</v>
      </c>
      <c r="V1039" s="100" t="s">
        <v>98</v>
      </c>
      <c r="Y1039" s="383" t="s">
        <v>104</v>
      </c>
      <c r="Z1039" s="119" t="s">
        <v>9</v>
      </c>
      <c r="AA1039" s="86"/>
      <c r="AB1039" s="384"/>
      <c r="AC1039" s="385"/>
      <c r="AD1039" s="94"/>
      <c r="AE1039" s="410"/>
    </row>
    <row r="1040" spans="3:31" s="260" customFormat="1" ht="25.5" x14ac:dyDescent="0.25">
      <c r="C1040" s="84"/>
      <c r="D1040" s="354"/>
      <c r="E1040" s="96"/>
      <c r="F1040" s="96"/>
      <c r="G1040" s="96"/>
      <c r="H1040" s="96"/>
      <c r="I1040" s="96"/>
      <c r="J1040" s="420">
        <f>+F1037</f>
        <v>2.11</v>
      </c>
      <c r="K1040" s="88"/>
      <c r="M1040" s="102">
        <v>207</v>
      </c>
      <c r="N1040" s="347" t="str">
        <f>IFERROR(VLOOKUP(M1040,INSUMOS!$C$8:$K$928,2,0),"-----")</f>
        <v>Oficial Hidrosanitario</v>
      </c>
      <c r="O1040" s="78" t="str">
        <f>IFERROR(VLOOKUP(M1040,INSUMOS!$C$8:$K$928,3,0),"-----")</f>
        <v>JORNAL+PS</v>
      </c>
      <c r="P1040" s="80">
        <v>1</v>
      </c>
      <c r="Q1040" s="79">
        <v>30</v>
      </c>
      <c r="R1040" s="190">
        <f>IFERROR(VLOOKUP(M1040,INSUMOS!$C$8:$K$928,4,0),"-----")</f>
        <v>92983</v>
      </c>
      <c r="S1040" s="190">
        <f>IFERROR(VLOOKUP(M1040,INSUMOS!$C$8:$K$928,6,0),"-----")</f>
        <v>74386</v>
      </c>
      <c r="T1040" s="190">
        <f>IFERROR(VLOOKUP(M1040,INSUMOS!$C$8:$K$928,5,0),"-----")</f>
        <v>0</v>
      </c>
      <c r="U1040" s="388">
        <f>SUM(R1040:T1040)</f>
        <v>167369</v>
      </c>
      <c r="V1040" s="82">
        <f>+IFERROR((P1040/Q1040)*U1040,0)</f>
        <v>5578.9666666666662</v>
      </c>
      <c r="Y1040" s="393">
        <f>+IFERROR((Y1010/Q1040*P1040),0)</f>
        <v>0.8</v>
      </c>
      <c r="Z1040" s="391">
        <f>Y1010*V1040</f>
        <v>133895.19999999998</v>
      </c>
      <c r="AA1040" s="86"/>
      <c r="AB1040" s="92">
        <f>+(U1040)*Y1040</f>
        <v>133895.20000000001</v>
      </c>
      <c r="AC1040" s="93">
        <f>+AB1040-Z1040</f>
        <v>0</v>
      </c>
      <c r="AD1040" s="421"/>
      <c r="AE1040" s="410" t="str">
        <f>+IF(V1040=0,"CERO","NO")</f>
        <v>NO</v>
      </c>
    </row>
    <row r="1041" spans="3:31" s="260" customFormat="1" ht="15.75" thickBot="1" x14ac:dyDescent="0.3">
      <c r="C1041" s="84"/>
      <c r="D1041" s="355"/>
      <c r="E1041" s="367"/>
      <c r="F1041" s="367"/>
      <c r="G1041" s="367"/>
      <c r="H1041" s="367"/>
      <c r="I1041" s="367"/>
      <c r="J1041" s="422">
        <f>+J1040</f>
        <v>2.11</v>
      </c>
      <c r="K1041" s="88"/>
      <c r="M1041" s="102"/>
      <c r="N1041" s="347" t="str">
        <f>IFERROR(VLOOKUP(M1041,INSUMOS!$C$8:$K$928,2,0),"-----")</f>
        <v>-----</v>
      </c>
      <c r="O1041" s="78" t="str">
        <f>IFERROR(VLOOKUP(M1041,INSUMOS!$C$8:$K$928,3,0),"-----")</f>
        <v>-----</v>
      </c>
      <c r="P1041" s="80"/>
      <c r="Q1041" s="79"/>
      <c r="R1041" s="190" t="str">
        <f>IFERROR(VLOOKUP(M1041,INSUMOS!$C$8:$K$928,4,0),"-----")</f>
        <v>-----</v>
      </c>
      <c r="S1041" s="190" t="str">
        <f>IFERROR(VLOOKUP(M1041,INSUMOS!$C$8:$K$928,6,0),"-----")</f>
        <v>-----</v>
      </c>
      <c r="T1041" s="190" t="str">
        <f>IFERROR(VLOOKUP(M1041,INSUMOS!$C$8:$K$928,5,0),"-----")</f>
        <v>-----</v>
      </c>
      <c r="U1041" s="388">
        <f>SUM(R1041:T1041)</f>
        <v>0</v>
      </c>
      <c r="V1041" s="82">
        <f>+IFERROR((P1041/Q1041)*U1041,0)</f>
        <v>0</v>
      </c>
      <c r="Y1041" s="393">
        <f>+IFERROR((Y1010/Q1041*P1041),0)</f>
        <v>0</v>
      </c>
      <c r="Z1041" s="391">
        <f>Y1010*V1041</f>
        <v>0</v>
      </c>
      <c r="AA1041" s="86"/>
      <c r="AB1041" s="92">
        <f>+U1041*Y1041</f>
        <v>0</v>
      </c>
      <c r="AC1041" s="93">
        <f>+AB1041-Z1041</f>
        <v>0</v>
      </c>
      <c r="AD1041" s="94"/>
      <c r="AE1041" s="410" t="str">
        <f>+IF(V1041=0,"CERO","NO")</f>
        <v>CERO</v>
      </c>
    </row>
    <row r="1042" spans="3:31" s="260" customFormat="1" ht="15.75" thickBot="1" x14ac:dyDescent="0.3">
      <c r="C1042" s="84"/>
      <c r="D1042" s="380"/>
      <c r="E1042" s="381"/>
      <c r="F1042" s="381"/>
      <c r="G1042" s="381"/>
      <c r="H1042" s="381"/>
      <c r="I1042" s="381"/>
      <c r="J1042" s="382"/>
      <c r="K1042" s="88"/>
      <c r="M1042" s="102">
        <v>0</v>
      </c>
      <c r="N1042" s="347"/>
      <c r="O1042" s="79"/>
      <c r="P1042" s="423"/>
      <c r="Q1042" s="81"/>
      <c r="R1042" s="111"/>
      <c r="S1042" s="357"/>
      <c r="T1042" s="111"/>
      <c r="U1042" s="388"/>
      <c r="V1042" s="426"/>
      <c r="Y1042" s="393">
        <f>+IFERROR((Y1010/Q1042*P1042),0)</f>
        <v>0</v>
      </c>
      <c r="Z1042" s="391">
        <f>Y1010*V1042</f>
        <v>0</v>
      </c>
      <c r="AA1042" s="86"/>
      <c r="AB1042" s="92">
        <f>+(U1042)*Y1042*P1042</f>
        <v>0</v>
      </c>
      <c r="AC1042" s="93">
        <f>+AB1042-Z1042</f>
        <v>0</v>
      </c>
      <c r="AD1042" s="94"/>
      <c r="AE1042" s="410" t="str">
        <f>+IF(V1042=0,"CERO","NO")</f>
        <v>CERO</v>
      </c>
    </row>
    <row r="1043" spans="3:31" s="260" customFormat="1" ht="15.75" thickBot="1" x14ac:dyDescent="0.3">
      <c r="C1043" s="84"/>
      <c r="D1043" s="375" t="s">
        <v>128</v>
      </c>
      <c r="E1043" s="376" t="s">
        <v>129</v>
      </c>
      <c r="F1043" s="376" t="s">
        <v>130</v>
      </c>
      <c r="G1043" s="376" t="s">
        <v>131</v>
      </c>
      <c r="H1043" s="376" t="s">
        <v>132</v>
      </c>
      <c r="I1043" s="376" t="s">
        <v>133</v>
      </c>
      <c r="J1043" s="377" t="s">
        <v>134</v>
      </c>
      <c r="K1043" s="88"/>
      <c r="M1043" s="534"/>
      <c r="N1043" s="536" t="s">
        <v>120</v>
      </c>
      <c r="O1043" s="536"/>
      <c r="P1043" s="536"/>
      <c r="Q1043" s="536"/>
      <c r="R1043" s="536"/>
      <c r="S1043" s="536"/>
      <c r="T1043" s="536"/>
      <c r="U1043" s="536"/>
      <c r="V1043" s="82">
        <f>+SUM(V1040:V1042)</f>
        <v>5578.9666666666662</v>
      </c>
      <c r="Y1043" s="398" t="s">
        <v>135</v>
      </c>
      <c r="Z1043" s="397">
        <f>+SUM(Z1040:Z1042)</f>
        <v>133895.19999999998</v>
      </c>
      <c r="AA1043" s="86"/>
      <c r="AB1043" s="384"/>
      <c r="AC1043" s="385"/>
      <c r="AD1043" s="94"/>
      <c r="AE1043" s="399"/>
    </row>
    <row r="1044" spans="3:31" s="260" customFormat="1" ht="15.75" thickBot="1" x14ac:dyDescent="0.3">
      <c r="C1044" s="84"/>
      <c r="D1044" s="354"/>
      <c r="E1044" s="96"/>
      <c r="F1044" s="96"/>
      <c r="G1044" s="107">
        <f>+F1037</f>
        <v>2.11</v>
      </c>
      <c r="H1044" s="96"/>
      <c r="I1044" s="96"/>
      <c r="J1044" s="427"/>
      <c r="K1044" s="88"/>
      <c r="M1044" s="535"/>
      <c r="N1044" s="537" t="s">
        <v>121</v>
      </c>
      <c r="O1044" s="537"/>
      <c r="P1044" s="537"/>
      <c r="Q1044" s="537"/>
      <c r="R1044" s="537"/>
      <c r="S1044" s="537"/>
      <c r="T1044" s="537"/>
      <c r="U1044" s="537"/>
      <c r="V1044" s="413">
        <f>+ROUND(V1043,$AA$5)</f>
        <v>5578.97</v>
      </c>
      <c r="Y1044" s="401" t="s">
        <v>136</v>
      </c>
      <c r="Z1044" s="402">
        <f>+ROUND(Z1043,$AA$5)</f>
        <v>133895.20000000001</v>
      </c>
      <c r="AA1044" s="86"/>
      <c r="AB1044" s="403">
        <f>+V1044*Y1010</f>
        <v>133895.28</v>
      </c>
      <c r="AC1044" s="404">
        <f>+AB1044-Z1044</f>
        <v>7.9999999987194315E-2</v>
      </c>
      <c r="AD1044" s="94"/>
      <c r="AE1044" s="405"/>
    </row>
    <row r="1045" spans="3:31" s="260" customFormat="1" ht="15.75" thickBot="1" x14ac:dyDescent="0.3">
      <c r="C1045" s="84"/>
      <c r="D1045" s="375" t="s">
        <v>128</v>
      </c>
      <c r="E1045" s="376" t="s">
        <v>129</v>
      </c>
      <c r="F1045" s="376" t="s">
        <v>130</v>
      </c>
      <c r="G1045" s="376" t="s">
        <v>131</v>
      </c>
      <c r="H1045" s="376" t="s">
        <v>132</v>
      </c>
      <c r="I1045" s="376" t="s">
        <v>133</v>
      </c>
      <c r="J1045" s="377" t="s">
        <v>134</v>
      </c>
      <c r="K1045" s="88"/>
      <c r="M1045" s="541"/>
      <c r="N1045" s="542"/>
      <c r="O1045" s="542"/>
      <c r="P1045" s="542"/>
      <c r="Q1045" s="542"/>
      <c r="R1045" s="542"/>
      <c r="S1045" s="542"/>
      <c r="T1045" s="542"/>
      <c r="U1045" s="542"/>
      <c r="V1045" s="543"/>
      <c r="Y1045" s="378"/>
      <c r="Z1045" s="121"/>
      <c r="AA1045" s="86"/>
      <c r="AB1045" s="409"/>
      <c r="AC1045" s="121"/>
      <c r="AD1045" s="94"/>
      <c r="AE1045" s="428"/>
    </row>
    <row r="1046" spans="3:31" s="260" customFormat="1" ht="15.75" thickBot="1" x14ac:dyDescent="0.3">
      <c r="C1046" s="84"/>
      <c r="D1046" s="355"/>
      <c r="E1046" s="367"/>
      <c r="F1046" s="367"/>
      <c r="G1046" s="367"/>
      <c r="H1046" s="412">
        <f>G1044</f>
        <v>2.11</v>
      </c>
      <c r="I1046" s="412"/>
      <c r="J1046" s="422"/>
      <c r="K1046" s="88"/>
      <c r="M1046" s="544" t="s">
        <v>122</v>
      </c>
      <c r="N1046" s="537"/>
      <c r="O1046" s="537"/>
      <c r="P1046" s="537"/>
      <c r="Q1046" s="537"/>
      <c r="R1046" s="537"/>
      <c r="S1046" s="537"/>
      <c r="T1046" s="537"/>
      <c r="U1046" s="545">
        <f>+V1044+V1037+V1029+V1020</f>
        <v>9210.8000000000011</v>
      </c>
      <c r="V1046" s="546"/>
      <c r="Y1046" s="429"/>
      <c r="Z1046" s="430">
        <f>+Z1044+Z1037+Z1029+Z1020</f>
        <v>221059.08000000002</v>
      </c>
      <c r="AA1046" s="86"/>
      <c r="AB1046" s="431">
        <f>+AB1044+AB1037+AB1029+AB1020</f>
        <v>221059.19999999998</v>
      </c>
      <c r="AC1046" s="404">
        <f>+AB1046-Z1046</f>
        <v>0.11999999996623956</v>
      </c>
      <c r="AD1046" s="94"/>
      <c r="AE1046" s="432"/>
    </row>
    <row r="1047" spans="3:31" s="260" customFormat="1" ht="15.75" thickBot="1" x14ac:dyDescent="0.3"/>
    <row r="1048" spans="3:31" s="260" customFormat="1" x14ac:dyDescent="0.25">
      <c r="M1048" s="547" t="s">
        <v>348</v>
      </c>
      <c r="N1048" s="548"/>
      <c r="O1048" s="548"/>
      <c r="P1048" s="548"/>
      <c r="Q1048" s="548"/>
      <c r="R1048" s="548"/>
      <c r="S1048" s="548"/>
      <c r="T1048" s="548"/>
      <c r="U1048" s="548"/>
      <c r="V1048" s="549"/>
      <c r="Y1048" s="378"/>
      <c r="Z1048" s="121"/>
      <c r="AA1048" s="86"/>
      <c r="AB1048" s="94"/>
      <c r="AC1048" s="94"/>
      <c r="AD1048" s="94"/>
      <c r="AE1048" s="126" t="s">
        <v>133</v>
      </c>
    </row>
    <row r="1049" spans="3:31" s="260" customFormat="1" x14ac:dyDescent="0.25">
      <c r="M1049" s="515" t="s">
        <v>138</v>
      </c>
      <c r="N1049" s="516"/>
      <c r="O1049" s="516"/>
      <c r="P1049" s="516"/>
      <c r="Q1049" s="516"/>
      <c r="R1049" s="516"/>
      <c r="S1049" s="516"/>
      <c r="T1049" s="437">
        <v>0</v>
      </c>
      <c r="U1049" s="517">
        <f>+ROUND(U1046*T1049,$AA$5)</f>
        <v>0</v>
      </c>
      <c r="V1049" s="518"/>
      <c r="Y1049" s="390"/>
      <c r="Z1049" s="438">
        <f>+Z1046*T1049</f>
        <v>0</v>
      </c>
      <c r="AA1049" s="86"/>
      <c r="AB1049" s="94"/>
      <c r="AC1049" s="94"/>
      <c r="AD1049" s="94"/>
      <c r="AE1049" s="386" t="s">
        <v>133</v>
      </c>
    </row>
    <row r="1050" spans="3:31" s="260" customFormat="1" x14ac:dyDescent="0.25">
      <c r="M1050" s="515" t="s">
        <v>19</v>
      </c>
      <c r="N1050" s="516"/>
      <c r="O1050" s="516"/>
      <c r="P1050" s="516"/>
      <c r="Q1050" s="516"/>
      <c r="R1050" s="516"/>
      <c r="S1050" s="516"/>
      <c r="T1050" s="437">
        <v>0.05</v>
      </c>
      <c r="U1050" s="517">
        <f>+ROUND(U1046*T1050,$AA$5)</f>
        <v>460.54</v>
      </c>
      <c r="V1050" s="518"/>
      <c r="Y1050" s="390"/>
      <c r="Z1050" s="438">
        <f>+Z1046*T1050</f>
        <v>11052.954000000002</v>
      </c>
      <c r="AA1050" s="86"/>
      <c r="AB1050" s="94"/>
      <c r="AC1050" s="94"/>
      <c r="AD1050" s="94"/>
      <c r="AE1050" s="386" t="s">
        <v>133</v>
      </c>
    </row>
    <row r="1051" spans="3:31" s="260" customFormat="1" x14ac:dyDescent="0.25">
      <c r="M1051" s="515" t="s">
        <v>20</v>
      </c>
      <c r="N1051" s="516"/>
      <c r="O1051" s="516"/>
      <c r="P1051" s="516"/>
      <c r="Q1051" s="516"/>
      <c r="R1051" s="516"/>
      <c r="S1051" s="516"/>
      <c r="T1051" s="437">
        <v>0</v>
      </c>
      <c r="U1051" s="517">
        <f>+ROUND(U1046*T1051,$AA$5)</f>
        <v>0</v>
      </c>
      <c r="V1051" s="518"/>
      <c r="Y1051" s="390"/>
      <c r="Z1051" s="438">
        <f>+Z1046*T1051</f>
        <v>0</v>
      </c>
      <c r="AA1051" s="86"/>
      <c r="AB1051" s="94"/>
      <c r="AC1051" s="94"/>
      <c r="AD1051" s="94"/>
      <c r="AE1051" s="386" t="s">
        <v>133</v>
      </c>
    </row>
    <row r="1052" spans="3:31" s="260" customFormat="1" x14ac:dyDescent="0.25">
      <c r="M1052" s="515" t="s">
        <v>21</v>
      </c>
      <c r="N1052" s="516"/>
      <c r="O1052" s="516"/>
      <c r="P1052" s="516"/>
      <c r="Q1052" s="516"/>
      <c r="R1052" s="516"/>
      <c r="S1052" s="516"/>
      <c r="T1052" s="437">
        <f>$AA$9</f>
        <v>0</v>
      </c>
      <c r="U1052" s="517">
        <f>+ROUND(U1046*T1052,$AA$5)</f>
        <v>0</v>
      </c>
      <c r="V1052" s="518"/>
      <c r="Y1052" s="390"/>
      <c r="Z1052" s="438">
        <f>+Z1051*T1052</f>
        <v>0</v>
      </c>
      <c r="AA1052" s="86"/>
      <c r="AB1052" s="94"/>
      <c r="AC1052" s="94"/>
      <c r="AD1052" s="94"/>
      <c r="AE1052" s="386" t="s">
        <v>133</v>
      </c>
    </row>
    <row r="1053" spans="3:31" s="260" customFormat="1" ht="15.75" thickBot="1" x14ac:dyDescent="0.3">
      <c r="M1053" s="519" t="s">
        <v>349</v>
      </c>
      <c r="N1053" s="520"/>
      <c r="O1053" s="520"/>
      <c r="P1053" s="520"/>
      <c r="Q1053" s="520"/>
      <c r="R1053" s="520"/>
      <c r="S1053" s="520"/>
      <c r="T1053" s="520"/>
      <c r="U1053" s="521">
        <f>+SUM(U1049:V1052)</f>
        <v>460.54</v>
      </c>
      <c r="V1053" s="522"/>
      <c r="Y1053" s="390"/>
      <c r="Z1053" s="439">
        <f>+SUM(Z1049:Z1052)</f>
        <v>11052.954000000002</v>
      </c>
      <c r="AA1053" s="86"/>
      <c r="AB1053" s="94"/>
      <c r="AC1053" s="94"/>
      <c r="AD1053" s="94"/>
      <c r="AE1053" s="386" t="s">
        <v>133</v>
      </c>
    </row>
    <row r="1054" spans="3:31" s="260" customFormat="1" ht="15.75" thickBot="1" x14ac:dyDescent="0.3">
      <c r="D1054" s="375" t="s">
        <v>128</v>
      </c>
      <c r="E1054" s="376" t="s">
        <v>129</v>
      </c>
      <c r="F1054" s="376" t="s">
        <v>130</v>
      </c>
      <c r="G1054" s="376" t="s">
        <v>131</v>
      </c>
      <c r="H1054" s="376" t="s">
        <v>132</v>
      </c>
      <c r="I1054" s="376" t="s">
        <v>133</v>
      </c>
      <c r="J1054" s="377" t="s">
        <v>134</v>
      </c>
      <c r="M1054" s="86"/>
      <c r="N1054" s="94"/>
      <c r="O1054" s="94"/>
      <c r="P1054" s="94"/>
      <c r="Q1054" s="86"/>
      <c r="R1054" s="86"/>
      <c r="S1054" s="86"/>
      <c r="T1054" s="440"/>
      <c r="U1054" s="523"/>
      <c r="V1054" s="523"/>
      <c r="Y1054" s="390"/>
      <c r="Z1054" s="385"/>
      <c r="AA1054" s="86"/>
      <c r="AB1054" s="94"/>
      <c r="AC1054" s="94"/>
      <c r="AD1054" s="94"/>
      <c r="AE1054" s="386" t="s">
        <v>133</v>
      </c>
    </row>
    <row r="1055" spans="3:31" s="260" customFormat="1" ht="15.75" thickBot="1" x14ac:dyDescent="0.3">
      <c r="D1055" s="355"/>
      <c r="E1055" s="367"/>
      <c r="F1055" s="367"/>
      <c r="G1055" s="367"/>
      <c r="H1055" s="412"/>
      <c r="I1055" s="412">
        <f>H1046</f>
        <v>2.11</v>
      </c>
      <c r="J1055" s="422"/>
      <c r="M1055" s="524" t="s">
        <v>11</v>
      </c>
      <c r="N1055" s="525"/>
      <c r="O1055" s="525"/>
      <c r="P1055" s="525"/>
      <c r="Q1055" s="525"/>
      <c r="R1055" s="525"/>
      <c r="S1055" s="525"/>
      <c r="T1055" s="526"/>
      <c r="U1055" s="527">
        <f>+U1053+U1046</f>
        <v>9671.340000000002</v>
      </c>
      <c r="V1055" s="528"/>
      <c r="Y1055" s="429"/>
      <c r="Z1055" s="441">
        <f>+Z1053+Z1046</f>
        <v>232112.03400000001</v>
      </c>
      <c r="AA1055" s="86"/>
      <c r="AB1055" s="94"/>
      <c r="AC1055" s="94"/>
      <c r="AD1055" s="94"/>
      <c r="AE1055" s="405" t="s">
        <v>133</v>
      </c>
    </row>
    <row r="1056" spans="3:31" s="260" customFormat="1" x14ac:dyDescent="0.25"/>
    <row r="1057" spans="3:31" s="260" customFormat="1" ht="15.75" thickBot="1" x14ac:dyDescent="0.3"/>
    <row r="1058" spans="3:31" s="260" customFormat="1" ht="15.75" thickBot="1" x14ac:dyDescent="0.3">
      <c r="M1058" s="363" t="s">
        <v>88</v>
      </c>
      <c r="N1058" s="436" t="str">
        <f>+N1009</f>
        <v>CAP.2</v>
      </c>
      <c r="O1058" s="550" t="str">
        <f>IFERROR(VLOOKUP(N1058,PPTO!C:H,2,0),"----")</f>
        <v>RED HIDRAULICA</v>
      </c>
      <c r="P1058" s="551"/>
      <c r="Q1058" s="551"/>
      <c r="R1058" s="551"/>
      <c r="S1058" s="551"/>
      <c r="T1058" s="551"/>
      <c r="U1058" s="552"/>
      <c r="V1058" s="74" t="s">
        <v>91</v>
      </c>
      <c r="Y1058" s="365" t="s">
        <v>104</v>
      </c>
      <c r="Z1058" s="94"/>
      <c r="AA1058" s="188"/>
      <c r="AB1058" s="553"/>
      <c r="AC1058" s="553"/>
      <c r="AD1058" s="553"/>
      <c r="AE1058" s="94"/>
    </row>
    <row r="1059" spans="3:31" s="260" customFormat="1" ht="15.75" thickBot="1" x14ac:dyDescent="0.3">
      <c r="C1059" s="369">
        <f>+N1059</f>
        <v>2.12</v>
      </c>
      <c r="D1059" s="86"/>
      <c r="E1059" s="86"/>
      <c r="F1059" s="86"/>
      <c r="G1059" s="86"/>
      <c r="H1059" s="86"/>
      <c r="I1059" s="86"/>
      <c r="J1059" s="86"/>
      <c r="K1059" s="370"/>
      <c r="M1059" s="75" t="s">
        <v>92</v>
      </c>
      <c r="N1059" s="371">
        <f>+ROUNDUP(N1010+0.01,2)</f>
        <v>2.12</v>
      </c>
      <c r="O1059" s="554" t="str">
        <f>IFERROR(VLOOKUP(N1059,PPTO!C:H,2,0),"----")</f>
        <v>Codo 90° PVC Ø1"</v>
      </c>
      <c r="P1059" s="555"/>
      <c r="Q1059" s="555"/>
      <c r="R1059" s="555"/>
      <c r="S1059" s="555"/>
      <c r="T1059" s="555"/>
      <c r="U1059" s="556"/>
      <c r="V1059" s="76" t="str">
        <f>IFERROR(VLOOKUP(N1059,PPTO!C:H,3,0),"----")</f>
        <v>UND</v>
      </c>
      <c r="Y1059" s="373">
        <f>SUMIFS(PPTO!F:F,PPTO!C:C,APUS!N1059)</f>
        <v>27</v>
      </c>
      <c r="Z1059" s="94"/>
      <c r="AA1059" s="86"/>
      <c r="AB1059" s="94"/>
      <c r="AC1059" s="94"/>
      <c r="AD1059" s="94"/>
      <c r="AE1059" s="94"/>
    </row>
    <row r="1060" spans="3:31" s="260" customFormat="1" ht="15.75" thickBot="1" x14ac:dyDescent="0.3">
      <c r="C1060" s="84"/>
      <c r="D1060" s="86"/>
      <c r="E1060" s="86"/>
      <c r="F1060" s="86"/>
      <c r="G1060" s="86"/>
      <c r="H1060" s="86"/>
      <c r="I1060" s="86"/>
      <c r="J1060" s="86"/>
      <c r="K1060" s="88"/>
      <c r="M1060" s="557"/>
      <c r="N1060" s="557"/>
      <c r="O1060" s="557"/>
      <c r="P1060" s="557"/>
      <c r="Q1060" s="557"/>
      <c r="R1060" s="557"/>
      <c r="S1060" s="557"/>
      <c r="T1060" s="557"/>
      <c r="U1060" s="557"/>
      <c r="V1060" s="557"/>
      <c r="Y1060" s="374"/>
      <c r="Z1060" s="94"/>
      <c r="AA1060" s="86"/>
      <c r="AB1060" s="94"/>
      <c r="AC1060" s="94"/>
      <c r="AD1060" s="94"/>
      <c r="AE1060" s="94"/>
    </row>
    <row r="1061" spans="3:31" s="260" customFormat="1" ht="15.75" thickBot="1" x14ac:dyDescent="0.3">
      <c r="C1061" s="84"/>
      <c r="D1061" s="375" t="s">
        <v>128</v>
      </c>
      <c r="E1061" s="376" t="s">
        <v>129</v>
      </c>
      <c r="F1061" s="376" t="s">
        <v>130</v>
      </c>
      <c r="G1061" s="376" t="s">
        <v>131</v>
      </c>
      <c r="H1061" s="376" t="s">
        <v>132</v>
      </c>
      <c r="I1061" s="376" t="s">
        <v>133</v>
      </c>
      <c r="J1061" s="377" t="s">
        <v>134</v>
      </c>
      <c r="K1061" s="88"/>
      <c r="M1061" s="558" t="s">
        <v>93</v>
      </c>
      <c r="N1061" s="559"/>
      <c r="O1061" s="559"/>
      <c r="P1061" s="559"/>
      <c r="Q1061" s="559"/>
      <c r="R1061" s="559"/>
      <c r="S1061" s="559"/>
      <c r="T1061" s="559"/>
      <c r="U1061" s="559"/>
      <c r="V1061" s="560"/>
      <c r="Y1061" s="378"/>
      <c r="Z1061" s="121"/>
      <c r="AA1061" s="86"/>
      <c r="AB1061" s="513"/>
      <c r="AC1061" s="514"/>
      <c r="AD1061" s="94"/>
      <c r="AE1061" s="379"/>
    </row>
    <row r="1062" spans="3:31" s="260" customFormat="1" x14ac:dyDescent="0.25">
      <c r="C1062" s="84"/>
      <c r="D1062" s="380"/>
      <c r="E1062" s="381"/>
      <c r="F1062" s="381"/>
      <c r="G1062" s="381"/>
      <c r="H1062" s="381"/>
      <c r="I1062" s="381"/>
      <c r="J1062" s="382"/>
      <c r="K1062" s="88"/>
      <c r="M1062" s="99" t="s">
        <v>94</v>
      </c>
      <c r="N1062" s="561" t="s">
        <v>95</v>
      </c>
      <c r="O1062" s="561"/>
      <c r="P1062" s="561"/>
      <c r="Q1062" s="561"/>
      <c r="R1062" s="95" t="s">
        <v>96</v>
      </c>
      <c r="S1062" s="95" t="s">
        <v>97</v>
      </c>
      <c r="T1062" s="562" t="s">
        <v>8</v>
      </c>
      <c r="U1062" s="562"/>
      <c r="V1062" s="100" t="s">
        <v>98</v>
      </c>
      <c r="Y1062" s="383" t="s">
        <v>104</v>
      </c>
      <c r="Z1062" s="119" t="s">
        <v>9</v>
      </c>
      <c r="AA1062" s="86"/>
      <c r="AB1062" s="384"/>
      <c r="AC1062" s="385"/>
      <c r="AD1062" s="94"/>
      <c r="AE1062" s="386"/>
    </row>
    <row r="1063" spans="3:31" s="260" customFormat="1" x14ac:dyDescent="0.25">
      <c r="C1063" s="84"/>
      <c r="D1063" s="85"/>
      <c r="E1063" s="86"/>
      <c r="F1063" s="86"/>
      <c r="G1063" s="86"/>
      <c r="H1063" s="86"/>
      <c r="I1063" s="86"/>
      <c r="J1063" s="87"/>
      <c r="K1063" s="88"/>
      <c r="M1063" s="102"/>
      <c r="N1063" s="533" t="s">
        <v>99</v>
      </c>
      <c r="O1063" s="533"/>
      <c r="P1063" s="533"/>
      <c r="Q1063" s="533"/>
      <c r="R1063" s="78" t="s">
        <v>100</v>
      </c>
      <c r="S1063" s="387">
        <f>+$AA$10</f>
        <v>0.05</v>
      </c>
      <c r="T1063" s="563">
        <f>V1093</f>
        <v>5578.97</v>
      </c>
      <c r="U1063" s="563"/>
      <c r="V1063" s="389">
        <f>+IFERROR(T1063*S1063,0)</f>
        <v>278.94850000000002</v>
      </c>
      <c r="Y1063" s="390"/>
      <c r="Z1063" s="391">
        <f>Y1059*V1063</f>
        <v>7531.6095000000005</v>
      </c>
      <c r="AA1063" s="86"/>
      <c r="AB1063" s="384"/>
      <c r="AC1063" s="385"/>
      <c r="AD1063" s="94"/>
      <c r="AE1063" s="386" t="str">
        <f>+IF(V1063=0,"CERO","NO")</f>
        <v>NO</v>
      </c>
    </row>
    <row r="1064" spans="3:31" s="260" customFormat="1" x14ac:dyDescent="0.25">
      <c r="C1064" s="84"/>
      <c r="D1064" s="85"/>
      <c r="E1064" s="86"/>
      <c r="F1064" s="86"/>
      <c r="G1064" s="86"/>
      <c r="H1064" s="86"/>
      <c r="I1064" s="86"/>
      <c r="J1064" s="87"/>
      <c r="K1064" s="88"/>
      <c r="M1064" s="106"/>
      <c r="N1064" s="533" t="str">
        <f>IFERROR(VLOOKUP(M1064,INSUMOS!$C$8:$K$928,2,0),"-----")</f>
        <v>-----</v>
      </c>
      <c r="O1064" s="533"/>
      <c r="P1064" s="533"/>
      <c r="Q1064" s="533"/>
      <c r="R1064" s="78" t="str">
        <f>IFERROR(VLOOKUP(M1064,INSUMOS!$C$8:$K$928,6,0),"-----")</f>
        <v>-----</v>
      </c>
      <c r="S1064" s="392"/>
      <c r="T1064" s="529" t="str">
        <f>IFERROR(VLOOKUP(M1064,INSUMOS!$C$8:$K$928,7,0),"0")</f>
        <v>0</v>
      </c>
      <c r="U1064" s="529"/>
      <c r="V1064" s="389">
        <f>+IFERROR(T1064*S1064,0)</f>
        <v>0</v>
      </c>
      <c r="Y1064" s="393">
        <f>+IFERROR(Y1059*S1064,0)</f>
        <v>0</v>
      </c>
      <c r="Z1064" s="391">
        <f>Y1059*V1064</f>
        <v>0</v>
      </c>
      <c r="AA1064" s="394"/>
      <c r="AB1064" s="395">
        <f>+Y1064*T1064</f>
        <v>0</v>
      </c>
      <c r="AC1064" s="93">
        <f>+AB1064-Z1064</f>
        <v>0</v>
      </c>
      <c r="AD1064" s="94"/>
      <c r="AE1064" s="386" t="str">
        <f>+IF(V1064=0,"CERO","NO")</f>
        <v>CERO</v>
      </c>
    </row>
    <row r="1065" spans="3:31" s="260" customFormat="1" x14ac:dyDescent="0.25">
      <c r="C1065" s="84"/>
      <c r="D1065" s="85"/>
      <c r="E1065" s="86"/>
      <c r="F1065" s="86"/>
      <c r="G1065" s="86"/>
      <c r="H1065" s="86"/>
      <c r="I1065" s="86"/>
      <c r="J1065" s="87"/>
      <c r="K1065" s="88"/>
      <c r="M1065" s="102">
        <v>0</v>
      </c>
      <c r="N1065" s="533"/>
      <c r="O1065" s="533"/>
      <c r="P1065" s="533"/>
      <c r="Q1065" s="533"/>
      <c r="R1065" s="78"/>
      <c r="S1065" s="396"/>
      <c r="T1065" s="529"/>
      <c r="U1065" s="529"/>
      <c r="V1065" s="397"/>
      <c r="Y1065" s="393">
        <f>+IFERROR(Y1059*S1065,0)</f>
        <v>0</v>
      </c>
      <c r="Z1065" s="391">
        <f>Y1059*V1065</f>
        <v>0</v>
      </c>
      <c r="AA1065" s="394"/>
      <c r="AB1065" s="395">
        <f>+Y1065*T1065</f>
        <v>0</v>
      </c>
      <c r="AC1065" s="93">
        <f>+AB1065-Z1065</f>
        <v>0</v>
      </c>
      <c r="AD1065" s="94"/>
      <c r="AE1065" s="386" t="str">
        <f>+IF(V1065=0,"CERO","NO")</f>
        <v>CERO</v>
      </c>
    </row>
    <row r="1066" spans="3:31" s="260" customFormat="1" x14ac:dyDescent="0.25">
      <c r="C1066" s="84"/>
      <c r="D1066" s="85"/>
      <c r="E1066" s="86"/>
      <c r="F1066" s="86"/>
      <c r="G1066" s="86"/>
      <c r="H1066" s="86"/>
      <c r="I1066" s="86"/>
      <c r="J1066" s="87"/>
      <c r="K1066" s="88"/>
      <c r="M1066" s="102">
        <v>0</v>
      </c>
      <c r="N1066" s="533"/>
      <c r="O1066" s="533"/>
      <c r="P1066" s="533"/>
      <c r="Q1066" s="533"/>
      <c r="R1066" s="78"/>
      <c r="S1066" s="396"/>
      <c r="T1066" s="529"/>
      <c r="U1066" s="529"/>
      <c r="V1066" s="397"/>
      <c r="Y1066" s="393">
        <f>+IFERROR(Y1059*S1066,0)</f>
        <v>0</v>
      </c>
      <c r="Z1066" s="391">
        <f>Y1059*V1066</f>
        <v>0</v>
      </c>
      <c r="AA1066" s="394"/>
      <c r="AB1066" s="395">
        <f>+Y1066*T1066</f>
        <v>0</v>
      </c>
      <c r="AC1066" s="93">
        <f>+AB1066-Z1066</f>
        <v>0</v>
      </c>
      <c r="AD1066" s="94"/>
      <c r="AE1066" s="386" t="str">
        <f>+IF(V1066=0,"CERO","NO")</f>
        <v>CERO</v>
      </c>
    </row>
    <row r="1067" spans="3:31" s="260" customFormat="1" ht="15.75" thickBot="1" x14ac:dyDescent="0.3">
      <c r="C1067" s="84"/>
      <c r="D1067" s="85"/>
      <c r="E1067" s="86"/>
      <c r="F1067" s="86"/>
      <c r="G1067" s="86"/>
      <c r="H1067" s="86"/>
      <c r="I1067" s="86"/>
      <c r="J1067" s="87"/>
      <c r="K1067" s="88"/>
      <c r="M1067" s="102">
        <v>0</v>
      </c>
      <c r="N1067" s="564"/>
      <c r="O1067" s="564"/>
      <c r="P1067" s="564"/>
      <c r="Q1067" s="564"/>
      <c r="R1067" s="96"/>
      <c r="S1067" s="96"/>
      <c r="T1067" s="565"/>
      <c r="U1067" s="565"/>
      <c r="V1067" s="101"/>
      <c r="Y1067" s="393">
        <f>+IFERROR(Y1059*S1067,0)</f>
        <v>0</v>
      </c>
      <c r="Z1067" s="391">
        <f>Y1059*V1067</f>
        <v>0</v>
      </c>
      <c r="AA1067" s="394"/>
      <c r="AB1067" s="395">
        <f>+Y1067*T1067</f>
        <v>0</v>
      </c>
      <c r="AC1067" s="93">
        <f>+AB1067-Z1067</f>
        <v>0</v>
      </c>
      <c r="AD1067" s="94"/>
      <c r="AE1067" s="386" t="str">
        <f>+IF(V1067=0,"CERO","NO")</f>
        <v>CERO</v>
      </c>
    </row>
    <row r="1068" spans="3:31" s="260" customFormat="1" ht="15.75" thickBot="1" x14ac:dyDescent="0.3">
      <c r="C1068" s="84"/>
      <c r="D1068" s="375" t="s">
        <v>128</v>
      </c>
      <c r="E1068" s="376" t="s">
        <v>129</v>
      </c>
      <c r="F1068" s="376" t="s">
        <v>130</v>
      </c>
      <c r="G1068" s="376" t="s">
        <v>131</v>
      </c>
      <c r="H1068" s="376" t="s">
        <v>132</v>
      </c>
      <c r="I1068" s="376" t="s">
        <v>133</v>
      </c>
      <c r="J1068" s="377" t="s">
        <v>134</v>
      </c>
      <c r="K1068" s="88"/>
      <c r="M1068" s="534"/>
      <c r="N1068" s="536" t="s">
        <v>101</v>
      </c>
      <c r="O1068" s="536"/>
      <c r="P1068" s="536"/>
      <c r="Q1068" s="536"/>
      <c r="R1068" s="536"/>
      <c r="S1068" s="536"/>
      <c r="T1068" s="536"/>
      <c r="U1068" s="536"/>
      <c r="V1068" s="389">
        <f>+SUM(V1063:V1067)</f>
        <v>278.94850000000002</v>
      </c>
      <c r="Y1068" s="398" t="s">
        <v>135</v>
      </c>
      <c r="Z1068" s="397">
        <f>+SUM(Z1063:Z1067)</f>
        <v>7531.6095000000005</v>
      </c>
      <c r="AA1068" s="86"/>
      <c r="AB1068" s="384"/>
      <c r="AC1068" s="385"/>
      <c r="AD1068" s="94"/>
      <c r="AE1068" s="399"/>
    </row>
    <row r="1069" spans="3:31" s="260" customFormat="1" ht="15.75" thickBot="1" x14ac:dyDescent="0.3">
      <c r="C1069" s="84"/>
      <c r="D1069" s="375">
        <f>C1059</f>
        <v>2.12</v>
      </c>
      <c r="E1069" s="376"/>
      <c r="F1069" s="376"/>
      <c r="G1069" s="376"/>
      <c r="H1069" s="376"/>
      <c r="I1069" s="376"/>
      <c r="J1069" s="377"/>
      <c r="K1069" s="88"/>
      <c r="M1069" s="566"/>
      <c r="N1069" s="567" t="s">
        <v>102</v>
      </c>
      <c r="O1069" s="567"/>
      <c r="P1069" s="567"/>
      <c r="Q1069" s="567"/>
      <c r="R1069" s="567"/>
      <c r="S1069" s="567"/>
      <c r="T1069" s="567"/>
      <c r="U1069" s="567"/>
      <c r="V1069" s="400">
        <f>+ROUND(V1068,$AA$5)</f>
        <v>278.95</v>
      </c>
      <c r="Y1069" s="401" t="s">
        <v>136</v>
      </c>
      <c r="Z1069" s="402">
        <f>+ROUND(Z1068,$AA$5)</f>
        <v>7531.61</v>
      </c>
      <c r="AA1069" s="86"/>
      <c r="AB1069" s="403">
        <f>+V1069*Y1059</f>
        <v>7531.65</v>
      </c>
      <c r="AC1069" s="404">
        <f>+AB1069-Z1069</f>
        <v>3.999999999996362E-2</v>
      </c>
      <c r="AD1069" s="94"/>
      <c r="AE1069" s="405"/>
    </row>
    <row r="1070" spans="3:31" s="260" customFormat="1" x14ac:dyDescent="0.25">
      <c r="C1070" s="84"/>
      <c r="D1070" s="380"/>
      <c r="E1070" s="381"/>
      <c r="F1070" s="381"/>
      <c r="G1070" s="381"/>
      <c r="H1070" s="381"/>
      <c r="I1070" s="381"/>
      <c r="J1070" s="382"/>
      <c r="K1070" s="88"/>
      <c r="M1070" s="510" t="s">
        <v>103</v>
      </c>
      <c r="N1070" s="511"/>
      <c r="O1070" s="511"/>
      <c r="P1070" s="511"/>
      <c r="Q1070" s="511"/>
      <c r="R1070" s="511"/>
      <c r="S1070" s="511"/>
      <c r="T1070" s="511"/>
      <c r="U1070" s="511"/>
      <c r="V1070" s="512"/>
      <c r="Y1070" s="378"/>
      <c r="Z1070" s="121"/>
      <c r="AA1070" s="86"/>
      <c r="AB1070" s="513"/>
      <c r="AC1070" s="514"/>
      <c r="AD1070" s="94"/>
      <c r="AE1070" s="126"/>
    </row>
    <row r="1071" spans="3:31" s="260" customFormat="1" x14ac:dyDescent="0.25">
      <c r="C1071" s="84"/>
      <c r="D1071" s="85"/>
      <c r="E1071" s="86"/>
      <c r="F1071" s="86"/>
      <c r="G1071" s="86"/>
      <c r="H1071" s="86"/>
      <c r="I1071" s="86"/>
      <c r="J1071" s="87"/>
      <c r="K1071" s="88"/>
      <c r="M1071" s="99" t="s">
        <v>94</v>
      </c>
      <c r="N1071" s="561" t="s">
        <v>95</v>
      </c>
      <c r="O1071" s="561"/>
      <c r="P1071" s="561"/>
      <c r="Q1071" s="561"/>
      <c r="R1071" s="95" t="s">
        <v>96</v>
      </c>
      <c r="S1071" s="95" t="s">
        <v>104</v>
      </c>
      <c r="T1071" s="356" t="s">
        <v>105</v>
      </c>
      <c r="U1071" s="356" t="s">
        <v>8</v>
      </c>
      <c r="V1071" s="100" t="s">
        <v>98</v>
      </c>
      <c r="Y1071" s="383" t="s">
        <v>104</v>
      </c>
      <c r="Z1071" s="119" t="s">
        <v>9</v>
      </c>
      <c r="AA1071" s="86"/>
      <c r="AB1071" s="384"/>
      <c r="AC1071" s="385"/>
      <c r="AD1071" s="94"/>
      <c r="AE1071" s="406"/>
    </row>
    <row r="1072" spans="3:31" s="260" customFormat="1" x14ac:dyDescent="0.25">
      <c r="C1072" s="84"/>
      <c r="D1072" s="85"/>
      <c r="E1072" s="86"/>
      <c r="F1072" s="86"/>
      <c r="G1072" s="86"/>
      <c r="H1072" s="86"/>
      <c r="I1072" s="86"/>
      <c r="J1072" s="87"/>
      <c r="K1072" s="88"/>
      <c r="M1072" s="102">
        <v>703</v>
      </c>
      <c r="N1072" s="533" t="str">
        <f>IFERROR(VLOOKUP(M1072,INSUMOS!$C$8:$K$928,2,0),"-----")</f>
        <v>CODO 90 PVC-P 1"</v>
      </c>
      <c r="O1072" s="533"/>
      <c r="P1072" s="533"/>
      <c r="Q1072" s="533"/>
      <c r="R1072" s="78" t="str">
        <f>IFERROR(VLOOKUP(M1072,INSUMOS!$C$8:$K$928,6,0),"-----")</f>
        <v>und</v>
      </c>
      <c r="S1072" s="396">
        <v>1</v>
      </c>
      <c r="T1072" s="387">
        <v>0</v>
      </c>
      <c r="U1072" s="388">
        <f>IFERROR(VLOOKUP(M1072,INSUMOS!$C$8:$K$928,7,0),"0")</f>
        <v>2699</v>
      </c>
      <c r="V1072" s="389">
        <f>+IFERROR(U1072*(S1072*(1+T1072)),0)</f>
        <v>2699</v>
      </c>
      <c r="Y1072" s="393">
        <f>+IFERROR(Y1059*(S1072*(1+T1072)),0)</f>
        <v>27</v>
      </c>
      <c r="Z1072" s="391">
        <f>Y1059*V1072</f>
        <v>72873</v>
      </c>
      <c r="AA1072" s="394"/>
      <c r="AB1072" s="395">
        <f>+Y1072*U1072</f>
        <v>72873</v>
      </c>
      <c r="AC1072" s="93">
        <f>+AB1072-Z1072</f>
        <v>0</v>
      </c>
      <c r="AD1072" s="94"/>
      <c r="AE1072" s="406" t="str">
        <f>+IF(V1072=0,"CERO","NO")</f>
        <v>NO</v>
      </c>
    </row>
    <row r="1073" spans="3:31" s="260" customFormat="1" x14ac:dyDescent="0.25">
      <c r="C1073" s="84"/>
      <c r="D1073" s="85"/>
      <c r="E1073" s="86"/>
      <c r="F1073" s="86"/>
      <c r="G1073" s="86"/>
      <c r="H1073" s="86"/>
      <c r="I1073" s="86"/>
      <c r="J1073" s="87"/>
      <c r="K1073" s="88"/>
      <c r="M1073" s="102">
        <v>699</v>
      </c>
      <c r="N1073" s="533" t="str">
        <f>IFERROR(VLOOKUP(M1073,INSUMOS!$C$8:$K$928,2,0),"-----")</f>
        <v>SOLDADURA PVC LIQUIDA 1/4"</v>
      </c>
      <c r="O1073" s="533"/>
      <c r="P1073" s="533"/>
      <c r="Q1073" s="533"/>
      <c r="R1073" s="78" t="str">
        <f>IFERROR(VLOOKUP(M1073,INSUMOS!$C$8:$K$928,6,0),"-----")</f>
        <v>und</v>
      </c>
      <c r="S1073" s="392">
        <v>5.0000000000000001E-3</v>
      </c>
      <c r="T1073" s="387">
        <v>0.02</v>
      </c>
      <c r="U1073" s="388">
        <f>IFERROR(VLOOKUP(M1073,INSUMOS!$C$8:$K$928,7,0),"0")</f>
        <v>146569</v>
      </c>
      <c r="V1073" s="389">
        <f>+IFERROR(U1073*(S1073*(1+T1073)),0)</f>
        <v>747.50190000000009</v>
      </c>
      <c r="Y1073" s="393">
        <f>+IFERROR(Y1059*(S1073*(1+T1073)),0)</f>
        <v>0.13770000000000002</v>
      </c>
      <c r="Z1073" s="391">
        <f>Y1059*V1073</f>
        <v>20182.551300000003</v>
      </c>
      <c r="AA1073" s="394"/>
      <c r="AB1073" s="395">
        <f>+Y1073*U1073</f>
        <v>20182.551300000003</v>
      </c>
      <c r="AC1073" s="93">
        <f>+AB1073-Z1073</f>
        <v>0</v>
      </c>
      <c r="AD1073" s="94"/>
      <c r="AE1073" s="406" t="str">
        <f>+IF(V1073=0,"CERO","NO")</f>
        <v>NO</v>
      </c>
    </row>
    <row r="1074" spans="3:31" s="260" customFormat="1" x14ac:dyDescent="0.25">
      <c r="C1074" s="84"/>
      <c r="D1074" s="85"/>
      <c r="E1074" s="86"/>
      <c r="F1074" s="86"/>
      <c r="G1074" s="86"/>
      <c r="H1074" s="86"/>
      <c r="I1074" s="86"/>
      <c r="J1074" s="87"/>
      <c r="K1074" s="88"/>
      <c r="M1074" s="102">
        <v>700</v>
      </c>
      <c r="N1074" s="533" t="str">
        <f>IFERROR(VLOOKUP(M1074,INSUMOS!$C$8:$K$928,2,0),"-----")</f>
        <v>LIMPIADOR PVC 1/4</v>
      </c>
      <c r="O1074" s="533"/>
      <c r="P1074" s="533"/>
      <c r="Q1074" s="533"/>
      <c r="R1074" s="78" t="str">
        <f>IFERROR(VLOOKUP(M1074,INSUMOS!$C$8:$K$928,6,0),"-----")</f>
        <v>und</v>
      </c>
      <c r="S1074" s="392">
        <v>5.0000000000000001E-3</v>
      </c>
      <c r="T1074" s="387">
        <v>0.02</v>
      </c>
      <c r="U1074" s="388">
        <f>IFERROR(VLOOKUP(M1074,INSUMOS!$C$8:$K$928,7,0),"0")</f>
        <v>65913</v>
      </c>
      <c r="V1074" s="389">
        <f>+IFERROR(U1074*(S1074*(1+T1074)),0)</f>
        <v>336.15630000000004</v>
      </c>
      <c r="Y1074" s="393">
        <f>+IFERROR(Y1059*(S1074*(1+T1074)),0)</f>
        <v>0.13770000000000002</v>
      </c>
      <c r="Z1074" s="391">
        <f>Y1059*V1074</f>
        <v>9076.2201000000005</v>
      </c>
      <c r="AA1074" s="394"/>
      <c r="AB1074" s="395">
        <f>+Y1074*U1074</f>
        <v>9076.2201000000005</v>
      </c>
      <c r="AC1074" s="93">
        <f>+AB1074-Z1074</f>
        <v>0</v>
      </c>
      <c r="AD1074" s="94"/>
      <c r="AE1074" s="406" t="str">
        <f>+IF(V1074=0,"CERO","NO")</f>
        <v>NO</v>
      </c>
    </row>
    <row r="1075" spans="3:31" s="260" customFormat="1" x14ac:dyDescent="0.25">
      <c r="C1075" s="84"/>
      <c r="D1075" s="85"/>
      <c r="E1075" s="86"/>
      <c r="F1075" s="86"/>
      <c r="G1075" s="86"/>
      <c r="H1075" s="86"/>
      <c r="I1075" s="86"/>
      <c r="J1075" s="87"/>
      <c r="K1075" s="88"/>
      <c r="M1075" s="102">
        <v>0</v>
      </c>
      <c r="N1075" s="533" t="str">
        <f>IFERROR(VLOOKUP(M1075,INSUMOS!$C$8:$K$928,2,0),"-----")</f>
        <v>-----</v>
      </c>
      <c r="O1075" s="533"/>
      <c r="P1075" s="533"/>
      <c r="Q1075" s="533"/>
      <c r="R1075" s="78" t="str">
        <f>IFERROR(VLOOKUP(M1075,INSUMOS!$C$8:$K$928,6,0),"-----")</f>
        <v>-----</v>
      </c>
      <c r="S1075" s="396"/>
      <c r="T1075" s="387"/>
      <c r="U1075" s="388" t="str">
        <f>IFERROR(VLOOKUP(M1075,INSUMOS!$C$8:$K$928,7,0),"0")</f>
        <v>0</v>
      </c>
      <c r="V1075" s="389">
        <f>+IFERROR(U1075*(S1075*(1+T1075)),0)</f>
        <v>0</v>
      </c>
      <c r="Y1075" s="393">
        <f>+IFERROR(Y1059*(S1075*(1+T1075)),0)</f>
        <v>0</v>
      </c>
      <c r="Z1075" s="391">
        <f>Y1059*V1075</f>
        <v>0</v>
      </c>
      <c r="AA1075" s="394"/>
      <c r="AB1075" s="395">
        <f>+Y1075*U1075</f>
        <v>0</v>
      </c>
      <c r="AC1075" s="93">
        <f>+AB1075-Z1075</f>
        <v>0</v>
      </c>
      <c r="AD1075" s="94"/>
      <c r="AE1075" s="406" t="str">
        <f>+IF(V1075=0,"CERO","NO")</f>
        <v>CERO</v>
      </c>
    </row>
    <row r="1076" spans="3:31" s="260" customFormat="1" ht="15.75" thickBot="1" x14ac:dyDescent="0.3">
      <c r="C1076" s="84"/>
      <c r="D1076" s="85"/>
      <c r="E1076" s="86"/>
      <c r="F1076" s="86"/>
      <c r="G1076" s="86"/>
      <c r="H1076" s="86"/>
      <c r="I1076" s="86"/>
      <c r="J1076" s="87"/>
      <c r="K1076" s="88"/>
      <c r="M1076" s="102">
        <v>0</v>
      </c>
      <c r="N1076" s="564"/>
      <c r="O1076" s="564"/>
      <c r="P1076" s="564"/>
      <c r="Q1076" s="564"/>
      <c r="R1076" s="96"/>
      <c r="S1076" s="79"/>
      <c r="T1076" s="97"/>
      <c r="U1076" s="358"/>
      <c r="V1076" s="397"/>
      <c r="Y1076" s="393">
        <f>+IFERROR(Y1059*(S1076*(1+T1076)),0)</f>
        <v>0</v>
      </c>
      <c r="Z1076" s="391">
        <f>Y1059*V1076</f>
        <v>0</v>
      </c>
      <c r="AA1076" s="394"/>
      <c r="AB1076" s="395">
        <f>+Y1076*U1076</f>
        <v>0</v>
      </c>
      <c r="AC1076" s="93">
        <f>+AB1076-Z1076</f>
        <v>0</v>
      </c>
      <c r="AD1076" s="94"/>
      <c r="AE1076" s="406" t="str">
        <f>+IF(V1076=0,"CERO","NO")</f>
        <v>CERO</v>
      </c>
    </row>
    <row r="1077" spans="3:31" s="260" customFormat="1" ht="15.75" thickBot="1" x14ac:dyDescent="0.3">
      <c r="C1077" s="84"/>
      <c r="D1077" s="375" t="s">
        <v>128</v>
      </c>
      <c r="E1077" s="376" t="s">
        <v>129</v>
      </c>
      <c r="F1077" s="376" t="s">
        <v>130</v>
      </c>
      <c r="G1077" s="376" t="s">
        <v>131</v>
      </c>
      <c r="H1077" s="376" t="s">
        <v>132</v>
      </c>
      <c r="I1077" s="376" t="s">
        <v>133</v>
      </c>
      <c r="J1077" s="377" t="s">
        <v>134</v>
      </c>
      <c r="K1077" s="88"/>
      <c r="M1077" s="534"/>
      <c r="N1077" s="536" t="s">
        <v>106</v>
      </c>
      <c r="O1077" s="536"/>
      <c r="P1077" s="536"/>
      <c r="Q1077" s="536"/>
      <c r="R1077" s="536"/>
      <c r="S1077" s="536"/>
      <c r="T1077" s="536"/>
      <c r="U1077" s="536"/>
      <c r="V1077" s="389">
        <f>+SUM(V1072:V1076)</f>
        <v>3782.6582000000003</v>
      </c>
      <c r="Y1077" s="398" t="s">
        <v>135</v>
      </c>
      <c r="Z1077" s="397">
        <f>+SUM(Z1072:Z1076)</f>
        <v>102131.77140000001</v>
      </c>
      <c r="AA1077" s="86"/>
      <c r="AB1077" s="384"/>
      <c r="AC1077" s="385"/>
      <c r="AD1077" s="94"/>
      <c r="AE1077" s="399"/>
    </row>
    <row r="1078" spans="3:31" s="260" customFormat="1" ht="15.75" thickBot="1" x14ac:dyDescent="0.3">
      <c r="C1078" s="84"/>
      <c r="D1078" s="375"/>
      <c r="E1078" s="407">
        <f>+D1069</f>
        <v>2.12</v>
      </c>
      <c r="F1078" s="376"/>
      <c r="G1078" s="376"/>
      <c r="H1078" s="376"/>
      <c r="I1078" s="376"/>
      <c r="J1078" s="377"/>
      <c r="K1078" s="88"/>
      <c r="M1078" s="535"/>
      <c r="N1078" s="537" t="s">
        <v>107</v>
      </c>
      <c r="O1078" s="537"/>
      <c r="P1078" s="537"/>
      <c r="Q1078" s="537"/>
      <c r="R1078" s="537"/>
      <c r="S1078" s="537"/>
      <c r="T1078" s="537"/>
      <c r="U1078" s="537"/>
      <c r="V1078" s="408">
        <f>+ROUND(V1077,$AA$5)</f>
        <v>3782.66</v>
      </c>
      <c r="Y1078" s="401" t="s">
        <v>136</v>
      </c>
      <c r="Z1078" s="402">
        <f>+ROUND(Z1077,$AA$5)</f>
        <v>102131.77</v>
      </c>
      <c r="AA1078" s="86"/>
      <c r="AB1078" s="403">
        <f>+V1078*Y1059</f>
        <v>102131.81999999999</v>
      </c>
      <c r="AC1078" s="404">
        <f>+AB1078-Z1078</f>
        <v>4.9999999988358468E-2</v>
      </c>
      <c r="AD1078" s="94"/>
      <c r="AE1078" s="405"/>
    </row>
    <row r="1079" spans="3:31" s="260" customFormat="1" x14ac:dyDescent="0.25">
      <c r="C1079" s="84"/>
      <c r="D1079" s="380"/>
      <c r="E1079" s="381"/>
      <c r="F1079" s="381"/>
      <c r="G1079" s="381"/>
      <c r="H1079" s="381"/>
      <c r="I1079" s="381"/>
      <c r="J1079" s="382"/>
      <c r="K1079" s="88"/>
      <c r="M1079" s="568" t="s">
        <v>108</v>
      </c>
      <c r="N1079" s="569"/>
      <c r="O1079" s="569"/>
      <c r="P1079" s="569"/>
      <c r="Q1079" s="569"/>
      <c r="R1079" s="569"/>
      <c r="S1079" s="569"/>
      <c r="T1079" s="569"/>
      <c r="U1079" s="569"/>
      <c r="V1079" s="570"/>
      <c r="Y1079" s="378"/>
      <c r="Z1079" s="121"/>
      <c r="AA1079" s="86"/>
      <c r="AB1079" s="409"/>
      <c r="AC1079" s="121"/>
      <c r="AD1079" s="94"/>
      <c r="AE1079" s="126"/>
    </row>
    <row r="1080" spans="3:31" s="260" customFormat="1" ht="25.5" x14ac:dyDescent="0.25">
      <c r="C1080" s="84"/>
      <c r="D1080" s="85"/>
      <c r="E1080" s="86"/>
      <c r="F1080" s="86"/>
      <c r="G1080" s="86"/>
      <c r="H1080" s="86"/>
      <c r="I1080" s="86"/>
      <c r="J1080" s="87"/>
      <c r="K1080" s="88"/>
      <c r="M1080" s="99" t="s">
        <v>94</v>
      </c>
      <c r="N1080" s="561" t="s">
        <v>95</v>
      </c>
      <c r="O1080" s="561"/>
      <c r="P1080" s="561"/>
      <c r="Q1080" s="95" t="s">
        <v>109</v>
      </c>
      <c r="R1080" s="95" t="s">
        <v>110</v>
      </c>
      <c r="S1080" s="95" t="s">
        <v>111</v>
      </c>
      <c r="T1080" s="562" t="s">
        <v>112</v>
      </c>
      <c r="U1080" s="562"/>
      <c r="V1080" s="100" t="s">
        <v>98</v>
      </c>
      <c r="Y1080" s="383" t="s">
        <v>104</v>
      </c>
      <c r="Z1080" s="119" t="s">
        <v>9</v>
      </c>
      <c r="AA1080" s="86"/>
      <c r="AB1080" s="384"/>
      <c r="AC1080" s="385"/>
      <c r="AD1080" s="94"/>
      <c r="AE1080" s="410"/>
    </row>
    <row r="1081" spans="3:31" s="260" customFormat="1" x14ac:dyDescent="0.25">
      <c r="C1081" s="84"/>
      <c r="D1081" s="85"/>
      <c r="E1081" s="86"/>
      <c r="F1081" s="86"/>
      <c r="G1081" s="86"/>
      <c r="H1081" s="86"/>
      <c r="I1081" s="86"/>
      <c r="J1081" s="87"/>
      <c r="K1081" s="88"/>
      <c r="M1081" s="102">
        <v>129</v>
      </c>
      <c r="N1081" s="530" t="str">
        <f>IFERROR(VLOOKUP(M1081,INSUMOS!$C$8:$K$928,2,0),"-----")</f>
        <v>transporte materiales en general</v>
      </c>
      <c r="O1081" s="531"/>
      <c r="P1081" s="532"/>
      <c r="Q1081" s="78" t="str">
        <f>IFERROR(VLOOKUP(M1081,INSUMOS!$C$8:$K$928,5,0),"-----")</f>
        <v>Km</v>
      </c>
      <c r="R1081" s="80">
        <v>1</v>
      </c>
      <c r="S1081" s="80">
        <f>IFERROR(VLOOKUP(M1081,INSUMOS!$C$8:$K$928,6,0),"0")</f>
        <v>348</v>
      </c>
      <c r="T1081" s="529">
        <f>IFERROR(VLOOKUP(M1081,INSUMOS!$C$8:$K$928,7,0),"0")</f>
        <v>0.99776362060288992</v>
      </c>
      <c r="U1081" s="529"/>
      <c r="V1081" s="82">
        <f>+T1081*S1081*R1081</f>
        <v>347.2217399698057</v>
      </c>
      <c r="Y1081" s="393">
        <f>+IFERROR((R1081*S1081)*Y1059,0)</f>
        <v>9396</v>
      </c>
      <c r="Z1081" s="391">
        <f>Y1059*V1081</f>
        <v>9374.9869791847541</v>
      </c>
      <c r="AA1081" s="86"/>
      <c r="AB1081" s="92">
        <f>+Y1081*T1081</f>
        <v>9374.9869791847541</v>
      </c>
      <c r="AC1081" s="93">
        <f>+AB1081-Z1081</f>
        <v>0</v>
      </c>
      <c r="AD1081" s="94"/>
      <c r="AE1081" s="406" t="str">
        <f>+IF(V1081=0,"CERO","NO")</f>
        <v>NO</v>
      </c>
    </row>
    <row r="1082" spans="3:31" s="260" customFormat="1" x14ac:dyDescent="0.25">
      <c r="C1082" s="84"/>
      <c r="D1082" s="85"/>
      <c r="E1082" s="86"/>
      <c r="F1082" s="86"/>
      <c r="G1082" s="86"/>
      <c r="H1082" s="86"/>
      <c r="I1082" s="86"/>
      <c r="J1082" s="87"/>
      <c r="K1082" s="88"/>
      <c r="M1082" s="102">
        <v>0</v>
      </c>
      <c r="N1082" s="530" t="str">
        <f>IFERROR(VLOOKUP(M1082,INSUMOS!$C$8:$K$928,2,0),"-----")</f>
        <v>-----</v>
      </c>
      <c r="O1082" s="531"/>
      <c r="P1082" s="532"/>
      <c r="Q1082" s="78" t="str">
        <f>IFERROR(VLOOKUP(M1082,INSUMOS!$C$8:$K$928,5,0),"-----")</f>
        <v>-----</v>
      </c>
      <c r="R1082" s="80"/>
      <c r="S1082" s="80" t="str">
        <f>IFERROR(VLOOKUP(M1082,INSUMOS!$C$8:$K$928,6,0),"0")</f>
        <v>0</v>
      </c>
      <c r="T1082" s="529" t="str">
        <f>IFERROR(VLOOKUP(M1082,INSUMOS!$C$8:$K$928,7,0),"0")</f>
        <v>0</v>
      </c>
      <c r="U1082" s="529"/>
      <c r="V1082" s="82">
        <f>+T1082*S1082*R1082</f>
        <v>0</v>
      </c>
      <c r="Y1082" s="393">
        <f>+IFERROR((R1082*S1082)*Y1059,0)</f>
        <v>0</v>
      </c>
      <c r="Z1082" s="391">
        <f>Y1059*V1082</f>
        <v>0</v>
      </c>
      <c r="AA1082" s="86"/>
      <c r="AB1082" s="92">
        <f>+Y1082*T1082</f>
        <v>0</v>
      </c>
      <c r="AC1082" s="93">
        <f>+AB1082-Z1082</f>
        <v>0</v>
      </c>
      <c r="AD1082" s="94"/>
      <c r="AE1082" s="406" t="str">
        <f>+IF(V1082=0,"CERO","NO")</f>
        <v>CERO</v>
      </c>
    </row>
    <row r="1083" spans="3:31" s="260" customFormat="1" x14ac:dyDescent="0.25">
      <c r="C1083" s="84"/>
      <c r="D1083" s="85"/>
      <c r="E1083" s="86"/>
      <c r="F1083" s="86"/>
      <c r="G1083" s="86"/>
      <c r="H1083" s="86"/>
      <c r="I1083" s="86"/>
      <c r="J1083" s="87"/>
      <c r="K1083" s="88"/>
      <c r="M1083" s="102">
        <v>0</v>
      </c>
      <c r="N1083" s="530" t="str">
        <f>IFERROR(VLOOKUP(M1083,INSUMOS!$C$8:$K$928,2,0),"-----")</f>
        <v>-----</v>
      </c>
      <c r="O1083" s="531"/>
      <c r="P1083" s="532"/>
      <c r="Q1083" s="78" t="str">
        <f>IFERROR(VLOOKUP(M1083,INSUMOS!$C$8:$K$928,5,0),"-----")</f>
        <v>-----</v>
      </c>
      <c r="R1083" s="80"/>
      <c r="S1083" s="80" t="str">
        <f>IFERROR(VLOOKUP(M1083,INSUMOS!$C$8:$K$928,6,0),"0")</f>
        <v>0</v>
      </c>
      <c r="T1083" s="529" t="str">
        <f>IFERROR(VLOOKUP(M1083,INSUMOS!$C$8:$K$928,7,0),"0")</f>
        <v>0</v>
      </c>
      <c r="U1083" s="529"/>
      <c r="V1083" s="82">
        <f>+T1083*S1083*R1083</f>
        <v>0</v>
      </c>
      <c r="Y1083" s="393">
        <f>+IFERROR((R1083*S1083)*Y1059,0)</f>
        <v>0</v>
      </c>
      <c r="Z1083" s="391">
        <f>Y1059*V1083</f>
        <v>0</v>
      </c>
      <c r="AA1083" s="86"/>
      <c r="AB1083" s="92">
        <f>+Y1083*T1083</f>
        <v>0</v>
      </c>
      <c r="AC1083" s="93">
        <f>+AB1083-Z1083</f>
        <v>0</v>
      </c>
      <c r="AD1083" s="94"/>
      <c r="AE1083" s="406" t="str">
        <f>+IF(V1083=0,"CERO","NO")</f>
        <v>CERO</v>
      </c>
    </row>
    <row r="1084" spans="3:31" s="260" customFormat="1" ht="15.75" thickBot="1" x14ac:dyDescent="0.3">
      <c r="C1084" s="84"/>
      <c r="D1084" s="89"/>
      <c r="E1084" s="90"/>
      <c r="F1084" s="90"/>
      <c r="G1084" s="90"/>
      <c r="H1084" s="90"/>
      <c r="I1084" s="90"/>
      <c r="J1084" s="91"/>
      <c r="K1084" s="88"/>
      <c r="M1084" s="102">
        <v>0</v>
      </c>
      <c r="N1084" s="533"/>
      <c r="O1084" s="533"/>
      <c r="P1084" s="533"/>
      <c r="Q1084" s="79"/>
      <c r="R1084" s="78"/>
      <c r="S1084" s="81"/>
      <c r="T1084" s="529"/>
      <c r="U1084" s="529"/>
      <c r="V1084" s="82"/>
      <c r="Y1084" s="393">
        <f>+IFERROR((R1084*S1084)*Y1059,0)</f>
        <v>0</v>
      </c>
      <c r="Z1084" s="391">
        <f>Y1059*V1084</f>
        <v>0</v>
      </c>
      <c r="AA1084" s="86"/>
      <c r="AB1084" s="92">
        <f>+Y1084*T1084</f>
        <v>0</v>
      </c>
      <c r="AC1084" s="93">
        <f>+AB1084-Z1084</f>
        <v>0</v>
      </c>
      <c r="AD1084" s="94"/>
      <c r="AE1084" s="406" t="str">
        <f>+IF(V1084=0,"CERO","NO")</f>
        <v>CERO</v>
      </c>
    </row>
    <row r="1085" spans="3:31" s="260" customFormat="1" ht="15.75" thickBot="1" x14ac:dyDescent="0.3">
      <c r="C1085" s="84"/>
      <c r="D1085" s="375" t="s">
        <v>128</v>
      </c>
      <c r="E1085" s="376" t="s">
        <v>129</v>
      </c>
      <c r="F1085" s="376" t="s">
        <v>130</v>
      </c>
      <c r="G1085" s="376" t="s">
        <v>131</v>
      </c>
      <c r="H1085" s="376" t="s">
        <v>132</v>
      </c>
      <c r="I1085" s="376" t="s">
        <v>133</v>
      </c>
      <c r="J1085" s="377" t="s">
        <v>134</v>
      </c>
      <c r="K1085" s="88"/>
      <c r="M1085" s="534"/>
      <c r="N1085" s="536" t="s">
        <v>113</v>
      </c>
      <c r="O1085" s="536"/>
      <c r="P1085" s="536"/>
      <c r="Q1085" s="536"/>
      <c r="R1085" s="536"/>
      <c r="S1085" s="536"/>
      <c r="T1085" s="536"/>
      <c r="U1085" s="536"/>
      <c r="V1085" s="411">
        <f>+SUM(V1081:V1084)</f>
        <v>347.2217399698057</v>
      </c>
      <c r="Y1085" s="398" t="s">
        <v>135</v>
      </c>
      <c r="Z1085" s="397">
        <f>+SUM(Z1081:Z1084)</f>
        <v>9374.9869791847541</v>
      </c>
      <c r="AA1085" s="86"/>
      <c r="AB1085" s="384"/>
      <c r="AC1085" s="385"/>
      <c r="AD1085" s="94"/>
      <c r="AE1085" s="399"/>
    </row>
    <row r="1086" spans="3:31" s="260" customFormat="1" ht="15.75" thickBot="1" x14ac:dyDescent="0.3">
      <c r="C1086" s="84"/>
      <c r="D1086" s="355"/>
      <c r="E1086" s="367"/>
      <c r="F1086" s="412">
        <f>+E1078</f>
        <v>2.12</v>
      </c>
      <c r="G1086" s="367"/>
      <c r="H1086" s="367"/>
      <c r="I1086" s="367"/>
      <c r="J1086" s="368"/>
      <c r="K1086" s="88"/>
      <c r="M1086" s="535"/>
      <c r="N1086" s="537" t="s">
        <v>114</v>
      </c>
      <c r="O1086" s="537"/>
      <c r="P1086" s="537"/>
      <c r="Q1086" s="537"/>
      <c r="R1086" s="537"/>
      <c r="S1086" s="537"/>
      <c r="T1086" s="537"/>
      <c r="U1086" s="537"/>
      <c r="V1086" s="413">
        <f>+ROUND(V1085,$AA$5)</f>
        <v>347.22</v>
      </c>
      <c r="Y1086" s="401" t="s">
        <v>136</v>
      </c>
      <c r="Z1086" s="402">
        <f>+ROUND(Z1085,$AA$5)</f>
        <v>9374.99</v>
      </c>
      <c r="AA1086" s="86"/>
      <c r="AB1086" s="403">
        <f>+V1086*Y1059</f>
        <v>9374.94</v>
      </c>
      <c r="AC1086" s="414"/>
      <c r="AD1086" s="94"/>
      <c r="AE1086" s="405"/>
    </row>
    <row r="1087" spans="3:31" s="260" customFormat="1" ht="15.75" thickBot="1" x14ac:dyDescent="0.3">
      <c r="C1087" s="84"/>
      <c r="D1087" s="415"/>
      <c r="E1087" s="416"/>
      <c r="F1087" s="416"/>
      <c r="G1087" s="416"/>
      <c r="H1087" s="416"/>
      <c r="I1087" s="416"/>
      <c r="J1087" s="417"/>
      <c r="K1087" s="88"/>
      <c r="M1087" s="538" t="s">
        <v>115</v>
      </c>
      <c r="N1087" s="539"/>
      <c r="O1087" s="539"/>
      <c r="P1087" s="539"/>
      <c r="Q1087" s="539"/>
      <c r="R1087" s="539"/>
      <c r="S1087" s="539"/>
      <c r="T1087" s="539"/>
      <c r="U1087" s="539"/>
      <c r="V1087" s="540"/>
      <c r="Y1087" s="378"/>
      <c r="Z1087" s="121"/>
      <c r="AA1087" s="86"/>
      <c r="AB1087" s="409"/>
      <c r="AC1087" s="121"/>
      <c r="AD1087" s="94"/>
      <c r="AE1087" s="126"/>
    </row>
    <row r="1088" spans="3:31" s="260" customFormat="1" ht="15.75" thickBot="1" x14ac:dyDescent="0.3">
      <c r="C1088" s="84"/>
      <c r="D1088" s="375" t="s">
        <v>128</v>
      </c>
      <c r="E1088" s="376" t="s">
        <v>129</v>
      </c>
      <c r="F1088" s="376" t="s">
        <v>130</v>
      </c>
      <c r="G1088" s="376" t="s">
        <v>131</v>
      </c>
      <c r="H1088" s="376" t="s">
        <v>132</v>
      </c>
      <c r="I1088" s="376" t="s">
        <v>133</v>
      </c>
      <c r="J1088" s="377" t="s">
        <v>134</v>
      </c>
      <c r="K1088" s="88"/>
      <c r="M1088" s="99" t="s">
        <v>94</v>
      </c>
      <c r="N1088" s="98" t="s">
        <v>95</v>
      </c>
      <c r="O1088" s="95" t="s">
        <v>96</v>
      </c>
      <c r="P1088" s="359" t="s">
        <v>104</v>
      </c>
      <c r="Q1088" s="95" t="s">
        <v>116</v>
      </c>
      <c r="R1088" s="418" t="s">
        <v>117</v>
      </c>
      <c r="S1088" s="95" t="s">
        <v>347</v>
      </c>
      <c r="T1088" s="419" t="s">
        <v>118</v>
      </c>
      <c r="U1088" s="189" t="s">
        <v>119</v>
      </c>
      <c r="V1088" s="100" t="s">
        <v>98</v>
      </c>
      <c r="Y1088" s="383" t="s">
        <v>104</v>
      </c>
      <c r="Z1088" s="119" t="s">
        <v>9</v>
      </c>
      <c r="AA1088" s="86"/>
      <c r="AB1088" s="384"/>
      <c r="AC1088" s="385"/>
      <c r="AD1088" s="94"/>
      <c r="AE1088" s="410"/>
    </row>
    <row r="1089" spans="3:31" s="260" customFormat="1" ht="25.5" x14ac:dyDescent="0.25">
      <c r="C1089" s="84"/>
      <c r="D1089" s="354"/>
      <c r="E1089" s="96"/>
      <c r="F1089" s="96"/>
      <c r="G1089" s="96"/>
      <c r="H1089" s="96"/>
      <c r="I1089" s="96"/>
      <c r="J1089" s="420">
        <f>+F1086</f>
        <v>2.12</v>
      </c>
      <c r="K1089" s="88"/>
      <c r="M1089" s="102">
        <v>207</v>
      </c>
      <c r="N1089" s="347" t="str">
        <f>IFERROR(VLOOKUP(M1089,INSUMOS!$C$8:$K$928,2,0),"-----")</f>
        <v>Oficial Hidrosanitario</v>
      </c>
      <c r="O1089" s="78" t="str">
        <f>IFERROR(VLOOKUP(M1089,INSUMOS!$C$8:$K$928,3,0),"-----")</f>
        <v>JORNAL+PS</v>
      </c>
      <c r="P1089" s="80">
        <v>1</v>
      </c>
      <c r="Q1089" s="79">
        <v>30</v>
      </c>
      <c r="R1089" s="190">
        <f>IFERROR(VLOOKUP(M1089,INSUMOS!$C$8:$K$928,4,0),"-----")</f>
        <v>92983</v>
      </c>
      <c r="S1089" s="190">
        <f>IFERROR(VLOOKUP(M1089,INSUMOS!$C$8:$K$928,6,0),"-----")</f>
        <v>74386</v>
      </c>
      <c r="T1089" s="190">
        <f>IFERROR(VLOOKUP(M1089,INSUMOS!$C$8:$K$928,5,0),"-----")</f>
        <v>0</v>
      </c>
      <c r="U1089" s="388">
        <f>SUM(R1089:T1089)</f>
        <v>167369</v>
      </c>
      <c r="V1089" s="82">
        <f>+IFERROR((P1089/Q1089)*U1089,0)</f>
        <v>5578.9666666666662</v>
      </c>
      <c r="Y1089" s="393">
        <f>+IFERROR((Y1059/Q1089*P1089),0)</f>
        <v>0.9</v>
      </c>
      <c r="Z1089" s="391">
        <f>Y1059*V1089</f>
        <v>150632.09999999998</v>
      </c>
      <c r="AA1089" s="86"/>
      <c r="AB1089" s="92">
        <f>+(U1089)*Y1089</f>
        <v>150632.1</v>
      </c>
      <c r="AC1089" s="93">
        <f>+AB1089-Z1089</f>
        <v>0</v>
      </c>
      <c r="AD1089" s="421"/>
      <c r="AE1089" s="410" t="str">
        <f>+IF(V1089=0,"CERO","NO")</f>
        <v>NO</v>
      </c>
    </row>
    <row r="1090" spans="3:31" s="260" customFormat="1" ht="15.75" thickBot="1" x14ac:dyDescent="0.3">
      <c r="C1090" s="84"/>
      <c r="D1090" s="355"/>
      <c r="E1090" s="367"/>
      <c r="F1090" s="367"/>
      <c r="G1090" s="367"/>
      <c r="H1090" s="367"/>
      <c r="I1090" s="367"/>
      <c r="J1090" s="422">
        <f>+J1089</f>
        <v>2.12</v>
      </c>
      <c r="K1090" s="88"/>
      <c r="M1090" s="102"/>
      <c r="N1090" s="347" t="str">
        <f>IFERROR(VLOOKUP(M1090,INSUMOS!$C$8:$K$928,2,0),"-----")</f>
        <v>-----</v>
      </c>
      <c r="O1090" s="78" t="str">
        <f>IFERROR(VLOOKUP(M1090,INSUMOS!$C$8:$K$928,3,0),"-----")</f>
        <v>-----</v>
      </c>
      <c r="P1090" s="80"/>
      <c r="Q1090" s="79"/>
      <c r="R1090" s="190" t="str">
        <f>IFERROR(VLOOKUP(M1090,INSUMOS!$C$8:$K$928,4,0),"-----")</f>
        <v>-----</v>
      </c>
      <c r="S1090" s="190" t="str">
        <f>IFERROR(VLOOKUP(M1090,INSUMOS!$C$8:$K$928,6,0),"-----")</f>
        <v>-----</v>
      </c>
      <c r="T1090" s="190" t="str">
        <f>IFERROR(VLOOKUP(M1090,INSUMOS!$C$8:$K$928,5,0),"-----")</f>
        <v>-----</v>
      </c>
      <c r="U1090" s="388">
        <f>SUM(R1090:T1090)</f>
        <v>0</v>
      </c>
      <c r="V1090" s="82">
        <f>+IFERROR((P1090/Q1090)*U1090,0)</f>
        <v>0</v>
      </c>
      <c r="Y1090" s="393">
        <f>+IFERROR((Y1059/Q1090*P1090),0)</f>
        <v>0</v>
      </c>
      <c r="Z1090" s="391">
        <f>Y1059*V1090</f>
        <v>0</v>
      </c>
      <c r="AA1090" s="86"/>
      <c r="AB1090" s="92">
        <f>+U1090*Y1090</f>
        <v>0</v>
      </c>
      <c r="AC1090" s="93">
        <f>+AB1090-Z1090</f>
        <v>0</v>
      </c>
      <c r="AD1090" s="94"/>
      <c r="AE1090" s="410" t="str">
        <f>+IF(V1090=0,"CERO","NO")</f>
        <v>CERO</v>
      </c>
    </row>
    <row r="1091" spans="3:31" s="260" customFormat="1" ht="15.75" thickBot="1" x14ac:dyDescent="0.3">
      <c r="C1091" s="84"/>
      <c r="D1091" s="380"/>
      <c r="E1091" s="381"/>
      <c r="F1091" s="381"/>
      <c r="G1091" s="381"/>
      <c r="H1091" s="381"/>
      <c r="I1091" s="381"/>
      <c r="J1091" s="382"/>
      <c r="K1091" s="88"/>
      <c r="M1091" s="102">
        <v>0</v>
      </c>
      <c r="N1091" s="347"/>
      <c r="O1091" s="79"/>
      <c r="P1091" s="423"/>
      <c r="Q1091" s="81"/>
      <c r="R1091" s="111"/>
      <c r="S1091" s="357"/>
      <c r="T1091" s="111"/>
      <c r="U1091" s="388"/>
      <c r="V1091" s="426"/>
      <c r="Y1091" s="393">
        <f>+IFERROR((Y1059/Q1091*P1091),0)</f>
        <v>0</v>
      </c>
      <c r="Z1091" s="391">
        <f>Y1059*V1091</f>
        <v>0</v>
      </c>
      <c r="AA1091" s="86"/>
      <c r="AB1091" s="92">
        <f>+(U1091)*Y1091*P1091</f>
        <v>0</v>
      </c>
      <c r="AC1091" s="93">
        <f>+AB1091-Z1091</f>
        <v>0</v>
      </c>
      <c r="AD1091" s="94"/>
      <c r="AE1091" s="410" t="str">
        <f>+IF(V1091=0,"CERO","NO")</f>
        <v>CERO</v>
      </c>
    </row>
    <row r="1092" spans="3:31" s="260" customFormat="1" ht="15.75" thickBot="1" x14ac:dyDescent="0.3">
      <c r="C1092" s="84"/>
      <c r="D1092" s="375" t="s">
        <v>128</v>
      </c>
      <c r="E1092" s="376" t="s">
        <v>129</v>
      </c>
      <c r="F1092" s="376" t="s">
        <v>130</v>
      </c>
      <c r="G1092" s="376" t="s">
        <v>131</v>
      </c>
      <c r="H1092" s="376" t="s">
        <v>132</v>
      </c>
      <c r="I1092" s="376" t="s">
        <v>133</v>
      </c>
      <c r="J1092" s="377" t="s">
        <v>134</v>
      </c>
      <c r="K1092" s="88"/>
      <c r="M1092" s="534"/>
      <c r="N1092" s="536" t="s">
        <v>120</v>
      </c>
      <c r="O1092" s="536"/>
      <c r="P1092" s="536"/>
      <c r="Q1092" s="536"/>
      <c r="R1092" s="536"/>
      <c r="S1092" s="536"/>
      <c r="T1092" s="536"/>
      <c r="U1092" s="536"/>
      <c r="V1092" s="82">
        <f>+SUM(V1089:V1091)</f>
        <v>5578.9666666666662</v>
      </c>
      <c r="Y1092" s="398" t="s">
        <v>135</v>
      </c>
      <c r="Z1092" s="397">
        <f>+SUM(Z1089:Z1091)</f>
        <v>150632.09999999998</v>
      </c>
      <c r="AA1092" s="86"/>
      <c r="AB1092" s="384"/>
      <c r="AC1092" s="385"/>
      <c r="AD1092" s="94"/>
      <c r="AE1092" s="399"/>
    </row>
    <row r="1093" spans="3:31" s="260" customFormat="1" ht="15.75" thickBot="1" x14ac:dyDescent="0.3">
      <c r="C1093" s="84"/>
      <c r="D1093" s="354"/>
      <c r="E1093" s="96"/>
      <c r="F1093" s="96"/>
      <c r="G1093" s="107">
        <f>+F1086</f>
        <v>2.12</v>
      </c>
      <c r="H1093" s="96"/>
      <c r="I1093" s="96"/>
      <c r="J1093" s="427"/>
      <c r="K1093" s="88"/>
      <c r="M1093" s="535"/>
      <c r="N1093" s="537" t="s">
        <v>121</v>
      </c>
      <c r="O1093" s="537"/>
      <c r="P1093" s="537"/>
      <c r="Q1093" s="537"/>
      <c r="R1093" s="537"/>
      <c r="S1093" s="537"/>
      <c r="T1093" s="537"/>
      <c r="U1093" s="537"/>
      <c r="V1093" s="413">
        <f>+ROUND(V1092,$AA$5)</f>
        <v>5578.97</v>
      </c>
      <c r="Y1093" s="401" t="s">
        <v>136</v>
      </c>
      <c r="Z1093" s="402">
        <f>+ROUND(Z1092,$AA$5)</f>
        <v>150632.1</v>
      </c>
      <c r="AA1093" s="86"/>
      <c r="AB1093" s="403">
        <f>+V1093*Y1059</f>
        <v>150632.19</v>
      </c>
      <c r="AC1093" s="404">
        <f>+AB1093-Z1093</f>
        <v>8.999999999650754E-2</v>
      </c>
      <c r="AD1093" s="94"/>
      <c r="AE1093" s="405"/>
    </row>
    <row r="1094" spans="3:31" s="260" customFormat="1" ht="15.75" thickBot="1" x14ac:dyDescent="0.3">
      <c r="C1094" s="84"/>
      <c r="D1094" s="375" t="s">
        <v>128</v>
      </c>
      <c r="E1094" s="376" t="s">
        <v>129</v>
      </c>
      <c r="F1094" s="376" t="s">
        <v>130</v>
      </c>
      <c r="G1094" s="376" t="s">
        <v>131</v>
      </c>
      <c r="H1094" s="376" t="s">
        <v>132</v>
      </c>
      <c r="I1094" s="376" t="s">
        <v>133</v>
      </c>
      <c r="J1094" s="377" t="s">
        <v>134</v>
      </c>
      <c r="K1094" s="88"/>
      <c r="M1094" s="541"/>
      <c r="N1094" s="542"/>
      <c r="O1094" s="542"/>
      <c r="P1094" s="542"/>
      <c r="Q1094" s="542"/>
      <c r="R1094" s="542"/>
      <c r="S1094" s="542"/>
      <c r="T1094" s="542"/>
      <c r="U1094" s="542"/>
      <c r="V1094" s="543"/>
      <c r="Y1094" s="378"/>
      <c r="Z1094" s="121"/>
      <c r="AA1094" s="86"/>
      <c r="AB1094" s="409"/>
      <c r="AC1094" s="121"/>
      <c r="AD1094" s="94"/>
      <c r="AE1094" s="428"/>
    </row>
    <row r="1095" spans="3:31" s="260" customFormat="1" ht="15.75" thickBot="1" x14ac:dyDescent="0.3">
      <c r="C1095" s="84"/>
      <c r="D1095" s="355"/>
      <c r="E1095" s="367"/>
      <c r="F1095" s="367"/>
      <c r="G1095" s="367"/>
      <c r="H1095" s="412">
        <f>G1093</f>
        <v>2.12</v>
      </c>
      <c r="I1095" s="412"/>
      <c r="J1095" s="422"/>
      <c r="K1095" s="88"/>
      <c r="M1095" s="544" t="s">
        <v>122</v>
      </c>
      <c r="N1095" s="537"/>
      <c r="O1095" s="537"/>
      <c r="P1095" s="537"/>
      <c r="Q1095" s="537"/>
      <c r="R1095" s="537"/>
      <c r="S1095" s="537"/>
      <c r="T1095" s="537"/>
      <c r="U1095" s="545">
        <f>+V1093+V1086+V1078+V1069</f>
        <v>9987.8000000000011</v>
      </c>
      <c r="V1095" s="546"/>
      <c r="Y1095" s="429"/>
      <c r="Z1095" s="430">
        <f>+Z1093+Z1086+Z1078+Z1069</f>
        <v>269670.46999999997</v>
      </c>
      <c r="AA1095" s="86"/>
      <c r="AB1095" s="431">
        <f>+AB1093+AB1086+AB1078+AB1069</f>
        <v>269670.60000000003</v>
      </c>
      <c r="AC1095" s="404">
        <f>+AB1095-Z1095</f>
        <v>0.13000000006286427</v>
      </c>
      <c r="AD1095" s="94"/>
      <c r="AE1095" s="432"/>
    </row>
    <row r="1096" spans="3:31" s="260" customFormat="1" ht="15.75" thickBot="1" x14ac:dyDescent="0.3"/>
    <row r="1097" spans="3:31" s="260" customFormat="1" x14ac:dyDescent="0.25">
      <c r="M1097" s="547" t="s">
        <v>348</v>
      </c>
      <c r="N1097" s="548"/>
      <c r="O1097" s="548"/>
      <c r="P1097" s="548"/>
      <c r="Q1097" s="548"/>
      <c r="R1097" s="548"/>
      <c r="S1097" s="548"/>
      <c r="T1097" s="548"/>
      <c r="U1097" s="548"/>
      <c r="V1097" s="549"/>
      <c r="Y1097" s="378"/>
      <c r="Z1097" s="121"/>
      <c r="AA1097" s="86"/>
      <c r="AB1097" s="94"/>
      <c r="AC1097" s="94"/>
      <c r="AD1097" s="94"/>
      <c r="AE1097" s="126" t="s">
        <v>133</v>
      </c>
    </row>
    <row r="1098" spans="3:31" s="260" customFormat="1" x14ac:dyDescent="0.25">
      <c r="M1098" s="515" t="s">
        <v>138</v>
      </c>
      <c r="N1098" s="516"/>
      <c r="O1098" s="516"/>
      <c r="P1098" s="516"/>
      <c r="Q1098" s="516"/>
      <c r="R1098" s="516"/>
      <c r="S1098" s="516"/>
      <c r="T1098" s="437">
        <v>0</v>
      </c>
      <c r="U1098" s="517">
        <f>+ROUND(U1095*T1098,$AA$5)</f>
        <v>0</v>
      </c>
      <c r="V1098" s="518"/>
      <c r="Y1098" s="390"/>
      <c r="Z1098" s="438">
        <f>+Z1095*T1098</f>
        <v>0</v>
      </c>
      <c r="AA1098" s="86"/>
      <c r="AB1098" s="94"/>
      <c r="AC1098" s="94"/>
      <c r="AD1098" s="94"/>
      <c r="AE1098" s="386" t="s">
        <v>133</v>
      </c>
    </row>
    <row r="1099" spans="3:31" s="260" customFormat="1" x14ac:dyDescent="0.25">
      <c r="M1099" s="515" t="s">
        <v>19</v>
      </c>
      <c r="N1099" s="516"/>
      <c r="O1099" s="516"/>
      <c r="P1099" s="516"/>
      <c r="Q1099" s="516"/>
      <c r="R1099" s="516"/>
      <c r="S1099" s="516"/>
      <c r="T1099" s="437">
        <v>0.05</v>
      </c>
      <c r="U1099" s="517">
        <f>+ROUND(U1095*T1099,$AA$5)</f>
        <v>499.39</v>
      </c>
      <c r="V1099" s="518"/>
      <c r="Y1099" s="390"/>
      <c r="Z1099" s="438">
        <f>+Z1095*T1099</f>
        <v>13483.523499999999</v>
      </c>
      <c r="AA1099" s="86"/>
      <c r="AB1099" s="94"/>
      <c r="AC1099" s="94"/>
      <c r="AD1099" s="94"/>
      <c r="AE1099" s="386" t="s">
        <v>133</v>
      </c>
    </row>
    <row r="1100" spans="3:31" s="260" customFormat="1" x14ac:dyDescent="0.25">
      <c r="M1100" s="515" t="s">
        <v>20</v>
      </c>
      <c r="N1100" s="516"/>
      <c r="O1100" s="516"/>
      <c r="P1100" s="516"/>
      <c r="Q1100" s="516"/>
      <c r="R1100" s="516"/>
      <c r="S1100" s="516"/>
      <c r="T1100" s="437">
        <v>0</v>
      </c>
      <c r="U1100" s="517">
        <f>+ROUND(U1095*T1100,$AA$5)</f>
        <v>0</v>
      </c>
      <c r="V1100" s="518"/>
      <c r="Y1100" s="390"/>
      <c r="Z1100" s="438">
        <f>+Z1095*T1100</f>
        <v>0</v>
      </c>
      <c r="AA1100" s="86"/>
      <c r="AB1100" s="94"/>
      <c r="AC1100" s="94"/>
      <c r="AD1100" s="94"/>
      <c r="AE1100" s="386" t="s">
        <v>133</v>
      </c>
    </row>
    <row r="1101" spans="3:31" s="260" customFormat="1" x14ac:dyDescent="0.25">
      <c r="M1101" s="515" t="s">
        <v>21</v>
      </c>
      <c r="N1101" s="516"/>
      <c r="O1101" s="516"/>
      <c r="P1101" s="516"/>
      <c r="Q1101" s="516"/>
      <c r="R1101" s="516"/>
      <c r="S1101" s="516"/>
      <c r="T1101" s="437">
        <f>$AA$9</f>
        <v>0</v>
      </c>
      <c r="U1101" s="517">
        <f>+ROUND(U1095*T1101,$AA$5)</f>
        <v>0</v>
      </c>
      <c r="V1101" s="518"/>
      <c r="Y1101" s="390"/>
      <c r="Z1101" s="438">
        <f>+Z1100*T1101</f>
        <v>0</v>
      </c>
      <c r="AA1101" s="86"/>
      <c r="AB1101" s="94"/>
      <c r="AC1101" s="94"/>
      <c r="AD1101" s="94"/>
      <c r="AE1101" s="386" t="s">
        <v>133</v>
      </c>
    </row>
    <row r="1102" spans="3:31" s="260" customFormat="1" ht="15.75" thickBot="1" x14ac:dyDescent="0.3">
      <c r="M1102" s="519" t="s">
        <v>349</v>
      </c>
      <c r="N1102" s="520"/>
      <c r="O1102" s="520"/>
      <c r="P1102" s="520"/>
      <c r="Q1102" s="520"/>
      <c r="R1102" s="520"/>
      <c r="S1102" s="520"/>
      <c r="T1102" s="520"/>
      <c r="U1102" s="521">
        <f>+SUM(U1098:V1101)</f>
        <v>499.39</v>
      </c>
      <c r="V1102" s="522"/>
      <c r="Y1102" s="390"/>
      <c r="Z1102" s="439">
        <f>+SUM(Z1098:Z1101)</f>
        <v>13483.523499999999</v>
      </c>
      <c r="AA1102" s="86"/>
      <c r="AB1102" s="94"/>
      <c r="AC1102" s="94"/>
      <c r="AD1102" s="94"/>
      <c r="AE1102" s="386" t="s">
        <v>133</v>
      </c>
    </row>
    <row r="1103" spans="3:31" s="260" customFormat="1" ht="15.75" thickBot="1" x14ac:dyDescent="0.3">
      <c r="D1103" s="375" t="s">
        <v>128</v>
      </c>
      <c r="E1103" s="376" t="s">
        <v>129</v>
      </c>
      <c r="F1103" s="376" t="s">
        <v>130</v>
      </c>
      <c r="G1103" s="376" t="s">
        <v>131</v>
      </c>
      <c r="H1103" s="376" t="s">
        <v>132</v>
      </c>
      <c r="I1103" s="376" t="s">
        <v>133</v>
      </c>
      <c r="J1103" s="377" t="s">
        <v>134</v>
      </c>
      <c r="M1103" s="86"/>
      <c r="N1103" s="94"/>
      <c r="O1103" s="94"/>
      <c r="P1103" s="94"/>
      <c r="Q1103" s="86"/>
      <c r="R1103" s="86"/>
      <c r="S1103" s="86"/>
      <c r="T1103" s="440"/>
      <c r="U1103" s="523"/>
      <c r="V1103" s="523"/>
      <c r="Y1103" s="390"/>
      <c r="Z1103" s="385"/>
      <c r="AA1103" s="86"/>
      <c r="AB1103" s="94"/>
      <c r="AC1103" s="94"/>
      <c r="AD1103" s="94"/>
      <c r="AE1103" s="386" t="s">
        <v>133</v>
      </c>
    </row>
    <row r="1104" spans="3:31" s="260" customFormat="1" ht="15.75" thickBot="1" x14ac:dyDescent="0.3">
      <c r="D1104" s="355"/>
      <c r="E1104" s="367"/>
      <c r="F1104" s="367"/>
      <c r="G1104" s="367"/>
      <c r="H1104" s="412"/>
      <c r="I1104" s="412">
        <f>H1095</f>
        <v>2.12</v>
      </c>
      <c r="J1104" s="422"/>
      <c r="M1104" s="524" t="s">
        <v>11</v>
      </c>
      <c r="N1104" s="525"/>
      <c r="O1104" s="525"/>
      <c r="P1104" s="525"/>
      <c r="Q1104" s="525"/>
      <c r="R1104" s="525"/>
      <c r="S1104" s="525"/>
      <c r="T1104" s="526"/>
      <c r="U1104" s="527">
        <f>+U1102+U1095</f>
        <v>10487.19</v>
      </c>
      <c r="V1104" s="528"/>
      <c r="Y1104" s="429"/>
      <c r="Z1104" s="441">
        <f>+Z1102+Z1095</f>
        <v>283153.99349999998</v>
      </c>
      <c r="AA1104" s="86"/>
      <c r="AB1104" s="94"/>
      <c r="AC1104" s="94"/>
      <c r="AD1104" s="94"/>
      <c r="AE1104" s="405" t="s">
        <v>133</v>
      </c>
    </row>
    <row r="1105" spans="3:31" s="260" customFormat="1" x14ac:dyDescent="0.25"/>
    <row r="1106" spans="3:31" s="260" customFormat="1" ht="15.75" thickBot="1" x14ac:dyDescent="0.3"/>
    <row r="1107" spans="3:31" s="260" customFormat="1" ht="15.75" thickBot="1" x14ac:dyDescent="0.3">
      <c r="M1107" s="363" t="s">
        <v>88</v>
      </c>
      <c r="N1107" s="436" t="str">
        <f>+N1058</f>
        <v>CAP.2</v>
      </c>
      <c r="O1107" s="550" t="str">
        <f>IFERROR(VLOOKUP(N1107,PPTO!C:H,2,0),"----")</f>
        <v>RED HIDRAULICA</v>
      </c>
      <c r="P1107" s="551"/>
      <c r="Q1107" s="551"/>
      <c r="R1107" s="551"/>
      <c r="S1107" s="551"/>
      <c r="T1107" s="551"/>
      <c r="U1107" s="552"/>
      <c r="V1107" s="74" t="s">
        <v>91</v>
      </c>
      <c r="Y1107" s="365" t="s">
        <v>104</v>
      </c>
      <c r="Z1107" s="94"/>
      <c r="AA1107" s="188"/>
      <c r="AB1107" s="553"/>
      <c r="AC1107" s="553"/>
      <c r="AD1107" s="553"/>
      <c r="AE1107" s="94"/>
    </row>
    <row r="1108" spans="3:31" s="260" customFormat="1" ht="15.75" thickBot="1" x14ac:dyDescent="0.3">
      <c r="C1108" s="369">
        <f>+N1108</f>
        <v>2.13</v>
      </c>
      <c r="D1108" s="86"/>
      <c r="E1108" s="86"/>
      <c r="F1108" s="86"/>
      <c r="G1108" s="86"/>
      <c r="H1108" s="86"/>
      <c r="I1108" s="86"/>
      <c r="J1108" s="86"/>
      <c r="K1108" s="370"/>
      <c r="M1108" s="75" t="s">
        <v>92</v>
      </c>
      <c r="N1108" s="371">
        <f>+ROUNDUP(N1059+0.01,2)</f>
        <v>2.13</v>
      </c>
      <c r="O1108" s="554" t="str">
        <f>IFERROR(VLOOKUP(N1108,PPTO!C:H,2,0),"----")</f>
        <v>Codo 90° PVC Ø1_1/4"</v>
      </c>
      <c r="P1108" s="555"/>
      <c r="Q1108" s="555"/>
      <c r="R1108" s="555"/>
      <c r="S1108" s="555"/>
      <c r="T1108" s="555"/>
      <c r="U1108" s="556"/>
      <c r="V1108" s="76" t="str">
        <f>IFERROR(VLOOKUP(N1108,PPTO!C:H,3,0),"----")</f>
        <v>UND</v>
      </c>
      <c r="Y1108" s="373">
        <f>SUMIFS(PPTO!F:F,PPTO!C:C,APUS!N1108)</f>
        <v>28</v>
      </c>
      <c r="Z1108" s="94"/>
      <c r="AA1108" s="86"/>
      <c r="AB1108" s="94"/>
      <c r="AC1108" s="94"/>
      <c r="AD1108" s="94"/>
      <c r="AE1108" s="94"/>
    </row>
    <row r="1109" spans="3:31" s="260" customFormat="1" ht="15.75" thickBot="1" x14ac:dyDescent="0.3">
      <c r="C1109" s="84"/>
      <c r="D1109" s="86"/>
      <c r="E1109" s="86"/>
      <c r="F1109" s="86"/>
      <c r="G1109" s="86"/>
      <c r="H1109" s="86"/>
      <c r="I1109" s="86"/>
      <c r="J1109" s="86"/>
      <c r="K1109" s="88"/>
      <c r="M1109" s="557"/>
      <c r="N1109" s="557"/>
      <c r="O1109" s="557"/>
      <c r="P1109" s="557"/>
      <c r="Q1109" s="557"/>
      <c r="R1109" s="557"/>
      <c r="S1109" s="557"/>
      <c r="T1109" s="557"/>
      <c r="U1109" s="557"/>
      <c r="V1109" s="557"/>
      <c r="Y1109" s="374"/>
      <c r="Z1109" s="94"/>
      <c r="AA1109" s="86"/>
      <c r="AB1109" s="94"/>
      <c r="AC1109" s="94"/>
      <c r="AD1109" s="94"/>
      <c r="AE1109" s="94"/>
    </row>
    <row r="1110" spans="3:31" s="260" customFormat="1" ht="15.75" thickBot="1" x14ac:dyDescent="0.3">
      <c r="C1110" s="84"/>
      <c r="D1110" s="375" t="s">
        <v>128</v>
      </c>
      <c r="E1110" s="376" t="s">
        <v>129</v>
      </c>
      <c r="F1110" s="376" t="s">
        <v>130</v>
      </c>
      <c r="G1110" s="376" t="s">
        <v>131</v>
      </c>
      <c r="H1110" s="376" t="s">
        <v>132</v>
      </c>
      <c r="I1110" s="376" t="s">
        <v>133</v>
      </c>
      <c r="J1110" s="377" t="s">
        <v>134</v>
      </c>
      <c r="K1110" s="88"/>
      <c r="M1110" s="558" t="s">
        <v>93</v>
      </c>
      <c r="N1110" s="559"/>
      <c r="O1110" s="559"/>
      <c r="P1110" s="559"/>
      <c r="Q1110" s="559"/>
      <c r="R1110" s="559"/>
      <c r="S1110" s="559"/>
      <c r="T1110" s="559"/>
      <c r="U1110" s="559"/>
      <c r="V1110" s="560"/>
      <c r="Y1110" s="378"/>
      <c r="Z1110" s="121"/>
      <c r="AA1110" s="86"/>
      <c r="AB1110" s="513"/>
      <c r="AC1110" s="514"/>
      <c r="AD1110" s="94"/>
      <c r="AE1110" s="379"/>
    </row>
    <row r="1111" spans="3:31" s="260" customFormat="1" x14ac:dyDescent="0.25">
      <c r="C1111" s="84"/>
      <c r="D1111" s="380"/>
      <c r="E1111" s="381"/>
      <c r="F1111" s="381"/>
      <c r="G1111" s="381"/>
      <c r="H1111" s="381"/>
      <c r="I1111" s="381"/>
      <c r="J1111" s="382"/>
      <c r="K1111" s="88"/>
      <c r="M1111" s="99" t="s">
        <v>94</v>
      </c>
      <c r="N1111" s="561" t="s">
        <v>95</v>
      </c>
      <c r="O1111" s="561"/>
      <c r="P1111" s="561"/>
      <c r="Q1111" s="561"/>
      <c r="R1111" s="95" t="s">
        <v>96</v>
      </c>
      <c r="S1111" s="95" t="s">
        <v>97</v>
      </c>
      <c r="T1111" s="562" t="s">
        <v>8</v>
      </c>
      <c r="U1111" s="562"/>
      <c r="V1111" s="100" t="s">
        <v>98</v>
      </c>
      <c r="Y1111" s="383" t="s">
        <v>104</v>
      </c>
      <c r="Z1111" s="119" t="s">
        <v>9</v>
      </c>
      <c r="AA1111" s="86"/>
      <c r="AB1111" s="384"/>
      <c r="AC1111" s="385"/>
      <c r="AD1111" s="94"/>
      <c r="AE1111" s="386"/>
    </row>
    <row r="1112" spans="3:31" s="260" customFormat="1" x14ac:dyDescent="0.25">
      <c r="C1112" s="84"/>
      <c r="D1112" s="85"/>
      <c r="E1112" s="86"/>
      <c r="F1112" s="86"/>
      <c r="G1112" s="86"/>
      <c r="H1112" s="86"/>
      <c r="I1112" s="86"/>
      <c r="J1112" s="87"/>
      <c r="K1112" s="88"/>
      <c r="M1112" s="102"/>
      <c r="N1112" s="533" t="s">
        <v>99</v>
      </c>
      <c r="O1112" s="533"/>
      <c r="P1112" s="533"/>
      <c r="Q1112" s="533"/>
      <c r="R1112" s="78" t="s">
        <v>100</v>
      </c>
      <c r="S1112" s="387">
        <f>+$AA$10</f>
        <v>0.05</v>
      </c>
      <c r="T1112" s="563">
        <f>V1142</f>
        <v>5578.97</v>
      </c>
      <c r="U1112" s="563"/>
      <c r="V1112" s="389">
        <f>+IFERROR(T1112*S1112,0)</f>
        <v>278.94850000000002</v>
      </c>
      <c r="Y1112" s="390"/>
      <c r="Z1112" s="391">
        <f>Y1108*V1112</f>
        <v>7810.5580000000009</v>
      </c>
      <c r="AA1112" s="86"/>
      <c r="AB1112" s="384"/>
      <c r="AC1112" s="385"/>
      <c r="AD1112" s="94"/>
      <c r="AE1112" s="386" t="str">
        <f>+IF(V1112=0,"CERO","NO")</f>
        <v>NO</v>
      </c>
    </row>
    <row r="1113" spans="3:31" s="260" customFormat="1" x14ac:dyDescent="0.25">
      <c r="C1113" s="84"/>
      <c r="D1113" s="85"/>
      <c r="E1113" s="86"/>
      <c r="F1113" s="86"/>
      <c r="G1113" s="86"/>
      <c r="H1113" s="86"/>
      <c r="I1113" s="86"/>
      <c r="J1113" s="87"/>
      <c r="K1113" s="88"/>
      <c r="M1113" s="106"/>
      <c r="N1113" s="533" t="str">
        <f>IFERROR(VLOOKUP(M1113,INSUMOS!$C$8:$K$928,2,0),"-----")</f>
        <v>-----</v>
      </c>
      <c r="O1113" s="533"/>
      <c r="P1113" s="533"/>
      <c r="Q1113" s="533"/>
      <c r="R1113" s="78" t="str">
        <f>IFERROR(VLOOKUP(M1113,INSUMOS!$C$8:$K$928,6,0),"-----")</f>
        <v>-----</v>
      </c>
      <c r="S1113" s="392"/>
      <c r="T1113" s="529" t="str">
        <f>IFERROR(VLOOKUP(M1113,INSUMOS!$C$8:$K$928,7,0),"0")</f>
        <v>0</v>
      </c>
      <c r="U1113" s="529"/>
      <c r="V1113" s="389">
        <f>+IFERROR(T1113*S1113,0)</f>
        <v>0</v>
      </c>
      <c r="Y1113" s="393">
        <f>+IFERROR(Y1108*S1113,0)</f>
        <v>0</v>
      </c>
      <c r="Z1113" s="391">
        <f>Y1108*V1113</f>
        <v>0</v>
      </c>
      <c r="AA1113" s="394"/>
      <c r="AB1113" s="395">
        <f>+Y1113*T1113</f>
        <v>0</v>
      </c>
      <c r="AC1113" s="93">
        <f>+AB1113-Z1113</f>
        <v>0</v>
      </c>
      <c r="AD1113" s="94"/>
      <c r="AE1113" s="386" t="str">
        <f>+IF(V1113=0,"CERO","NO")</f>
        <v>CERO</v>
      </c>
    </row>
    <row r="1114" spans="3:31" s="260" customFormat="1" x14ac:dyDescent="0.25">
      <c r="C1114" s="84"/>
      <c r="D1114" s="85"/>
      <c r="E1114" s="86"/>
      <c r="F1114" s="86"/>
      <c r="G1114" s="86"/>
      <c r="H1114" s="86"/>
      <c r="I1114" s="86"/>
      <c r="J1114" s="87"/>
      <c r="K1114" s="88"/>
      <c r="M1114" s="102">
        <v>0</v>
      </c>
      <c r="N1114" s="533"/>
      <c r="O1114" s="533"/>
      <c r="P1114" s="533"/>
      <c r="Q1114" s="533"/>
      <c r="R1114" s="78"/>
      <c r="S1114" s="396"/>
      <c r="T1114" s="529"/>
      <c r="U1114" s="529"/>
      <c r="V1114" s="397"/>
      <c r="Y1114" s="393">
        <f>+IFERROR(Y1108*S1114,0)</f>
        <v>0</v>
      </c>
      <c r="Z1114" s="391">
        <f>Y1108*V1114</f>
        <v>0</v>
      </c>
      <c r="AA1114" s="394"/>
      <c r="AB1114" s="395">
        <f>+Y1114*T1114</f>
        <v>0</v>
      </c>
      <c r="AC1114" s="93">
        <f>+AB1114-Z1114</f>
        <v>0</v>
      </c>
      <c r="AD1114" s="94"/>
      <c r="AE1114" s="386" t="str">
        <f>+IF(V1114=0,"CERO","NO")</f>
        <v>CERO</v>
      </c>
    </row>
    <row r="1115" spans="3:31" s="260" customFormat="1" x14ac:dyDescent="0.25">
      <c r="C1115" s="84"/>
      <c r="D1115" s="85"/>
      <c r="E1115" s="86"/>
      <c r="F1115" s="86"/>
      <c r="G1115" s="86"/>
      <c r="H1115" s="86"/>
      <c r="I1115" s="86"/>
      <c r="J1115" s="87"/>
      <c r="K1115" s="88"/>
      <c r="M1115" s="102">
        <v>0</v>
      </c>
      <c r="N1115" s="533"/>
      <c r="O1115" s="533"/>
      <c r="P1115" s="533"/>
      <c r="Q1115" s="533"/>
      <c r="R1115" s="78"/>
      <c r="S1115" s="396"/>
      <c r="T1115" s="529"/>
      <c r="U1115" s="529"/>
      <c r="V1115" s="397"/>
      <c r="Y1115" s="393">
        <f>+IFERROR(Y1108*S1115,0)</f>
        <v>0</v>
      </c>
      <c r="Z1115" s="391">
        <f>Y1108*V1115</f>
        <v>0</v>
      </c>
      <c r="AA1115" s="394"/>
      <c r="AB1115" s="395">
        <f>+Y1115*T1115</f>
        <v>0</v>
      </c>
      <c r="AC1115" s="93">
        <f>+AB1115-Z1115</f>
        <v>0</v>
      </c>
      <c r="AD1115" s="94"/>
      <c r="AE1115" s="386" t="str">
        <f>+IF(V1115=0,"CERO","NO")</f>
        <v>CERO</v>
      </c>
    </row>
    <row r="1116" spans="3:31" s="260" customFormat="1" ht="15.75" thickBot="1" x14ac:dyDescent="0.3">
      <c r="C1116" s="84"/>
      <c r="D1116" s="85"/>
      <c r="E1116" s="86"/>
      <c r="F1116" s="86"/>
      <c r="G1116" s="86"/>
      <c r="H1116" s="86"/>
      <c r="I1116" s="86"/>
      <c r="J1116" s="87"/>
      <c r="K1116" s="88"/>
      <c r="M1116" s="102">
        <v>0</v>
      </c>
      <c r="N1116" s="564"/>
      <c r="O1116" s="564"/>
      <c r="P1116" s="564"/>
      <c r="Q1116" s="564"/>
      <c r="R1116" s="96"/>
      <c r="S1116" s="96"/>
      <c r="T1116" s="565"/>
      <c r="U1116" s="565"/>
      <c r="V1116" s="101"/>
      <c r="Y1116" s="393">
        <f>+IFERROR(Y1108*S1116,0)</f>
        <v>0</v>
      </c>
      <c r="Z1116" s="391">
        <f>Y1108*V1116</f>
        <v>0</v>
      </c>
      <c r="AA1116" s="394"/>
      <c r="AB1116" s="395">
        <f>+Y1116*T1116</f>
        <v>0</v>
      </c>
      <c r="AC1116" s="93">
        <f>+AB1116-Z1116</f>
        <v>0</v>
      </c>
      <c r="AD1116" s="94"/>
      <c r="AE1116" s="386" t="str">
        <f>+IF(V1116=0,"CERO","NO")</f>
        <v>CERO</v>
      </c>
    </row>
    <row r="1117" spans="3:31" s="260" customFormat="1" ht="15.75" thickBot="1" x14ac:dyDescent="0.3">
      <c r="C1117" s="84"/>
      <c r="D1117" s="375" t="s">
        <v>128</v>
      </c>
      <c r="E1117" s="376" t="s">
        <v>129</v>
      </c>
      <c r="F1117" s="376" t="s">
        <v>130</v>
      </c>
      <c r="G1117" s="376" t="s">
        <v>131</v>
      </c>
      <c r="H1117" s="376" t="s">
        <v>132</v>
      </c>
      <c r="I1117" s="376" t="s">
        <v>133</v>
      </c>
      <c r="J1117" s="377" t="s">
        <v>134</v>
      </c>
      <c r="K1117" s="88"/>
      <c r="M1117" s="534"/>
      <c r="N1117" s="536" t="s">
        <v>101</v>
      </c>
      <c r="O1117" s="536"/>
      <c r="P1117" s="536"/>
      <c r="Q1117" s="536"/>
      <c r="R1117" s="536"/>
      <c r="S1117" s="536"/>
      <c r="T1117" s="536"/>
      <c r="U1117" s="536"/>
      <c r="V1117" s="389">
        <f>+SUM(V1112:V1116)</f>
        <v>278.94850000000002</v>
      </c>
      <c r="Y1117" s="398" t="s">
        <v>135</v>
      </c>
      <c r="Z1117" s="397">
        <f>+SUM(Z1112:Z1116)</f>
        <v>7810.5580000000009</v>
      </c>
      <c r="AA1117" s="86"/>
      <c r="AB1117" s="384"/>
      <c r="AC1117" s="385"/>
      <c r="AD1117" s="94"/>
      <c r="AE1117" s="399"/>
    </row>
    <row r="1118" spans="3:31" s="260" customFormat="1" ht="15.75" thickBot="1" x14ac:dyDescent="0.3">
      <c r="C1118" s="84"/>
      <c r="D1118" s="375">
        <f>C1108</f>
        <v>2.13</v>
      </c>
      <c r="E1118" s="376"/>
      <c r="F1118" s="376"/>
      <c r="G1118" s="376"/>
      <c r="H1118" s="376"/>
      <c r="I1118" s="376"/>
      <c r="J1118" s="377"/>
      <c r="K1118" s="88"/>
      <c r="M1118" s="566"/>
      <c r="N1118" s="567" t="s">
        <v>102</v>
      </c>
      <c r="O1118" s="567"/>
      <c r="P1118" s="567"/>
      <c r="Q1118" s="567"/>
      <c r="R1118" s="567"/>
      <c r="S1118" s="567"/>
      <c r="T1118" s="567"/>
      <c r="U1118" s="567"/>
      <c r="V1118" s="400">
        <f>+ROUND(V1117,$AA$5)</f>
        <v>278.95</v>
      </c>
      <c r="Y1118" s="401" t="s">
        <v>136</v>
      </c>
      <c r="Z1118" s="402">
        <f>+ROUND(Z1117,$AA$5)</f>
        <v>7810.56</v>
      </c>
      <c r="AA1118" s="86"/>
      <c r="AB1118" s="403">
        <f>+V1118*Y1108</f>
        <v>7810.5999999999995</v>
      </c>
      <c r="AC1118" s="404">
        <f>+AB1118-Z1118</f>
        <v>3.9999999999054126E-2</v>
      </c>
      <c r="AD1118" s="94"/>
      <c r="AE1118" s="405"/>
    </row>
    <row r="1119" spans="3:31" s="260" customFormat="1" x14ac:dyDescent="0.25">
      <c r="C1119" s="84"/>
      <c r="D1119" s="380"/>
      <c r="E1119" s="381"/>
      <c r="F1119" s="381"/>
      <c r="G1119" s="381"/>
      <c r="H1119" s="381"/>
      <c r="I1119" s="381"/>
      <c r="J1119" s="382"/>
      <c r="K1119" s="88"/>
      <c r="M1119" s="510" t="s">
        <v>103</v>
      </c>
      <c r="N1119" s="511"/>
      <c r="O1119" s="511"/>
      <c r="P1119" s="511"/>
      <c r="Q1119" s="511"/>
      <c r="R1119" s="511"/>
      <c r="S1119" s="511"/>
      <c r="T1119" s="511"/>
      <c r="U1119" s="511"/>
      <c r="V1119" s="512"/>
      <c r="Y1119" s="378"/>
      <c r="Z1119" s="121"/>
      <c r="AA1119" s="86"/>
      <c r="AB1119" s="513"/>
      <c r="AC1119" s="514"/>
      <c r="AD1119" s="94"/>
      <c r="AE1119" s="126"/>
    </row>
    <row r="1120" spans="3:31" s="260" customFormat="1" x14ac:dyDescent="0.25">
      <c r="C1120" s="84"/>
      <c r="D1120" s="85"/>
      <c r="E1120" s="86"/>
      <c r="F1120" s="86"/>
      <c r="G1120" s="86"/>
      <c r="H1120" s="86"/>
      <c r="I1120" s="86"/>
      <c r="J1120" s="87"/>
      <c r="K1120" s="88"/>
      <c r="M1120" s="99" t="s">
        <v>94</v>
      </c>
      <c r="N1120" s="561" t="s">
        <v>95</v>
      </c>
      <c r="O1120" s="561"/>
      <c r="P1120" s="561"/>
      <c r="Q1120" s="561"/>
      <c r="R1120" s="95" t="s">
        <v>96</v>
      </c>
      <c r="S1120" s="95" t="s">
        <v>104</v>
      </c>
      <c r="T1120" s="356" t="s">
        <v>105</v>
      </c>
      <c r="U1120" s="356" t="s">
        <v>8</v>
      </c>
      <c r="V1120" s="100" t="s">
        <v>98</v>
      </c>
      <c r="Y1120" s="383" t="s">
        <v>104</v>
      </c>
      <c r="Z1120" s="119" t="s">
        <v>9</v>
      </c>
      <c r="AA1120" s="86"/>
      <c r="AB1120" s="384"/>
      <c r="AC1120" s="385"/>
      <c r="AD1120" s="94"/>
      <c r="AE1120" s="406"/>
    </row>
    <row r="1121" spans="3:31" s="260" customFormat="1" x14ac:dyDescent="0.25">
      <c r="C1121" s="84"/>
      <c r="D1121" s="85"/>
      <c r="E1121" s="86"/>
      <c r="F1121" s="86"/>
      <c r="G1121" s="86"/>
      <c r="H1121" s="86"/>
      <c r="I1121" s="86"/>
      <c r="J1121" s="87"/>
      <c r="K1121" s="88"/>
      <c r="M1121" s="102">
        <v>704</v>
      </c>
      <c r="N1121" s="533" t="str">
        <f>IFERROR(VLOOKUP(M1121,INSUMOS!$C$8:$K$928,2,0),"-----")</f>
        <v>CODO 90 PVC-P 1 1/4"</v>
      </c>
      <c r="O1121" s="533"/>
      <c r="P1121" s="533"/>
      <c r="Q1121" s="533"/>
      <c r="R1121" s="78" t="str">
        <f>IFERROR(VLOOKUP(M1121,INSUMOS!$C$8:$K$928,6,0),"-----")</f>
        <v>und</v>
      </c>
      <c r="S1121" s="396">
        <v>1</v>
      </c>
      <c r="T1121" s="387">
        <v>0</v>
      </c>
      <c r="U1121" s="388">
        <f>IFERROR(VLOOKUP(M1121,INSUMOS!$C$8:$K$928,7,0),"0")</f>
        <v>5184</v>
      </c>
      <c r="V1121" s="389">
        <f>+IFERROR(U1121*(S1121*(1+T1121)),0)</f>
        <v>5184</v>
      </c>
      <c r="Y1121" s="393">
        <f>+IFERROR(Y1108*(S1121*(1+T1121)),0)</f>
        <v>28</v>
      </c>
      <c r="Z1121" s="391">
        <f>Y1108*V1121</f>
        <v>145152</v>
      </c>
      <c r="AA1121" s="394"/>
      <c r="AB1121" s="395">
        <f>+Y1121*U1121</f>
        <v>145152</v>
      </c>
      <c r="AC1121" s="93">
        <f>+AB1121-Z1121</f>
        <v>0</v>
      </c>
      <c r="AD1121" s="94"/>
      <c r="AE1121" s="406" t="str">
        <f>+IF(V1121=0,"CERO","NO")</f>
        <v>NO</v>
      </c>
    </row>
    <row r="1122" spans="3:31" s="260" customFormat="1" x14ac:dyDescent="0.25">
      <c r="C1122" s="84"/>
      <c r="D1122" s="85"/>
      <c r="E1122" s="86"/>
      <c r="F1122" s="86"/>
      <c r="G1122" s="86"/>
      <c r="H1122" s="86"/>
      <c r="I1122" s="86"/>
      <c r="J1122" s="87"/>
      <c r="K1122" s="88"/>
      <c r="M1122" s="102">
        <v>699</v>
      </c>
      <c r="N1122" s="533" t="str">
        <f>IFERROR(VLOOKUP(M1122,INSUMOS!$C$8:$K$928,2,0),"-----")</f>
        <v>SOLDADURA PVC LIQUIDA 1/4"</v>
      </c>
      <c r="O1122" s="533"/>
      <c r="P1122" s="533"/>
      <c r="Q1122" s="533"/>
      <c r="R1122" s="78" t="str">
        <f>IFERROR(VLOOKUP(M1122,INSUMOS!$C$8:$K$928,6,0),"-----")</f>
        <v>und</v>
      </c>
      <c r="S1122" s="392">
        <v>5.0000000000000001E-3</v>
      </c>
      <c r="T1122" s="387">
        <v>0.02</v>
      </c>
      <c r="U1122" s="388">
        <f>IFERROR(VLOOKUP(M1122,INSUMOS!$C$8:$K$928,7,0),"0")</f>
        <v>146569</v>
      </c>
      <c r="V1122" s="389">
        <f>+IFERROR(U1122*(S1122*(1+T1122)),0)</f>
        <v>747.50190000000009</v>
      </c>
      <c r="Y1122" s="393">
        <f>+IFERROR(Y1108*(S1122*(1+T1122)),0)</f>
        <v>0.14280000000000001</v>
      </c>
      <c r="Z1122" s="391">
        <f>Y1108*V1122</f>
        <v>20930.053200000002</v>
      </c>
      <c r="AA1122" s="394"/>
      <c r="AB1122" s="395">
        <f>+Y1122*U1122</f>
        <v>20930.053200000002</v>
      </c>
      <c r="AC1122" s="93">
        <f>+AB1122-Z1122</f>
        <v>0</v>
      </c>
      <c r="AD1122" s="94"/>
      <c r="AE1122" s="406" t="str">
        <f>+IF(V1122=0,"CERO","NO")</f>
        <v>NO</v>
      </c>
    </row>
    <row r="1123" spans="3:31" s="260" customFormat="1" x14ac:dyDescent="0.25">
      <c r="C1123" s="84"/>
      <c r="D1123" s="85"/>
      <c r="E1123" s="86"/>
      <c r="F1123" s="86"/>
      <c r="G1123" s="86"/>
      <c r="H1123" s="86"/>
      <c r="I1123" s="86"/>
      <c r="J1123" s="87"/>
      <c r="K1123" s="88"/>
      <c r="M1123" s="102">
        <v>700</v>
      </c>
      <c r="N1123" s="533" t="str">
        <f>IFERROR(VLOOKUP(M1123,INSUMOS!$C$8:$K$928,2,0),"-----")</f>
        <v>LIMPIADOR PVC 1/4</v>
      </c>
      <c r="O1123" s="533"/>
      <c r="P1123" s="533"/>
      <c r="Q1123" s="533"/>
      <c r="R1123" s="78" t="str">
        <f>IFERROR(VLOOKUP(M1123,INSUMOS!$C$8:$K$928,6,0),"-----")</f>
        <v>und</v>
      </c>
      <c r="S1123" s="392">
        <v>5.0000000000000001E-3</v>
      </c>
      <c r="T1123" s="387">
        <v>0.02</v>
      </c>
      <c r="U1123" s="388">
        <f>IFERROR(VLOOKUP(M1123,INSUMOS!$C$8:$K$928,7,0),"0")</f>
        <v>65913</v>
      </c>
      <c r="V1123" s="389">
        <f>+IFERROR(U1123*(S1123*(1+T1123)),0)</f>
        <v>336.15630000000004</v>
      </c>
      <c r="Y1123" s="393">
        <f>+IFERROR(Y1108*(S1123*(1+T1123)),0)</f>
        <v>0.14280000000000001</v>
      </c>
      <c r="Z1123" s="391">
        <f>Y1108*V1123</f>
        <v>9412.376400000001</v>
      </c>
      <c r="AA1123" s="394"/>
      <c r="AB1123" s="395">
        <f>+Y1123*U1123</f>
        <v>9412.376400000001</v>
      </c>
      <c r="AC1123" s="93">
        <f>+AB1123-Z1123</f>
        <v>0</v>
      </c>
      <c r="AD1123" s="94"/>
      <c r="AE1123" s="406" t="str">
        <f>+IF(V1123=0,"CERO","NO")</f>
        <v>NO</v>
      </c>
    </row>
    <row r="1124" spans="3:31" s="260" customFormat="1" x14ac:dyDescent="0.25">
      <c r="C1124" s="84"/>
      <c r="D1124" s="85"/>
      <c r="E1124" s="86"/>
      <c r="F1124" s="86"/>
      <c r="G1124" s="86"/>
      <c r="H1124" s="86"/>
      <c r="I1124" s="86"/>
      <c r="J1124" s="87"/>
      <c r="K1124" s="88"/>
      <c r="M1124" s="102">
        <v>0</v>
      </c>
      <c r="N1124" s="533" t="str">
        <f>IFERROR(VLOOKUP(M1124,INSUMOS!$C$8:$K$928,2,0),"-----")</f>
        <v>-----</v>
      </c>
      <c r="O1124" s="533"/>
      <c r="P1124" s="533"/>
      <c r="Q1124" s="533"/>
      <c r="R1124" s="78" t="str">
        <f>IFERROR(VLOOKUP(M1124,INSUMOS!$C$8:$K$928,6,0),"-----")</f>
        <v>-----</v>
      </c>
      <c r="S1124" s="396"/>
      <c r="T1124" s="387"/>
      <c r="U1124" s="388" t="str">
        <f>IFERROR(VLOOKUP(M1124,INSUMOS!$C$8:$K$928,7,0),"0")</f>
        <v>0</v>
      </c>
      <c r="V1124" s="389">
        <f>+IFERROR(U1124*(S1124*(1+T1124)),0)</f>
        <v>0</v>
      </c>
      <c r="Y1124" s="393">
        <f>+IFERROR(Y1108*(S1124*(1+T1124)),0)</f>
        <v>0</v>
      </c>
      <c r="Z1124" s="391">
        <f>Y1108*V1124</f>
        <v>0</v>
      </c>
      <c r="AA1124" s="394"/>
      <c r="AB1124" s="395">
        <f>+Y1124*U1124</f>
        <v>0</v>
      </c>
      <c r="AC1124" s="93">
        <f>+AB1124-Z1124</f>
        <v>0</v>
      </c>
      <c r="AD1124" s="94"/>
      <c r="AE1124" s="406" t="str">
        <f>+IF(V1124=0,"CERO","NO")</f>
        <v>CERO</v>
      </c>
    </row>
    <row r="1125" spans="3:31" s="260" customFormat="1" ht="15.75" thickBot="1" x14ac:dyDescent="0.3">
      <c r="C1125" s="84"/>
      <c r="D1125" s="85"/>
      <c r="E1125" s="86"/>
      <c r="F1125" s="86"/>
      <c r="G1125" s="86"/>
      <c r="H1125" s="86"/>
      <c r="I1125" s="86"/>
      <c r="J1125" s="87"/>
      <c r="K1125" s="88"/>
      <c r="M1125" s="102">
        <v>0</v>
      </c>
      <c r="N1125" s="564"/>
      <c r="O1125" s="564"/>
      <c r="P1125" s="564"/>
      <c r="Q1125" s="564"/>
      <c r="R1125" s="96"/>
      <c r="S1125" s="79"/>
      <c r="T1125" s="97"/>
      <c r="U1125" s="358"/>
      <c r="V1125" s="397"/>
      <c r="Y1125" s="393">
        <f>+IFERROR(Y1108*(S1125*(1+T1125)),0)</f>
        <v>0</v>
      </c>
      <c r="Z1125" s="391">
        <f>Y1108*V1125</f>
        <v>0</v>
      </c>
      <c r="AA1125" s="394"/>
      <c r="AB1125" s="395">
        <f>+Y1125*U1125</f>
        <v>0</v>
      </c>
      <c r="AC1125" s="93">
        <f>+AB1125-Z1125</f>
        <v>0</v>
      </c>
      <c r="AD1125" s="94"/>
      <c r="AE1125" s="406" t="str">
        <f>+IF(V1125=0,"CERO","NO")</f>
        <v>CERO</v>
      </c>
    </row>
    <row r="1126" spans="3:31" s="260" customFormat="1" ht="15.75" thickBot="1" x14ac:dyDescent="0.3">
      <c r="C1126" s="84"/>
      <c r="D1126" s="375" t="s">
        <v>128</v>
      </c>
      <c r="E1126" s="376" t="s">
        <v>129</v>
      </c>
      <c r="F1126" s="376" t="s">
        <v>130</v>
      </c>
      <c r="G1126" s="376" t="s">
        <v>131</v>
      </c>
      <c r="H1126" s="376" t="s">
        <v>132</v>
      </c>
      <c r="I1126" s="376" t="s">
        <v>133</v>
      </c>
      <c r="J1126" s="377" t="s">
        <v>134</v>
      </c>
      <c r="K1126" s="88"/>
      <c r="M1126" s="534"/>
      <c r="N1126" s="536" t="s">
        <v>106</v>
      </c>
      <c r="O1126" s="536"/>
      <c r="P1126" s="536"/>
      <c r="Q1126" s="536"/>
      <c r="R1126" s="536"/>
      <c r="S1126" s="536"/>
      <c r="T1126" s="536"/>
      <c r="U1126" s="536"/>
      <c r="V1126" s="389">
        <f>+SUM(V1121:V1125)</f>
        <v>6267.6581999999999</v>
      </c>
      <c r="Y1126" s="398" t="s">
        <v>135</v>
      </c>
      <c r="Z1126" s="397">
        <f>+SUM(Z1121:Z1125)</f>
        <v>175494.4296</v>
      </c>
      <c r="AA1126" s="86"/>
      <c r="AB1126" s="384"/>
      <c r="AC1126" s="385"/>
      <c r="AD1126" s="94"/>
      <c r="AE1126" s="399"/>
    </row>
    <row r="1127" spans="3:31" s="260" customFormat="1" ht="15.75" thickBot="1" x14ac:dyDescent="0.3">
      <c r="C1127" s="84"/>
      <c r="D1127" s="375"/>
      <c r="E1127" s="407">
        <f>+D1118</f>
        <v>2.13</v>
      </c>
      <c r="F1127" s="376"/>
      <c r="G1127" s="376"/>
      <c r="H1127" s="376"/>
      <c r="I1127" s="376"/>
      <c r="J1127" s="377"/>
      <c r="K1127" s="88"/>
      <c r="M1127" s="535"/>
      <c r="N1127" s="537" t="s">
        <v>107</v>
      </c>
      <c r="O1127" s="537"/>
      <c r="P1127" s="537"/>
      <c r="Q1127" s="537"/>
      <c r="R1127" s="537"/>
      <c r="S1127" s="537"/>
      <c r="T1127" s="537"/>
      <c r="U1127" s="537"/>
      <c r="V1127" s="408">
        <f>+ROUND(V1126,$AA$5)</f>
        <v>6267.66</v>
      </c>
      <c r="Y1127" s="401" t="s">
        <v>136</v>
      </c>
      <c r="Z1127" s="402">
        <f>+ROUND(Z1126,$AA$5)</f>
        <v>175494.43</v>
      </c>
      <c r="AA1127" s="86"/>
      <c r="AB1127" s="403">
        <f>+V1127*Y1108</f>
        <v>175494.47999999998</v>
      </c>
      <c r="AC1127" s="404">
        <f>+AB1127-Z1127</f>
        <v>4.9999999988358468E-2</v>
      </c>
      <c r="AD1127" s="94"/>
      <c r="AE1127" s="405"/>
    </row>
    <row r="1128" spans="3:31" s="260" customFormat="1" x14ac:dyDescent="0.25">
      <c r="C1128" s="84"/>
      <c r="D1128" s="380"/>
      <c r="E1128" s="381"/>
      <c r="F1128" s="381"/>
      <c r="G1128" s="381"/>
      <c r="H1128" s="381"/>
      <c r="I1128" s="381"/>
      <c r="J1128" s="382"/>
      <c r="K1128" s="88"/>
      <c r="M1128" s="568" t="s">
        <v>108</v>
      </c>
      <c r="N1128" s="569"/>
      <c r="O1128" s="569"/>
      <c r="P1128" s="569"/>
      <c r="Q1128" s="569"/>
      <c r="R1128" s="569"/>
      <c r="S1128" s="569"/>
      <c r="T1128" s="569"/>
      <c r="U1128" s="569"/>
      <c r="V1128" s="570"/>
      <c r="Y1128" s="378"/>
      <c r="Z1128" s="121"/>
      <c r="AA1128" s="86"/>
      <c r="AB1128" s="409"/>
      <c r="AC1128" s="121"/>
      <c r="AD1128" s="94"/>
      <c r="AE1128" s="126"/>
    </row>
    <row r="1129" spans="3:31" s="260" customFormat="1" ht="25.5" x14ac:dyDescent="0.25">
      <c r="C1129" s="84"/>
      <c r="D1129" s="85"/>
      <c r="E1129" s="86"/>
      <c r="F1129" s="86"/>
      <c r="G1129" s="86"/>
      <c r="H1129" s="86"/>
      <c r="I1129" s="86"/>
      <c r="J1129" s="87"/>
      <c r="K1129" s="88"/>
      <c r="M1129" s="99" t="s">
        <v>94</v>
      </c>
      <c r="N1129" s="561" t="s">
        <v>95</v>
      </c>
      <c r="O1129" s="561"/>
      <c r="P1129" s="561"/>
      <c r="Q1129" s="95" t="s">
        <v>109</v>
      </c>
      <c r="R1129" s="95" t="s">
        <v>110</v>
      </c>
      <c r="S1129" s="95" t="s">
        <v>111</v>
      </c>
      <c r="T1129" s="562" t="s">
        <v>112</v>
      </c>
      <c r="U1129" s="562"/>
      <c r="V1129" s="100" t="s">
        <v>98</v>
      </c>
      <c r="Y1129" s="383" t="s">
        <v>104</v>
      </c>
      <c r="Z1129" s="119" t="s">
        <v>9</v>
      </c>
      <c r="AA1129" s="86"/>
      <c r="AB1129" s="384"/>
      <c r="AC1129" s="385"/>
      <c r="AD1129" s="94"/>
      <c r="AE1129" s="410"/>
    </row>
    <row r="1130" spans="3:31" s="260" customFormat="1" x14ac:dyDescent="0.25">
      <c r="C1130" s="84"/>
      <c r="D1130" s="85"/>
      <c r="E1130" s="86"/>
      <c r="F1130" s="86"/>
      <c r="G1130" s="86"/>
      <c r="H1130" s="86"/>
      <c r="I1130" s="86"/>
      <c r="J1130" s="87"/>
      <c r="K1130" s="88"/>
      <c r="M1130" s="102">
        <v>129</v>
      </c>
      <c r="N1130" s="530" t="str">
        <f>IFERROR(VLOOKUP(M1130,INSUMOS!$C$8:$K$928,2,0),"-----")</f>
        <v>transporte materiales en general</v>
      </c>
      <c r="O1130" s="531"/>
      <c r="P1130" s="532"/>
      <c r="Q1130" s="78" t="str">
        <f>IFERROR(VLOOKUP(M1130,INSUMOS!$C$8:$K$928,5,0),"-----")</f>
        <v>Km</v>
      </c>
      <c r="R1130" s="80">
        <v>1</v>
      </c>
      <c r="S1130" s="80">
        <f>IFERROR(VLOOKUP(M1130,INSUMOS!$C$8:$K$928,6,0),"0")</f>
        <v>348</v>
      </c>
      <c r="T1130" s="529">
        <f>IFERROR(VLOOKUP(M1130,INSUMOS!$C$8:$K$928,7,0),"0")</f>
        <v>0.99776362060288992</v>
      </c>
      <c r="U1130" s="529"/>
      <c r="V1130" s="82">
        <f>+T1130*S1130*R1130</f>
        <v>347.2217399698057</v>
      </c>
      <c r="Y1130" s="393">
        <f>+IFERROR((R1130*S1130)*Y1108,0)</f>
        <v>9744</v>
      </c>
      <c r="Z1130" s="391">
        <f>Y1108*V1130</f>
        <v>9722.2087191545597</v>
      </c>
      <c r="AA1130" s="86"/>
      <c r="AB1130" s="92">
        <f>+Y1130*T1130</f>
        <v>9722.2087191545597</v>
      </c>
      <c r="AC1130" s="93">
        <f>+AB1130-Z1130</f>
        <v>0</v>
      </c>
      <c r="AD1130" s="94"/>
      <c r="AE1130" s="406" t="str">
        <f>+IF(V1130=0,"CERO","NO")</f>
        <v>NO</v>
      </c>
    </row>
    <row r="1131" spans="3:31" s="260" customFormat="1" x14ac:dyDescent="0.25">
      <c r="C1131" s="84"/>
      <c r="D1131" s="85"/>
      <c r="E1131" s="86"/>
      <c r="F1131" s="86"/>
      <c r="G1131" s="86"/>
      <c r="H1131" s="86"/>
      <c r="I1131" s="86"/>
      <c r="J1131" s="87"/>
      <c r="K1131" s="88"/>
      <c r="M1131" s="102">
        <v>0</v>
      </c>
      <c r="N1131" s="530" t="str">
        <f>IFERROR(VLOOKUP(M1131,INSUMOS!$C$8:$K$928,2,0),"-----")</f>
        <v>-----</v>
      </c>
      <c r="O1131" s="531"/>
      <c r="P1131" s="532"/>
      <c r="Q1131" s="78" t="str">
        <f>IFERROR(VLOOKUP(M1131,INSUMOS!$C$8:$K$928,5,0),"-----")</f>
        <v>-----</v>
      </c>
      <c r="R1131" s="80"/>
      <c r="S1131" s="80" t="str">
        <f>IFERROR(VLOOKUP(M1131,INSUMOS!$C$8:$K$928,6,0),"0")</f>
        <v>0</v>
      </c>
      <c r="T1131" s="529" t="str">
        <f>IFERROR(VLOOKUP(M1131,INSUMOS!$C$8:$K$928,7,0),"0")</f>
        <v>0</v>
      </c>
      <c r="U1131" s="529"/>
      <c r="V1131" s="82">
        <f>+T1131*S1131*R1131</f>
        <v>0</v>
      </c>
      <c r="Y1131" s="393">
        <f>+IFERROR((R1131*S1131)*Y1108,0)</f>
        <v>0</v>
      </c>
      <c r="Z1131" s="391">
        <f>Y1108*V1131</f>
        <v>0</v>
      </c>
      <c r="AA1131" s="86"/>
      <c r="AB1131" s="92">
        <f>+Y1131*T1131</f>
        <v>0</v>
      </c>
      <c r="AC1131" s="93">
        <f>+AB1131-Z1131</f>
        <v>0</v>
      </c>
      <c r="AD1131" s="94"/>
      <c r="AE1131" s="406" t="str">
        <f>+IF(V1131=0,"CERO","NO")</f>
        <v>CERO</v>
      </c>
    </row>
    <row r="1132" spans="3:31" s="260" customFormat="1" x14ac:dyDescent="0.25">
      <c r="C1132" s="84"/>
      <c r="D1132" s="85"/>
      <c r="E1132" s="86"/>
      <c r="F1132" s="86"/>
      <c r="G1132" s="86"/>
      <c r="H1132" s="86"/>
      <c r="I1132" s="86"/>
      <c r="J1132" s="87"/>
      <c r="K1132" s="88"/>
      <c r="M1132" s="102">
        <v>0</v>
      </c>
      <c r="N1132" s="530" t="str">
        <f>IFERROR(VLOOKUP(M1132,INSUMOS!$C$8:$K$928,2,0),"-----")</f>
        <v>-----</v>
      </c>
      <c r="O1132" s="531"/>
      <c r="P1132" s="532"/>
      <c r="Q1132" s="78" t="str">
        <f>IFERROR(VLOOKUP(M1132,INSUMOS!$C$8:$K$928,5,0),"-----")</f>
        <v>-----</v>
      </c>
      <c r="R1132" s="80"/>
      <c r="S1132" s="80" t="str">
        <f>IFERROR(VLOOKUP(M1132,INSUMOS!$C$8:$K$928,6,0),"0")</f>
        <v>0</v>
      </c>
      <c r="T1132" s="529" t="str">
        <f>IFERROR(VLOOKUP(M1132,INSUMOS!$C$8:$K$928,7,0),"0")</f>
        <v>0</v>
      </c>
      <c r="U1132" s="529"/>
      <c r="V1132" s="82">
        <f>+T1132*S1132*R1132</f>
        <v>0</v>
      </c>
      <c r="Y1132" s="393">
        <f>+IFERROR((R1132*S1132)*Y1108,0)</f>
        <v>0</v>
      </c>
      <c r="Z1132" s="391">
        <f>Y1108*V1132</f>
        <v>0</v>
      </c>
      <c r="AA1132" s="86"/>
      <c r="AB1132" s="92">
        <f>+Y1132*T1132</f>
        <v>0</v>
      </c>
      <c r="AC1132" s="93">
        <f>+AB1132-Z1132</f>
        <v>0</v>
      </c>
      <c r="AD1132" s="94"/>
      <c r="AE1132" s="406" t="str">
        <f>+IF(V1132=0,"CERO","NO")</f>
        <v>CERO</v>
      </c>
    </row>
    <row r="1133" spans="3:31" s="260" customFormat="1" ht="15.75" thickBot="1" x14ac:dyDescent="0.3">
      <c r="C1133" s="84"/>
      <c r="D1133" s="89"/>
      <c r="E1133" s="90"/>
      <c r="F1133" s="90"/>
      <c r="G1133" s="90"/>
      <c r="H1133" s="90"/>
      <c r="I1133" s="90"/>
      <c r="J1133" s="91"/>
      <c r="K1133" s="88"/>
      <c r="M1133" s="102">
        <v>0</v>
      </c>
      <c r="N1133" s="533"/>
      <c r="O1133" s="533"/>
      <c r="P1133" s="533"/>
      <c r="Q1133" s="79"/>
      <c r="R1133" s="78"/>
      <c r="S1133" s="81"/>
      <c r="T1133" s="529"/>
      <c r="U1133" s="529"/>
      <c r="V1133" s="82"/>
      <c r="Y1133" s="393">
        <f>+IFERROR((R1133*S1133)*Y1108,0)</f>
        <v>0</v>
      </c>
      <c r="Z1133" s="391">
        <f>Y1108*V1133</f>
        <v>0</v>
      </c>
      <c r="AA1133" s="86"/>
      <c r="AB1133" s="92">
        <f>+Y1133*T1133</f>
        <v>0</v>
      </c>
      <c r="AC1133" s="93">
        <f>+AB1133-Z1133</f>
        <v>0</v>
      </c>
      <c r="AD1133" s="94"/>
      <c r="AE1133" s="406" t="str">
        <f>+IF(V1133=0,"CERO","NO")</f>
        <v>CERO</v>
      </c>
    </row>
    <row r="1134" spans="3:31" s="260" customFormat="1" ht="15.75" thickBot="1" x14ac:dyDescent="0.3">
      <c r="C1134" s="84"/>
      <c r="D1134" s="375" t="s">
        <v>128</v>
      </c>
      <c r="E1134" s="376" t="s">
        <v>129</v>
      </c>
      <c r="F1134" s="376" t="s">
        <v>130</v>
      </c>
      <c r="G1134" s="376" t="s">
        <v>131</v>
      </c>
      <c r="H1134" s="376" t="s">
        <v>132</v>
      </c>
      <c r="I1134" s="376" t="s">
        <v>133</v>
      </c>
      <c r="J1134" s="377" t="s">
        <v>134</v>
      </c>
      <c r="K1134" s="88"/>
      <c r="M1134" s="534"/>
      <c r="N1134" s="536" t="s">
        <v>113</v>
      </c>
      <c r="O1134" s="536"/>
      <c r="P1134" s="536"/>
      <c r="Q1134" s="536"/>
      <c r="R1134" s="536"/>
      <c r="S1134" s="536"/>
      <c r="T1134" s="536"/>
      <c r="U1134" s="536"/>
      <c r="V1134" s="411">
        <f>+SUM(V1130:V1133)</f>
        <v>347.2217399698057</v>
      </c>
      <c r="Y1134" s="398" t="s">
        <v>135</v>
      </c>
      <c r="Z1134" s="397">
        <f>+SUM(Z1130:Z1133)</f>
        <v>9722.2087191545597</v>
      </c>
      <c r="AA1134" s="86"/>
      <c r="AB1134" s="384"/>
      <c r="AC1134" s="385"/>
      <c r="AD1134" s="94"/>
      <c r="AE1134" s="399"/>
    </row>
    <row r="1135" spans="3:31" s="260" customFormat="1" ht="15.75" thickBot="1" x14ac:dyDescent="0.3">
      <c r="C1135" s="84"/>
      <c r="D1135" s="355"/>
      <c r="E1135" s="367"/>
      <c r="F1135" s="412">
        <f>+E1127</f>
        <v>2.13</v>
      </c>
      <c r="G1135" s="367"/>
      <c r="H1135" s="367"/>
      <c r="I1135" s="367"/>
      <c r="J1135" s="368"/>
      <c r="K1135" s="88"/>
      <c r="M1135" s="535"/>
      <c r="N1135" s="537" t="s">
        <v>114</v>
      </c>
      <c r="O1135" s="537"/>
      <c r="P1135" s="537"/>
      <c r="Q1135" s="537"/>
      <c r="R1135" s="537"/>
      <c r="S1135" s="537"/>
      <c r="T1135" s="537"/>
      <c r="U1135" s="537"/>
      <c r="V1135" s="413">
        <f>+ROUND(V1134,$AA$5)</f>
        <v>347.22</v>
      </c>
      <c r="Y1135" s="401" t="s">
        <v>136</v>
      </c>
      <c r="Z1135" s="402">
        <f>+ROUND(Z1134,$AA$5)</f>
        <v>9722.2099999999991</v>
      </c>
      <c r="AA1135" s="86"/>
      <c r="AB1135" s="403">
        <f>+V1135*Y1108</f>
        <v>9722.16</v>
      </c>
      <c r="AC1135" s="414"/>
      <c r="AD1135" s="94"/>
      <c r="AE1135" s="405"/>
    </row>
    <row r="1136" spans="3:31" s="260" customFormat="1" ht="15.75" thickBot="1" x14ac:dyDescent="0.3">
      <c r="C1136" s="84"/>
      <c r="D1136" s="415"/>
      <c r="E1136" s="416"/>
      <c r="F1136" s="416"/>
      <c r="G1136" s="416"/>
      <c r="H1136" s="416"/>
      <c r="I1136" s="416"/>
      <c r="J1136" s="417"/>
      <c r="K1136" s="88"/>
      <c r="M1136" s="538" t="s">
        <v>115</v>
      </c>
      <c r="N1136" s="539"/>
      <c r="O1136" s="539"/>
      <c r="P1136" s="539"/>
      <c r="Q1136" s="539"/>
      <c r="R1136" s="539"/>
      <c r="S1136" s="539"/>
      <c r="T1136" s="539"/>
      <c r="U1136" s="539"/>
      <c r="V1136" s="540"/>
      <c r="Y1136" s="378"/>
      <c r="Z1136" s="121"/>
      <c r="AA1136" s="86"/>
      <c r="AB1136" s="409"/>
      <c r="AC1136" s="121"/>
      <c r="AD1136" s="94"/>
      <c r="AE1136" s="126"/>
    </row>
    <row r="1137" spans="3:31" s="260" customFormat="1" ht="15.75" thickBot="1" x14ac:dyDescent="0.3">
      <c r="C1137" s="84"/>
      <c r="D1137" s="375" t="s">
        <v>128</v>
      </c>
      <c r="E1137" s="376" t="s">
        <v>129</v>
      </c>
      <c r="F1137" s="376" t="s">
        <v>130</v>
      </c>
      <c r="G1137" s="376" t="s">
        <v>131</v>
      </c>
      <c r="H1137" s="376" t="s">
        <v>132</v>
      </c>
      <c r="I1137" s="376" t="s">
        <v>133</v>
      </c>
      <c r="J1137" s="377" t="s">
        <v>134</v>
      </c>
      <c r="K1137" s="88"/>
      <c r="M1137" s="99" t="s">
        <v>94</v>
      </c>
      <c r="N1137" s="98" t="s">
        <v>95</v>
      </c>
      <c r="O1137" s="95" t="s">
        <v>96</v>
      </c>
      <c r="P1137" s="359" t="s">
        <v>104</v>
      </c>
      <c r="Q1137" s="95" t="s">
        <v>116</v>
      </c>
      <c r="R1137" s="418" t="s">
        <v>117</v>
      </c>
      <c r="S1137" s="95" t="s">
        <v>347</v>
      </c>
      <c r="T1137" s="419" t="s">
        <v>118</v>
      </c>
      <c r="U1137" s="189" t="s">
        <v>119</v>
      </c>
      <c r="V1137" s="100" t="s">
        <v>98</v>
      </c>
      <c r="Y1137" s="383" t="s">
        <v>104</v>
      </c>
      <c r="Z1137" s="119" t="s">
        <v>9</v>
      </c>
      <c r="AA1137" s="86"/>
      <c r="AB1137" s="384"/>
      <c r="AC1137" s="385"/>
      <c r="AD1137" s="94"/>
      <c r="AE1137" s="410"/>
    </row>
    <row r="1138" spans="3:31" s="260" customFormat="1" ht="25.5" x14ac:dyDescent="0.25">
      <c r="C1138" s="84"/>
      <c r="D1138" s="354"/>
      <c r="E1138" s="96"/>
      <c r="F1138" s="96"/>
      <c r="G1138" s="96"/>
      <c r="H1138" s="96"/>
      <c r="I1138" s="96"/>
      <c r="J1138" s="420">
        <f>+F1135</f>
        <v>2.13</v>
      </c>
      <c r="K1138" s="88"/>
      <c r="M1138" s="102">
        <v>207</v>
      </c>
      <c r="N1138" s="347" t="str">
        <f>IFERROR(VLOOKUP(M1138,INSUMOS!$C$8:$K$928,2,0),"-----")</f>
        <v>Oficial Hidrosanitario</v>
      </c>
      <c r="O1138" s="78" t="str">
        <f>IFERROR(VLOOKUP(M1138,INSUMOS!$C$8:$K$928,3,0),"-----")</f>
        <v>JORNAL+PS</v>
      </c>
      <c r="P1138" s="80">
        <v>1</v>
      </c>
      <c r="Q1138" s="79">
        <v>30</v>
      </c>
      <c r="R1138" s="190">
        <f>IFERROR(VLOOKUP(M1138,INSUMOS!$C$8:$K$928,4,0),"-----")</f>
        <v>92983</v>
      </c>
      <c r="S1138" s="190">
        <f>IFERROR(VLOOKUP(M1138,INSUMOS!$C$8:$K$928,6,0),"-----")</f>
        <v>74386</v>
      </c>
      <c r="T1138" s="190">
        <f>IFERROR(VLOOKUP(M1138,INSUMOS!$C$8:$K$928,5,0),"-----")</f>
        <v>0</v>
      </c>
      <c r="U1138" s="388">
        <f>SUM(R1138:T1138)</f>
        <v>167369</v>
      </c>
      <c r="V1138" s="82">
        <f>+IFERROR((P1138/Q1138)*U1138,0)</f>
        <v>5578.9666666666662</v>
      </c>
      <c r="Y1138" s="393">
        <f>+IFERROR((Y1108/Q1138*P1138),0)</f>
        <v>0.93333333333333335</v>
      </c>
      <c r="Z1138" s="391">
        <f>Y1108*V1138</f>
        <v>156211.06666666665</v>
      </c>
      <c r="AA1138" s="86"/>
      <c r="AB1138" s="92">
        <f>+(U1138)*Y1138</f>
        <v>156211.06666666668</v>
      </c>
      <c r="AC1138" s="93">
        <f>+AB1138-Z1138</f>
        <v>0</v>
      </c>
      <c r="AD1138" s="421"/>
      <c r="AE1138" s="410" t="str">
        <f>+IF(V1138=0,"CERO","NO")</f>
        <v>NO</v>
      </c>
    </row>
    <row r="1139" spans="3:31" s="260" customFormat="1" ht="15.75" thickBot="1" x14ac:dyDescent="0.3">
      <c r="C1139" s="84"/>
      <c r="D1139" s="355"/>
      <c r="E1139" s="367"/>
      <c r="F1139" s="367"/>
      <c r="G1139" s="367"/>
      <c r="H1139" s="367"/>
      <c r="I1139" s="367"/>
      <c r="J1139" s="422">
        <f>+J1138</f>
        <v>2.13</v>
      </c>
      <c r="K1139" s="88"/>
      <c r="M1139" s="102"/>
      <c r="N1139" s="347" t="str">
        <f>IFERROR(VLOOKUP(M1139,INSUMOS!$C$8:$K$928,2,0),"-----")</f>
        <v>-----</v>
      </c>
      <c r="O1139" s="78" t="str">
        <f>IFERROR(VLOOKUP(M1139,INSUMOS!$C$8:$K$928,3,0),"-----")</f>
        <v>-----</v>
      </c>
      <c r="P1139" s="80"/>
      <c r="Q1139" s="79"/>
      <c r="R1139" s="190" t="str">
        <f>IFERROR(VLOOKUP(M1139,INSUMOS!$C$8:$K$928,4,0),"-----")</f>
        <v>-----</v>
      </c>
      <c r="S1139" s="190" t="str">
        <f>IFERROR(VLOOKUP(M1139,INSUMOS!$C$8:$K$928,6,0),"-----")</f>
        <v>-----</v>
      </c>
      <c r="T1139" s="190" t="str">
        <f>IFERROR(VLOOKUP(M1139,INSUMOS!$C$8:$K$928,5,0),"-----")</f>
        <v>-----</v>
      </c>
      <c r="U1139" s="388">
        <f>SUM(R1139:T1139)</f>
        <v>0</v>
      </c>
      <c r="V1139" s="82">
        <f>+IFERROR((P1139/Q1139)*U1139,0)</f>
        <v>0</v>
      </c>
      <c r="Y1139" s="393">
        <f>+IFERROR((Y1108/Q1139*P1139),0)</f>
        <v>0</v>
      </c>
      <c r="Z1139" s="391">
        <f>Y1108*V1139</f>
        <v>0</v>
      </c>
      <c r="AA1139" s="86"/>
      <c r="AB1139" s="92">
        <f>+U1139*Y1139</f>
        <v>0</v>
      </c>
      <c r="AC1139" s="93">
        <f>+AB1139-Z1139</f>
        <v>0</v>
      </c>
      <c r="AD1139" s="94"/>
      <c r="AE1139" s="410" t="str">
        <f>+IF(V1139=0,"CERO","NO")</f>
        <v>CERO</v>
      </c>
    </row>
    <row r="1140" spans="3:31" s="260" customFormat="1" ht="15.75" thickBot="1" x14ac:dyDescent="0.3">
      <c r="C1140" s="84"/>
      <c r="D1140" s="380"/>
      <c r="E1140" s="381"/>
      <c r="F1140" s="381"/>
      <c r="G1140" s="381"/>
      <c r="H1140" s="381"/>
      <c r="I1140" s="381"/>
      <c r="J1140" s="382"/>
      <c r="K1140" s="88"/>
      <c r="M1140" s="102">
        <v>0</v>
      </c>
      <c r="N1140" s="347"/>
      <c r="O1140" s="79"/>
      <c r="P1140" s="423"/>
      <c r="Q1140" s="81"/>
      <c r="R1140" s="111"/>
      <c r="S1140" s="357"/>
      <c r="T1140" s="111"/>
      <c r="U1140" s="388"/>
      <c r="V1140" s="426"/>
      <c r="Y1140" s="393">
        <f>+IFERROR((Y1108/Q1140*P1140),0)</f>
        <v>0</v>
      </c>
      <c r="Z1140" s="391">
        <f>Y1108*V1140</f>
        <v>0</v>
      </c>
      <c r="AA1140" s="86"/>
      <c r="AB1140" s="92">
        <f>+(U1140)*Y1140*P1140</f>
        <v>0</v>
      </c>
      <c r="AC1140" s="93">
        <f>+AB1140-Z1140</f>
        <v>0</v>
      </c>
      <c r="AD1140" s="94"/>
      <c r="AE1140" s="410" t="str">
        <f>+IF(V1140=0,"CERO","NO")</f>
        <v>CERO</v>
      </c>
    </row>
    <row r="1141" spans="3:31" s="260" customFormat="1" ht="15.75" thickBot="1" x14ac:dyDescent="0.3">
      <c r="C1141" s="84"/>
      <c r="D1141" s="375" t="s">
        <v>128</v>
      </c>
      <c r="E1141" s="376" t="s">
        <v>129</v>
      </c>
      <c r="F1141" s="376" t="s">
        <v>130</v>
      </c>
      <c r="G1141" s="376" t="s">
        <v>131</v>
      </c>
      <c r="H1141" s="376" t="s">
        <v>132</v>
      </c>
      <c r="I1141" s="376" t="s">
        <v>133</v>
      </c>
      <c r="J1141" s="377" t="s">
        <v>134</v>
      </c>
      <c r="K1141" s="88"/>
      <c r="M1141" s="534"/>
      <c r="N1141" s="536" t="s">
        <v>120</v>
      </c>
      <c r="O1141" s="536"/>
      <c r="P1141" s="536"/>
      <c r="Q1141" s="536"/>
      <c r="R1141" s="536"/>
      <c r="S1141" s="536"/>
      <c r="T1141" s="536"/>
      <c r="U1141" s="536"/>
      <c r="V1141" s="82">
        <f>+SUM(V1138:V1140)</f>
        <v>5578.9666666666662</v>
      </c>
      <c r="Y1141" s="398" t="s">
        <v>135</v>
      </c>
      <c r="Z1141" s="397">
        <f>+SUM(Z1138:Z1140)</f>
        <v>156211.06666666665</v>
      </c>
      <c r="AA1141" s="86"/>
      <c r="AB1141" s="384"/>
      <c r="AC1141" s="385"/>
      <c r="AD1141" s="94"/>
      <c r="AE1141" s="399"/>
    </row>
    <row r="1142" spans="3:31" s="260" customFormat="1" ht="15.75" thickBot="1" x14ac:dyDescent="0.3">
      <c r="C1142" s="84"/>
      <c r="D1142" s="354"/>
      <c r="E1142" s="96"/>
      <c r="F1142" s="96"/>
      <c r="G1142" s="107">
        <f>+F1135</f>
        <v>2.13</v>
      </c>
      <c r="H1142" s="96"/>
      <c r="I1142" s="96"/>
      <c r="J1142" s="427"/>
      <c r="K1142" s="88"/>
      <c r="M1142" s="535"/>
      <c r="N1142" s="537" t="s">
        <v>121</v>
      </c>
      <c r="O1142" s="537"/>
      <c r="P1142" s="537"/>
      <c r="Q1142" s="537"/>
      <c r="R1142" s="537"/>
      <c r="S1142" s="537"/>
      <c r="T1142" s="537"/>
      <c r="U1142" s="537"/>
      <c r="V1142" s="413">
        <f>+ROUND(V1141,$AA$5)</f>
        <v>5578.97</v>
      </c>
      <c r="Y1142" s="401" t="s">
        <v>136</v>
      </c>
      <c r="Z1142" s="402">
        <f>+ROUND(Z1141,$AA$5)</f>
        <v>156211.07</v>
      </c>
      <c r="AA1142" s="86"/>
      <c r="AB1142" s="403">
        <f>+V1142*Y1108</f>
        <v>156211.16</v>
      </c>
      <c r="AC1142" s="404">
        <f>+AB1142-Z1142</f>
        <v>8.999999999650754E-2</v>
      </c>
      <c r="AD1142" s="94"/>
      <c r="AE1142" s="405"/>
    </row>
    <row r="1143" spans="3:31" s="260" customFormat="1" ht="15.75" thickBot="1" x14ac:dyDescent="0.3">
      <c r="C1143" s="84"/>
      <c r="D1143" s="375" t="s">
        <v>128</v>
      </c>
      <c r="E1143" s="376" t="s">
        <v>129</v>
      </c>
      <c r="F1143" s="376" t="s">
        <v>130</v>
      </c>
      <c r="G1143" s="376" t="s">
        <v>131</v>
      </c>
      <c r="H1143" s="376" t="s">
        <v>132</v>
      </c>
      <c r="I1143" s="376" t="s">
        <v>133</v>
      </c>
      <c r="J1143" s="377" t="s">
        <v>134</v>
      </c>
      <c r="K1143" s="88"/>
      <c r="M1143" s="541"/>
      <c r="N1143" s="542"/>
      <c r="O1143" s="542"/>
      <c r="P1143" s="542"/>
      <c r="Q1143" s="542"/>
      <c r="R1143" s="542"/>
      <c r="S1143" s="542"/>
      <c r="T1143" s="542"/>
      <c r="U1143" s="542"/>
      <c r="V1143" s="543"/>
      <c r="Y1143" s="378"/>
      <c r="Z1143" s="121"/>
      <c r="AA1143" s="86"/>
      <c r="AB1143" s="409"/>
      <c r="AC1143" s="121"/>
      <c r="AD1143" s="94"/>
      <c r="AE1143" s="428"/>
    </row>
    <row r="1144" spans="3:31" s="260" customFormat="1" ht="15.75" thickBot="1" x14ac:dyDescent="0.3">
      <c r="C1144" s="84"/>
      <c r="D1144" s="355"/>
      <c r="E1144" s="367"/>
      <c r="F1144" s="367"/>
      <c r="G1144" s="367"/>
      <c r="H1144" s="412">
        <f>G1142</f>
        <v>2.13</v>
      </c>
      <c r="I1144" s="412"/>
      <c r="J1144" s="422"/>
      <c r="K1144" s="88"/>
      <c r="M1144" s="544" t="s">
        <v>122</v>
      </c>
      <c r="N1144" s="537"/>
      <c r="O1144" s="537"/>
      <c r="P1144" s="537"/>
      <c r="Q1144" s="537"/>
      <c r="R1144" s="537"/>
      <c r="S1144" s="537"/>
      <c r="T1144" s="537"/>
      <c r="U1144" s="545">
        <f>+V1142+V1135+V1127+V1118</f>
        <v>12472.800000000001</v>
      </c>
      <c r="V1144" s="546"/>
      <c r="Y1144" s="429"/>
      <c r="Z1144" s="430">
        <f>+Z1142+Z1135+Z1127+Z1118</f>
        <v>349238.26999999996</v>
      </c>
      <c r="AA1144" s="86"/>
      <c r="AB1144" s="431">
        <f>+AB1142+AB1135+AB1127+AB1118</f>
        <v>349238.39999999997</v>
      </c>
      <c r="AC1144" s="404">
        <f>+AB1144-Z1144</f>
        <v>0.13000000000465661</v>
      </c>
      <c r="AD1144" s="94"/>
      <c r="AE1144" s="432"/>
    </row>
    <row r="1145" spans="3:31" s="260" customFormat="1" ht="15.75" thickBot="1" x14ac:dyDescent="0.3"/>
    <row r="1146" spans="3:31" s="260" customFormat="1" x14ac:dyDescent="0.25">
      <c r="M1146" s="547" t="s">
        <v>348</v>
      </c>
      <c r="N1146" s="548"/>
      <c r="O1146" s="548"/>
      <c r="P1146" s="548"/>
      <c r="Q1146" s="548"/>
      <c r="R1146" s="548"/>
      <c r="S1146" s="548"/>
      <c r="T1146" s="548"/>
      <c r="U1146" s="548"/>
      <c r="V1146" s="549"/>
      <c r="Y1146" s="378"/>
      <c r="Z1146" s="121"/>
      <c r="AA1146" s="86"/>
      <c r="AB1146" s="94"/>
      <c r="AC1146" s="94"/>
      <c r="AD1146" s="94"/>
      <c r="AE1146" s="126" t="s">
        <v>133</v>
      </c>
    </row>
    <row r="1147" spans="3:31" s="260" customFormat="1" x14ac:dyDescent="0.25">
      <c r="M1147" s="515" t="s">
        <v>138</v>
      </c>
      <c r="N1147" s="516"/>
      <c r="O1147" s="516"/>
      <c r="P1147" s="516"/>
      <c r="Q1147" s="516"/>
      <c r="R1147" s="516"/>
      <c r="S1147" s="516"/>
      <c r="T1147" s="437">
        <v>0</v>
      </c>
      <c r="U1147" s="517">
        <f>+ROUND(U1144*T1147,$AA$5)</f>
        <v>0</v>
      </c>
      <c r="V1147" s="518"/>
      <c r="Y1147" s="390"/>
      <c r="Z1147" s="438">
        <f>+Z1144*T1147</f>
        <v>0</v>
      </c>
      <c r="AA1147" s="86"/>
      <c r="AB1147" s="94"/>
      <c r="AC1147" s="94"/>
      <c r="AD1147" s="94"/>
      <c r="AE1147" s="386" t="s">
        <v>133</v>
      </c>
    </row>
    <row r="1148" spans="3:31" s="260" customFormat="1" x14ac:dyDescent="0.25">
      <c r="M1148" s="515" t="s">
        <v>19</v>
      </c>
      <c r="N1148" s="516"/>
      <c r="O1148" s="516"/>
      <c r="P1148" s="516"/>
      <c r="Q1148" s="516"/>
      <c r="R1148" s="516"/>
      <c r="S1148" s="516"/>
      <c r="T1148" s="437">
        <v>0.05</v>
      </c>
      <c r="U1148" s="517">
        <f>+ROUND(U1144*T1148,$AA$5)</f>
        <v>623.64</v>
      </c>
      <c r="V1148" s="518"/>
      <c r="Y1148" s="390"/>
      <c r="Z1148" s="438">
        <f>+Z1144*T1148</f>
        <v>17461.913499999999</v>
      </c>
      <c r="AA1148" s="86"/>
      <c r="AB1148" s="94"/>
      <c r="AC1148" s="94"/>
      <c r="AD1148" s="94"/>
      <c r="AE1148" s="386" t="s">
        <v>133</v>
      </c>
    </row>
    <row r="1149" spans="3:31" s="260" customFormat="1" x14ac:dyDescent="0.25">
      <c r="M1149" s="515" t="s">
        <v>20</v>
      </c>
      <c r="N1149" s="516"/>
      <c r="O1149" s="516"/>
      <c r="P1149" s="516"/>
      <c r="Q1149" s="516"/>
      <c r="R1149" s="516"/>
      <c r="S1149" s="516"/>
      <c r="T1149" s="437">
        <v>0</v>
      </c>
      <c r="U1149" s="517">
        <f>+ROUND(U1144*T1149,$AA$5)</f>
        <v>0</v>
      </c>
      <c r="V1149" s="518"/>
      <c r="Y1149" s="390"/>
      <c r="Z1149" s="438">
        <f>+Z1144*T1149</f>
        <v>0</v>
      </c>
      <c r="AA1149" s="86"/>
      <c r="AB1149" s="94"/>
      <c r="AC1149" s="94"/>
      <c r="AD1149" s="94"/>
      <c r="AE1149" s="386" t="s">
        <v>133</v>
      </c>
    </row>
    <row r="1150" spans="3:31" s="260" customFormat="1" x14ac:dyDescent="0.25">
      <c r="M1150" s="515" t="s">
        <v>21</v>
      </c>
      <c r="N1150" s="516"/>
      <c r="O1150" s="516"/>
      <c r="P1150" s="516"/>
      <c r="Q1150" s="516"/>
      <c r="R1150" s="516"/>
      <c r="S1150" s="516"/>
      <c r="T1150" s="437">
        <f>$AA$9</f>
        <v>0</v>
      </c>
      <c r="U1150" s="517">
        <f>+ROUND(U1144*T1150,$AA$5)</f>
        <v>0</v>
      </c>
      <c r="V1150" s="518"/>
      <c r="Y1150" s="390"/>
      <c r="Z1150" s="438">
        <f>+Z1149*T1150</f>
        <v>0</v>
      </c>
      <c r="AA1150" s="86"/>
      <c r="AB1150" s="94"/>
      <c r="AC1150" s="94"/>
      <c r="AD1150" s="94"/>
      <c r="AE1150" s="386" t="s">
        <v>133</v>
      </c>
    </row>
    <row r="1151" spans="3:31" s="260" customFormat="1" ht="15.75" thickBot="1" x14ac:dyDescent="0.3">
      <c r="M1151" s="519" t="s">
        <v>349</v>
      </c>
      <c r="N1151" s="520"/>
      <c r="O1151" s="520"/>
      <c r="P1151" s="520"/>
      <c r="Q1151" s="520"/>
      <c r="R1151" s="520"/>
      <c r="S1151" s="520"/>
      <c r="T1151" s="520"/>
      <c r="U1151" s="521">
        <f>+SUM(U1147:V1150)</f>
        <v>623.64</v>
      </c>
      <c r="V1151" s="522"/>
      <c r="Y1151" s="390"/>
      <c r="Z1151" s="439">
        <f>+SUM(Z1147:Z1150)</f>
        <v>17461.913499999999</v>
      </c>
      <c r="AA1151" s="86"/>
      <c r="AB1151" s="94"/>
      <c r="AC1151" s="94"/>
      <c r="AD1151" s="94"/>
      <c r="AE1151" s="386" t="s">
        <v>133</v>
      </c>
    </row>
    <row r="1152" spans="3:31" s="260" customFormat="1" ht="15.75" thickBot="1" x14ac:dyDescent="0.3">
      <c r="D1152" s="375" t="s">
        <v>128</v>
      </c>
      <c r="E1152" s="376" t="s">
        <v>129</v>
      </c>
      <c r="F1152" s="376" t="s">
        <v>130</v>
      </c>
      <c r="G1152" s="376" t="s">
        <v>131</v>
      </c>
      <c r="H1152" s="376" t="s">
        <v>132</v>
      </c>
      <c r="I1152" s="376" t="s">
        <v>133</v>
      </c>
      <c r="J1152" s="377" t="s">
        <v>134</v>
      </c>
      <c r="M1152" s="86"/>
      <c r="N1152" s="94"/>
      <c r="O1152" s="94"/>
      <c r="P1152" s="94"/>
      <c r="Q1152" s="86"/>
      <c r="R1152" s="86"/>
      <c r="S1152" s="86"/>
      <c r="T1152" s="440"/>
      <c r="U1152" s="523"/>
      <c r="V1152" s="523"/>
      <c r="Y1152" s="390"/>
      <c r="Z1152" s="385"/>
      <c r="AA1152" s="86"/>
      <c r="AB1152" s="94"/>
      <c r="AC1152" s="94"/>
      <c r="AD1152" s="94"/>
      <c r="AE1152" s="386" t="s">
        <v>133</v>
      </c>
    </row>
    <row r="1153" spans="3:31" s="260" customFormat="1" ht="15.75" thickBot="1" x14ac:dyDescent="0.3">
      <c r="D1153" s="355"/>
      <c r="E1153" s="367"/>
      <c r="F1153" s="367"/>
      <c r="G1153" s="367"/>
      <c r="H1153" s="412"/>
      <c r="I1153" s="412">
        <f>H1144</f>
        <v>2.13</v>
      </c>
      <c r="J1153" s="422"/>
      <c r="M1153" s="524" t="s">
        <v>11</v>
      </c>
      <c r="N1153" s="525"/>
      <c r="O1153" s="525"/>
      <c r="P1153" s="525"/>
      <c r="Q1153" s="525"/>
      <c r="R1153" s="525"/>
      <c r="S1153" s="525"/>
      <c r="T1153" s="526"/>
      <c r="U1153" s="527">
        <f>+U1151+U1144</f>
        <v>13096.44</v>
      </c>
      <c r="V1153" s="528"/>
      <c r="Y1153" s="429"/>
      <c r="Z1153" s="441">
        <f>+Z1151+Z1144</f>
        <v>366700.18349999998</v>
      </c>
      <c r="AA1153" s="86"/>
      <c r="AB1153" s="94"/>
      <c r="AC1153" s="94"/>
      <c r="AD1153" s="94"/>
      <c r="AE1153" s="405" t="s">
        <v>133</v>
      </c>
    </row>
    <row r="1154" spans="3:31" s="260" customFormat="1" x14ac:dyDescent="0.25"/>
    <row r="1155" spans="3:31" s="260" customFormat="1" ht="15.75" thickBot="1" x14ac:dyDescent="0.3"/>
    <row r="1156" spans="3:31" s="260" customFormat="1" ht="15.75" thickBot="1" x14ac:dyDescent="0.3">
      <c r="M1156" s="363" t="s">
        <v>88</v>
      </c>
      <c r="N1156" s="436" t="str">
        <f>+N1107</f>
        <v>CAP.2</v>
      </c>
      <c r="O1156" s="550" t="str">
        <f>IFERROR(VLOOKUP(N1156,PPTO!C:H,2,0),"----")</f>
        <v>RED HIDRAULICA</v>
      </c>
      <c r="P1156" s="551"/>
      <c r="Q1156" s="551"/>
      <c r="R1156" s="551"/>
      <c r="S1156" s="551"/>
      <c r="T1156" s="551"/>
      <c r="U1156" s="552"/>
      <c r="V1156" s="74" t="s">
        <v>91</v>
      </c>
      <c r="Y1156" s="365" t="s">
        <v>104</v>
      </c>
      <c r="Z1156" s="94"/>
      <c r="AA1156" s="188"/>
      <c r="AB1156" s="553"/>
      <c r="AC1156" s="553"/>
      <c r="AD1156" s="553"/>
      <c r="AE1156" s="94"/>
    </row>
    <row r="1157" spans="3:31" s="260" customFormat="1" ht="15.75" thickBot="1" x14ac:dyDescent="0.3">
      <c r="C1157" s="369">
        <f>+N1157</f>
        <v>2.14</v>
      </c>
      <c r="D1157" s="86"/>
      <c r="E1157" s="86"/>
      <c r="F1157" s="86"/>
      <c r="G1157" s="86"/>
      <c r="H1157" s="86"/>
      <c r="I1157" s="86"/>
      <c r="J1157" s="86"/>
      <c r="K1157" s="370"/>
      <c r="M1157" s="75" t="s">
        <v>92</v>
      </c>
      <c r="N1157" s="371">
        <f>+ROUNDUP(N1108+0.01,2)</f>
        <v>2.14</v>
      </c>
      <c r="O1157" s="554" t="str">
        <f>IFERROR(VLOOKUP(N1157,PPTO!C:H,2,0),"----")</f>
        <v>Tee PVC Ø1_1/4"</v>
      </c>
      <c r="P1157" s="555"/>
      <c r="Q1157" s="555"/>
      <c r="R1157" s="555"/>
      <c r="S1157" s="555"/>
      <c r="T1157" s="555"/>
      <c r="U1157" s="556"/>
      <c r="V1157" s="76" t="str">
        <f>IFERROR(VLOOKUP(N1157,PPTO!C:H,3,0),"----")</f>
        <v>UND</v>
      </c>
      <c r="Y1157" s="373">
        <f>SUMIFS(PPTO!F:F,PPTO!C:C,APUS!N1157)</f>
        <v>7</v>
      </c>
      <c r="Z1157" s="94"/>
      <c r="AA1157" s="86"/>
      <c r="AB1157" s="94"/>
      <c r="AC1157" s="94"/>
      <c r="AD1157" s="94"/>
      <c r="AE1157" s="94"/>
    </row>
    <row r="1158" spans="3:31" s="260" customFormat="1" ht="15.75" thickBot="1" x14ac:dyDescent="0.3">
      <c r="C1158" s="84"/>
      <c r="D1158" s="86"/>
      <c r="E1158" s="86"/>
      <c r="F1158" s="86"/>
      <c r="G1158" s="86"/>
      <c r="H1158" s="86"/>
      <c r="I1158" s="86"/>
      <c r="J1158" s="86"/>
      <c r="K1158" s="88"/>
      <c r="M1158" s="557"/>
      <c r="N1158" s="557"/>
      <c r="O1158" s="557"/>
      <c r="P1158" s="557"/>
      <c r="Q1158" s="557"/>
      <c r="R1158" s="557"/>
      <c r="S1158" s="557"/>
      <c r="T1158" s="557"/>
      <c r="U1158" s="557"/>
      <c r="V1158" s="557"/>
      <c r="Y1158" s="374"/>
      <c r="Z1158" s="94"/>
      <c r="AA1158" s="86"/>
      <c r="AB1158" s="94"/>
      <c r="AC1158" s="94"/>
      <c r="AD1158" s="94"/>
      <c r="AE1158" s="94"/>
    </row>
    <row r="1159" spans="3:31" s="260" customFormat="1" ht="15.75" thickBot="1" x14ac:dyDescent="0.3">
      <c r="C1159" s="84"/>
      <c r="D1159" s="375" t="s">
        <v>128</v>
      </c>
      <c r="E1159" s="376" t="s">
        <v>129</v>
      </c>
      <c r="F1159" s="376" t="s">
        <v>130</v>
      </c>
      <c r="G1159" s="376" t="s">
        <v>131</v>
      </c>
      <c r="H1159" s="376" t="s">
        <v>132</v>
      </c>
      <c r="I1159" s="376" t="s">
        <v>133</v>
      </c>
      <c r="J1159" s="377" t="s">
        <v>134</v>
      </c>
      <c r="K1159" s="88"/>
      <c r="M1159" s="558" t="s">
        <v>93</v>
      </c>
      <c r="N1159" s="559"/>
      <c r="O1159" s="559"/>
      <c r="P1159" s="559"/>
      <c r="Q1159" s="559"/>
      <c r="R1159" s="559"/>
      <c r="S1159" s="559"/>
      <c r="T1159" s="559"/>
      <c r="U1159" s="559"/>
      <c r="V1159" s="560"/>
      <c r="Y1159" s="378"/>
      <c r="Z1159" s="121"/>
      <c r="AA1159" s="86"/>
      <c r="AB1159" s="513"/>
      <c r="AC1159" s="514"/>
      <c r="AD1159" s="94"/>
      <c r="AE1159" s="379"/>
    </row>
    <row r="1160" spans="3:31" s="260" customFormat="1" x14ac:dyDescent="0.25">
      <c r="C1160" s="84"/>
      <c r="D1160" s="380"/>
      <c r="E1160" s="381"/>
      <c r="F1160" s="381"/>
      <c r="G1160" s="381"/>
      <c r="H1160" s="381"/>
      <c r="I1160" s="381"/>
      <c r="J1160" s="382"/>
      <c r="K1160" s="88"/>
      <c r="M1160" s="99" t="s">
        <v>94</v>
      </c>
      <c r="N1160" s="561" t="s">
        <v>95</v>
      </c>
      <c r="O1160" s="561"/>
      <c r="P1160" s="561"/>
      <c r="Q1160" s="561"/>
      <c r="R1160" s="95" t="s">
        <v>96</v>
      </c>
      <c r="S1160" s="95" t="s">
        <v>97</v>
      </c>
      <c r="T1160" s="562" t="s">
        <v>8</v>
      </c>
      <c r="U1160" s="562"/>
      <c r="V1160" s="100" t="s">
        <v>98</v>
      </c>
      <c r="Y1160" s="383" t="s">
        <v>104</v>
      </c>
      <c r="Z1160" s="119" t="s">
        <v>9</v>
      </c>
      <c r="AA1160" s="86"/>
      <c r="AB1160" s="384"/>
      <c r="AC1160" s="385"/>
      <c r="AD1160" s="94"/>
      <c r="AE1160" s="386"/>
    </row>
    <row r="1161" spans="3:31" s="260" customFormat="1" x14ac:dyDescent="0.25">
      <c r="C1161" s="84"/>
      <c r="D1161" s="85"/>
      <c r="E1161" s="86"/>
      <c r="F1161" s="86"/>
      <c r="G1161" s="86"/>
      <c r="H1161" s="86"/>
      <c r="I1161" s="86"/>
      <c r="J1161" s="87"/>
      <c r="K1161" s="88"/>
      <c r="M1161" s="102"/>
      <c r="N1161" s="533" t="s">
        <v>99</v>
      </c>
      <c r="O1161" s="533"/>
      <c r="P1161" s="533"/>
      <c r="Q1161" s="533"/>
      <c r="R1161" s="78" t="s">
        <v>100</v>
      </c>
      <c r="S1161" s="387">
        <f>+$AA$10</f>
        <v>0.05</v>
      </c>
      <c r="T1161" s="563">
        <f>V1191</f>
        <v>5578.97</v>
      </c>
      <c r="U1161" s="563"/>
      <c r="V1161" s="389">
        <f>+IFERROR(T1161*S1161,0)</f>
        <v>278.94850000000002</v>
      </c>
      <c r="Y1161" s="390"/>
      <c r="Z1161" s="391">
        <f>Y1157*V1161</f>
        <v>1952.6395000000002</v>
      </c>
      <c r="AA1161" s="86"/>
      <c r="AB1161" s="384"/>
      <c r="AC1161" s="385"/>
      <c r="AD1161" s="94"/>
      <c r="AE1161" s="386" t="str">
        <f>+IF(V1161=0,"CERO","NO")</f>
        <v>NO</v>
      </c>
    </row>
    <row r="1162" spans="3:31" s="260" customFormat="1" x14ac:dyDescent="0.25">
      <c r="C1162" s="84"/>
      <c r="D1162" s="85"/>
      <c r="E1162" s="86"/>
      <c r="F1162" s="86"/>
      <c r="G1162" s="86"/>
      <c r="H1162" s="86"/>
      <c r="I1162" s="86"/>
      <c r="J1162" s="87"/>
      <c r="K1162" s="88"/>
      <c r="M1162" s="106"/>
      <c r="N1162" s="533" t="str">
        <f>IFERROR(VLOOKUP(M1162,INSUMOS!$C$8:$K$928,2,0),"-----")</f>
        <v>-----</v>
      </c>
      <c r="O1162" s="533"/>
      <c r="P1162" s="533"/>
      <c r="Q1162" s="533"/>
      <c r="R1162" s="78" t="str">
        <f>IFERROR(VLOOKUP(M1162,INSUMOS!$C$8:$K$928,6,0),"-----")</f>
        <v>-----</v>
      </c>
      <c r="S1162" s="392"/>
      <c r="T1162" s="529" t="str">
        <f>IFERROR(VLOOKUP(M1162,INSUMOS!$C$8:$K$928,7,0),"0")</f>
        <v>0</v>
      </c>
      <c r="U1162" s="529"/>
      <c r="V1162" s="389">
        <f>+IFERROR(T1162*S1162,0)</f>
        <v>0</v>
      </c>
      <c r="Y1162" s="393">
        <f>+IFERROR(Y1157*S1162,0)</f>
        <v>0</v>
      </c>
      <c r="Z1162" s="391">
        <f>Y1157*V1162</f>
        <v>0</v>
      </c>
      <c r="AA1162" s="394"/>
      <c r="AB1162" s="395">
        <f>+Y1162*T1162</f>
        <v>0</v>
      </c>
      <c r="AC1162" s="93">
        <f>+AB1162-Z1162</f>
        <v>0</v>
      </c>
      <c r="AD1162" s="94"/>
      <c r="AE1162" s="386" t="str">
        <f>+IF(V1162=0,"CERO","NO")</f>
        <v>CERO</v>
      </c>
    </row>
    <row r="1163" spans="3:31" s="260" customFormat="1" x14ac:dyDescent="0.25">
      <c r="C1163" s="84"/>
      <c r="D1163" s="85"/>
      <c r="E1163" s="86"/>
      <c r="F1163" s="86"/>
      <c r="G1163" s="86"/>
      <c r="H1163" s="86"/>
      <c r="I1163" s="86"/>
      <c r="J1163" s="87"/>
      <c r="K1163" s="88"/>
      <c r="M1163" s="102">
        <v>0</v>
      </c>
      <c r="N1163" s="533"/>
      <c r="O1163" s="533"/>
      <c r="P1163" s="533"/>
      <c r="Q1163" s="533"/>
      <c r="R1163" s="78"/>
      <c r="S1163" s="396"/>
      <c r="T1163" s="529"/>
      <c r="U1163" s="529"/>
      <c r="V1163" s="397"/>
      <c r="Y1163" s="393">
        <f>+IFERROR(Y1157*S1163,0)</f>
        <v>0</v>
      </c>
      <c r="Z1163" s="391">
        <f>Y1157*V1163</f>
        <v>0</v>
      </c>
      <c r="AA1163" s="394"/>
      <c r="AB1163" s="395">
        <f>+Y1163*T1163</f>
        <v>0</v>
      </c>
      <c r="AC1163" s="93">
        <f>+AB1163-Z1163</f>
        <v>0</v>
      </c>
      <c r="AD1163" s="94"/>
      <c r="AE1163" s="386" t="str">
        <f>+IF(V1163=0,"CERO","NO")</f>
        <v>CERO</v>
      </c>
    </row>
    <row r="1164" spans="3:31" s="260" customFormat="1" x14ac:dyDescent="0.25">
      <c r="C1164" s="84"/>
      <c r="D1164" s="85"/>
      <c r="E1164" s="86"/>
      <c r="F1164" s="86"/>
      <c r="G1164" s="86"/>
      <c r="H1164" s="86"/>
      <c r="I1164" s="86"/>
      <c r="J1164" s="87"/>
      <c r="K1164" s="88"/>
      <c r="M1164" s="102">
        <v>0</v>
      </c>
      <c r="N1164" s="533"/>
      <c r="O1164" s="533"/>
      <c r="P1164" s="533"/>
      <c r="Q1164" s="533"/>
      <c r="R1164" s="78"/>
      <c r="S1164" s="396"/>
      <c r="T1164" s="529"/>
      <c r="U1164" s="529"/>
      <c r="V1164" s="397"/>
      <c r="Y1164" s="393">
        <f>+IFERROR(Y1157*S1164,0)</f>
        <v>0</v>
      </c>
      <c r="Z1164" s="391">
        <f>Y1157*V1164</f>
        <v>0</v>
      </c>
      <c r="AA1164" s="394"/>
      <c r="AB1164" s="395">
        <f>+Y1164*T1164</f>
        <v>0</v>
      </c>
      <c r="AC1164" s="93">
        <f>+AB1164-Z1164</f>
        <v>0</v>
      </c>
      <c r="AD1164" s="94"/>
      <c r="AE1164" s="386" t="str">
        <f>+IF(V1164=0,"CERO","NO")</f>
        <v>CERO</v>
      </c>
    </row>
    <row r="1165" spans="3:31" s="260" customFormat="1" ht="15.75" thickBot="1" x14ac:dyDescent="0.3">
      <c r="C1165" s="84"/>
      <c r="D1165" s="85"/>
      <c r="E1165" s="86"/>
      <c r="F1165" s="86"/>
      <c r="G1165" s="86"/>
      <c r="H1165" s="86"/>
      <c r="I1165" s="86"/>
      <c r="J1165" s="87"/>
      <c r="K1165" s="88"/>
      <c r="M1165" s="102">
        <v>0</v>
      </c>
      <c r="N1165" s="564"/>
      <c r="O1165" s="564"/>
      <c r="P1165" s="564"/>
      <c r="Q1165" s="564"/>
      <c r="R1165" s="96"/>
      <c r="S1165" s="96"/>
      <c r="T1165" s="565"/>
      <c r="U1165" s="565"/>
      <c r="V1165" s="101"/>
      <c r="Y1165" s="393">
        <f>+IFERROR(Y1157*S1165,0)</f>
        <v>0</v>
      </c>
      <c r="Z1165" s="391">
        <f>Y1157*V1165</f>
        <v>0</v>
      </c>
      <c r="AA1165" s="394"/>
      <c r="AB1165" s="395">
        <f>+Y1165*T1165</f>
        <v>0</v>
      </c>
      <c r="AC1165" s="93">
        <f>+AB1165-Z1165</f>
        <v>0</v>
      </c>
      <c r="AD1165" s="94"/>
      <c r="AE1165" s="386" t="str">
        <f>+IF(V1165=0,"CERO","NO")</f>
        <v>CERO</v>
      </c>
    </row>
    <row r="1166" spans="3:31" s="260" customFormat="1" ht="15.75" thickBot="1" x14ac:dyDescent="0.3">
      <c r="C1166" s="84"/>
      <c r="D1166" s="375" t="s">
        <v>128</v>
      </c>
      <c r="E1166" s="376" t="s">
        <v>129</v>
      </c>
      <c r="F1166" s="376" t="s">
        <v>130</v>
      </c>
      <c r="G1166" s="376" t="s">
        <v>131</v>
      </c>
      <c r="H1166" s="376" t="s">
        <v>132</v>
      </c>
      <c r="I1166" s="376" t="s">
        <v>133</v>
      </c>
      <c r="J1166" s="377" t="s">
        <v>134</v>
      </c>
      <c r="K1166" s="88"/>
      <c r="M1166" s="534"/>
      <c r="N1166" s="536" t="s">
        <v>101</v>
      </c>
      <c r="O1166" s="536"/>
      <c r="P1166" s="536"/>
      <c r="Q1166" s="536"/>
      <c r="R1166" s="536"/>
      <c r="S1166" s="536"/>
      <c r="T1166" s="536"/>
      <c r="U1166" s="536"/>
      <c r="V1166" s="389">
        <f>+SUM(V1161:V1165)</f>
        <v>278.94850000000002</v>
      </c>
      <c r="Y1166" s="398" t="s">
        <v>135</v>
      </c>
      <c r="Z1166" s="397">
        <f>+SUM(Z1161:Z1165)</f>
        <v>1952.6395000000002</v>
      </c>
      <c r="AA1166" s="86"/>
      <c r="AB1166" s="384"/>
      <c r="AC1166" s="385"/>
      <c r="AD1166" s="94"/>
      <c r="AE1166" s="399"/>
    </row>
    <row r="1167" spans="3:31" s="260" customFormat="1" ht="15.75" thickBot="1" x14ac:dyDescent="0.3">
      <c r="C1167" s="84"/>
      <c r="D1167" s="375">
        <f>C1157</f>
        <v>2.14</v>
      </c>
      <c r="E1167" s="376"/>
      <c r="F1167" s="376"/>
      <c r="G1167" s="376"/>
      <c r="H1167" s="376"/>
      <c r="I1167" s="376"/>
      <c r="J1167" s="377"/>
      <c r="K1167" s="88"/>
      <c r="M1167" s="566"/>
      <c r="N1167" s="567" t="s">
        <v>102</v>
      </c>
      <c r="O1167" s="567"/>
      <c r="P1167" s="567"/>
      <c r="Q1167" s="567"/>
      <c r="R1167" s="567"/>
      <c r="S1167" s="567"/>
      <c r="T1167" s="567"/>
      <c r="U1167" s="567"/>
      <c r="V1167" s="400">
        <f>+ROUND(V1166,$AA$5)</f>
        <v>278.95</v>
      </c>
      <c r="Y1167" s="401" t="s">
        <v>136</v>
      </c>
      <c r="Z1167" s="402">
        <f>+ROUND(Z1166,$AA$5)</f>
        <v>1952.64</v>
      </c>
      <c r="AA1167" s="86"/>
      <c r="AB1167" s="403">
        <f>+V1167*Y1157</f>
        <v>1952.6499999999999</v>
      </c>
      <c r="AC1167" s="404">
        <f>+AB1167-Z1167</f>
        <v>9.9999999997635314E-3</v>
      </c>
      <c r="AD1167" s="94"/>
      <c r="AE1167" s="405"/>
    </row>
    <row r="1168" spans="3:31" s="260" customFormat="1" x14ac:dyDescent="0.25">
      <c r="C1168" s="84"/>
      <c r="D1168" s="380"/>
      <c r="E1168" s="381"/>
      <c r="F1168" s="381"/>
      <c r="G1168" s="381"/>
      <c r="H1168" s="381"/>
      <c r="I1168" s="381"/>
      <c r="J1168" s="382"/>
      <c r="K1168" s="88"/>
      <c r="M1168" s="510" t="s">
        <v>103</v>
      </c>
      <c r="N1168" s="511"/>
      <c r="O1168" s="511"/>
      <c r="P1168" s="511"/>
      <c r="Q1168" s="511"/>
      <c r="R1168" s="511"/>
      <c r="S1168" s="511"/>
      <c r="T1168" s="511"/>
      <c r="U1168" s="511"/>
      <c r="V1168" s="512"/>
      <c r="Y1168" s="378"/>
      <c r="Z1168" s="121"/>
      <c r="AA1168" s="86"/>
      <c r="AB1168" s="513"/>
      <c r="AC1168" s="514"/>
      <c r="AD1168" s="94"/>
      <c r="AE1168" s="126"/>
    </row>
    <row r="1169" spans="3:31" s="260" customFormat="1" x14ac:dyDescent="0.25">
      <c r="C1169" s="84"/>
      <c r="D1169" s="85"/>
      <c r="E1169" s="86"/>
      <c r="F1169" s="86"/>
      <c r="G1169" s="86"/>
      <c r="H1169" s="86"/>
      <c r="I1169" s="86"/>
      <c r="J1169" s="87"/>
      <c r="K1169" s="88"/>
      <c r="M1169" s="99" t="s">
        <v>94</v>
      </c>
      <c r="N1169" s="561" t="s">
        <v>95</v>
      </c>
      <c r="O1169" s="561"/>
      <c r="P1169" s="561"/>
      <c r="Q1169" s="561"/>
      <c r="R1169" s="95" t="s">
        <v>96</v>
      </c>
      <c r="S1169" s="95" t="s">
        <v>104</v>
      </c>
      <c r="T1169" s="356" t="s">
        <v>105</v>
      </c>
      <c r="U1169" s="356" t="s">
        <v>8</v>
      </c>
      <c r="V1169" s="100" t="s">
        <v>98</v>
      </c>
      <c r="Y1169" s="383" t="s">
        <v>104</v>
      </c>
      <c r="Z1169" s="119" t="s">
        <v>9</v>
      </c>
      <c r="AA1169" s="86"/>
      <c r="AB1169" s="384"/>
      <c r="AC1169" s="385"/>
      <c r="AD1169" s="94"/>
      <c r="AE1169" s="406"/>
    </row>
    <row r="1170" spans="3:31" s="260" customFormat="1" x14ac:dyDescent="0.25">
      <c r="C1170" s="84"/>
      <c r="D1170" s="85"/>
      <c r="E1170" s="86"/>
      <c r="F1170" s="86"/>
      <c r="G1170" s="86"/>
      <c r="H1170" s="86"/>
      <c r="I1170" s="86"/>
      <c r="J1170" s="87"/>
      <c r="K1170" s="88"/>
      <c r="M1170" s="102">
        <v>704</v>
      </c>
      <c r="N1170" s="533" t="str">
        <f>IFERROR(VLOOKUP(M1170,INSUMOS!$C$8:$K$928,2,0),"-----")</f>
        <v>CODO 90 PVC-P 1 1/4"</v>
      </c>
      <c r="O1170" s="533"/>
      <c r="P1170" s="533"/>
      <c r="Q1170" s="533"/>
      <c r="R1170" s="78" t="str">
        <f>IFERROR(VLOOKUP(M1170,INSUMOS!$C$8:$K$928,6,0),"-----")</f>
        <v>und</v>
      </c>
      <c r="S1170" s="396">
        <v>1</v>
      </c>
      <c r="T1170" s="387">
        <v>0</v>
      </c>
      <c r="U1170" s="388">
        <f>IFERROR(VLOOKUP(M1170,INSUMOS!$C$8:$K$928,7,0),"0")</f>
        <v>5184</v>
      </c>
      <c r="V1170" s="389">
        <f>+IFERROR(U1170*(S1170*(1+T1170)),0)</f>
        <v>5184</v>
      </c>
      <c r="Y1170" s="393">
        <f>+IFERROR(Y1157*(S1170*(1+T1170)),0)</f>
        <v>7</v>
      </c>
      <c r="Z1170" s="391">
        <f>Y1157*V1170</f>
        <v>36288</v>
      </c>
      <c r="AA1170" s="394"/>
      <c r="AB1170" s="395">
        <f>+Y1170*U1170</f>
        <v>36288</v>
      </c>
      <c r="AC1170" s="93">
        <f>+AB1170-Z1170</f>
        <v>0</v>
      </c>
      <c r="AD1170" s="94"/>
      <c r="AE1170" s="406" t="str">
        <f>+IF(V1170=0,"CERO","NO")</f>
        <v>NO</v>
      </c>
    </row>
    <row r="1171" spans="3:31" s="260" customFormat="1" x14ac:dyDescent="0.25">
      <c r="C1171" s="84"/>
      <c r="D1171" s="85"/>
      <c r="E1171" s="86"/>
      <c r="F1171" s="86"/>
      <c r="G1171" s="86"/>
      <c r="H1171" s="86"/>
      <c r="I1171" s="86"/>
      <c r="J1171" s="87"/>
      <c r="K1171" s="88"/>
      <c r="M1171" s="102">
        <v>699</v>
      </c>
      <c r="N1171" s="533" t="str">
        <f>IFERROR(VLOOKUP(M1171,INSUMOS!$C$8:$K$928,2,0),"-----")</f>
        <v>SOLDADURA PVC LIQUIDA 1/4"</v>
      </c>
      <c r="O1171" s="533"/>
      <c r="P1171" s="533"/>
      <c r="Q1171" s="533"/>
      <c r="R1171" s="78" t="str">
        <f>IFERROR(VLOOKUP(M1171,INSUMOS!$C$8:$K$928,6,0),"-----")</f>
        <v>und</v>
      </c>
      <c r="S1171" s="392">
        <v>5.0000000000000001E-3</v>
      </c>
      <c r="T1171" s="387">
        <v>0.02</v>
      </c>
      <c r="U1171" s="388">
        <f>IFERROR(VLOOKUP(M1171,INSUMOS!$C$8:$K$928,7,0),"0")</f>
        <v>146569</v>
      </c>
      <c r="V1171" s="389">
        <f>+IFERROR(U1171*(S1171*(1+T1171)),0)</f>
        <v>747.50190000000009</v>
      </c>
      <c r="Y1171" s="393">
        <f>+IFERROR(Y1157*(S1171*(1+T1171)),0)</f>
        <v>3.5700000000000003E-2</v>
      </c>
      <c r="Z1171" s="391">
        <f>Y1157*V1171</f>
        <v>5232.5133000000005</v>
      </c>
      <c r="AA1171" s="394"/>
      <c r="AB1171" s="395">
        <f>+Y1171*U1171</f>
        <v>5232.5133000000005</v>
      </c>
      <c r="AC1171" s="93">
        <f>+AB1171-Z1171</f>
        <v>0</v>
      </c>
      <c r="AD1171" s="94"/>
      <c r="AE1171" s="406" t="str">
        <f>+IF(V1171=0,"CERO","NO")</f>
        <v>NO</v>
      </c>
    </row>
    <row r="1172" spans="3:31" s="260" customFormat="1" x14ac:dyDescent="0.25">
      <c r="C1172" s="84"/>
      <c r="D1172" s="85"/>
      <c r="E1172" s="86"/>
      <c r="F1172" s="86"/>
      <c r="G1172" s="86"/>
      <c r="H1172" s="86"/>
      <c r="I1172" s="86"/>
      <c r="J1172" s="87"/>
      <c r="K1172" s="88"/>
      <c r="M1172" s="102">
        <v>700</v>
      </c>
      <c r="N1172" s="533" t="str">
        <f>IFERROR(VLOOKUP(M1172,INSUMOS!$C$8:$K$928,2,0),"-----")</f>
        <v>LIMPIADOR PVC 1/4</v>
      </c>
      <c r="O1172" s="533"/>
      <c r="P1172" s="533"/>
      <c r="Q1172" s="533"/>
      <c r="R1172" s="78" t="str">
        <f>IFERROR(VLOOKUP(M1172,INSUMOS!$C$8:$K$928,6,0),"-----")</f>
        <v>und</v>
      </c>
      <c r="S1172" s="392">
        <v>5.0000000000000001E-3</v>
      </c>
      <c r="T1172" s="387">
        <v>0.02</v>
      </c>
      <c r="U1172" s="388">
        <f>IFERROR(VLOOKUP(M1172,INSUMOS!$C$8:$K$928,7,0),"0")</f>
        <v>65913</v>
      </c>
      <c r="V1172" s="389">
        <f>+IFERROR(U1172*(S1172*(1+T1172)),0)</f>
        <v>336.15630000000004</v>
      </c>
      <c r="Y1172" s="393">
        <f>+IFERROR(Y1157*(S1172*(1+T1172)),0)</f>
        <v>3.5700000000000003E-2</v>
      </c>
      <c r="Z1172" s="391">
        <f>Y1157*V1172</f>
        <v>2353.0941000000003</v>
      </c>
      <c r="AA1172" s="394"/>
      <c r="AB1172" s="395">
        <f>+Y1172*U1172</f>
        <v>2353.0941000000003</v>
      </c>
      <c r="AC1172" s="93">
        <f>+AB1172-Z1172</f>
        <v>0</v>
      </c>
      <c r="AD1172" s="94"/>
      <c r="AE1172" s="406" t="str">
        <f>+IF(V1172=0,"CERO","NO")</f>
        <v>NO</v>
      </c>
    </row>
    <row r="1173" spans="3:31" s="260" customFormat="1" x14ac:dyDescent="0.25">
      <c r="C1173" s="84"/>
      <c r="D1173" s="85"/>
      <c r="E1173" s="86"/>
      <c r="F1173" s="86"/>
      <c r="G1173" s="86"/>
      <c r="H1173" s="86"/>
      <c r="I1173" s="86"/>
      <c r="J1173" s="87"/>
      <c r="K1173" s="88"/>
      <c r="M1173" s="102">
        <v>0</v>
      </c>
      <c r="N1173" s="533" t="str">
        <f>IFERROR(VLOOKUP(M1173,INSUMOS!$C$8:$K$928,2,0),"-----")</f>
        <v>-----</v>
      </c>
      <c r="O1173" s="533"/>
      <c r="P1173" s="533"/>
      <c r="Q1173" s="533"/>
      <c r="R1173" s="78" t="str">
        <f>IFERROR(VLOOKUP(M1173,INSUMOS!$C$8:$K$928,6,0),"-----")</f>
        <v>-----</v>
      </c>
      <c r="S1173" s="396"/>
      <c r="T1173" s="387"/>
      <c r="U1173" s="388" t="str">
        <f>IFERROR(VLOOKUP(M1173,INSUMOS!$C$8:$K$928,7,0),"0")</f>
        <v>0</v>
      </c>
      <c r="V1173" s="389">
        <f>+IFERROR(U1173*(S1173*(1+T1173)),0)</f>
        <v>0</v>
      </c>
      <c r="Y1173" s="393">
        <f>+IFERROR(Y1157*(S1173*(1+T1173)),0)</f>
        <v>0</v>
      </c>
      <c r="Z1173" s="391">
        <f>Y1157*V1173</f>
        <v>0</v>
      </c>
      <c r="AA1173" s="394"/>
      <c r="AB1173" s="395">
        <f>+Y1173*U1173</f>
        <v>0</v>
      </c>
      <c r="AC1173" s="93">
        <f>+AB1173-Z1173</f>
        <v>0</v>
      </c>
      <c r="AD1173" s="94"/>
      <c r="AE1173" s="406" t="str">
        <f>+IF(V1173=0,"CERO","NO")</f>
        <v>CERO</v>
      </c>
    </row>
    <row r="1174" spans="3:31" s="260" customFormat="1" ht="15.75" thickBot="1" x14ac:dyDescent="0.3">
      <c r="C1174" s="84"/>
      <c r="D1174" s="85"/>
      <c r="E1174" s="86"/>
      <c r="F1174" s="86"/>
      <c r="G1174" s="86"/>
      <c r="H1174" s="86"/>
      <c r="I1174" s="86"/>
      <c r="J1174" s="87"/>
      <c r="K1174" s="88"/>
      <c r="M1174" s="102">
        <v>0</v>
      </c>
      <c r="N1174" s="564"/>
      <c r="O1174" s="564"/>
      <c r="P1174" s="564"/>
      <c r="Q1174" s="564"/>
      <c r="R1174" s="96"/>
      <c r="S1174" s="79"/>
      <c r="T1174" s="97"/>
      <c r="U1174" s="358"/>
      <c r="V1174" s="397"/>
      <c r="Y1174" s="393">
        <f>+IFERROR(Y1157*(S1174*(1+T1174)),0)</f>
        <v>0</v>
      </c>
      <c r="Z1174" s="391">
        <f>Y1157*V1174</f>
        <v>0</v>
      </c>
      <c r="AA1174" s="394"/>
      <c r="AB1174" s="395">
        <f>+Y1174*U1174</f>
        <v>0</v>
      </c>
      <c r="AC1174" s="93">
        <f>+AB1174-Z1174</f>
        <v>0</v>
      </c>
      <c r="AD1174" s="94"/>
      <c r="AE1174" s="406" t="str">
        <f>+IF(V1174=0,"CERO","NO")</f>
        <v>CERO</v>
      </c>
    </row>
    <row r="1175" spans="3:31" s="260" customFormat="1" ht="15.75" thickBot="1" x14ac:dyDescent="0.3">
      <c r="C1175" s="84"/>
      <c r="D1175" s="375" t="s">
        <v>128</v>
      </c>
      <c r="E1175" s="376" t="s">
        <v>129</v>
      </c>
      <c r="F1175" s="376" t="s">
        <v>130</v>
      </c>
      <c r="G1175" s="376" t="s">
        <v>131</v>
      </c>
      <c r="H1175" s="376" t="s">
        <v>132</v>
      </c>
      <c r="I1175" s="376" t="s">
        <v>133</v>
      </c>
      <c r="J1175" s="377" t="s">
        <v>134</v>
      </c>
      <c r="K1175" s="88"/>
      <c r="M1175" s="534"/>
      <c r="N1175" s="536" t="s">
        <v>106</v>
      </c>
      <c r="O1175" s="536"/>
      <c r="P1175" s="536"/>
      <c r="Q1175" s="536"/>
      <c r="R1175" s="536"/>
      <c r="S1175" s="536"/>
      <c r="T1175" s="536"/>
      <c r="U1175" s="536"/>
      <c r="V1175" s="389">
        <f>+SUM(V1170:V1174)</f>
        <v>6267.6581999999999</v>
      </c>
      <c r="Y1175" s="398" t="s">
        <v>135</v>
      </c>
      <c r="Z1175" s="397">
        <f>+SUM(Z1170:Z1174)</f>
        <v>43873.607400000001</v>
      </c>
      <c r="AA1175" s="86"/>
      <c r="AB1175" s="384"/>
      <c r="AC1175" s="385"/>
      <c r="AD1175" s="94"/>
      <c r="AE1175" s="399"/>
    </row>
    <row r="1176" spans="3:31" s="260" customFormat="1" ht="15.75" thickBot="1" x14ac:dyDescent="0.3">
      <c r="C1176" s="84"/>
      <c r="D1176" s="375"/>
      <c r="E1176" s="407">
        <f>+D1167</f>
        <v>2.14</v>
      </c>
      <c r="F1176" s="376"/>
      <c r="G1176" s="376"/>
      <c r="H1176" s="376"/>
      <c r="I1176" s="376"/>
      <c r="J1176" s="377"/>
      <c r="K1176" s="88"/>
      <c r="M1176" s="535"/>
      <c r="N1176" s="537" t="s">
        <v>107</v>
      </c>
      <c r="O1176" s="537"/>
      <c r="P1176" s="537"/>
      <c r="Q1176" s="537"/>
      <c r="R1176" s="537"/>
      <c r="S1176" s="537"/>
      <c r="T1176" s="537"/>
      <c r="U1176" s="537"/>
      <c r="V1176" s="408">
        <f>+ROUND(V1175,$AA$5)</f>
        <v>6267.66</v>
      </c>
      <c r="Y1176" s="401" t="s">
        <v>136</v>
      </c>
      <c r="Z1176" s="402">
        <f>+ROUND(Z1175,$AA$5)</f>
        <v>43873.61</v>
      </c>
      <c r="AA1176" s="86"/>
      <c r="AB1176" s="403">
        <f>+V1176*Y1157</f>
        <v>43873.619999999995</v>
      </c>
      <c r="AC1176" s="404">
        <f>+AB1176-Z1176</f>
        <v>9.9999999947613105E-3</v>
      </c>
      <c r="AD1176" s="94"/>
      <c r="AE1176" s="405"/>
    </row>
    <row r="1177" spans="3:31" s="260" customFormat="1" x14ac:dyDescent="0.25">
      <c r="C1177" s="84"/>
      <c r="D1177" s="380"/>
      <c r="E1177" s="381"/>
      <c r="F1177" s="381"/>
      <c r="G1177" s="381"/>
      <c r="H1177" s="381"/>
      <c r="I1177" s="381"/>
      <c r="J1177" s="382"/>
      <c r="K1177" s="88"/>
      <c r="M1177" s="568" t="s">
        <v>108</v>
      </c>
      <c r="N1177" s="569"/>
      <c r="O1177" s="569"/>
      <c r="P1177" s="569"/>
      <c r="Q1177" s="569"/>
      <c r="R1177" s="569"/>
      <c r="S1177" s="569"/>
      <c r="T1177" s="569"/>
      <c r="U1177" s="569"/>
      <c r="V1177" s="570"/>
      <c r="Y1177" s="378"/>
      <c r="Z1177" s="121"/>
      <c r="AA1177" s="86"/>
      <c r="AB1177" s="409"/>
      <c r="AC1177" s="121"/>
      <c r="AD1177" s="94"/>
      <c r="AE1177" s="126"/>
    </row>
    <row r="1178" spans="3:31" s="260" customFormat="1" ht="25.5" x14ac:dyDescent="0.25">
      <c r="C1178" s="84"/>
      <c r="D1178" s="85"/>
      <c r="E1178" s="86"/>
      <c r="F1178" s="86"/>
      <c r="G1178" s="86"/>
      <c r="H1178" s="86"/>
      <c r="I1178" s="86"/>
      <c r="J1178" s="87"/>
      <c r="K1178" s="88"/>
      <c r="M1178" s="99" t="s">
        <v>94</v>
      </c>
      <c r="N1178" s="561" t="s">
        <v>95</v>
      </c>
      <c r="O1178" s="561"/>
      <c r="P1178" s="561"/>
      <c r="Q1178" s="95" t="s">
        <v>109</v>
      </c>
      <c r="R1178" s="95" t="s">
        <v>110</v>
      </c>
      <c r="S1178" s="95" t="s">
        <v>111</v>
      </c>
      <c r="T1178" s="562" t="s">
        <v>112</v>
      </c>
      <c r="U1178" s="562"/>
      <c r="V1178" s="100" t="s">
        <v>98</v>
      </c>
      <c r="Y1178" s="383" t="s">
        <v>104</v>
      </c>
      <c r="Z1178" s="119" t="s">
        <v>9</v>
      </c>
      <c r="AA1178" s="86"/>
      <c r="AB1178" s="384"/>
      <c r="AC1178" s="385"/>
      <c r="AD1178" s="94"/>
      <c r="AE1178" s="410"/>
    </row>
    <row r="1179" spans="3:31" s="260" customFormat="1" x14ac:dyDescent="0.25">
      <c r="C1179" s="84"/>
      <c r="D1179" s="85"/>
      <c r="E1179" s="86"/>
      <c r="F1179" s="86"/>
      <c r="G1179" s="86"/>
      <c r="H1179" s="86"/>
      <c r="I1179" s="86"/>
      <c r="J1179" s="87"/>
      <c r="K1179" s="88"/>
      <c r="M1179" s="102">
        <v>129</v>
      </c>
      <c r="N1179" s="530" t="str">
        <f>IFERROR(VLOOKUP(M1179,INSUMOS!$C$8:$K$928,2,0),"-----")</f>
        <v>transporte materiales en general</v>
      </c>
      <c r="O1179" s="531"/>
      <c r="P1179" s="532"/>
      <c r="Q1179" s="78" t="str">
        <f>IFERROR(VLOOKUP(M1179,INSUMOS!$C$8:$K$928,5,0),"-----")</f>
        <v>Km</v>
      </c>
      <c r="R1179" s="80">
        <v>1</v>
      </c>
      <c r="S1179" s="80">
        <f>IFERROR(VLOOKUP(M1179,INSUMOS!$C$8:$K$928,6,0),"0")</f>
        <v>348</v>
      </c>
      <c r="T1179" s="529">
        <f>IFERROR(VLOOKUP(M1179,INSUMOS!$C$8:$K$928,7,0),"0")</f>
        <v>0.99776362060288992</v>
      </c>
      <c r="U1179" s="529"/>
      <c r="V1179" s="82">
        <f>+T1179*S1179*R1179</f>
        <v>347.2217399698057</v>
      </c>
      <c r="Y1179" s="393">
        <f>+IFERROR((R1179*S1179)*Y1157,0)</f>
        <v>2436</v>
      </c>
      <c r="Z1179" s="391">
        <f>Y1157*V1179</f>
        <v>2430.5521797886399</v>
      </c>
      <c r="AA1179" s="86"/>
      <c r="AB1179" s="92">
        <f>+Y1179*T1179</f>
        <v>2430.5521797886399</v>
      </c>
      <c r="AC1179" s="93">
        <f>+AB1179-Z1179</f>
        <v>0</v>
      </c>
      <c r="AD1179" s="94"/>
      <c r="AE1179" s="406" t="str">
        <f>+IF(V1179=0,"CERO","NO")</f>
        <v>NO</v>
      </c>
    </row>
    <row r="1180" spans="3:31" s="260" customFormat="1" x14ac:dyDescent="0.25">
      <c r="C1180" s="84"/>
      <c r="D1180" s="85"/>
      <c r="E1180" s="86"/>
      <c r="F1180" s="86"/>
      <c r="G1180" s="86"/>
      <c r="H1180" s="86"/>
      <c r="I1180" s="86"/>
      <c r="J1180" s="87"/>
      <c r="K1180" s="88"/>
      <c r="M1180" s="102">
        <v>0</v>
      </c>
      <c r="N1180" s="530" t="str">
        <f>IFERROR(VLOOKUP(M1180,INSUMOS!$C$8:$K$928,2,0),"-----")</f>
        <v>-----</v>
      </c>
      <c r="O1180" s="531"/>
      <c r="P1180" s="532"/>
      <c r="Q1180" s="78" t="str">
        <f>IFERROR(VLOOKUP(M1180,INSUMOS!$C$8:$K$928,5,0),"-----")</f>
        <v>-----</v>
      </c>
      <c r="R1180" s="80"/>
      <c r="S1180" s="80" t="str">
        <f>IFERROR(VLOOKUP(M1180,INSUMOS!$C$8:$K$928,6,0),"0")</f>
        <v>0</v>
      </c>
      <c r="T1180" s="529" t="str">
        <f>IFERROR(VLOOKUP(M1180,INSUMOS!$C$8:$K$928,7,0),"0")</f>
        <v>0</v>
      </c>
      <c r="U1180" s="529"/>
      <c r="V1180" s="82">
        <f>+T1180*S1180*R1180</f>
        <v>0</v>
      </c>
      <c r="Y1180" s="393">
        <f>+IFERROR((R1180*S1180)*Y1157,0)</f>
        <v>0</v>
      </c>
      <c r="Z1180" s="391">
        <f>Y1157*V1180</f>
        <v>0</v>
      </c>
      <c r="AA1180" s="86"/>
      <c r="AB1180" s="92">
        <f>+Y1180*T1180</f>
        <v>0</v>
      </c>
      <c r="AC1180" s="93">
        <f>+AB1180-Z1180</f>
        <v>0</v>
      </c>
      <c r="AD1180" s="94"/>
      <c r="AE1180" s="406" t="str">
        <f>+IF(V1180=0,"CERO","NO")</f>
        <v>CERO</v>
      </c>
    </row>
    <row r="1181" spans="3:31" s="260" customFormat="1" x14ac:dyDescent="0.25">
      <c r="C1181" s="84"/>
      <c r="D1181" s="85"/>
      <c r="E1181" s="86"/>
      <c r="F1181" s="86"/>
      <c r="G1181" s="86"/>
      <c r="H1181" s="86"/>
      <c r="I1181" s="86"/>
      <c r="J1181" s="87"/>
      <c r="K1181" s="88"/>
      <c r="M1181" s="102">
        <v>0</v>
      </c>
      <c r="N1181" s="530" t="str">
        <f>IFERROR(VLOOKUP(M1181,INSUMOS!$C$8:$K$928,2,0),"-----")</f>
        <v>-----</v>
      </c>
      <c r="O1181" s="531"/>
      <c r="P1181" s="532"/>
      <c r="Q1181" s="78" t="str">
        <f>IFERROR(VLOOKUP(M1181,INSUMOS!$C$8:$K$928,5,0),"-----")</f>
        <v>-----</v>
      </c>
      <c r="R1181" s="80"/>
      <c r="S1181" s="80" t="str">
        <f>IFERROR(VLOOKUP(M1181,INSUMOS!$C$8:$K$928,6,0),"0")</f>
        <v>0</v>
      </c>
      <c r="T1181" s="529" t="str">
        <f>IFERROR(VLOOKUP(M1181,INSUMOS!$C$8:$K$928,7,0),"0")</f>
        <v>0</v>
      </c>
      <c r="U1181" s="529"/>
      <c r="V1181" s="82">
        <f>+T1181*S1181*R1181</f>
        <v>0</v>
      </c>
      <c r="Y1181" s="393">
        <f>+IFERROR((R1181*S1181)*Y1157,0)</f>
        <v>0</v>
      </c>
      <c r="Z1181" s="391">
        <f>Y1157*V1181</f>
        <v>0</v>
      </c>
      <c r="AA1181" s="86"/>
      <c r="AB1181" s="92">
        <f>+Y1181*T1181</f>
        <v>0</v>
      </c>
      <c r="AC1181" s="93">
        <f>+AB1181-Z1181</f>
        <v>0</v>
      </c>
      <c r="AD1181" s="94"/>
      <c r="AE1181" s="406" t="str">
        <f>+IF(V1181=0,"CERO","NO")</f>
        <v>CERO</v>
      </c>
    </row>
    <row r="1182" spans="3:31" s="260" customFormat="1" ht="15.75" thickBot="1" x14ac:dyDescent="0.3">
      <c r="C1182" s="84"/>
      <c r="D1182" s="89"/>
      <c r="E1182" s="90"/>
      <c r="F1182" s="90"/>
      <c r="G1182" s="90"/>
      <c r="H1182" s="90"/>
      <c r="I1182" s="90"/>
      <c r="J1182" s="91"/>
      <c r="K1182" s="88"/>
      <c r="M1182" s="102">
        <v>0</v>
      </c>
      <c r="N1182" s="533"/>
      <c r="O1182" s="533"/>
      <c r="P1182" s="533"/>
      <c r="Q1182" s="79"/>
      <c r="R1182" s="78"/>
      <c r="S1182" s="81"/>
      <c r="T1182" s="529"/>
      <c r="U1182" s="529"/>
      <c r="V1182" s="82"/>
      <c r="Y1182" s="393">
        <f>+IFERROR((R1182*S1182)*Y1157,0)</f>
        <v>0</v>
      </c>
      <c r="Z1182" s="391">
        <f>Y1157*V1182</f>
        <v>0</v>
      </c>
      <c r="AA1182" s="86"/>
      <c r="AB1182" s="92">
        <f>+Y1182*T1182</f>
        <v>0</v>
      </c>
      <c r="AC1182" s="93">
        <f>+AB1182-Z1182</f>
        <v>0</v>
      </c>
      <c r="AD1182" s="94"/>
      <c r="AE1182" s="406" t="str">
        <f>+IF(V1182=0,"CERO","NO")</f>
        <v>CERO</v>
      </c>
    </row>
    <row r="1183" spans="3:31" s="260" customFormat="1" ht="15.75" thickBot="1" x14ac:dyDescent="0.3">
      <c r="C1183" s="84"/>
      <c r="D1183" s="375" t="s">
        <v>128</v>
      </c>
      <c r="E1183" s="376" t="s">
        <v>129</v>
      </c>
      <c r="F1183" s="376" t="s">
        <v>130</v>
      </c>
      <c r="G1183" s="376" t="s">
        <v>131</v>
      </c>
      <c r="H1183" s="376" t="s">
        <v>132</v>
      </c>
      <c r="I1183" s="376" t="s">
        <v>133</v>
      </c>
      <c r="J1183" s="377" t="s">
        <v>134</v>
      </c>
      <c r="K1183" s="88"/>
      <c r="M1183" s="534"/>
      <c r="N1183" s="536" t="s">
        <v>113</v>
      </c>
      <c r="O1183" s="536"/>
      <c r="P1183" s="536"/>
      <c r="Q1183" s="536"/>
      <c r="R1183" s="536"/>
      <c r="S1183" s="536"/>
      <c r="T1183" s="536"/>
      <c r="U1183" s="536"/>
      <c r="V1183" s="411">
        <f>+SUM(V1179:V1182)</f>
        <v>347.2217399698057</v>
      </c>
      <c r="Y1183" s="398" t="s">
        <v>135</v>
      </c>
      <c r="Z1183" s="397">
        <f>+SUM(Z1179:Z1182)</f>
        <v>2430.5521797886399</v>
      </c>
      <c r="AA1183" s="86"/>
      <c r="AB1183" s="384"/>
      <c r="AC1183" s="385"/>
      <c r="AD1183" s="94"/>
      <c r="AE1183" s="399"/>
    </row>
    <row r="1184" spans="3:31" s="260" customFormat="1" ht="15.75" thickBot="1" x14ac:dyDescent="0.3">
      <c r="C1184" s="84"/>
      <c r="D1184" s="355"/>
      <c r="E1184" s="367"/>
      <c r="F1184" s="412">
        <f>+E1176</f>
        <v>2.14</v>
      </c>
      <c r="G1184" s="367"/>
      <c r="H1184" s="367"/>
      <c r="I1184" s="367"/>
      <c r="J1184" s="368"/>
      <c r="K1184" s="88"/>
      <c r="M1184" s="535"/>
      <c r="N1184" s="537" t="s">
        <v>114</v>
      </c>
      <c r="O1184" s="537"/>
      <c r="P1184" s="537"/>
      <c r="Q1184" s="537"/>
      <c r="R1184" s="537"/>
      <c r="S1184" s="537"/>
      <c r="T1184" s="537"/>
      <c r="U1184" s="537"/>
      <c r="V1184" s="413">
        <f>+ROUND(V1183,$AA$5)</f>
        <v>347.22</v>
      </c>
      <c r="Y1184" s="401" t="s">
        <v>136</v>
      </c>
      <c r="Z1184" s="402">
        <f>+ROUND(Z1183,$AA$5)</f>
        <v>2430.5500000000002</v>
      </c>
      <c r="AA1184" s="86"/>
      <c r="AB1184" s="403">
        <f>+V1184*Y1157</f>
        <v>2430.54</v>
      </c>
      <c r="AC1184" s="414"/>
      <c r="AD1184" s="94"/>
      <c r="AE1184" s="405"/>
    </row>
    <row r="1185" spans="3:31" s="260" customFormat="1" ht="15.75" thickBot="1" x14ac:dyDescent="0.3">
      <c r="C1185" s="84"/>
      <c r="D1185" s="415"/>
      <c r="E1185" s="416"/>
      <c r="F1185" s="416"/>
      <c r="G1185" s="416"/>
      <c r="H1185" s="416"/>
      <c r="I1185" s="416"/>
      <c r="J1185" s="417"/>
      <c r="K1185" s="88"/>
      <c r="M1185" s="538" t="s">
        <v>115</v>
      </c>
      <c r="N1185" s="539"/>
      <c r="O1185" s="539"/>
      <c r="P1185" s="539"/>
      <c r="Q1185" s="539"/>
      <c r="R1185" s="539"/>
      <c r="S1185" s="539"/>
      <c r="T1185" s="539"/>
      <c r="U1185" s="539"/>
      <c r="V1185" s="540"/>
      <c r="Y1185" s="378"/>
      <c r="Z1185" s="121"/>
      <c r="AA1185" s="86"/>
      <c r="AB1185" s="409"/>
      <c r="AC1185" s="121"/>
      <c r="AD1185" s="94"/>
      <c r="AE1185" s="126"/>
    </row>
    <row r="1186" spans="3:31" s="260" customFormat="1" ht="15.75" thickBot="1" x14ac:dyDescent="0.3">
      <c r="C1186" s="84"/>
      <c r="D1186" s="375" t="s">
        <v>128</v>
      </c>
      <c r="E1186" s="376" t="s">
        <v>129</v>
      </c>
      <c r="F1186" s="376" t="s">
        <v>130</v>
      </c>
      <c r="G1186" s="376" t="s">
        <v>131</v>
      </c>
      <c r="H1186" s="376" t="s">
        <v>132</v>
      </c>
      <c r="I1186" s="376" t="s">
        <v>133</v>
      </c>
      <c r="J1186" s="377" t="s">
        <v>134</v>
      </c>
      <c r="K1186" s="88"/>
      <c r="M1186" s="99" t="s">
        <v>94</v>
      </c>
      <c r="N1186" s="98" t="s">
        <v>95</v>
      </c>
      <c r="O1186" s="95" t="s">
        <v>96</v>
      </c>
      <c r="P1186" s="359" t="s">
        <v>104</v>
      </c>
      <c r="Q1186" s="95" t="s">
        <v>116</v>
      </c>
      <c r="R1186" s="418" t="s">
        <v>117</v>
      </c>
      <c r="S1186" s="95" t="s">
        <v>347</v>
      </c>
      <c r="T1186" s="419" t="s">
        <v>118</v>
      </c>
      <c r="U1186" s="189" t="s">
        <v>119</v>
      </c>
      <c r="V1186" s="100" t="s">
        <v>98</v>
      </c>
      <c r="Y1186" s="383" t="s">
        <v>104</v>
      </c>
      <c r="Z1186" s="119" t="s">
        <v>9</v>
      </c>
      <c r="AA1186" s="86"/>
      <c r="AB1186" s="384"/>
      <c r="AC1186" s="385"/>
      <c r="AD1186" s="94"/>
      <c r="AE1186" s="410"/>
    </row>
    <row r="1187" spans="3:31" s="260" customFormat="1" ht="25.5" x14ac:dyDescent="0.25">
      <c r="C1187" s="84"/>
      <c r="D1187" s="354"/>
      <c r="E1187" s="96"/>
      <c r="F1187" s="96"/>
      <c r="G1187" s="96"/>
      <c r="H1187" s="96"/>
      <c r="I1187" s="96"/>
      <c r="J1187" s="420">
        <f>+F1184</f>
        <v>2.14</v>
      </c>
      <c r="K1187" s="88"/>
      <c r="M1187" s="102">
        <v>207</v>
      </c>
      <c r="N1187" s="347" t="str">
        <f>IFERROR(VLOOKUP(M1187,INSUMOS!$C$8:$K$928,2,0),"-----")</f>
        <v>Oficial Hidrosanitario</v>
      </c>
      <c r="O1187" s="78" t="str">
        <f>IFERROR(VLOOKUP(M1187,INSUMOS!$C$8:$K$928,3,0),"-----")</f>
        <v>JORNAL+PS</v>
      </c>
      <c r="P1187" s="80">
        <v>1</v>
      </c>
      <c r="Q1187" s="79">
        <v>30</v>
      </c>
      <c r="R1187" s="190">
        <f>IFERROR(VLOOKUP(M1187,INSUMOS!$C$8:$K$928,4,0),"-----")</f>
        <v>92983</v>
      </c>
      <c r="S1187" s="190">
        <f>IFERROR(VLOOKUP(M1187,INSUMOS!$C$8:$K$928,6,0),"-----")</f>
        <v>74386</v>
      </c>
      <c r="T1187" s="190">
        <f>IFERROR(VLOOKUP(M1187,INSUMOS!$C$8:$K$928,5,0),"-----")</f>
        <v>0</v>
      </c>
      <c r="U1187" s="388">
        <f>SUM(R1187:T1187)</f>
        <v>167369</v>
      </c>
      <c r="V1187" s="82">
        <f>+IFERROR((P1187/Q1187)*U1187,0)</f>
        <v>5578.9666666666662</v>
      </c>
      <c r="Y1187" s="393">
        <f>+IFERROR((Y1157/Q1187*P1187),0)</f>
        <v>0.23333333333333334</v>
      </c>
      <c r="Z1187" s="391">
        <f>Y1157*V1187</f>
        <v>39052.766666666663</v>
      </c>
      <c r="AA1187" s="86"/>
      <c r="AB1187" s="92">
        <f>+(U1187)*Y1187</f>
        <v>39052.76666666667</v>
      </c>
      <c r="AC1187" s="93">
        <f>+AB1187-Z1187</f>
        <v>0</v>
      </c>
      <c r="AD1187" s="421"/>
      <c r="AE1187" s="410" t="str">
        <f>+IF(V1187=0,"CERO","NO")</f>
        <v>NO</v>
      </c>
    </row>
    <row r="1188" spans="3:31" s="260" customFormat="1" ht="15.75" thickBot="1" x14ac:dyDescent="0.3">
      <c r="C1188" s="84"/>
      <c r="D1188" s="355"/>
      <c r="E1188" s="367"/>
      <c r="F1188" s="367"/>
      <c r="G1188" s="367"/>
      <c r="H1188" s="367"/>
      <c r="I1188" s="367"/>
      <c r="J1188" s="422">
        <f>+J1187</f>
        <v>2.14</v>
      </c>
      <c r="K1188" s="88"/>
      <c r="M1188" s="102"/>
      <c r="N1188" s="347" t="str">
        <f>IFERROR(VLOOKUP(M1188,INSUMOS!$C$8:$K$928,2,0),"-----")</f>
        <v>-----</v>
      </c>
      <c r="O1188" s="78" t="str">
        <f>IFERROR(VLOOKUP(M1188,INSUMOS!$C$8:$K$928,3,0),"-----")</f>
        <v>-----</v>
      </c>
      <c r="P1188" s="80"/>
      <c r="Q1188" s="79"/>
      <c r="R1188" s="190" t="str">
        <f>IFERROR(VLOOKUP(M1188,INSUMOS!$C$8:$K$928,4,0),"-----")</f>
        <v>-----</v>
      </c>
      <c r="S1188" s="190" t="str">
        <f>IFERROR(VLOOKUP(M1188,INSUMOS!$C$8:$K$928,6,0),"-----")</f>
        <v>-----</v>
      </c>
      <c r="T1188" s="190" t="str">
        <f>IFERROR(VLOOKUP(M1188,INSUMOS!$C$8:$K$928,5,0),"-----")</f>
        <v>-----</v>
      </c>
      <c r="U1188" s="388">
        <f>SUM(R1188:T1188)</f>
        <v>0</v>
      </c>
      <c r="V1188" s="82">
        <f>+IFERROR((P1188/Q1188)*U1188,0)</f>
        <v>0</v>
      </c>
      <c r="Y1188" s="393">
        <f>+IFERROR((Y1157/Q1188*P1188),0)</f>
        <v>0</v>
      </c>
      <c r="Z1188" s="391">
        <f>Y1157*V1188</f>
        <v>0</v>
      </c>
      <c r="AA1188" s="86"/>
      <c r="AB1188" s="92">
        <f>+U1188*Y1188</f>
        <v>0</v>
      </c>
      <c r="AC1188" s="93">
        <f>+AB1188-Z1188</f>
        <v>0</v>
      </c>
      <c r="AD1188" s="94"/>
      <c r="AE1188" s="410" t="str">
        <f>+IF(V1188=0,"CERO","NO")</f>
        <v>CERO</v>
      </c>
    </row>
    <row r="1189" spans="3:31" s="260" customFormat="1" ht="15.75" thickBot="1" x14ac:dyDescent="0.3">
      <c r="C1189" s="84"/>
      <c r="D1189" s="380"/>
      <c r="E1189" s="381"/>
      <c r="F1189" s="381"/>
      <c r="G1189" s="381"/>
      <c r="H1189" s="381"/>
      <c r="I1189" s="381"/>
      <c r="J1189" s="382"/>
      <c r="K1189" s="88"/>
      <c r="M1189" s="102">
        <v>0</v>
      </c>
      <c r="N1189" s="347"/>
      <c r="O1189" s="79"/>
      <c r="P1189" s="423"/>
      <c r="Q1189" s="81"/>
      <c r="R1189" s="111"/>
      <c r="S1189" s="357"/>
      <c r="T1189" s="111"/>
      <c r="U1189" s="388"/>
      <c r="V1189" s="426"/>
      <c r="Y1189" s="393">
        <f>+IFERROR((Y1157/Q1189*P1189),0)</f>
        <v>0</v>
      </c>
      <c r="Z1189" s="391">
        <f>Y1157*V1189</f>
        <v>0</v>
      </c>
      <c r="AA1189" s="86"/>
      <c r="AB1189" s="92">
        <f>+(U1189)*Y1189*P1189</f>
        <v>0</v>
      </c>
      <c r="AC1189" s="93">
        <f>+AB1189-Z1189</f>
        <v>0</v>
      </c>
      <c r="AD1189" s="94"/>
      <c r="AE1189" s="410" t="str">
        <f>+IF(V1189=0,"CERO","NO")</f>
        <v>CERO</v>
      </c>
    </row>
    <row r="1190" spans="3:31" s="260" customFormat="1" ht="15.75" thickBot="1" x14ac:dyDescent="0.3">
      <c r="C1190" s="84"/>
      <c r="D1190" s="375" t="s">
        <v>128</v>
      </c>
      <c r="E1190" s="376" t="s">
        <v>129</v>
      </c>
      <c r="F1190" s="376" t="s">
        <v>130</v>
      </c>
      <c r="G1190" s="376" t="s">
        <v>131</v>
      </c>
      <c r="H1190" s="376" t="s">
        <v>132</v>
      </c>
      <c r="I1190" s="376" t="s">
        <v>133</v>
      </c>
      <c r="J1190" s="377" t="s">
        <v>134</v>
      </c>
      <c r="K1190" s="88"/>
      <c r="M1190" s="534"/>
      <c r="N1190" s="536" t="s">
        <v>120</v>
      </c>
      <c r="O1190" s="536"/>
      <c r="P1190" s="536"/>
      <c r="Q1190" s="536"/>
      <c r="R1190" s="536"/>
      <c r="S1190" s="536"/>
      <c r="T1190" s="536"/>
      <c r="U1190" s="536"/>
      <c r="V1190" s="82">
        <f>+SUM(V1187:V1189)</f>
        <v>5578.9666666666662</v>
      </c>
      <c r="Y1190" s="398" t="s">
        <v>135</v>
      </c>
      <c r="Z1190" s="397">
        <f>+SUM(Z1187:Z1189)</f>
        <v>39052.766666666663</v>
      </c>
      <c r="AA1190" s="86"/>
      <c r="AB1190" s="384"/>
      <c r="AC1190" s="385"/>
      <c r="AD1190" s="94"/>
      <c r="AE1190" s="399"/>
    </row>
    <row r="1191" spans="3:31" s="260" customFormat="1" ht="15.75" thickBot="1" x14ac:dyDescent="0.3">
      <c r="C1191" s="84"/>
      <c r="D1191" s="354"/>
      <c r="E1191" s="96"/>
      <c r="F1191" s="96"/>
      <c r="G1191" s="107">
        <f>+F1184</f>
        <v>2.14</v>
      </c>
      <c r="H1191" s="96"/>
      <c r="I1191" s="96"/>
      <c r="J1191" s="427"/>
      <c r="K1191" s="88"/>
      <c r="M1191" s="535"/>
      <c r="N1191" s="537" t="s">
        <v>121</v>
      </c>
      <c r="O1191" s="537"/>
      <c r="P1191" s="537"/>
      <c r="Q1191" s="537"/>
      <c r="R1191" s="537"/>
      <c r="S1191" s="537"/>
      <c r="T1191" s="537"/>
      <c r="U1191" s="537"/>
      <c r="V1191" s="413">
        <f>+ROUND(V1190,$AA$5)</f>
        <v>5578.97</v>
      </c>
      <c r="Y1191" s="401" t="s">
        <v>136</v>
      </c>
      <c r="Z1191" s="402">
        <f>+ROUND(Z1190,$AA$5)</f>
        <v>39052.769999999997</v>
      </c>
      <c r="AA1191" s="86"/>
      <c r="AB1191" s="403">
        <f>+V1191*Y1157</f>
        <v>39052.79</v>
      </c>
      <c r="AC1191" s="404">
        <f>+AB1191-Z1191</f>
        <v>2.0000000004074536E-2</v>
      </c>
      <c r="AD1191" s="94"/>
      <c r="AE1191" s="405"/>
    </row>
    <row r="1192" spans="3:31" s="260" customFormat="1" ht="15.75" thickBot="1" x14ac:dyDescent="0.3">
      <c r="C1192" s="84"/>
      <c r="D1192" s="375" t="s">
        <v>128</v>
      </c>
      <c r="E1192" s="376" t="s">
        <v>129</v>
      </c>
      <c r="F1192" s="376" t="s">
        <v>130</v>
      </c>
      <c r="G1192" s="376" t="s">
        <v>131</v>
      </c>
      <c r="H1192" s="376" t="s">
        <v>132</v>
      </c>
      <c r="I1192" s="376" t="s">
        <v>133</v>
      </c>
      <c r="J1192" s="377" t="s">
        <v>134</v>
      </c>
      <c r="K1192" s="88"/>
      <c r="M1192" s="541"/>
      <c r="N1192" s="542"/>
      <c r="O1192" s="542"/>
      <c r="P1192" s="542"/>
      <c r="Q1192" s="542"/>
      <c r="R1192" s="542"/>
      <c r="S1192" s="542"/>
      <c r="T1192" s="542"/>
      <c r="U1192" s="542"/>
      <c r="V1192" s="543"/>
      <c r="Y1192" s="378"/>
      <c r="Z1192" s="121"/>
      <c r="AA1192" s="86"/>
      <c r="AB1192" s="409"/>
      <c r="AC1192" s="121"/>
      <c r="AD1192" s="94"/>
      <c r="AE1192" s="428"/>
    </row>
    <row r="1193" spans="3:31" s="260" customFormat="1" ht="15.75" thickBot="1" x14ac:dyDescent="0.3">
      <c r="C1193" s="84"/>
      <c r="D1193" s="355"/>
      <c r="E1193" s="367"/>
      <c r="F1193" s="367"/>
      <c r="G1193" s="367"/>
      <c r="H1193" s="412">
        <f>G1191</f>
        <v>2.14</v>
      </c>
      <c r="I1193" s="412"/>
      <c r="J1193" s="422"/>
      <c r="K1193" s="88"/>
      <c r="M1193" s="544" t="s">
        <v>122</v>
      </c>
      <c r="N1193" s="537"/>
      <c r="O1193" s="537"/>
      <c r="P1193" s="537"/>
      <c r="Q1193" s="537"/>
      <c r="R1193" s="537"/>
      <c r="S1193" s="537"/>
      <c r="T1193" s="537"/>
      <c r="U1193" s="545">
        <f>+V1191+V1184+V1176+V1167</f>
        <v>12472.800000000001</v>
      </c>
      <c r="V1193" s="546"/>
      <c r="Y1193" s="429"/>
      <c r="Z1193" s="430">
        <f>+Z1191+Z1184+Z1176+Z1167</f>
        <v>87309.569999999992</v>
      </c>
      <c r="AA1193" s="86"/>
      <c r="AB1193" s="431">
        <f>+AB1191+AB1184+AB1176+AB1167</f>
        <v>87309.599999999991</v>
      </c>
      <c r="AC1193" s="404">
        <f>+AB1193-Z1193</f>
        <v>2.9999999998835847E-2</v>
      </c>
      <c r="AD1193" s="94"/>
      <c r="AE1193" s="432"/>
    </row>
    <row r="1194" spans="3:31" s="260" customFormat="1" ht="15.75" thickBot="1" x14ac:dyDescent="0.3"/>
    <row r="1195" spans="3:31" s="260" customFormat="1" x14ac:dyDescent="0.25">
      <c r="M1195" s="547" t="s">
        <v>348</v>
      </c>
      <c r="N1195" s="548"/>
      <c r="O1195" s="548"/>
      <c r="P1195" s="548"/>
      <c r="Q1195" s="548"/>
      <c r="R1195" s="548"/>
      <c r="S1195" s="548"/>
      <c r="T1195" s="548"/>
      <c r="U1195" s="548"/>
      <c r="V1195" s="549"/>
      <c r="Y1195" s="378"/>
      <c r="Z1195" s="121"/>
      <c r="AA1195" s="86"/>
      <c r="AB1195" s="94"/>
      <c r="AC1195" s="94"/>
      <c r="AD1195" s="94"/>
      <c r="AE1195" s="126" t="s">
        <v>133</v>
      </c>
    </row>
    <row r="1196" spans="3:31" s="260" customFormat="1" x14ac:dyDescent="0.25">
      <c r="M1196" s="515" t="s">
        <v>138</v>
      </c>
      <c r="N1196" s="516"/>
      <c r="O1196" s="516"/>
      <c r="P1196" s="516"/>
      <c r="Q1196" s="516"/>
      <c r="R1196" s="516"/>
      <c r="S1196" s="516"/>
      <c r="T1196" s="437">
        <v>0</v>
      </c>
      <c r="U1196" s="517">
        <f>+ROUND(U1193*T1196,$AA$5)</f>
        <v>0</v>
      </c>
      <c r="V1196" s="518"/>
      <c r="Y1196" s="390"/>
      <c r="Z1196" s="438">
        <f>+Z1193*T1196</f>
        <v>0</v>
      </c>
      <c r="AA1196" s="86"/>
      <c r="AB1196" s="94"/>
      <c r="AC1196" s="94"/>
      <c r="AD1196" s="94"/>
      <c r="AE1196" s="386" t="s">
        <v>133</v>
      </c>
    </row>
    <row r="1197" spans="3:31" s="260" customFormat="1" x14ac:dyDescent="0.25">
      <c r="M1197" s="515" t="s">
        <v>19</v>
      </c>
      <c r="N1197" s="516"/>
      <c r="O1197" s="516"/>
      <c r="P1197" s="516"/>
      <c r="Q1197" s="516"/>
      <c r="R1197" s="516"/>
      <c r="S1197" s="516"/>
      <c r="T1197" s="437">
        <v>0.05</v>
      </c>
      <c r="U1197" s="517">
        <f>+ROUND(U1193*T1197,$AA$5)</f>
        <v>623.64</v>
      </c>
      <c r="V1197" s="518"/>
      <c r="Y1197" s="390"/>
      <c r="Z1197" s="438">
        <f>+Z1193*T1197</f>
        <v>4365.4785000000002</v>
      </c>
      <c r="AA1197" s="86"/>
      <c r="AB1197" s="94"/>
      <c r="AC1197" s="94"/>
      <c r="AD1197" s="94"/>
      <c r="AE1197" s="386" t="s">
        <v>133</v>
      </c>
    </row>
    <row r="1198" spans="3:31" s="260" customFormat="1" x14ac:dyDescent="0.25">
      <c r="M1198" s="515" t="s">
        <v>20</v>
      </c>
      <c r="N1198" s="516"/>
      <c r="O1198" s="516"/>
      <c r="P1198" s="516"/>
      <c r="Q1198" s="516"/>
      <c r="R1198" s="516"/>
      <c r="S1198" s="516"/>
      <c r="T1198" s="437">
        <v>0</v>
      </c>
      <c r="U1198" s="517">
        <f>+ROUND(U1193*T1198,$AA$5)</f>
        <v>0</v>
      </c>
      <c r="V1198" s="518"/>
      <c r="Y1198" s="390"/>
      <c r="Z1198" s="438">
        <f>+Z1193*T1198</f>
        <v>0</v>
      </c>
      <c r="AA1198" s="86"/>
      <c r="AB1198" s="94"/>
      <c r="AC1198" s="94"/>
      <c r="AD1198" s="94"/>
      <c r="AE1198" s="386" t="s">
        <v>133</v>
      </c>
    </row>
    <row r="1199" spans="3:31" s="260" customFormat="1" x14ac:dyDescent="0.25">
      <c r="M1199" s="515" t="s">
        <v>21</v>
      </c>
      <c r="N1199" s="516"/>
      <c r="O1199" s="516"/>
      <c r="P1199" s="516"/>
      <c r="Q1199" s="516"/>
      <c r="R1199" s="516"/>
      <c r="S1199" s="516"/>
      <c r="T1199" s="437">
        <f>$AA$9</f>
        <v>0</v>
      </c>
      <c r="U1199" s="517">
        <f>+ROUND(U1193*T1199,$AA$5)</f>
        <v>0</v>
      </c>
      <c r="V1199" s="518"/>
      <c r="Y1199" s="390"/>
      <c r="Z1199" s="438">
        <f>+Z1198*T1199</f>
        <v>0</v>
      </c>
      <c r="AA1199" s="86"/>
      <c r="AB1199" s="94"/>
      <c r="AC1199" s="94"/>
      <c r="AD1199" s="94"/>
      <c r="AE1199" s="386" t="s">
        <v>133</v>
      </c>
    </row>
    <row r="1200" spans="3:31" s="260" customFormat="1" ht="15.75" thickBot="1" x14ac:dyDescent="0.3">
      <c r="M1200" s="519" t="s">
        <v>349</v>
      </c>
      <c r="N1200" s="520"/>
      <c r="O1200" s="520"/>
      <c r="P1200" s="520"/>
      <c r="Q1200" s="520"/>
      <c r="R1200" s="520"/>
      <c r="S1200" s="520"/>
      <c r="T1200" s="520"/>
      <c r="U1200" s="521">
        <f>+SUM(U1196:V1199)</f>
        <v>623.64</v>
      </c>
      <c r="V1200" s="522"/>
      <c r="Y1200" s="390"/>
      <c r="Z1200" s="439">
        <f>+SUM(Z1196:Z1199)</f>
        <v>4365.4785000000002</v>
      </c>
      <c r="AA1200" s="86"/>
      <c r="AB1200" s="94"/>
      <c r="AC1200" s="94"/>
      <c r="AD1200" s="94"/>
      <c r="AE1200" s="386" t="s">
        <v>133</v>
      </c>
    </row>
    <row r="1201" spans="3:31" s="260" customFormat="1" ht="15.75" thickBot="1" x14ac:dyDescent="0.3">
      <c r="D1201" s="375" t="s">
        <v>128</v>
      </c>
      <c r="E1201" s="376" t="s">
        <v>129</v>
      </c>
      <c r="F1201" s="376" t="s">
        <v>130</v>
      </c>
      <c r="G1201" s="376" t="s">
        <v>131</v>
      </c>
      <c r="H1201" s="376" t="s">
        <v>132</v>
      </c>
      <c r="I1201" s="376" t="s">
        <v>133</v>
      </c>
      <c r="J1201" s="377" t="s">
        <v>134</v>
      </c>
      <c r="M1201" s="86"/>
      <c r="N1201" s="94"/>
      <c r="O1201" s="94"/>
      <c r="P1201" s="94"/>
      <c r="Q1201" s="86"/>
      <c r="R1201" s="86"/>
      <c r="S1201" s="86"/>
      <c r="T1201" s="440"/>
      <c r="U1201" s="523"/>
      <c r="V1201" s="523"/>
      <c r="Y1201" s="390"/>
      <c r="Z1201" s="385"/>
      <c r="AA1201" s="86"/>
      <c r="AB1201" s="94"/>
      <c r="AC1201" s="94"/>
      <c r="AD1201" s="94"/>
      <c r="AE1201" s="386" t="s">
        <v>133</v>
      </c>
    </row>
    <row r="1202" spans="3:31" s="260" customFormat="1" ht="15.75" thickBot="1" x14ac:dyDescent="0.3">
      <c r="D1202" s="355"/>
      <c r="E1202" s="367"/>
      <c r="F1202" s="367"/>
      <c r="G1202" s="367"/>
      <c r="H1202" s="412"/>
      <c r="I1202" s="412">
        <f>H1193</f>
        <v>2.14</v>
      </c>
      <c r="J1202" s="422"/>
      <c r="M1202" s="524" t="s">
        <v>11</v>
      </c>
      <c r="N1202" s="525"/>
      <c r="O1202" s="525"/>
      <c r="P1202" s="525"/>
      <c r="Q1202" s="525"/>
      <c r="R1202" s="525"/>
      <c r="S1202" s="525"/>
      <c r="T1202" s="526"/>
      <c r="U1202" s="527">
        <f>+U1200+U1193</f>
        <v>13096.44</v>
      </c>
      <c r="V1202" s="528"/>
      <c r="Y1202" s="429"/>
      <c r="Z1202" s="441">
        <f>+Z1200+Z1193</f>
        <v>91675.04849999999</v>
      </c>
      <c r="AA1202" s="86"/>
      <c r="AB1202" s="94"/>
      <c r="AC1202" s="94"/>
      <c r="AD1202" s="94"/>
      <c r="AE1202" s="405" t="s">
        <v>133</v>
      </c>
    </row>
    <row r="1203" spans="3:31" s="260" customFormat="1" x14ac:dyDescent="0.25"/>
    <row r="1204" spans="3:31" s="260" customFormat="1" ht="15.75" thickBot="1" x14ac:dyDescent="0.3"/>
    <row r="1205" spans="3:31" s="260" customFormat="1" ht="15.75" thickBot="1" x14ac:dyDescent="0.3">
      <c r="M1205" s="363" t="s">
        <v>88</v>
      </c>
      <c r="N1205" s="436" t="str">
        <f>+N1156</f>
        <v>CAP.2</v>
      </c>
      <c r="O1205" s="550" t="str">
        <f>IFERROR(VLOOKUP(N1205,PPTO!C:H,2,0),"----")</f>
        <v>RED HIDRAULICA</v>
      </c>
      <c r="P1205" s="551"/>
      <c r="Q1205" s="551"/>
      <c r="R1205" s="551"/>
      <c r="S1205" s="551"/>
      <c r="T1205" s="551"/>
      <c r="U1205" s="552"/>
      <c r="V1205" s="74" t="s">
        <v>91</v>
      </c>
      <c r="Y1205" s="365" t="s">
        <v>104</v>
      </c>
      <c r="Z1205" s="94"/>
      <c r="AA1205" s="188"/>
      <c r="AB1205" s="553"/>
      <c r="AC1205" s="553"/>
      <c r="AD1205" s="553"/>
      <c r="AE1205" s="94"/>
    </row>
    <row r="1206" spans="3:31" s="260" customFormat="1" ht="15.75" thickBot="1" x14ac:dyDescent="0.3">
      <c r="C1206" s="369">
        <f>+N1206</f>
        <v>2.15</v>
      </c>
      <c r="D1206" s="86"/>
      <c r="E1206" s="86"/>
      <c r="F1206" s="86"/>
      <c r="G1206" s="86"/>
      <c r="H1206" s="86"/>
      <c r="I1206" s="86"/>
      <c r="J1206" s="86"/>
      <c r="K1206" s="370"/>
      <c r="M1206" s="75" t="s">
        <v>92</v>
      </c>
      <c r="N1206" s="371">
        <f>+ROUNDUP(N1157+0.01,2)</f>
        <v>2.15</v>
      </c>
      <c r="O1206" s="554" t="str">
        <f>IFERROR(VLOOKUP(N1206,PPTO!C:H,2,0),"----")</f>
        <v>Codo 90° PVC Ø1_1/2"</v>
      </c>
      <c r="P1206" s="555"/>
      <c r="Q1206" s="555"/>
      <c r="R1206" s="555"/>
      <c r="S1206" s="555"/>
      <c r="T1206" s="555"/>
      <c r="U1206" s="556"/>
      <c r="V1206" s="76" t="str">
        <f>IFERROR(VLOOKUP(N1206,PPTO!C:H,3,0),"----")</f>
        <v>UND</v>
      </c>
      <c r="Y1206" s="373">
        <f>SUMIFS(PPTO!F:F,PPTO!C:C,APUS!N1206)</f>
        <v>36</v>
      </c>
      <c r="Z1206" s="94"/>
      <c r="AA1206" s="86"/>
      <c r="AB1206" s="94"/>
      <c r="AC1206" s="94"/>
      <c r="AD1206" s="94"/>
      <c r="AE1206" s="94"/>
    </row>
    <row r="1207" spans="3:31" s="260" customFormat="1" ht="15.75" thickBot="1" x14ac:dyDescent="0.3">
      <c r="C1207" s="84"/>
      <c r="D1207" s="86"/>
      <c r="E1207" s="86"/>
      <c r="F1207" s="86"/>
      <c r="G1207" s="86"/>
      <c r="H1207" s="86"/>
      <c r="I1207" s="86"/>
      <c r="J1207" s="86"/>
      <c r="K1207" s="88"/>
      <c r="M1207" s="557"/>
      <c r="N1207" s="557"/>
      <c r="O1207" s="557"/>
      <c r="P1207" s="557"/>
      <c r="Q1207" s="557"/>
      <c r="R1207" s="557"/>
      <c r="S1207" s="557"/>
      <c r="T1207" s="557"/>
      <c r="U1207" s="557"/>
      <c r="V1207" s="557"/>
      <c r="Y1207" s="374"/>
      <c r="Z1207" s="94"/>
      <c r="AA1207" s="86"/>
      <c r="AB1207" s="94"/>
      <c r="AC1207" s="94"/>
      <c r="AD1207" s="94"/>
      <c r="AE1207" s="94"/>
    </row>
    <row r="1208" spans="3:31" s="260" customFormat="1" ht="15.75" thickBot="1" x14ac:dyDescent="0.3">
      <c r="C1208" s="84"/>
      <c r="D1208" s="375" t="s">
        <v>128</v>
      </c>
      <c r="E1208" s="376" t="s">
        <v>129</v>
      </c>
      <c r="F1208" s="376" t="s">
        <v>130</v>
      </c>
      <c r="G1208" s="376" t="s">
        <v>131</v>
      </c>
      <c r="H1208" s="376" t="s">
        <v>132</v>
      </c>
      <c r="I1208" s="376" t="s">
        <v>133</v>
      </c>
      <c r="J1208" s="377" t="s">
        <v>134</v>
      </c>
      <c r="K1208" s="88"/>
      <c r="M1208" s="558" t="s">
        <v>93</v>
      </c>
      <c r="N1208" s="559"/>
      <c r="O1208" s="559"/>
      <c r="P1208" s="559"/>
      <c r="Q1208" s="559"/>
      <c r="R1208" s="559"/>
      <c r="S1208" s="559"/>
      <c r="T1208" s="559"/>
      <c r="U1208" s="559"/>
      <c r="V1208" s="560"/>
      <c r="Y1208" s="378"/>
      <c r="Z1208" s="121"/>
      <c r="AA1208" s="86"/>
      <c r="AB1208" s="513"/>
      <c r="AC1208" s="514"/>
      <c r="AD1208" s="94"/>
      <c r="AE1208" s="379"/>
    </row>
    <row r="1209" spans="3:31" s="260" customFormat="1" x14ac:dyDescent="0.25">
      <c r="C1209" s="84"/>
      <c r="D1209" s="380"/>
      <c r="E1209" s="381"/>
      <c r="F1209" s="381"/>
      <c r="G1209" s="381"/>
      <c r="H1209" s="381"/>
      <c r="I1209" s="381"/>
      <c r="J1209" s="382"/>
      <c r="K1209" s="88"/>
      <c r="M1209" s="99" t="s">
        <v>94</v>
      </c>
      <c r="N1209" s="561" t="s">
        <v>95</v>
      </c>
      <c r="O1209" s="561"/>
      <c r="P1209" s="561"/>
      <c r="Q1209" s="561"/>
      <c r="R1209" s="95" t="s">
        <v>96</v>
      </c>
      <c r="S1209" s="95" t="s">
        <v>97</v>
      </c>
      <c r="T1209" s="562" t="s">
        <v>8</v>
      </c>
      <c r="U1209" s="562"/>
      <c r="V1209" s="100" t="s">
        <v>98</v>
      </c>
      <c r="Y1209" s="383" t="s">
        <v>104</v>
      </c>
      <c r="Z1209" s="119" t="s">
        <v>9</v>
      </c>
      <c r="AA1209" s="86"/>
      <c r="AB1209" s="384"/>
      <c r="AC1209" s="385"/>
      <c r="AD1209" s="94"/>
      <c r="AE1209" s="386"/>
    </row>
    <row r="1210" spans="3:31" s="260" customFormat="1" x14ac:dyDescent="0.25">
      <c r="C1210" s="84"/>
      <c r="D1210" s="85"/>
      <c r="E1210" s="86"/>
      <c r="F1210" s="86"/>
      <c r="G1210" s="86"/>
      <c r="H1210" s="86"/>
      <c r="I1210" s="86"/>
      <c r="J1210" s="87"/>
      <c r="K1210" s="88"/>
      <c r="M1210" s="102"/>
      <c r="N1210" s="533" t="s">
        <v>99</v>
      </c>
      <c r="O1210" s="533"/>
      <c r="P1210" s="533"/>
      <c r="Q1210" s="533"/>
      <c r="R1210" s="78" t="s">
        <v>100</v>
      </c>
      <c r="S1210" s="387">
        <f>+$AA$10</f>
        <v>0.05</v>
      </c>
      <c r="T1210" s="563">
        <f>V1240</f>
        <v>5578.97</v>
      </c>
      <c r="U1210" s="563"/>
      <c r="V1210" s="389">
        <f>+IFERROR(T1210*S1210,0)</f>
        <v>278.94850000000002</v>
      </c>
      <c r="Y1210" s="390"/>
      <c r="Z1210" s="391">
        <f>Y1206*V1210</f>
        <v>10042.146000000001</v>
      </c>
      <c r="AA1210" s="86"/>
      <c r="AB1210" s="384"/>
      <c r="AC1210" s="385"/>
      <c r="AD1210" s="94"/>
      <c r="AE1210" s="386" t="str">
        <f>+IF(V1210=0,"CERO","NO")</f>
        <v>NO</v>
      </c>
    </row>
    <row r="1211" spans="3:31" s="260" customFormat="1" x14ac:dyDescent="0.25">
      <c r="C1211" s="84"/>
      <c r="D1211" s="85"/>
      <c r="E1211" s="86"/>
      <c r="F1211" s="86"/>
      <c r="G1211" s="86"/>
      <c r="H1211" s="86"/>
      <c r="I1211" s="86"/>
      <c r="J1211" s="87"/>
      <c r="K1211" s="88"/>
      <c r="M1211" s="106"/>
      <c r="N1211" s="533" t="str">
        <f>IFERROR(VLOOKUP(M1211,INSUMOS!$C$8:$K$928,2,0),"-----")</f>
        <v>-----</v>
      </c>
      <c r="O1211" s="533"/>
      <c r="P1211" s="533"/>
      <c r="Q1211" s="533"/>
      <c r="R1211" s="78" t="str">
        <f>IFERROR(VLOOKUP(M1211,INSUMOS!$C$8:$K$928,6,0),"-----")</f>
        <v>-----</v>
      </c>
      <c r="S1211" s="392"/>
      <c r="T1211" s="529" t="str">
        <f>IFERROR(VLOOKUP(M1211,INSUMOS!$C$8:$K$928,7,0),"0")</f>
        <v>0</v>
      </c>
      <c r="U1211" s="529"/>
      <c r="V1211" s="389">
        <f>+IFERROR(T1211*S1211,0)</f>
        <v>0</v>
      </c>
      <c r="Y1211" s="393">
        <f>+IFERROR(Y1206*S1211,0)</f>
        <v>0</v>
      </c>
      <c r="Z1211" s="391">
        <f>Y1206*V1211</f>
        <v>0</v>
      </c>
      <c r="AA1211" s="394"/>
      <c r="AB1211" s="395">
        <f>+Y1211*T1211</f>
        <v>0</v>
      </c>
      <c r="AC1211" s="93">
        <f>+AB1211-Z1211</f>
        <v>0</v>
      </c>
      <c r="AD1211" s="94"/>
      <c r="AE1211" s="386" t="str">
        <f>+IF(V1211=0,"CERO","NO")</f>
        <v>CERO</v>
      </c>
    </row>
    <row r="1212" spans="3:31" s="260" customFormat="1" x14ac:dyDescent="0.25">
      <c r="C1212" s="84"/>
      <c r="D1212" s="85"/>
      <c r="E1212" s="86"/>
      <c r="F1212" s="86"/>
      <c r="G1212" s="86"/>
      <c r="H1212" s="86"/>
      <c r="I1212" s="86"/>
      <c r="J1212" s="87"/>
      <c r="K1212" s="88"/>
      <c r="M1212" s="102">
        <v>0</v>
      </c>
      <c r="N1212" s="533"/>
      <c r="O1212" s="533"/>
      <c r="P1212" s="533"/>
      <c r="Q1212" s="533"/>
      <c r="R1212" s="78"/>
      <c r="S1212" s="396"/>
      <c r="T1212" s="529"/>
      <c r="U1212" s="529"/>
      <c r="V1212" s="397"/>
      <c r="Y1212" s="393">
        <f>+IFERROR(Y1206*S1212,0)</f>
        <v>0</v>
      </c>
      <c r="Z1212" s="391">
        <f>Y1206*V1212</f>
        <v>0</v>
      </c>
      <c r="AA1212" s="394"/>
      <c r="AB1212" s="395">
        <f>+Y1212*T1212</f>
        <v>0</v>
      </c>
      <c r="AC1212" s="93">
        <f>+AB1212-Z1212</f>
        <v>0</v>
      </c>
      <c r="AD1212" s="94"/>
      <c r="AE1212" s="386" t="str">
        <f>+IF(V1212=0,"CERO","NO")</f>
        <v>CERO</v>
      </c>
    </row>
    <row r="1213" spans="3:31" s="260" customFormat="1" x14ac:dyDescent="0.25">
      <c r="C1213" s="84"/>
      <c r="D1213" s="85"/>
      <c r="E1213" s="86"/>
      <c r="F1213" s="86"/>
      <c r="G1213" s="86"/>
      <c r="H1213" s="86"/>
      <c r="I1213" s="86"/>
      <c r="J1213" s="87"/>
      <c r="K1213" s="88"/>
      <c r="M1213" s="102">
        <v>0</v>
      </c>
      <c r="N1213" s="533"/>
      <c r="O1213" s="533"/>
      <c r="P1213" s="533"/>
      <c r="Q1213" s="533"/>
      <c r="R1213" s="78"/>
      <c r="S1213" s="396"/>
      <c r="T1213" s="529"/>
      <c r="U1213" s="529"/>
      <c r="V1213" s="397"/>
      <c r="Y1213" s="393">
        <f>+IFERROR(Y1206*S1213,0)</f>
        <v>0</v>
      </c>
      <c r="Z1213" s="391">
        <f>Y1206*V1213</f>
        <v>0</v>
      </c>
      <c r="AA1213" s="394"/>
      <c r="AB1213" s="395">
        <f>+Y1213*T1213</f>
        <v>0</v>
      </c>
      <c r="AC1213" s="93">
        <f>+AB1213-Z1213</f>
        <v>0</v>
      </c>
      <c r="AD1213" s="94"/>
      <c r="AE1213" s="386" t="str">
        <f>+IF(V1213=0,"CERO","NO")</f>
        <v>CERO</v>
      </c>
    </row>
    <row r="1214" spans="3:31" s="260" customFormat="1" ht="15.75" thickBot="1" x14ac:dyDescent="0.3">
      <c r="C1214" s="84"/>
      <c r="D1214" s="85"/>
      <c r="E1214" s="86"/>
      <c r="F1214" s="86"/>
      <c r="G1214" s="86"/>
      <c r="H1214" s="86"/>
      <c r="I1214" s="86"/>
      <c r="J1214" s="87"/>
      <c r="K1214" s="88"/>
      <c r="M1214" s="102">
        <v>0</v>
      </c>
      <c r="N1214" s="564"/>
      <c r="O1214" s="564"/>
      <c r="P1214" s="564"/>
      <c r="Q1214" s="564"/>
      <c r="R1214" s="96"/>
      <c r="S1214" s="96"/>
      <c r="T1214" s="565"/>
      <c r="U1214" s="565"/>
      <c r="V1214" s="101"/>
      <c r="Y1214" s="393">
        <f>+IFERROR(Y1206*S1214,0)</f>
        <v>0</v>
      </c>
      <c r="Z1214" s="391">
        <f>Y1206*V1214</f>
        <v>0</v>
      </c>
      <c r="AA1214" s="394"/>
      <c r="AB1214" s="395">
        <f>+Y1214*T1214</f>
        <v>0</v>
      </c>
      <c r="AC1214" s="93">
        <f>+AB1214-Z1214</f>
        <v>0</v>
      </c>
      <c r="AD1214" s="94"/>
      <c r="AE1214" s="386" t="str">
        <f>+IF(V1214=0,"CERO","NO")</f>
        <v>CERO</v>
      </c>
    </row>
    <row r="1215" spans="3:31" s="260" customFormat="1" ht="15.75" thickBot="1" x14ac:dyDescent="0.3">
      <c r="C1215" s="84"/>
      <c r="D1215" s="375" t="s">
        <v>128</v>
      </c>
      <c r="E1215" s="376" t="s">
        <v>129</v>
      </c>
      <c r="F1215" s="376" t="s">
        <v>130</v>
      </c>
      <c r="G1215" s="376" t="s">
        <v>131</v>
      </c>
      <c r="H1215" s="376" t="s">
        <v>132</v>
      </c>
      <c r="I1215" s="376" t="s">
        <v>133</v>
      </c>
      <c r="J1215" s="377" t="s">
        <v>134</v>
      </c>
      <c r="K1215" s="88"/>
      <c r="M1215" s="534"/>
      <c r="N1215" s="536" t="s">
        <v>101</v>
      </c>
      <c r="O1215" s="536"/>
      <c r="P1215" s="536"/>
      <c r="Q1215" s="536"/>
      <c r="R1215" s="536"/>
      <c r="S1215" s="536"/>
      <c r="T1215" s="536"/>
      <c r="U1215" s="536"/>
      <c r="V1215" s="389">
        <f>+SUM(V1210:V1214)</f>
        <v>278.94850000000002</v>
      </c>
      <c r="Y1215" s="398" t="s">
        <v>135</v>
      </c>
      <c r="Z1215" s="397">
        <f>+SUM(Z1210:Z1214)</f>
        <v>10042.146000000001</v>
      </c>
      <c r="AA1215" s="86"/>
      <c r="AB1215" s="384"/>
      <c r="AC1215" s="385"/>
      <c r="AD1215" s="94"/>
      <c r="AE1215" s="399"/>
    </row>
    <row r="1216" spans="3:31" s="260" customFormat="1" ht="15.75" thickBot="1" x14ac:dyDescent="0.3">
      <c r="C1216" s="84"/>
      <c r="D1216" s="375">
        <f>C1206</f>
        <v>2.15</v>
      </c>
      <c r="E1216" s="376"/>
      <c r="F1216" s="376"/>
      <c r="G1216" s="376"/>
      <c r="H1216" s="376"/>
      <c r="I1216" s="376"/>
      <c r="J1216" s="377"/>
      <c r="K1216" s="88"/>
      <c r="M1216" s="566"/>
      <c r="N1216" s="567" t="s">
        <v>102</v>
      </c>
      <c r="O1216" s="567"/>
      <c r="P1216" s="567"/>
      <c r="Q1216" s="567"/>
      <c r="R1216" s="567"/>
      <c r="S1216" s="567"/>
      <c r="T1216" s="567"/>
      <c r="U1216" s="567"/>
      <c r="V1216" s="400">
        <f>+ROUND(V1215,$AA$5)</f>
        <v>278.95</v>
      </c>
      <c r="Y1216" s="401" t="s">
        <v>136</v>
      </c>
      <c r="Z1216" s="402">
        <f>+ROUND(Z1215,$AA$5)</f>
        <v>10042.15</v>
      </c>
      <c r="AA1216" s="86"/>
      <c r="AB1216" s="403">
        <f>+V1216*Y1206</f>
        <v>10042.199999999999</v>
      </c>
      <c r="AC1216" s="404">
        <f>+AB1216-Z1216</f>
        <v>4.9999999999272404E-2</v>
      </c>
      <c r="AD1216" s="94"/>
      <c r="AE1216" s="405"/>
    </row>
    <row r="1217" spans="3:31" s="260" customFormat="1" x14ac:dyDescent="0.25">
      <c r="C1217" s="84"/>
      <c r="D1217" s="380"/>
      <c r="E1217" s="381"/>
      <c r="F1217" s="381"/>
      <c r="G1217" s="381"/>
      <c r="H1217" s="381"/>
      <c r="I1217" s="381"/>
      <c r="J1217" s="382"/>
      <c r="K1217" s="88"/>
      <c r="M1217" s="510" t="s">
        <v>103</v>
      </c>
      <c r="N1217" s="511"/>
      <c r="O1217" s="511"/>
      <c r="P1217" s="511"/>
      <c r="Q1217" s="511"/>
      <c r="R1217" s="511"/>
      <c r="S1217" s="511"/>
      <c r="T1217" s="511"/>
      <c r="U1217" s="511"/>
      <c r="V1217" s="512"/>
      <c r="Y1217" s="378"/>
      <c r="Z1217" s="121"/>
      <c r="AA1217" s="86"/>
      <c r="AB1217" s="513"/>
      <c r="AC1217" s="514"/>
      <c r="AD1217" s="94"/>
      <c r="AE1217" s="126"/>
    </row>
    <row r="1218" spans="3:31" s="260" customFormat="1" x14ac:dyDescent="0.25">
      <c r="C1218" s="84"/>
      <c r="D1218" s="85"/>
      <c r="E1218" s="86"/>
      <c r="F1218" s="86"/>
      <c r="G1218" s="86"/>
      <c r="H1218" s="86"/>
      <c r="I1218" s="86"/>
      <c r="J1218" s="87"/>
      <c r="K1218" s="88"/>
      <c r="M1218" s="99" t="s">
        <v>94</v>
      </c>
      <c r="N1218" s="561" t="s">
        <v>95</v>
      </c>
      <c r="O1218" s="561"/>
      <c r="P1218" s="561"/>
      <c r="Q1218" s="561"/>
      <c r="R1218" s="95" t="s">
        <v>96</v>
      </c>
      <c r="S1218" s="95" t="s">
        <v>104</v>
      </c>
      <c r="T1218" s="356" t="s">
        <v>105</v>
      </c>
      <c r="U1218" s="356" t="s">
        <v>8</v>
      </c>
      <c r="V1218" s="100" t="s">
        <v>98</v>
      </c>
      <c r="Y1218" s="383" t="s">
        <v>104</v>
      </c>
      <c r="Z1218" s="119" t="s">
        <v>9</v>
      </c>
      <c r="AA1218" s="86"/>
      <c r="AB1218" s="384"/>
      <c r="AC1218" s="385"/>
      <c r="AD1218" s="94"/>
      <c r="AE1218" s="406"/>
    </row>
    <row r="1219" spans="3:31" s="260" customFormat="1" x14ac:dyDescent="0.25">
      <c r="C1219" s="84"/>
      <c r="D1219" s="85"/>
      <c r="E1219" s="86"/>
      <c r="F1219" s="86"/>
      <c r="G1219" s="86"/>
      <c r="H1219" s="86"/>
      <c r="I1219" s="86"/>
      <c r="J1219" s="87"/>
      <c r="K1219" s="88"/>
      <c r="M1219" s="102">
        <v>705</v>
      </c>
      <c r="N1219" s="533" t="str">
        <f>IFERROR(VLOOKUP(M1219,INSUMOS!$C$8:$K$928,2,0),"-----")</f>
        <v>CODO 90 PVC-P 1 1/2"</v>
      </c>
      <c r="O1219" s="533"/>
      <c r="P1219" s="533"/>
      <c r="Q1219" s="533"/>
      <c r="R1219" s="78" t="str">
        <f>IFERROR(VLOOKUP(M1219,INSUMOS!$C$8:$K$928,6,0),"-----")</f>
        <v>und</v>
      </c>
      <c r="S1219" s="396">
        <v>1</v>
      </c>
      <c r="T1219" s="387">
        <v>0</v>
      </c>
      <c r="U1219" s="388">
        <f>IFERROR(VLOOKUP(M1219,INSUMOS!$C$8:$K$928,7,0),"0")</f>
        <v>9679</v>
      </c>
      <c r="V1219" s="389">
        <f>+IFERROR(U1219*(S1219*(1+T1219)),0)</f>
        <v>9679</v>
      </c>
      <c r="Y1219" s="393">
        <f>+IFERROR(Y1206*(S1219*(1+T1219)),0)</f>
        <v>36</v>
      </c>
      <c r="Z1219" s="391">
        <f>Y1206*V1219</f>
        <v>348444</v>
      </c>
      <c r="AA1219" s="394"/>
      <c r="AB1219" s="395">
        <f>+Y1219*U1219</f>
        <v>348444</v>
      </c>
      <c r="AC1219" s="93">
        <f>+AB1219-Z1219</f>
        <v>0</v>
      </c>
      <c r="AD1219" s="94"/>
      <c r="AE1219" s="406" t="str">
        <f>+IF(V1219=0,"CERO","NO")</f>
        <v>NO</v>
      </c>
    </row>
    <row r="1220" spans="3:31" s="260" customFormat="1" x14ac:dyDescent="0.25">
      <c r="C1220" s="84"/>
      <c r="D1220" s="85"/>
      <c r="E1220" s="86"/>
      <c r="F1220" s="86"/>
      <c r="G1220" s="86"/>
      <c r="H1220" s="86"/>
      <c r="I1220" s="86"/>
      <c r="J1220" s="87"/>
      <c r="K1220" s="88"/>
      <c r="M1220" s="102">
        <v>699</v>
      </c>
      <c r="N1220" s="533" t="str">
        <f>IFERROR(VLOOKUP(M1220,INSUMOS!$C$8:$K$928,2,0),"-----")</f>
        <v>SOLDADURA PVC LIQUIDA 1/4"</v>
      </c>
      <c r="O1220" s="533"/>
      <c r="P1220" s="533"/>
      <c r="Q1220" s="533"/>
      <c r="R1220" s="78" t="str">
        <f>IFERROR(VLOOKUP(M1220,INSUMOS!$C$8:$K$928,6,0),"-----")</f>
        <v>und</v>
      </c>
      <c r="S1220" s="392">
        <v>0.01</v>
      </c>
      <c r="T1220" s="387">
        <v>0.02</v>
      </c>
      <c r="U1220" s="388">
        <f>IFERROR(VLOOKUP(M1220,INSUMOS!$C$8:$K$928,7,0),"0")</f>
        <v>146569</v>
      </c>
      <c r="V1220" s="389">
        <f>+IFERROR(U1220*(S1220*(1+T1220)),0)</f>
        <v>1495.0038000000002</v>
      </c>
      <c r="Y1220" s="393">
        <f>+IFERROR(Y1206*(S1220*(1+T1220)),0)</f>
        <v>0.36720000000000003</v>
      </c>
      <c r="Z1220" s="391">
        <f>Y1206*V1220</f>
        <v>53820.136800000007</v>
      </c>
      <c r="AA1220" s="394"/>
      <c r="AB1220" s="395">
        <f>+Y1220*U1220</f>
        <v>53820.136800000007</v>
      </c>
      <c r="AC1220" s="93">
        <f>+AB1220-Z1220</f>
        <v>0</v>
      </c>
      <c r="AD1220" s="94"/>
      <c r="AE1220" s="406" t="str">
        <f>+IF(V1220=0,"CERO","NO")</f>
        <v>NO</v>
      </c>
    </row>
    <row r="1221" spans="3:31" s="260" customFormat="1" x14ac:dyDescent="0.25">
      <c r="C1221" s="84"/>
      <c r="D1221" s="85"/>
      <c r="E1221" s="86"/>
      <c r="F1221" s="86"/>
      <c r="G1221" s="86"/>
      <c r="H1221" s="86"/>
      <c r="I1221" s="86"/>
      <c r="J1221" s="87"/>
      <c r="K1221" s="88"/>
      <c r="M1221" s="102">
        <v>700</v>
      </c>
      <c r="N1221" s="533" t="str">
        <f>IFERROR(VLOOKUP(M1221,INSUMOS!$C$8:$K$928,2,0),"-----")</f>
        <v>LIMPIADOR PVC 1/4</v>
      </c>
      <c r="O1221" s="533"/>
      <c r="P1221" s="533"/>
      <c r="Q1221" s="533"/>
      <c r="R1221" s="78" t="str">
        <f>IFERROR(VLOOKUP(M1221,INSUMOS!$C$8:$K$928,6,0),"-----")</f>
        <v>und</v>
      </c>
      <c r="S1221" s="392">
        <v>0.01</v>
      </c>
      <c r="T1221" s="387">
        <v>0.02</v>
      </c>
      <c r="U1221" s="388">
        <f>IFERROR(VLOOKUP(M1221,INSUMOS!$C$8:$K$928,7,0),"0")</f>
        <v>65913</v>
      </c>
      <c r="V1221" s="389">
        <f>+IFERROR(U1221*(S1221*(1+T1221)),0)</f>
        <v>672.31260000000009</v>
      </c>
      <c r="Y1221" s="393">
        <f>+IFERROR(Y1206*(S1221*(1+T1221)),0)</f>
        <v>0.36720000000000003</v>
      </c>
      <c r="Z1221" s="391">
        <f>Y1206*V1221</f>
        <v>24203.253600000004</v>
      </c>
      <c r="AA1221" s="394"/>
      <c r="AB1221" s="395">
        <f>+Y1221*U1221</f>
        <v>24203.2536</v>
      </c>
      <c r="AC1221" s="93">
        <f>+AB1221-Z1221</f>
        <v>0</v>
      </c>
      <c r="AD1221" s="94"/>
      <c r="AE1221" s="406" t="str">
        <f>+IF(V1221=0,"CERO","NO")</f>
        <v>NO</v>
      </c>
    </row>
    <row r="1222" spans="3:31" s="260" customFormat="1" x14ac:dyDescent="0.25">
      <c r="C1222" s="84"/>
      <c r="D1222" s="85"/>
      <c r="E1222" s="86"/>
      <c r="F1222" s="86"/>
      <c r="G1222" s="86"/>
      <c r="H1222" s="86"/>
      <c r="I1222" s="86"/>
      <c r="J1222" s="87"/>
      <c r="K1222" s="88"/>
      <c r="M1222" s="102">
        <v>0</v>
      </c>
      <c r="N1222" s="533" t="str">
        <f>IFERROR(VLOOKUP(M1222,INSUMOS!$C$8:$K$928,2,0),"-----")</f>
        <v>-----</v>
      </c>
      <c r="O1222" s="533"/>
      <c r="P1222" s="533"/>
      <c r="Q1222" s="533"/>
      <c r="R1222" s="78" t="str">
        <f>IFERROR(VLOOKUP(M1222,INSUMOS!$C$8:$K$928,6,0),"-----")</f>
        <v>-----</v>
      </c>
      <c r="S1222" s="396"/>
      <c r="T1222" s="387"/>
      <c r="U1222" s="388" t="str">
        <f>IFERROR(VLOOKUP(M1222,INSUMOS!$C$8:$K$928,7,0),"0")</f>
        <v>0</v>
      </c>
      <c r="V1222" s="389">
        <f>+IFERROR(U1222*(S1222*(1+T1222)),0)</f>
        <v>0</v>
      </c>
      <c r="Y1222" s="393">
        <f>+IFERROR(Y1206*(S1222*(1+T1222)),0)</f>
        <v>0</v>
      </c>
      <c r="Z1222" s="391">
        <f>Y1206*V1222</f>
        <v>0</v>
      </c>
      <c r="AA1222" s="394"/>
      <c r="AB1222" s="395">
        <f>+Y1222*U1222</f>
        <v>0</v>
      </c>
      <c r="AC1222" s="93">
        <f>+AB1222-Z1222</f>
        <v>0</v>
      </c>
      <c r="AD1222" s="94"/>
      <c r="AE1222" s="406" t="str">
        <f>+IF(V1222=0,"CERO","NO")</f>
        <v>CERO</v>
      </c>
    </row>
    <row r="1223" spans="3:31" s="260" customFormat="1" ht="15.75" thickBot="1" x14ac:dyDescent="0.3">
      <c r="C1223" s="84"/>
      <c r="D1223" s="85"/>
      <c r="E1223" s="86"/>
      <c r="F1223" s="86"/>
      <c r="G1223" s="86"/>
      <c r="H1223" s="86"/>
      <c r="I1223" s="86"/>
      <c r="J1223" s="87"/>
      <c r="K1223" s="88"/>
      <c r="M1223" s="102">
        <v>0</v>
      </c>
      <c r="N1223" s="564"/>
      <c r="O1223" s="564"/>
      <c r="P1223" s="564"/>
      <c r="Q1223" s="564"/>
      <c r="R1223" s="96"/>
      <c r="S1223" s="79"/>
      <c r="T1223" s="97"/>
      <c r="U1223" s="358"/>
      <c r="V1223" s="397"/>
      <c r="Y1223" s="393">
        <f>+IFERROR(Y1206*(S1223*(1+T1223)),0)</f>
        <v>0</v>
      </c>
      <c r="Z1223" s="391">
        <f>Y1206*V1223</f>
        <v>0</v>
      </c>
      <c r="AA1223" s="394"/>
      <c r="AB1223" s="395">
        <f>+Y1223*U1223</f>
        <v>0</v>
      </c>
      <c r="AC1223" s="93">
        <f>+AB1223-Z1223</f>
        <v>0</v>
      </c>
      <c r="AD1223" s="94"/>
      <c r="AE1223" s="406" t="str">
        <f>+IF(V1223=0,"CERO","NO")</f>
        <v>CERO</v>
      </c>
    </row>
    <row r="1224" spans="3:31" s="260" customFormat="1" ht="15.75" thickBot="1" x14ac:dyDescent="0.3">
      <c r="C1224" s="84"/>
      <c r="D1224" s="375" t="s">
        <v>128</v>
      </c>
      <c r="E1224" s="376" t="s">
        <v>129</v>
      </c>
      <c r="F1224" s="376" t="s">
        <v>130</v>
      </c>
      <c r="G1224" s="376" t="s">
        <v>131</v>
      </c>
      <c r="H1224" s="376" t="s">
        <v>132</v>
      </c>
      <c r="I1224" s="376" t="s">
        <v>133</v>
      </c>
      <c r="J1224" s="377" t="s">
        <v>134</v>
      </c>
      <c r="K1224" s="88"/>
      <c r="M1224" s="534"/>
      <c r="N1224" s="536" t="s">
        <v>106</v>
      </c>
      <c r="O1224" s="536"/>
      <c r="P1224" s="536"/>
      <c r="Q1224" s="536"/>
      <c r="R1224" s="536"/>
      <c r="S1224" s="536"/>
      <c r="T1224" s="536"/>
      <c r="U1224" s="536"/>
      <c r="V1224" s="389">
        <f>+SUM(V1219:V1223)</f>
        <v>11846.3164</v>
      </c>
      <c r="Y1224" s="398" t="s">
        <v>135</v>
      </c>
      <c r="Z1224" s="397">
        <f>+SUM(Z1219:Z1223)</f>
        <v>426467.39039999997</v>
      </c>
      <c r="AA1224" s="86"/>
      <c r="AB1224" s="384"/>
      <c r="AC1224" s="385"/>
      <c r="AD1224" s="94"/>
      <c r="AE1224" s="399"/>
    </row>
    <row r="1225" spans="3:31" s="260" customFormat="1" ht="15.75" thickBot="1" x14ac:dyDescent="0.3">
      <c r="C1225" s="84"/>
      <c r="D1225" s="375"/>
      <c r="E1225" s="407">
        <f>+D1216</f>
        <v>2.15</v>
      </c>
      <c r="F1225" s="376"/>
      <c r="G1225" s="376"/>
      <c r="H1225" s="376"/>
      <c r="I1225" s="376"/>
      <c r="J1225" s="377"/>
      <c r="K1225" s="88"/>
      <c r="M1225" s="535"/>
      <c r="N1225" s="537" t="s">
        <v>107</v>
      </c>
      <c r="O1225" s="537"/>
      <c r="P1225" s="537"/>
      <c r="Q1225" s="537"/>
      <c r="R1225" s="537"/>
      <c r="S1225" s="537"/>
      <c r="T1225" s="537"/>
      <c r="U1225" s="537"/>
      <c r="V1225" s="408">
        <f>+ROUND(V1224,$AA$5)</f>
        <v>11846.32</v>
      </c>
      <c r="Y1225" s="401" t="s">
        <v>136</v>
      </c>
      <c r="Z1225" s="402">
        <f>+ROUND(Z1224,$AA$5)</f>
        <v>426467.39</v>
      </c>
      <c r="AA1225" s="86"/>
      <c r="AB1225" s="403">
        <f>+V1225*Y1206</f>
        <v>426467.52</v>
      </c>
      <c r="AC1225" s="404">
        <f>+AB1225-Z1225</f>
        <v>0.13000000000465661</v>
      </c>
      <c r="AD1225" s="94"/>
      <c r="AE1225" s="405"/>
    </row>
    <row r="1226" spans="3:31" s="260" customFormat="1" x14ac:dyDescent="0.25">
      <c r="C1226" s="84"/>
      <c r="D1226" s="380"/>
      <c r="E1226" s="381"/>
      <c r="F1226" s="381"/>
      <c r="G1226" s="381"/>
      <c r="H1226" s="381"/>
      <c r="I1226" s="381"/>
      <c r="J1226" s="382"/>
      <c r="K1226" s="88"/>
      <c r="M1226" s="568" t="s">
        <v>108</v>
      </c>
      <c r="N1226" s="569"/>
      <c r="O1226" s="569"/>
      <c r="P1226" s="569"/>
      <c r="Q1226" s="569"/>
      <c r="R1226" s="569"/>
      <c r="S1226" s="569"/>
      <c r="T1226" s="569"/>
      <c r="U1226" s="569"/>
      <c r="V1226" s="570"/>
      <c r="Y1226" s="378"/>
      <c r="Z1226" s="121"/>
      <c r="AA1226" s="86"/>
      <c r="AB1226" s="409"/>
      <c r="AC1226" s="121"/>
      <c r="AD1226" s="94"/>
      <c r="AE1226" s="126"/>
    </row>
    <row r="1227" spans="3:31" s="260" customFormat="1" ht="25.5" x14ac:dyDescent="0.25">
      <c r="C1227" s="84"/>
      <c r="D1227" s="85"/>
      <c r="E1227" s="86"/>
      <c r="F1227" s="86"/>
      <c r="G1227" s="86"/>
      <c r="H1227" s="86"/>
      <c r="I1227" s="86"/>
      <c r="J1227" s="87"/>
      <c r="K1227" s="88"/>
      <c r="M1227" s="99" t="s">
        <v>94</v>
      </c>
      <c r="N1227" s="561" t="s">
        <v>95</v>
      </c>
      <c r="O1227" s="561"/>
      <c r="P1227" s="561"/>
      <c r="Q1227" s="95" t="s">
        <v>109</v>
      </c>
      <c r="R1227" s="95" t="s">
        <v>110</v>
      </c>
      <c r="S1227" s="95" t="s">
        <v>111</v>
      </c>
      <c r="T1227" s="562" t="s">
        <v>112</v>
      </c>
      <c r="U1227" s="562"/>
      <c r="V1227" s="100" t="s">
        <v>98</v>
      </c>
      <c r="Y1227" s="383" t="s">
        <v>104</v>
      </c>
      <c r="Z1227" s="119" t="s">
        <v>9</v>
      </c>
      <c r="AA1227" s="86"/>
      <c r="AB1227" s="384"/>
      <c r="AC1227" s="385"/>
      <c r="AD1227" s="94"/>
      <c r="AE1227" s="410"/>
    </row>
    <row r="1228" spans="3:31" s="260" customFormat="1" x14ac:dyDescent="0.25">
      <c r="C1228" s="84"/>
      <c r="D1228" s="85"/>
      <c r="E1228" s="86"/>
      <c r="F1228" s="86"/>
      <c r="G1228" s="86"/>
      <c r="H1228" s="86"/>
      <c r="I1228" s="86"/>
      <c r="J1228" s="87"/>
      <c r="K1228" s="88"/>
      <c r="M1228" s="102">
        <v>129</v>
      </c>
      <c r="N1228" s="530" t="str">
        <f>IFERROR(VLOOKUP(M1228,INSUMOS!$C$8:$K$928,2,0),"-----")</f>
        <v>transporte materiales en general</v>
      </c>
      <c r="O1228" s="531"/>
      <c r="P1228" s="532"/>
      <c r="Q1228" s="78" t="str">
        <f>IFERROR(VLOOKUP(M1228,INSUMOS!$C$8:$K$928,5,0),"-----")</f>
        <v>Km</v>
      </c>
      <c r="R1228" s="80">
        <v>1</v>
      </c>
      <c r="S1228" s="80">
        <f>IFERROR(VLOOKUP(M1228,INSUMOS!$C$8:$K$928,6,0),"0")</f>
        <v>348</v>
      </c>
      <c r="T1228" s="529">
        <f>IFERROR(VLOOKUP(M1228,INSUMOS!$C$8:$K$928,7,0),"0")</f>
        <v>0.99776362060288992</v>
      </c>
      <c r="U1228" s="529"/>
      <c r="V1228" s="82">
        <f>+T1228*S1228*R1228</f>
        <v>347.2217399698057</v>
      </c>
      <c r="Y1228" s="393">
        <f>+IFERROR((R1228*S1228)*Y1206,0)</f>
        <v>12528</v>
      </c>
      <c r="Z1228" s="391">
        <f>Y1206*V1228</f>
        <v>12499.982638913005</v>
      </c>
      <c r="AA1228" s="86"/>
      <c r="AB1228" s="92">
        <f>+Y1228*T1228</f>
        <v>12499.982638913005</v>
      </c>
      <c r="AC1228" s="93">
        <f>+AB1228-Z1228</f>
        <v>0</v>
      </c>
      <c r="AD1228" s="94"/>
      <c r="AE1228" s="406" t="str">
        <f>+IF(V1228=0,"CERO","NO")</f>
        <v>NO</v>
      </c>
    </row>
    <row r="1229" spans="3:31" s="260" customFormat="1" x14ac:dyDescent="0.25">
      <c r="C1229" s="84"/>
      <c r="D1229" s="85"/>
      <c r="E1229" s="86"/>
      <c r="F1229" s="86"/>
      <c r="G1229" s="86"/>
      <c r="H1229" s="86"/>
      <c r="I1229" s="86"/>
      <c r="J1229" s="87"/>
      <c r="K1229" s="88"/>
      <c r="M1229" s="102">
        <v>0</v>
      </c>
      <c r="N1229" s="530" t="str">
        <f>IFERROR(VLOOKUP(M1229,INSUMOS!$C$8:$K$928,2,0),"-----")</f>
        <v>-----</v>
      </c>
      <c r="O1229" s="531"/>
      <c r="P1229" s="532"/>
      <c r="Q1229" s="78" t="str">
        <f>IFERROR(VLOOKUP(M1229,INSUMOS!$C$8:$K$928,5,0),"-----")</f>
        <v>-----</v>
      </c>
      <c r="R1229" s="80"/>
      <c r="S1229" s="80" t="str">
        <f>IFERROR(VLOOKUP(M1229,INSUMOS!$C$8:$K$928,6,0),"0")</f>
        <v>0</v>
      </c>
      <c r="T1229" s="529" t="str">
        <f>IFERROR(VLOOKUP(M1229,INSUMOS!$C$8:$K$928,7,0),"0")</f>
        <v>0</v>
      </c>
      <c r="U1229" s="529"/>
      <c r="V1229" s="82">
        <f>+T1229*S1229*R1229</f>
        <v>0</v>
      </c>
      <c r="Y1229" s="393">
        <f>+IFERROR((R1229*S1229)*Y1206,0)</f>
        <v>0</v>
      </c>
      <c r="Z1229" s="391">
        <f>Y1206*V1229</f>
        <v>0</v>
      </c>
      <c r="AA1229" s="86"/>
      <c r="AB1229" s="92">
        <f>+Y1229*T1229</f>
        <v>0</v>
      </c>
      <c r="AC1229" s="93">
        <f>+AB1229-Z1229</f>
        <v>0</v>
      </c>
      <c r="AD1229" s="94"/>
      <c r="AE1229" s="406" t="str">
        <f>+IF(V1229=0,"CERO","NO")</f>
        <v>CERO</v>
      </c>
    </row>
    <row r="1230" spans="3:31" s="260" customFormat="1" x14ac:dyDescent="0.25">
      <c r="C1230" s="84"/>
      <c r="D1230" s="85"/>
      <c r="E1230" s="86"/>
      <c r="F1230" s="86"/>
      <c r="G1230" s="86"/>
      <c r="H1230" s="86"/>
      <c r="I1230" s="86"/>
      <c r="J1230" s="87"/>
      <c r="K1230" s="88"/>
      <c r="M1230" s="102">
        <v>0</v>
      </c>
      <c r="N1230" s="530" t="str">
        <f>IFERROR(VLOOKUP(M1230,INSUMOS!$C$8:$K$928,2,0),"-----")</f>
        <v>-----</v>
      </c>
      <c r="O1230" s="531"/>
      <c r="P1230" s="532"/>
      <c r="Q1230" s="78" t="str">
        <f>IFERROR(VLOOKUP(M1230,INSUMOS!$C$8:$K$928,5,0),"-----")</f>
        <v>-----</v>
      </c>
      <c r="R1230" s="80"/>
      <c r="S1230" s="80" t="str">
        <f>IFERROR(VLOOKUP(M1230,INSUMOS!$C$8:$K$928,6,0),"0")</f>
        <v>0</v>
      </c>
      <c r="T1230" s="529" t="str">
        <f>IFERROR(VLOOKUP(M1230,INSUMOS!$C$8:$K$928,7,0),"0")</f>
        <v>0</v>
      </c>
      <c r="U1230" s="529"/>
      <c r="V1230" s="82">
        <f>+T1230*S1230*R1230</f>
        <v>0</v>
      </c>
      <c r="Y1230" s="393">
        <f>+IFERROR((R1230*S1230)*Y1206,0)</f>
        <v>0</v>
      </c>
      <c r="Z1230" s="391">
        <f>Y1206*V1230</f>
        <v>0</v>
      </c>
      <c r="AA1230" s="86"/>
      <c r="AB1230" s="92">
        <f>+Y1230*T1230</f>
        <v>0</v>
      </c>
      <c r="AC1230" s="93">
        <f>+AB1230-Z1230</f>
        <v>0</v>
      </c>
      <c r="AD1230" s="94"/>
      <c r="AE1230" s="406" t="str">
        <f>+IF(V1230=0,"CERO","NO")</f>
        <v>CERO</v>
      </c>
    </row>
    <row r="1231" spans="3:31" s="260" customFormat="1" ht="15.75" thickBot="1" x14ac:dyDescent="0.3">
      <c r="C1231" s="84"/>
      <c r="D1231" s="89"/>
      <c r="E1231" s="90"/>
      <c r="F1231" s="90"/>
      <c r="G1231" s="90"/>
      <c r="H1231" s="90"/>
      <c r="I1231" s="90"/>
      <c r="J1231" s="91"/>
      <c r="K1231" s="88"/>
      <c r="M1231" s="102">
        <v>0</v>
      </c>
      <c r="N1231" s="533"/>
      <c r="O1231" s="533"/>
      <c r="P1231" s="533"/>
      <c r="Q1231" s="79"/>
      <c r="R1231" s="78"/>
      <c r="S1231" s="81"/>
      <c r="T1231" s="529"/>
      <c r="U1231" s="529"/>
      <c r="V1231" s="82"/>
      <c r="Y1231" s="393">
        <f>+IFERROR((R1231*S1231)*Y1206,0)</f>
        <v>0</v>
      </c>
      <c r="Z1231" s="391">
        <f>Y1206*V1231</f>
        <v>0</v>
      </c>
      <c r="AA1231" s="86"/>
      <c r="AB1231" s="92">
        <f>+Y1231*T1231</f>
        <v>0</v>
      </c>
      <c r="AC1231" s="93">
        <f>+AB1231-Z1231</f>
        <v>0</v>
      </c>
      <c r="AD1231" s="94"/>
      <c r="AE1231" s="406" t="str">
        <f>+IF(V1231=0,"CERO","NO")</f>
        <v>CERO</v>
      </c>
    </row>
    <row r="1232" spans="3:31" s="260" customFormat="1" ht="15.75" thickBot="1" x14ac:dyDescent="0.3">
      <c r="C1232" s="84"/>
      <c r="D1232" s="375" t="s">
        <v>128</v>
      </c>
      <c r="E1232" s="376" t="s">
        <v>129</v>
      </c>
      <c r="F1232" s="376" t="s">
        <v>130</v>
      </c>
      <c r="G1232" s="376" t="s">
        <v>131</v>
      </c>
      <c r="H1232" s="376" t="s">
        <v>132</v>
      </c>
      <c r="I1232" s="376" t="s">
        <v>133</v>
      </c>
      <c r="J1232" s="377" t="s">
        <v>134</v>
      </c>
      <c r="K1232" s="88"/>
      <c r="M1232" s="534"/>
      <c r="N1232" s="536" t="s">
        <v>113</v>
      </c>
      <c r="O1232" s="536"/>
      <c r="P1232" s="536"/>
      <c r="Q1232" s="536"/>
      <c r="R1232" s="536"/>
      <c r="S1232" s="536"/>
      <c r="T1232" s="536"/>
      <c r="U1232" s="536"/>
      <c r="V1232" s="411">
        <f>+SUM(V1228:V1231)</f>
        <v>347.2217399698057</v>
      </c>
      <c r="Y1232" s="398" t="s">
        <v>135</v>
      </c>
      <c r="Z1232" s="397">
        <f>+SUM(Z1228:Z1231)</f>
        <v>12499.982638913005</v>
      </c>
      <c r="AA1232" s="86"/>
      <c r="AB1232" s="384"/>
      <c r="AC1232" s="385"/>
      <c r="AD1232" s="94"/>
      <c r="AE1232" s="399"/>
    </row>
    <row r="1233" spans="3:31" s="260" customFormat="1" ht="15.75" thickBot="1" x14ac:dyDescent="0.3">
      <c r="C1233" s="84"/>
      <c r="D1233" s="355"/>
      <c r="E1233" s="367"/>
      <c r="F1233" s="412">
        <f>+E1225</f>
        <v>2.15</v>
      </c>
      <c r="G1233" s="367"/>
      <c r="H1233" s="367"/>
      <c r="I1233" s="367"/>
      <c r="J1233" s="368"/>
      <c r="K1233" s="88"/>
      <c r="M1233" s="535"/>
      <c r="N1233" s="537" t="s">
        <v>114</v>
      </c>
      <c r="O1233" s="537"/>
      <c r="P1233" s="537"/>
      <c r="Q1233" s="537"/>
      <c r="R1233" s="537"/>
      <c r="S1233" s="537"/>
      <c r="T1233" s="537"/>
      <c r="U1233" s="537"/>
      <c r="V1233" s="413">
        <f>+ROUND(V1232,$AA$5)</f>
        <v>347.22</v>
      </c>
      <c r="Y1233" s="401" t="s">
        <v>136</v>
      </c>
      <c r="Z1233" s="402">
        <f>+ROUND(Z1232,$AA$5)</f>
        <v>12499.98</v>
      </c>
      <c r="AA1233" s="86"/>
      <c r="AB1233" s="403">
        <f>+V1233*Y1206</f>
        <v>12499.920000000002</v>
      </c>
      <c r="AC1233" s="414"/>
      <c r="AD1233" s="94"/>
      <c r="AE1233" s="405"/>
    </row>
    <row r="1234" spans="3:31" s="260" customFormat="1" ht="15.75" thickBot="1" x14ac:dyDescent="0.3">
      <c r="C1234" s="84"/>
      <c r="D1234" s="415"/>
      <c r="E1234" s="416"/>
      <c r="F1234" s="416"/>
      <c r="G1234" s="416"/>
      <c r="H1234" s="416"/>
      <c r="I1234" s="416"/>
      <c r="J1234" s="417"/>
      <c r="K1234" s="88"/>
      <c r="M1234" s="538" t="s">
        <v>115</v>
      </c>
      <c r="N1234" s="539"/>
      <c r="O1234" s="539"/>
      <c r="P1234" s="539"/>
      <c r="Q1234" s="539"/>
      <c r="R1234" s="539"/>
      <c r="S1234" s="539"/>
      <c r="T1234" s="539"/>
      <c r="U1234" s="539"/>
      <c r="V1234" s="540"/>
      <c r="Y1234" s="378"/>
      <c r="Z1234" s="121"/>
      <c r="AA1234" s="86"/>
      <c r="AB1234" s="409"/>
      <c r="AC1234" s="121"/>
      <c r="AD1234" s="94"/>
      <c r="AE1234" s="126"/>
    </row>
    <row r="1235" spans="3:31" s="260" customFormat="1" ht="15.75" thickBot="1" x14ac:dyDescent="0.3">
      <c r="C1235" s="84"/>
      <c r="D1235" s="375" t="s">
        <v>128</v>
      </c>
      <c r="E1235" s="376" t="s">
        <v>129</v>
      </c>
      <c r="F1235" s="376" t="s">
        <v>130</v>
      </c>
      <c r="G1235" s="376" t="s">
        <v>131</v>
      </c>
      <c r="H1235" s="376" t="s">
        <v>132</v>
      </c>
      <c r="I1235" s="376" t="s">
        <v>133</v>
      </c>
      <c r="J1235" s="377" t="s">
        <v>134</v>
      </c>
      <c r="K1235" s="88"/>
      <c r="M1235" s="99" t="s">
        <v>94</v>
      </c>
      <c r="N1235" s="98" t="s">
        <v>95</v>
      </c>
      <c r="O1235" s="95" t="s">
        <v>96</v>
      </c>
      <c r="P1235" s="359" t="s">
        <v>104</v>
      </c>
      <c r="Q1235" s="95" t="s">
        <v>116</v>
      </c>
      <c r="R1235" s="418" t="s">
        <v>117</v>
      </c>
      <c r="S1235" s="95" t="s">
        <v>347</v>
      </c>
      <c r="T1235" s="419" t="s">
        <v>118</v>
      </c>
      <c r="U1235" s="189" t="s">
        <v>119</v>
      </c>
      <c r="V1235" s="100" t="s">
        <v>98</v>
      </c>
      <c r="Y1235" s="383" t="s">
        <v>104</v>
      </c>
      <c r="Z1235" s="119" t="s">
        <v>9</v>
      </c>
      <c r="AA1235" s="86"/>
      <c r="AB1235" s="384"/>
      <c r="AC1235" s="385"/>
      <c r="AD1235" s="94"/>
      <c r="AE1235" s="410"/>
    </row>
    <row r="1236" spans="3:31" s="260" customFormat="1" ht="25.5" x14ac:dyDescent="0.25">
      <c r="C1236" s="84"/>
      <c r="D1236" s="354"/>
      <c r="E1236" s="96"/>
      <c r="F1236" s="96"/>
      <c r="G1236" s="96"/>
      <c r="H1236" s="96"/>
      <c r="I1236" s="96"/>
      <c r="J1236" s="420">
        <f>+F1233</f>
        <v>2.15</v>
      </c>
      <c r="K1236" s="88"/>
      <c r="M1236" s="102">
        <v>207</v>
      </c>
      <c r="N1236" s="347" t="str">
        <f>IFERROR(VLOOKUP(M1236,INSUMOS!$C$8:$K$928,2,0),"-----")</f>
        <v>Oficial Hidrosanitario</v>
      </c>
      <c r="O1236" s="78" t="str">
        <f>IFERROR(VLOOKUP(M1236,INSUMOS!$C$8:$K$928,3,0),"-----")</f>
        <v>JORNAL+PS</v>
      </c>
      <c r="P1236" s="80">
        <v>1</v>
      </c>
      <c r="Q1236" s="79">
        <v>30</v>
      </c>
      <c r="R1236" s="190">
        <f>IFERROR(VLOOKUP(M1236,INSUMOS!$C$8:$K$928,4,0),"-----")</f>
        <v>92983</v>
      </c>
      <c r="S1236" s="190">
        <f>IFERROR(VLOOKUP(M1236,INSUMOS!$C$8:$K$928,6,0),"-----")</f>
        <v>74386</v>
      </c>
      <c r="T1236" s="190">
        <f>IFERROR(VLOOKUP(M1236,INSUMOS!$C$8:$K$928,5,0),"-----")</f>
        <v>0</v>
      </c>
      <c r="U1236" s="388">
        <f>SUM(R1236:T1236)</f>
        <v>167369</v>
      </c>
      <c r="V1236" s="82">
        <f>+IFERROR((P1236/Q1236)*U1236,0)</f>
        <v>5578.9666666666662</v>
      </c>
      <c r="Y1236" s="393">
        <f>+IFERROR((Y1206/Q1236*P1236),0)</f>
        <v>1.2</v>
      </c>
      <c r="Z1236" s="391">
        <f>Y1206*V1236</f>
        <v>200842.8</v>
      </c>
      <c r="AA1236" s="86"/>
      <c r="AB1236" s="92">
        <f>+(U1236)*Y1236</f>
        <v>200842.8</v>
      </c>
      <c r="AC1236" s="93">
        <f>+AB1236-Z1236</f>
        <v>0</v>
      </c>
      <c r="AD1236" s="421"/>
      <c r="AE1236" s="410" t="str">
        <f>+IF(V1236=0,"CERO","NO")</f>
        <v>NO</v>
      </c>
    </row>
    <row r="1237" spans="3:31" s="260" customFormat="1" ht="15.75" thickBot="1" x14ac:dyDescent="0.3">
      <c r="C1237" s="84"/>
      <c r="D1237" s="355"/>
      <c r="E1237" s="367"/>
      <c r="F1237" s="367"/>
      <c r="G1237" s="367"/>
      <c r="H1237" s="367"/>
      <c r="I1237" s="367"/>
      <c r="J1237" s="422">
        <f>+J1236</f>
        <v>2.15</v>
      </c>
      <c r="K1237" s="88"/>
      <c r="M1237" s="102"/>
      <c r="N1237" s="347" t="str">
        <f>IFERROR(VLOOKUP(M1237,INSUMOS!$C$8:$K$928,2,0),"-----")</f>
        <v>-----</v>
      </c>
      <c r="O1237" s="78" t="str">
        <f>IFERROR(VLOOKUP(M1237,INSUMOS!$C$8:$K$928,3,0),"-----")</f>
        <v>-----</v>
      </c>
      <c r="P1237" s="80"/>
      <c r="Q1237" s="79"/>
      <c r="R1237" s="190" t="str">
        <f>IFERROR(VLOOKUP(M1237,INSUMOS!$C$8:$K$928,4,0),"-----")</f>
        <v>-----</v>
      </c>
      <c r="S1237" s="190" t="str">
        <f>IFERROR(VLOOKUP(M1237,INSUMOS!$C$8:$K$928,6,0),"-----")</f>
        <v>-----</v>
      </c>
      <c r="T1237" s="190" t="str">
        <f>IFERROR(VLOOKUP(M1237,INSUMOS!$C$8:$K$928,5,0),"-----")</f>
        <v>-----</v>
      </c>
      <c r="U1237" s="388">
        <f>SUM(R1237:T1237)</f>
        <v>0</v>
      </c>
      <c r="V1237" s="82">
        <f>+IFERROR((P1237/Q1237)*U1237,0)</f>
        <v>0</v>
      </c>
      <c r="Y1237" s="393">
        <f>+IFERROR((Y1206/Q1237*P1237),0)</f>
        <v>0</v>
      </c>
      <c r="Z1237" s="391">
        <f>Y1206*V1237</f>
        <v>0</v>
      </c>
      <c r="AA1237" s="86"/>
      <c r="AB1237" s="92">
        <f>+U1237*Y1237</f>
        <v>0</v>
      </c>
      <c r="AC1237" s="93">
        <f>+AB1237-Z1237</f>
        <v>0</v>
      </c>
      <c r="AD1237" s="94"/>
      <c r="AE1237" s="410" t="str">
        <f>+IF(V1237=0,"CERO","NO")</f>
        <v>CERO</v>
      </c>
    </row>
    <row r="1238" spans="3:31" s="260" customFormat="1" ht="15.75" thickBot="1" x14ac:dyDescent="0.3">
      <c r="C1238" s="84"/>
      <c r="D1238" s="380"/>
      <c r="E1238" s="381"/>
      <c r="F1238" s="381"/>
      <c r="G1238" s="381"/>
      <c r="H1238" s="381"/>
      <c r="I1238" s="381"/>
      <c r="J1238" s="382"/>
      <c r="K1238" s="88"/>
      <c r="M1238" s="102">
        <v>0</v>
      </c>
      <c r="N1238" s="347"/>
      <c r="O1238" s="79"/>
      <c r="P1238" s="423"/>
      <c r="Q1238" s="81"/>
      <c r="R1238" s="111"/>
      <c r="S1238" s="357"/>
      <c r="T1238" s="111"/>
      <c r="U1238" s="388"/>
      <c r="V1238" s="426"/>
      <c r="Y1238" s="393">
        <f>+IFERROR((Y1206/Q1238*P1238),0)</f>
        <v>0</v>
      </c>
      <c r="Z1238" s="391">
        <f>Y1206*V1238</f>
        <v>0</v>
      </c>
      <c r="AA1238" s="86"/>
      <c r="AB1238" s="92">
        <f>+(U1238)*Y1238*P1238</f>
        <v>0</v>
      </c>
      <c r="AC1238" s="93">
        <f>+AB1238-Z1238</f>
        <v>0</v>
      </c>
      <c r="AD1238" s="94"/>
      <c r="AE1238" s="410" t="str">
        <f>+IF(V1238=0,"CERO","NO")</f>
        <v>CERO</v>
      </c>
    </row>
    <row r="1239" spans="3:31" s="260" customFormat="1" ht="15.75" thickBot="1" x14ac:dyDescent="0.3">
      <c r="C1239" s="84"/>
      <c r="D1239" s="375" t="s">
        <v>128</v>
      </c>
      <c r="E1239" s="376" t="s">
        <v>129</v>
      </c>
      <c r="F1239" s="376" t="s">
        <v>130</v>
      </c>
      <c r="G1239" s="376" t="s">
        <v>131</v>
      </c>
      <c r="H1239" s="376" t="s">
        <v>132</v>
      </c>
      <c r="I1239" s="376" t="s">
        <v>133</v>
      </c>
      <c r="J1239" s="377" t="s">
        <v>134</v>
      </c>
      <c r="K1239" s="88"/>
      <c r="M1239" s="534"/>
      <c r="N1239" s="536" t="s">
        <v>120</v>
      </c>
      <c r="O1239" s="536"/>
      <c r="P1239" s="536"/>
      <c r="Q1239" s="536"/>
      <c r="R1239" s="536"/>
      <c r="S1239" s="536"/>
      <c r="T1239" s="536"/>
      <c r="U1239" s="536"/>
      <c r="V1239" s="82">
        <f>+SUM(V1236:V1238)</f>
        <v>5578.9666666666662</v>
      </c>
      <c r="Y1239" s="398" t="s">
        <v>135</v>
      </c>
      <c r="Z1239" s="397">
        <f>+SUM(Z1236:Z1238)</f>
        <v>200842.8</v>
      </c>
      <c r="AA1239" s="86"/>
      <c r="AB1239" s="384"/>
      <c r="AC1239" s="385"/>
      <c r="AD1239" s="94"/>
      <c r="AE1239" s="399"/>
    </row>
    <row r="1240" spans="3:31" s="260" customFormat="1" ht="15.75" thickBot="1" x14ac:dyDescent="0.3">
      <c r="C1240" s="84"/>
      <c r="D1240" s="354"/>
      <c r="E1240" s="96"/>
      <c r="F1240" s="96"/>
      <c r="G1240" s="107">
        <f>+F1233</f>
        <v>2.15</v>
      </c>
      <c r="H1240" s="96"/>
      <c r="I1240" s="96"/>
      <c r="J1240" s="427"/>
      <c r="K1240" s="88"/>
      <c r="M1240" s="535"/>
      <c r="N1240" s="537" t="s">
        <v>121</v>
      </c>
      <c r="O1240" s="537"/>
      <c r="P1240" s="537"/>
      <c r="Q1240" s="537"/>
      <c r="R1240" s="537"/>
      <c r="S1240" s="537"/>
      <c r="T1240" s="537"/>
      <c r="U1240" s="537"/>
      <c r="V1240" s="413">
        <f>+ROUND(V1239,$AA$5)</f>
        <v>5578.97</v>
      </c>
      <c r="Y1240" s="401" t="s">
        <v>136</v>
      </c>
      <c r="Z1240" s="402">
        <f>+ROUND(Z1239,$AA$5)</f>
        <v>200842.8</v>
      </c>
      <c r="AA1240" s="86"/>
      <c r="AB1240" s="403">
        <f>+V1240*Y1206</f>
        <v>200842.92</v>
      </c>
      <c r="AC1240" s="404">
        <f>+AB1240-Z1240</f>
        <v>0.12000000002444722</v>
      </c>
      <c r="AD1240" s="94"/>
      <c r="AE1240" s="405"/>
    </row>
    <row r="1241" spans="3:31" s="260" customFormat="1" ht="15.75" thickBot="1" x14ac:dyDescent="0.3">
      <c r="C1241" s="84"/>
      <c r="D1241" s="375" t="s">
        <v>128</v>
      </c>
      <c r="E1241" s="376" t="s">
        <v>129</v>
      </c>
      <c r="F1241" s="376" t="s">
        <v>130</v>
      </c>
      <c r="G1241" s="376" t="s">
        <v>131</v>
      </c>
      <c r="H1241" s="376" t="s">
        <v>132</v>
      </c>
      <c r="I1241" s="376" t="s">
        <v>133</v>
      </c>
      <c r="J1241" s="377" t="s">
        <v>134</v>
      </c>
      <c r="K1241" s="88"/>
      <c r="M1241" s="541"/>
      <c r="N1241" s="542"/>
      <c r="O1241" s="542"/>
      <c r="P1241" s="542"/>
      <c r="Q1241" s="542"/>
      <c r="R1241" s="542"/>
      <c r="S1241" s="542"/>
      <c r="T1241" s="542"/>
      <c r="U1241" s="542"/>
      <c r="V1241" s="543"/>
      <c r="Y1241" s="378"/>
      <c r="Z1241" s="121"/>
      <c r="AA1241" s="86"/>
      <c r="AB1241" s="409"/>
      <c r="AC1241" s="121"/>
      <c r="AD1241" s="94"/>
      <c r="AE1241" s="428"/>
    </row>
    <row r="1242" spans="3:31" s="260" customFormat="1" ht="15.75" thickBot="1" x14ac:dyDescent="0.3">
      <c r="C1242" s="84"/>
      <c r="D1242" s="355"/>
      <c r="E1242" s="367"/>
      <c r="F1242" s="367"/>
      <c r="G1242" s="367"/>
      <c r="H1242" s="412">
        <f>G1240</f>
        <v>2.15</v>
      </c>
      <c r="I1242" s="412"/>
      <c r="J1242" s="422"/>
      <c r="K1242" s="88"/>
      <c r="M1242" s="544" t="s">
        <v>122</v>
      </c>
      <c r="N1242" s="537"/>
      <c r="O1242" s="537"/>
      <c r="P1242" s="537"/>
      <c r="Q1242" s="537"/>
      <c r="R1242" s="537"/>
      <c r="S1242" s="537"/>
      <c r="T1242" s="537"/>
      <c r="U1242" s="545">
        <f>+V1240+V1233+V1225+V1216</f>
        <v>18051.460000000003</v>
      </c>
      <c r="V1242" s="546"/>
      <c r="Y1242" s="429"/>
      <c r="Z1242" s="430">
        <f>+Z1240+Z1233+Z1225+Z1216</f>
        <v>649852.32000000007</v>
      </c>
      <c r="AA1242" s="86"/>
      <c r="AB1242" s="431">
        <f>+AB1240+AB1233+AB1225+AB1216</f>
        <v>649852.56000000006</v>
      </c>
      <c r="AC1242" s="404">
        <f>+AB1242-Z1242</f>
        <v>0.23999999999068677</v>
      </c>
      <c r="AD1242" s="94"/>
      <c r="AE1242" s="432"/>
    </row>
    <row r="1243" spans="3:31" s="260" customFormat="1" ht="15.75" thickBot="1" x14ac:dyDescent="0.3"/>
    <row r="1244" spans="3:31" s="260" customFormat="1" x14ac:dyDescent="0.25">
      <c r="M1244" s="547" t="s">
        <v>348</v>
      </c>
      <c r="N1244" s="548"/>
      <c r="O1244" s="548"/>
      <c r="P1244" s="548"/>
      <c r="Q1244" s="548"/>
      <c r="R1244" s="548"/>
      <c r="S1244" s="548"/>
      <c r="T1244" s="548"/>
      <c r="U1244" s="548"/>
      <c r="V1244" s="549"/>
      <c r="Y1244" s="378"/>
      <c r="Z1244" s="121"/>
      <c r="AA1244" s="86"/>
      <c r="AB1244" s="94"/>
      <c r="AC1244" s="94"/>
      <c r="AD1244" s="94"/>
      <c r="AE1244" s="126" t="s">
        <v>133</v>
      </c>
    </row>
    <row r="1245" spans="3:31" s="260" customFormat="1" x14ac:dyDescent="0.25">
      <c r="M1245" s="515" t="s">
        <v>138</v>
      </c>
      <c r="N1245" s="516"/>
      <c r="O1245" s="516"/>
      <c r="P1245" s="516"/>
      <c r="Q1245" s="516"/>
      <c r="R1245" s="516"/>
      <c r="S1245" s="516"/>
      <c r="T1245" s="437">
        <v>0</v>
      </c>
      <c r="U1245" s="517">
        <f>+ROUND(U1242*T1245,$AA$5)</f>
        <v>0</v>
      </c>
      <c r="V1245" s="518"/>
      <c r="Y1245" s="390"/>
      <c r="Z1245" s="438">
        <f>+Z1242*T1245</f>
        <v>0</v>
      </c>
      <c r="AA1245" s="86"/>
      <c r="AB1245" s="94"/>
      <c r="AC1245" s="94"/>
      <c r="AD1245" s="94"/>
      <c r="AE1245" s="386" t="s">
        <v>133</v>
      </c>
    </row>
    <row r="1246" spans="3:31" s="260" customFormat="1" x14ac:dyDescent="0.25">
      <c r="M1246" s="515" t="s">
        <v>19</v>
      </c>
      <c r="N1246" s="516"/>
      <c r="O1246" s="516"/>
      <c r="P1246" s="516"/>
      <c r="Q1246" s="516"/>
      <c r="R1246" s="516"/>
      <c r="S1246" s="516"/>
      <c r="T1246" s="437">
        <v>0.05</v>
      </c>
      <c r="U1246" s="517">
        <f>+ROUND(U1242*T1246,$AA$5)</f>
        <v>902.57</v>
      </c>
      <c r="V1246" s="518"/>
      <c r="Y1246" s="390"/>
      <c r="Z1246" s="438">
        <f>+Z1242*T1246</f>
        <v>32492.616000000005</v>
      </c>
      <c r="AA1246" s="86"/>
      <c r="AB1246" s="94"/>
      <c r="AC1246" s="94"/>
      <c r="AD1246" s="94"/>
      <c r="AE1246" s="386" t="s">
        <v>133</v>
      </c>
    </row>
    <row r="1247" spans="3:31" s="260" customFormat="1" x14ac:dyDescent="0.25">
      <c r="M1247" s="515" t="s">
        <v>20</v>
      </c>
      <c r="N1247" s="516"/>
      <c r="O1247" s="516"/>
      <c r="P1247" s="516"/>
      <c r="Q1247" s="516"/>
      <c r="R1247" s="516"/>
      <c r="S1247" s="516"/>
      <c r="T1247" s="437">
        <v>0</v>
      </c>
      <c r="U1247" s="517">
        <f>+ROUND(U1242*T1247,$AA$5)</f>
        <v>0</v>
      </c>
      <c r="V1247" s="518"/>
      <c r="Y1247" s="390"/>
      <c r="Z1247" s="438">
        <f>+Z1242*T1247</f>
        <v>0</v>
      </c>
      <c r="AA1247" s="86"/>
      <c r="AB1247" s="94"/>
      <c r="AC1247" s="94"/>
      <c r="AD1247" s="94"/>
      <c r="AE1247" s="386" t="s">
        <v>133</v>
      </c>
    </row>
    <row r="1248" spans="3:31" s="260" customFormat="1" x14ac:dyDescent="0.25">
      <c r="M1248" s="515" t="s">
        <v>21</v>
      </c>
      <c r="N1248" s="516"/>
      <c r="O1248" s="516"/>
      <c r="P1248" s="516"/>
      <c r="Q1248" s="516"/>
      <c r="R1248" s="516"/>
      <c r="S1248" s="516"/>
      <c r="T1248" s="437">
        <f>$AA$9</f>
        <v>0</v>
      </c>
      <c r="U1248" s="517">
        <f>+ROUND(U1242*T1248,$AA$5)</f>
        <v>0</v>
      </c>
      <c r="V1248" s="518"/>
      <c r="Y1248" s="390"/>
      <c r="Z1248" s="438">
        <f>+Z1247*T1248</f>
        <v>0</v>
      </c>
      <c r="AA1248" s="86"/>
      <c r="AB1248" s="94"/>
      <c r="AC1248" s="94"/>
      <c r="AD1248" s="94"/>
      <c r="AE1248" s="386" t="s">
        <v>133</v>
      </c>
    </row>
    <row r="1249" spans="3:31" s="260" customFormat="1" ht="15.75" thickBot="1" x14ac:dyDescent="0.3">
      <c r="M1249" s="519" t="s">
        <v>349</v>
      </c>
      <c r="N1249" s="520"/>
      <c r="O1249" s="520"/>
      <c r="P1249" s="520"/>
      <c r="Q1249" s="520"/>
      <c r="R1249" s="520"/>
      <c r="S1249" s="520"/>
      <c r="T1249" s="520"/>
      <c r="U1249" s="521">
        <f>+SUM(U1245:V1248)</f>
        <v>902.57</v>
      </c>
      <c r="V1249" s="522"/>
      <c r="Y1249" s="390"/>
      <c r="Z1249" s="439">
        <f>+SUM(Z1245:Z1248)</f>
        <v>32492.616000000005</v>
      </c>
      <c r="AA1249" s="86"/>
      <c r="AB1249" s="94"/>
      <c r="AC1249" s="94"/>
      <c r="AD1249" s="94"/>
      <c r="AE1249" s="386" t="s">
        <v>133</v>
      </c>
    </row>
    <row r="1250" spans="3:31" s="260" customFormat="1" ht="15.75" thickBot="1" x14ac:dyDescent="0.3">
      <c r="D1250" s="375" t="s">
        <v>128</v>
      </c>
      <c r="E1250" s="376" t="s">
        <v>129</v>
      </c>
      <c r="F1250" s="376" t="s">
        <v>130</v>
      </c>
      <c r="G1250" s="376" t="s">
        <v>131</v>
      </c>
      <c r="H1250" s="376" t="s">
        <v>132</v>
      </c>
      <c r="I1250" s="376" t="s">
        <v>133</v>
      </c>
      <c r="J1250" s="377" t="s">
        <v>134</v>
      </c>
      <c r="M1250" s="86"/>
      <c r="N1250" s="94"/>
      <c r="O1250" s="94"/>
      <c r="P1250" s="94"/>
      <c r="Q1250" s="86"/>
      <c r="R1250" s="86"/>
      <c r="S1250" s="86"/>
      <c r="T1250" s="440"/>
      <c r="U1250" s="523"/>
      <c r="V1250" s="523"/>
      <c r="Y1250" s="390"/>
      <c r="Z1250" s="385"/>
      <c r="AA1250" s="86"/>
      <c r="AB1250" s="94"/>
      <c r="AC1250" s="94"/>
      <c r="AD1250" s="94"/>
      <c r="AE1250" s="386" t="s">
        <v>133</v>
      </c>
    </row>
    <row r="1251" spans="3:31" s="260" customFormat="1" ht="15.75" thickBot="1" x14ac:dyDescent="0.3">
      <c r="D1251" s="355"/>
      <c r="E1251" s="367"/>
      <c r="F1251" s="367"/>
      <c r="G1251" s="367"/>
      <c r="H1251" s="412"/>
      <c r="I1251" s="412">
        <f>H1242</f>
        <v>2.15</v>
      </c>
      <c r="J1251" s="422"/>
      <c r="M1251" s="524" t="s">
        <v>11</v>
      </c>
      <c r="N1251" s="525"/>
      <c r="O1251" s="525"/>
      <c r="P1251" s="525"/>
      <c r="Q1251" s="525"/>
      <c r="R1251" s="525"/>
      <c r="S1251" s="525"/>
      <c r="T1251" s="526"/>
      <c r="U1251" s="527">
        <f>+U1249+U1242</f>
        <v>18954.030000000002</v>
      </c>
      <c r="V1251" s="528"/>
      <c r="Y1251" s="429"/>
      <c r="Z1251" s="441">
        <f>+Z1249+Z1242</f>
        <v>682344.9360000001</v>
      </c>
      <c r="AA1251" s="86"/>
      <c r="AB1251" s="94"/>
      <c r="AC1251" s="94"/>
      <c r="AD1251" s="94"/>
      <c r="AE1251" s="405" t="s">
        <v>133</v>
      </c>
    </row>
    <row r="1252" spans="3:31" s="260" customFormat="1" x14ac:dyDescent="0.25"/>
    <row r="1253" spans="3:31" s="260" customFormat="1" ht="15.75" thickBot="1" x14ac:dyDescent="0.3"/>
    <row r="1254" spans="3:31" s="260" customFormat="1" ht="15.75" thickBot="1" x14ac:dyDescent="0.3">
      <c r="M1254" s="363" t="s">
        <v>88</v>
      </c>
      <c r="N1254" s="436" t="str">
        <f>+N1205</f>
        <v>CAP.2</v>
      </c>
      <c r="O1254" s="550" t="str">
        <f>IFERROR(VLOOKUP(N1254,PPTO!C:H,2,0),"----")</f>
        <v>RED HIDRAULICA</v>
      </c>
      <c r="P1254" s="551"/>
      <c r="Q1254" s="551"/>
      <c r="R1254" s="551"/>
      <c r="S1254" s="551"/>
      <c r="T1254" s="551"/>
      <c r="U1254" s="552"/>
      <c r="V1254" s="74" t="s">
        <v>91</v>
      </c>
      <c r="Y1254" s="365" t="s">
        <v>104</v>
      </c>
      <c r="Z1254" s="94"/>
      <c r="AA1254" s="188"/>
      <c r="AB1254" s="553"/>
      <c r="AC1254" s="553"/>
      <c r="AD1254" s="553"/>
      <c r="AE1254" s="94"/>
    </row>
    <row r="1255" spans="3:31" s="260" customFormat="1" ht="15.75" thickBot="1" x14ac:dyDescent="0.3">
      <c r="C1255" s="369">
        <f>+N1255</f>
        <v>2.16</v>
      </c>
      <c r="D1255" s="86"/>
      <c r="E1255" s="86"/>
      <c r="F1255" s="86"/>
      <c r="G1255" s="86"/>
      <c r="H1255" s="86"/>
      <c r="I1255" s="86"/>
      <c r="J1255" s="86"/>
      <c r="K1255" s="370"/>
      <c r="M1255" s="75" t="s">
        <v>92</v>
      </c>
      <c r="N1255" s="371">
        <f>+ROUNDUP(N1206+0.01,2)</f>
        <v>2.16</v>
      </c>
      <c r="O1255" s="554" t="str">
        <f>IFERROR(VLOOKUP(N1255,PPTO!C:H,2,0),"----")</f>
        <v>Tee PVC Ø1_1/2"</v>
      </c>
      <c r="P1255" s="555"/>
      <c r="Q1255" s="555"/>
      <c r="R1255" s="555"/>
      <c r="S1255" s="555"/>
      <c r="T1255" s="555"/>
      <c r="U1255" s="556"/>
      <c r="V1255" s="76" t="str">
        <f>IFERROR(VLOOKUP(N1255,PPTO!C:H,3,0),"----")</f>
        <v>UND</v>
      </c>
      <c r="Y1255" s="373">
        <f>SUMIFS(PPTO!F:F,PPTO!C:C,APUS!N1255)</f>
        <v>32</v>
      </c>
      <c r="Z1255" s="94"/>
      <c r="AA1255" s="86"/>
      <c r="AB1255" s="94"/>
      <c r="AC1255" s="94"/>
      <c r="AD1255" s="94"/>
      <c r="AE1255" s="94"/>
    </row>
    <row r="1256" spans="3:31" s="260" customFormat="1" ht="15.75" thickBot="1" x14ac:dyDescent="0.3">
      <c r="C1256" s="84"/>
      <c r="D1256" s="86"/>
      <c r="E1256" s="86"/>
      <c r="F1256" s="86"/>
      <c r="G1256" s="86"/>
      <c r="H1256" s="86"/>
      <c r="I1256" s="86"/>
      <c r="J1256" s="86"/>
      <c r="K1256" s="88"/>
      <c r="M1256" s="557"/>
      <c r="N1256" s="557"/>
      <c r="O1256" s="557"/>
      <c r="P1256" s="557"/>
      <c r="Q1256" s="557"/>
      <c r="R1256" s="557"/>
      <c r="S1256" s="557"/>
      <c r="T1256" s="557"/>
      <c r="U1256" s="557"/>
      <c r="V1256" s="557"/>
      <c r="Y1256" s="374"/>
      <c r="Z1256" s="94"/>
      <c r="AA1256" s="86"/>
      <c r="AB1256" s="94"/>
      <c r="AC1256" s="94"/>
      <c r="AD1256" s="94"/>
      <c r="AE1256" s="94"/>
    </row>
    <row r="1257" spans="3:31" s="260" customFormat="1" ht="15.75" thickBot="1" x14ac:dyDescent="0.3">
      <c r="C1257" s="84"/>
      <c r="D1257" s="375" t="s">
        <v>128</v>
      </c>
      <c r="E1257" s="376" t="s">
        <v>129</v>
      </c>
      <c r="F1257" s="376" t="s">
        <v>130</v>
      </c>
      <c r="G1257" s="376" t="s">
        <v>131</v>
      </c>
      <c r="H1257" s="376" t="s">
        <v>132</v>
      </c>
      <c r="I1257" s="376" t="s">
        <v>133</v>
      </c>
      <c r="J1257" s="377" t="s">
        <v>134</v>
      </c>
      <c r="K1257" s="88"/>
      <c r="M1257" s="558" t="s">
        <v>93</v>
      </c>
      <c r="N1257" s="559"/>
      <c r="O1257" s="559"/>
      <c r="P1257" s="559"/>
      <c r="Q1257" s="559"/>
      <c r="R1257" s="559"/>
      <c r="S1257" s="559"/>
      <c r="T1257" s="559"/>
      <c r="U1257" s="559"/>
      <c r="V1257" s="560"/>
      <c r="Y1257" s="378"/>
      <c r="Z1257" s="121"/>
      <c r="AA1257" s="86"/>
      <c r="AB1257" s="513"/>
      <c r="AC1257" s="514"/>
      <c r="AD1257" s="94"/>
      <c r="AE1257" s="379"/>
    </row>
    <row r="1258" spans="3:31" s="260" customFormat="1" x14ac:dyDescent="0.25">
      <c r="C1258" s="84"/>
      <c r="D1258" s="380"/>
      <c r="E1258" s="381"/>
      <c r="F1258" s="381"/>
      <c r="G1258" s="381"/>
      <c r="H1258" s="381"/>
      <c r="I1258" s="381"/>
      <c r="J1258" s="382"/>
      <c r="K1258" s="88"/>
      <c r="M1258" s="99" t="s">
        <v>94</v>
      </c>
      <c r="N1258" s="561" t="s">
        <v>95</v>
      </c>
      <c r="O1258" s="561"/>
      <c r="P1258" s="561"/>
      <c r="Q1258" s="561"/>
      <c r="R1258" s="95" t="s">
        <v>96</v>
      </c>
      <c r="S1258" s="95" t="s">
        <v>97</v>
      </c>
      <c r="T1258" s="562" t="s">
        <v>8</v>
      </c>
      <c r="U1258" s="562"/>
      <c r="V1258" s="100" t="s">
        <v>98</v>
      </c>
      <c r="Y1258" s="383" t="s">
        <v>104</v>
      </c>
      <c r="Z1258" s="119" t="s">
        <v>9</v>
      </c>
      <c r="AA1258" s="86"/>
      <c r="AB1258" s="384"/>
      <c r="AC1258" s="385"/>
      <c r="AD1258" s="94"/>
      <c r="AE1258" s="386"/>
    </row>
    <row r="1259" spans="3:31" s="260" customFormat="1" x14ac:dyDescent="0.25">
      <c r="C1259" s="84"/>
      <c r="D1259" s="85"/>
      <c r="E1259" s="86"/>
      <c r="F1259" s="86"/>
      <c r="G1259" s="86"/>
      <c r="H1259" s="86"/>
      <c r="I1259" s="86"/>
      <c r="J1259" s="87"/>
      <c r="K1259" s="88"/>
      <c r="M1259" s="102"/>
      <c r="N1259" s="533" t="s">
        <v>99</v>
      </c>
      <c r="O1259" s="533"/>
      <c r="P1259" s="533"/>
      <c r="Q1259" s="533"/>
      <c r="R1259" s="78" t="s">
        <v>100</v>
      </c>
      <c r="S1259" s="387">
        <f>+$AA$10</f>
        <v>0.05</v>
      </c>
      <c r="T1259" s="563">
        <f>V1289</f>
        <v>5578.97</v>
      </c>
      <c r="U1259" s="563"/>
      <c r="V1259" s="389">
        <f>+IFERROR(T1259*S1259,0)</f>
        <v>278.94850000000002</v>
      </c>
      <c r="Y1259" s="390"/>
      <c r="Z1259" s="391">
        <f>Y1255*V1259</f>
        <v>8926.3520000000008</v>
      </c>
      <c r="AA1259" s="86"/>
      <c r="AB1259" s="384"/>
      <c r="AC1259" s="385"/>
      <c r="AD1259" s="94"/>
      <c r="AE1259" s="386" t="str">
        <f>+IF(V1259=0,"CERO","NO")</f>
        <v>NO</v>
      </c>
    </row>
    <row r="1260" spans="3:31" s="260" customFormat="1" x14ac:dyDescent="0.25">
      <c r="C1260" s="84"/>
      <c r="D1260" s="85"/>
      <c r="E1260" s="86"/>
      <c r="F1260" s="86"/>
      <c r="G1260" s="86"/>
      <c r="H1260" s="86"/>
      <c r="I1260" s="86"/>
      <c r="J1260" s="87"/>
      <c r="K1260" s="88"/>
      <c r="M1260" s="106"/>
      <c r="N1260" s="533" t="str">
        <f>IFERROR(VLOOKUP(M1260,INSUMOS!$C$8:$K$928,2,0),"-----")</f>
        <v>-----</v>
      </c>
      <c r="O1260" s="533"/>
      <c r="P1260" s="533"/>
      <c r="Q1260" s="533"/>
      <c r="R1260" s="78" t="str">
        <f>IFERROR(VLOOKUP(M1260,INSUMOS!$C$8:$K$928,6,0),"-----")</f>
        <v>-----</v>
      </c>
      <c r="S1260" s="392"/>
      <c r="T1260" s="529" t="str">
        <f>IFERROR(VLOOKUP(M1260,INSUMOS!$C$8:$K$928,7,0),"0")</f>
        <v>0</v>
      </c>
      <c r="U1260" s="529"/>
      <c r="V1260" s="389">
        <f>+IFERROR(T1260*S1260,0)</f>
        <v>0</v>
      </c>
      <c r="Y1260" s="393">
        <f>+IFERROR(Y1255*S1260,0)</f>
        <v>0</v>
      </c>
      <c r="Z1260" s="391">
        <f>Y1255*V1260</f>
        <v>0</v>
      </c>
      <c r="AA1260" s="394"/>
      <c r="AB1260" s="395">
        <f>+Y1260*T1260</f>
        <v>0</v>
      </c>
      <c r="AC1260" s="93">
        <f>+AB1260-Z1260</f>
        <v>0</v>
      </c>
      <c r="AD1260" s="94"/>
      <c r="AE1260" s="386" t="str">
        <f>+IF(V1260=0,"CERO","NO")</f>
        <v>CERO</v>
      </c>
    </row>
    <row r="1261" spans="3:31" s="260" customFormat="1" x14ac:dyDescent="0.25">
      <c r="C1261" s="84"/>
      <c r="D1261" s="85"/>
      <c r="E1261" s="86"/>
      <c r="F1261" s="86"/>
      <c r="G1261" s="86"/>
      <c r="H1261" s="86"/>
      <c r="I1261" s="86"/>
      <c r="J1261" s="87"/>
      <c r="K1261" s="88"/>
      <c r="M1261" s="102">
        <v>0</v>
      </c>
      <c r="N1261" s="533"/>
      <c r="O1261" s="533"/>
      <c r="P1261" s="533"/>
      <c r="Q1261" s="533"/>
      <c r="R1261" s="78"/>
      <c r="S1261" s="396"/>
      <c r="T1261" s="529"/>
      <c r="U1261" s="529"/>
      <c r="V1261" s="397"/>
      <c r="Y1261" s="393">
        <f>+IFERROR(Y1255*S1261,0)</f>
        <v>0</v>
      </c>
      <c r="Z1261" s="391">
        <f>Y1255*V1261</f>
        <v>0</v>
      </c>
      <c r="AA1261" s="394"/>
      <c r="AB1261" s="395">
        <f>+Y1261*T1261</f>
        <v>0</v>
      </c>
      <c r="AC1261" s="93">
        <f>+AB1261-Z1261</f>
        <v>0</v>
      </c>
      <c r="AD1261" s="94"/>
      <c r="AE1261" s="386" t="str">
        <f>+IF(V1261=0,"CERO","NO")</f>
        <v>CERO</v>
      </c>
    </row>
    <row r="1262" spans="3:31" s="260" customFormat="1" x14ac:dyDescent="0.25">
      <c r="C1262" s="84"/>
      <c r="D1262" s="85"/>
      <c r="E1262" s="86"/>
      <c r="F1262" s="86"/>
      <c r="G1262" s="86"/>
      <c r="H1262" s="86"/>
      <c r="I1262" s="86"/>
      <c r="J1262" s="87"/>
      <c r="K1262" s="88"/>
      <c r="M1262" s="102">
        <v>0</v>
      </c>
      <c r="N1262" s="533"/>
      <c r="O1262" s="533"/>
      <c r="P1262" s="533"/>
      <c r="Q1262" s="533"/>
      <c r="R1262" s="78"/>
      <c r="S1262" s="396"/>
      <c r="T1262" s="529"/>
      <c r="U1262" s="529"/>
      <c r="V1262" s="397"/>
      <c r="Y1262" s="393">
        <f>+IFERROR(Y1255*S1262,0)</f>
        <v>0</v>
      </c>
      <c r="Z1262" s="391">
        <f>Y1255*V1262</f>
        <v>0</v>
      </c>
      <c r="AA1262" s="394"/>
      <c r="AB1262" s="395">
        <f>+Y1262*T1262</f>
        <v>0</v>
      </c>
      <c r="AC1262" s="93">
        <f>+AB1262-Z1262</f>
        <v>0</v>
      </c>
      <c r="AD1262" s="94"/>
      <c r="AE1262" s="386" t="str">
        <f>+IF(V1262=0,"CERO","NO")</f>
        <v>CERO</v>
      </c>
    </row>
    <row r="1263" spans="3:31" s="260" customFormat="1" ht="15.75" thickBot="1" x14ac:dyDescent="0.3">
      <c r="C1263" s="84"/>
      <c r="D1263" s="85"/>
      <c r="E1263" s="86"/>
      <c r="F1263" s="86"/>
      <c r="G1263" s="86"/>
      <c r="H1263" s="86"/>
      <c r="I1263" s="86"/>
      <c r="J1263" s="87"/>
      <c r="K1263" s="88"/>
      <c r="M1263" s="102">
        <v>0</v>
      </c>
      <c r="N1263" s="564"/>
      <c r="O1263" s="564"/>
      <c r="P1263" s="564"/>
      <c r="Q1263" s="564"/>
      <c r="R1263" s="96"/>
      <c r="S1263" s="96"/>
      <c r="T1263" s="565"/>
      <c r="U1263" s="565"/>
      <c r="V1263" s="101"/>
      <c r="Y1263" s="393">
        <f>+IFERROR(Y1255*S1263,0)</f>
        <v>0</v>
      </c>
      <c r="Z1263" s="391">
        <f>Y1255*V1263</f>
        <v>0</v>
      </c>
      <c r="AA1263" s="394"/>
      <c r="AB1263" s="395">
        <f>+Y1263*T1263</f>
        <v>0</v>
      </c>
      <c r="AC1263" s="93">
        <f>+AB1263-Z1263</f>
        <v>0</v>
      </c>
      <c r="AD1263" s="94"/>
      <c r="AE1263" s="386" t="str">
        <f>+IF(V1263=0,"CERO","NO")</f>
        <v>CERO</v>
      </c>
    </row>
    <row r="1264" spans="3:31" s="260" customFormat="1" ht="15.75" thickBot="1" x14ac:dyDescent="0.3">
      <c r="C1264" s="84"/>
      <c r="D1264" s="375" t="s">
        <v>128</v>
      </c>
      <c r="E1264" s="376" t="s">
        <v>129</v>
      </c>
      <c r="F1264" s="376" t="s">
        <v>130</v>
      </c>
      <c r="G1264" s="376" t="s">
        <v>131</v>
      </c>
      <c r="H1264" s="376" t="s">
        <v>132</v>
      </c>
      <c r="I1264" s="376" t="s">
        <v>133</v>
      </c>
      <c r="J1264" s="377" t="s">
        <v>134</v>
      </c>
      <c r="K1264" s="88"/>
      <c r="M1264" s="534"/>
      <c r="N1264" s="536" t="s">
        <v>101</v>
      </c>
      <c r="O1264" s="536"/>
      <c r="P1264" s="536"/>
      <c r="Q1264" s="536"/>
      <c r="R1264" s="536"/>
      <c r="S1264" s="536"/>
      <c r="T1264" s="536"/>
      <c r="U1264" s="536"/>
      <c r="V1264" s="389">
        <f>+SUM(V1259:V1263)</f>
        <v>278.94850000000002</v>
      </c>
      <c r="Y1264" s="398" t="s">
        <v>135</v>
      </c>
      <c r="Z1264" s="397">
        <f>+SUM(Z1259:Z1263)</f>
        <v>8926.3520000000008</v>
      </c>
      <c r="AA1264" s="86"/>
      <c r="AB1264" s="384"/>
      <c r="AC1264" s="385"/>
      <c r="AD1264" s="94"/>
      <c r="AE1264" s="399"/>
    </row>
    <row r="1265" spans="3:31" s="260" customFormat="1" ht="15.75" thickBot="1" x14ac:dyDescent="0.3">
      <c r="C1265" s="84"/>
      <c r="D1265" s="375">
        <f>C1255</f>
        <v>2.16</v>
      </c>
      <c r="E1265" s="376"/>
      <c r="F1265" s="376"/>
      <c r="G1265" s="376"/>
      <c r="H1265" s="376"/>
      <c r="I1265" s="376"/>
      <c r="J1265" s="377"/>
      <c r="K1265" s="88"/>
      <c r="M1265" s="566"/>
      <c r="N1265" s="567" t="s">
        <v>102</v>
      </c>
      <c r="O1265" s="567"/>
      <c r="P1265" s="567"/>
      <c r="Q1265" s="567"/>
      <c r="R1265" s="567"/>
      <c r="S1265" s="567"/>
      <c r="T1265" s="567"/>
      <c r="U1265" s="567"/>
      <c r="V1265" s="400">
        <f>+ROUND(V1264,$AA$5)</f>
        <v>278.95</v>
      </c>
      <c r="Y1265" s="401" t="s">
        <v>136</v>
      </c>
      <c r="Z1265" s="402">
        <f>+ROUND(Z1264,$AA$5)</f>
        <v>8926.35</v>
      </c>
      <c r="AA1265" s="86"/>
      <c r="AB1265" s="403">
        <f>+V1265*Y1255</f>
        <v>8926.4</v>
      </c>
      <c r="AC1265" s="404">
        <f>+AB1265-Z1265</f>
        <v>4.9999999999272404E-2</v>
      </c>
      <c r="AD1265" s="94"/>
      <c r="AE1265" s="405"/>
    </row>
    <row r="1266" spans="3:31" s="260" customFormat="1" x14ac:dyDescent="0.25">
      <c r="C1266" s="84"/>
      <c r="D1266" s="380"/>
      <c r="E1266" s="381"/>
      <c r="F1266" s="381"/>
      <c r="G1266" s="381"/>
      <c r="H1266" s="381"/>
      <c r="I1266" s="381"/>
      <c r="J1266" s="382"/>
      <c r="K1266" s="88"/>
      <c r="M1266" s="510" t="s">
        <v>103</v>
      </c>
      <c r="N1266" s="511"/>
      <c r="O1266" s="511"/>
      <c r="P1266" s="511"/>
      <c r="Q1266" s="511"/>
      <c r="R1266" s="511"/>
      <c r="S1266" s="511"/>
      <c r="T1266" s="511"/>
      <c r="U1266" s="511"/>
      <c r="V1266" s="512"/>
      <c r="Y1266" s="378"/>
      <c r="Z1266" s="121"/>
      <c r="AA1266" s="86"/>
      <c r="AB1266" s="513"/>
      <c r="AC1266" s="514"/>
      <c r="AD1266" s="94"/>
      <c r="AE1266" s="126"/>
    </row>
    <row r="1267" spans="3:31" s="260" customFormat="1" x14ac:dyDescent="0.25">
      <c r="C1267" s="84"/>
      <c r="D1267" s="85"/>
      <c r="E1267" s="86"/>
      <c r="F1267" s="86"/>
      <c r="G1267" s="86"/>
      <c r="H1267" s="86"/>
      <c r="I1267" s="86"/>
      <c r="J1267" s="87"/>
      <c r="K1267" s="88"/>
      <c r="M1267" s="99" t="s">
        <v>94</v>
      </c>
      <c r="N1267" s="561" t="s">
        <v>95</v>
      </c>
      <c r="O1267" s="561"/>
      <c r="P1267" s="561"/>
      <c r="Q1267" s="561"/>
      <c r="R1267" s="95" t="s">
        <v>96</v>
      </c>
      <c r="S1267" s="95" t="s">
        <v>104</v>
      </c>
      <c r="T1267" s="356" t="s">
        <v>105</v>
      </c>
      <c r="U1267" s="356" t="s">
        <v>8</v>
      </c>
      <c r="V1267" s="100" t="s">
        <v>98</v>
      </c>
      <c r="Y1267" s="383" t="s">
        <v>104</v>
      </c>
      <c r="Z1267" s="119" t="s">
        <v>9</v>
      </c>
      <c r="AA1267" s="86"/>
      <c r="AB1267" s="384"/>
      <c r="AC1267" s="385"/>
      <c r="AD1267" s="94"/>
      <c r="AE1267" s="406"/>
    </row>
    <row r="1268" spans="3:31" s="260" customFormat="1" x14ac:dyDescent="0.25">
      <c r="C1268" s="84"/>
      <c r="D1268" s="85"/>
      <c r="E1268" s="86"/>
      <c r="F1268" s="86"/>
      <c r="G1268" s="86"/>
      <c r="H1268" s="86"/>
      <c r="I1268" s="86"/>
      <c r="J1268" s="87"/>
      <c r="K1268" s="88"/>
      <c r="M1268" s="102">
        <v>713</v>
      </c>
      <c r="N1268" s="533" t="str">
        <f>IFERROR(VLOOKUP(M1268,INSUMOS!$C$8:$K$928,2,0),"-----")</f>
        <v>TEE PVC-P 1 1/2"</v>
      </c>
      <c r="O1268" s="533"/>
      <c r="P1268" s="533"/>
      <c r="Q1268" s="533"/>
      <c r="R1268" s="78" t="str">
        <f>IFERROR(VLOOKUP(M1268,INSUMOS!$C$8:$K$928,6,0),"-----")</f>
        <v>und</v>
      </c>
      <c r="S1268" s="396">
        <v>1</v>
      </c>
      <c r="T1268" s="387">
        <v>0</v>
      </c>
      <c r="U1268" s="388">
        <f>IFERROR(VLOOKUP(M1268,INSUMOS!$C$8:$K$928,7,0),"0")</f>
        <v>12727</v>
      </c>
      <c r="V1268" s="389">
        <f>+IFERROR(U1268*(S1268*(1+T1268)),0)</f>
        <v>12727</v>
      </c>
      <c r="Y1268" s="393">
        <f>+IFERROR(Y1255*(S1268*(1+T1268)),0)</f>
        <v>32</v>
      </c>
      <c r="Z1268" s="391">
        <f>Y1255*V1268</f>
        <v>407264</v>
      </c>
      <c r="AA1268" s="394"/>
      <c r="AB1268" s="395">
        <f>+Y1268*U1268</f>
        <v>407264</v>
      </c>
      <c r="AC1268" s="93">
        <f>+AB1268-Z1268</f>
        <v>0</v>
      </c>
      <c r="AD1268" s="94"/>
      <c r="AE1268" s="406" t="str">
        <f>+IF(V1268=0,"CERO","NO")</f>
        <v>NO</v>
      </c>
    </row>
    <row r="1269" spans="3:31" s="260" customFormat="1" x14ac:dyDescent="0.25">
      <c r="C1269" s="84"/>
      <c r="D1269" s="85"/>
      <c r="E1269" s="86"/>
      <c r="F1269" s="86"/>
      <c r="G1269" s="86"/>
      <c r="H1269" s="86"/>
      <c r="I1269" s="86"/>
      <c r="J1269" s="87"/>
      <c r="K1269" s="88"/>
      <c r="M1269" s="102">
        <v>699</v>
      </c>
      <c r="N1269" s="533" t="str">
        <f>IFERROR(VLOOKUP(M1269,INSUMOS!$C$8:$K$928,2,0),"-----")</f>
        <v>SOLDADURA PVC LIQUIDA 1/4"</v>
      </c>
      <c r="O1269" s="533"/>
      <c r="P1269" s="533"/>
      <c r="Q1269" s="533"/>
      <c r="R1269" s="78" t="str">
        <f>IFERROR(VLOOKUP(M1269,INSUMOS!$C$8:$K$928,6,0),"-----")</f>
        <v>und</v>
      </c>
      <c r="S1269" s="392">
        <v>0.01</v>
      </c>
      <c r="T1269" s="387">
        <v>0.02</v>
      </c>
      <c r="U1269" s="388">
        <f>IFERROR(VLOOKUP(M1269,INSUMOS!$C$8:$K$928,7,0),"0")</f>
        <v>146569</v>
      </c>
      <c r="V1269" s="389">
        <f>+IFERROR(U1269*(S1269*(1+T1269)),0)</f>
        <v>1495.0038000000002</v>
      </c>
      <c r="Y1269" s="393">
        <f>+IFERROR(Y1255*(S1269*(1+T1269)),0)</f>
        <v>0.32640000000000002</v>
      </c>
      <c r="Z1269" s="391">
        <f>Y1255*V1269</f>
        <v>47840.121600000006</v>
      </c>
      <c r="AA1269" s="394"/>
      <c r="AB1269" s="395">
        <f>+Y1269*U1269</f>
        <v>47840.121600000006</v>
      </c>
      <c r="AC1269" s="93">
        <f>+AB1269-Z1269</f>
        <v>0</v>
      </c>
      <c r="AD1269" s="94"/>
      <c r="AE1269" s="406" t="str">
        <f>+IF(V1269=0,"CERO","NO")</f>
        <v>NO</v>
      </c>
    </row>
    <row r="1270" spans="3:31" s="260" customFormat="1" x14ac:dyDescent="0.25">
      <c r="C1270" s="84"/>
      <c r="D1270" s="85"/>
      <c r="E1270" s="86"/>
      <c r="F1270" s="86"/>
      <c r="G1270" s="86"/>
      <c r="H1270" s="86"/>
      <c r="I1270" s="86"/>
      <c r="J1270" s="87"/>
      <c r="K1270" s="88"/>
      <c r="M1270" s="102">
        <v>700</v>
      </c>
      <c r="N1270" s="533" t="str">
        <f>IFERROR(VLOOKUP(M1270,INSUMOS!$C$8:$K$928,2,0),"-----")</f>
        <v>LIMPIADOR PVC 1/4</v>
      </c>
      <c r="O1270" s="533"/>
      <c r="P1270" s="533"/>
      <c r="Q1270" s="533"/>
      <c r="R1270" s="78" t="str">
        <f>IFERROR(VLOOKUP(M1270,INSUMOS!$C$8:$K$928,6,0),"-----")</f>
        <v>und</v>
      </c>
      <c r="S1270" s="392">
        <v>0.01</v>
      </c>
      <c r="T1270" s="387">
        <v>0.02</v>
      </c>
      <c r="U1270" s="388">
        <f>IFERROR(VLOOKUP(M1270,INSUMOS!$C$8:$K$928,7,0),"0")</f>
        <v>65913</v>
      </c>
      <c r="V1270" s="389">
        <f>+IFERROR(U1270*(S1270*(1+T1270)),0)</f>
        <v>672.31260000000009</v>
      </c>
      <c r="Y1270" s="393">
        <f>+IFERROR(Y1255*(S1270*(1+T1270)),0)</f>
        <v>0.32640000000000002</v>
      </c>
      <c r="Z1270" s="391">
        <f>Y1255*V1270</f>
        <v>21514.003200000003</v>
      </c>
      <c r="AA1270" s="394"/>
      <c r="AB1270" s="395">
        <f>+Y1270*U1270</f>
        <v>21514.003200000003</v>
      </c>
      <c r="AC1270" s="93">
        <f>+AB1270-Z1270</f>
        <v>0</v>
      </c>
      <c r="AD1270" s="94"/>
      <c r="AE1270" s="406" t="str">
        <f>+IF(V1270=0,"CERO","NO")</f>
        <v>NO</v>
      </c>
    </row>
    <row r="1271" spans="3:31" s="260" customFormat="1" x14ac:dyDescent="0.25">
      <c r="C1271" s="84"/>
      <c r="D1271" s="85"/>
      <c r="E1271" s="86"/>
      <c r="F1271" s="86"/>
      <c r="G1271" s="86"/>
      <c r="H1271" s="86"/>
      <c r="I1271" s="86"/>
      <c r="J1271" s="87"/>
      <c r="K1271" s="88"/>
      <c r="M1271" s="102">
        <v>0</v>
      </c>
      <c r="N1271" s="533" t="str">
        <f>IFERROR(VLOOKUP(M1271,INSUMOS!$C$8:$K$928,2,0),"-----")</f>
        <v>-----</v>
      </c>
      <c r="O1271" s="533"/>
      <c r="P1271" s="533"/>
      <c r="Q1271" s="533"/>
      <c r="R1271" s="78" t="str">
        <f>IFERROR(VLOOKUP(M1271,INSUMOS!$C$8:$K$928,6,0),"-----")</f>
        <v>-----</v>
      </c>
      <c r="S1271" s="396"/>
      <c r="T1271" s="387"/>
      <c r="U1271" s="388" t="str">
        <f>IFERROR(VLOOKUP(M1271,INSUMOS!$C$8:$K$928,7,0),"0")</f>
        <v>0</v>
      </c>
      <c r="V1271" s="389">
        <f>+IFERROR(U1271*(S1271*(1+T1271)),0)</f>
        <v>0</v>
      </c>
      <c r="Y1271" s="393">
        <f>+IFERROR(Y1255*(S1271*(1+T1271)),0)</f>
        <v>0</v>
      </c>
      <c r="Z1271" s="391">
        <f>Y1255*V1271</f>
        <v>0</v>
      </c>
      <c r="AA1271" s="394"/>
      <c r="AB1271" s="395">
        <f>+Y1271*U1271</f>
        <v>0</v>
      </c>
      <c r="AC1271" s="93">
        <f>+AB1271-Z1271</f>
        <v>0</v>
      </c>
      <c r="AD1271" s="94"/>
      <c r="AE1271" s="406" t="str">
        <f>+IF(V1271=0,"CERO","NO")</f>
        <v>CERO</v>
      </c>
    </row>
    <row r="1272" spans="3:31" s="260" customFormat="1" ht="15.75" thickBot="1" x14ac:dyDescent="0.3">
      <c r="C1272" s="84"/>
      <c r="D1272" s="85"/>
      <c r="E1272" s="86"/>
      <c r="F1272" s="86"/>
      <c r="G1272" s="86"/>
      <c r="H1272" s="86"/>
      <c r="I1272" s="86"/>
      <c r="J1272" s="87"/>
      <c r="K1272" s="88"/>
      <c r="M1272" s="102">
        <v>0</v>
      </c>
      <c r="N1272" s="564"/>
      <c r="O1272" s="564"/>
      <c r="P1272" s="564"/>
      <c r="Q1272" s="564"/>
      <c r="R1272" s="96"/>
      <c r="S1272" s="79"/>
      <c r="T1272" s="97"/>
      <c r="U1272" s="358"/>
      <c r="V1272" s="397"/>
      <c r="Y1272" s="393">
        <f>+IFERROR(Y1255*(S1272*(1+T1272)),0)</f>
        <v>0</v>
      </c>
      <c r="Z1272" s="391">
        <f>Y1255*V1272</f>
        <v>0</v>
      </c>
      <c r="AA1272" s="394"/>
      <c r="AB1272" s="395">
        <f>+Y1272*U1272</f>
        <v>0</v>
      </c>
      <c r="AC1272" s="93">
        <f>+AB1272-Z1272</f>
        <v>0</v>
      </c>
      <c r="AD1272" s="94"/>
      <c r="AE1272" s="406" t="str">
        <f>+IF(V1272=0,"CERO","NO")</f>
        <v>CERO</v>
      </c>
    </row>
    <row r="1273" spans="3:31" s="260" customFormat="1" ht="15.75" thickBot="1" x14ac:dyDescent="0.3">
      <c r="C1273" s="84"/>
      <c r="D1273" s="375" t="s">
        <v>128</v>
      </c>
      <c r="E1273" s="376" t="s">
        <v>129</v>
      </c>
      <c r="F1273" s="376" t="s">
        <v>130</v>
      </c>
      <c r="G1273" s="376" t="s">
        <v>131</v>
      </c>
      <c r="H1273" s="376" t="s">
        <v>132</v>
      </c>
      <c r="I1273" s="376" t="s">
        <v>133</v>
      </c>
      <c r="J1273" s="377" t="s">
        <v>134</v>
      </c>
      <c r="K1273" s="88"/>
      <c r="M1273" s="534"/>
      <c r="N1273" s="536" t="s">
        <v>106</v>
      </c>
      <c r="O1273" s="536"/>
      <c r="P1273" s="536"/>
      <c r="Q1273" s="536"/>
      <c r="R1273" s="536"/>
      <c r="S1273" s="536"/>
      <c r="T1273" s="536"/>
      <c r="U1273" s="536"/>
      <c r="V1273" s="389">
        <f>+SUM(V1268:V1272)</f>
        <v>14894.3164</v>
      </c>
      <c r="Y1273" s="398" t="s">
        <v>135</v>
      </c>
      <c r="Z1273" s="397">
        <f>+SUM(Z1268:Z1272)</f>
        <v>476618.12479999999</v>
      </c>
      <c r="AA1273" s="86"/>
      <c r="AB1273" s="384"/>
      <c r="AC1273" s="385"/>
      <c r="AD1273" s="94"/>
      <c r="AE1273" s="399"/>
    </row>
    <row r="1274" spans="3:31" s="260" customFormat="1" ht="15.75" thickBot="1" x14ac:dyDescent="0.3">
      <c r="C1274" s="84"/>
      <c r="D1274" s="375"/>
      <c r="E1274" s="407">
        <f>+D1265</f>
        <v>2.16</v>
      </c>
      <c r="F1274" s="376"/>
      <c r="G1274" s="376"/>
      <c r="H1274" s="376"/>
      <c r="I1274" s="376"/>
      <c r="J1274" s="377"/>
      <c r="K1274" s="88"/>
      <c r="M1274" s="535"/>
      <c r="N1274" s="537" t="s">
        <v>107</v>
      </c>
      <c r="O1274" s="537"/>
      <c r="P1274" s="537"/>
      <c r="Q1274" s="537"/>
      <c r="R1274" s="537"/>
      <c r="S1274" s="537"/>
      <c r="T1274" s="537"/>
      <c r="U1274" s="537"/>
      <c r="V1274" s="408">
        <f>+ROUND(V1273,$AA$5)</f>
        <v>14894.32</v>
      </c>
      <c r="Y1274" s="401" t="s">
        <v>136</v>
      </c>
      <c r="Z1274" s="402">
        <f>+ROUND(Z1273,$AA$5)</f>
        <v>476618.12</v>
      </c>
      <c r="AA1274" s="86"/>
      <c r="AB1274" s="403">
        <f>+V1274*Y1255</f>
        <v>476618.23999999999</v>
      </c>
      <c r="AC1274" s="404">
        <f>+AB1274-Z1274</f>
        <v>0.11999999999534339</v>
      </c>
      <c r="AD1274" s="94"/>
      <c r="AE1274" s="405"/>
    </row>
    <row r="1275" spans="3:31" s="260" customFormat="1" x14ac:dyDescent="0.25">
      <c r="C1275" s="84"/>
      <c r="D1275" s="380"/>
      <c r="E1275" s="381"/>
      <c r="F1275" s="381"/>
      <c r="G1275" s="381"/>
      <c r="H1275" s="381"/>
      <c r="I1275" s="381"/>
      <c r="J1275" s="382"/>
      <c r="K1275" s="88"/>
      <c r="M1275" s="568" t="s">
        <v>108</v>
      </c>
      <c r="N1275" s="569"/>
      <c r="O1275" s="569"/>
      <c r="P1275" s="569"/>
      <c r="Q1275" s="569"/>
      <c r="R1275" s="569"/>
      <c r="S1275" s="569"/>
      <c r="T1275" s="569"/>
      <c r="U1275" s="569"/>
      <c r="V1275" s="570"/>
      <c r="Y1275" s="378"/>
      <c r="Z1275" s="121"/>
      <c r="AA1275" s="86"/>
      <c r="AB1275" s="409"/>
      <c r="AC1275" s="121"/>
      <c r="AD1275" s="94"/>
      <c r="AE1275" s="126"/>
    </row>
    <row r="1276" spans="3:31" s="260" customFormat="1" ht="25.5" x14ac:dyDescent="0.25">
      <c r="C1276" s="84"/>
      <c r="D1276" s="85"/>
      <c r="E1276" s="86"/>
      <c r="F1276" s="86"/>
      <c r="G1276" s="86"/>
      <c r="H1276" s="86"/>
      <c r="I1276" s="86"/>
      <c r="J1276" s="87"/>
      <c r="K1276" s="88"/>
      <c r="M1276" s="99" t="s">
        <v>94</v>
      </c>
      <c r="N1276" s="561" t="s">
        <v>95</v>
      </c>
      <c r="O1276" s="561"/>
      <c r="P1276" s="561"/>
      <c r="Q1276" s="95" t="s">
        <v>109</v>
      </c>
      <c r="R1276" s="95" t="s">
        <v>110</v>
      </c>
      <c r="S1276" s="95" t="s">
        <v>111</v>
      </c>
      <c r="T1276" s="562" t="s">
        <v>112</v>
      </c>
      <c r="U1276" s="562"/>
      <c r="V1276" s="100" t="s">
        <v>98</v>
      </c>
      <c r="Y1276" s="383" t="s">
        <v>104</v>
      </c>
      <c r="Z1276" s="119" t="s">
        <v>9</v>
      </c>
      <c r="AA1276" s="86"/>
      <c r="AB1276" s="384"/>
      <c r="AC1276" s="385"/>
      <c r="AD1276" s="94"/>
      <c r="AE1276" s="410"/>
    </row>
    <row r="1277" spans="3:31" s="260" customFormat="1" x14ac:dyDescent="0.25">
      <c r="C1277" s="84"/>
      <c r="D1277" s="85"/>
      <c r="E1277" s="86"/>
      <c r="F1277" s="86"/>
      <c r="G1277" s="86"/>
      <c r="H1277" s="86"/>
      <c r="I1277" s="86"/>
      <c r="J1277" s="87"/>
      <c r="K1277" s="88"/>
      <c r="M1277" s="102">
        <v>129</v>
      </c>
      <c r="N1277" s="530" t="str">
        <f>IFERROR(VLOOKUP(M1277,INSUMOS!$C$8:$K$928,2,0),"-----")</f>
        <v>transporte materiales en general</v>
      </c>
      <c r="O1277" s="531"/>
      <c r="P1277" s="532"/>
      <c r="Q1277" s="78" t="str">
        <f>IFERROR(VLOOKUP(M1277,INSUMOS!$C$8:$K$928,5,0),"-----")</f>
        <v>Km</v>
      </c>
      <c r="R1277" s="80">
        <v>1</v>
      </c>
      <c r="S1277" s="80">
        <f>IFERROR(VLOOKUP(M1277,INSUMOS!$C$8:$K$928,6,0),"0")</f>
        <v>348</v>
      </c>
      <c r="T1277" s="529">
        <f>IFERROR(VLOOKUP(M1277,INSUMOS!$C$8:$K$928,7,0),"0")</f>
        <v>0.99776362060288992</v>
      </c>
      <c r="U1277" s="529"/>
      <c r="V1277" s="82">
        <f>+T1277*S1277*R1277</f>
        <v>347.2217399698057</v>
      </c>
      <c r="Y1277" s="393">
        <f>+IFERROR((R1277*S1277)*Y1255,0)</f>
        <v>11136</v>
      </c>
      <c r="Z1277" s="391">
        <f>Y1255*V1277</f>
        <v>11111.095679033782</v>
      </c>
      <c r="AA1277" s="86"/>
      <c r="AB1277" s="92">
        <f>+Y1277*T1277</f>
        <v>11111.095679033782</v>
      </c>
      <c r="AC1277" s="93">
        <f>+AB1277-Z1277</f>
        <v>0</v>
      </c>
      <c r="AD1277" s="94"/>
      <c r="AE1277" s="406" t="str">
        <f>+IF(V1277=0,"CERO","NO")</f>
        <v>NO</v>
      </c>
    </row>
    <row r="1278" spans="3:31" s="260" customFormat="1" x14ac:dyDescent="0.25">
      <c r="C1278" s="84"/>
      <c r="D1278" s="85"/>
      <c r="E1278" s="86"/>
      <c r="F1278" s="86"/>
      <c r="G1278" s="86"/>
      <c r="H1278" s="86"/>
      <c r="I1278" s="86"/>
      <c r="J1278" s="87"/>
      <c r="K1278" s="88"/>
      <c r="M1278" s="102">
        <v>0</v>
      </c>
      <c r="N1278" s="530" t="str">
        <f>IFERROR(VLOOKUP(M1278,INSUMOS!$C$8:$K$928,2,0),"-----")</f>
        <v>-----</v>
      </c>
      <c r="O1278" s="531"/>
      <c r="P1278" s="532"/>
      <c r="Q1278" s="78" t="str">
        <f>IFERROR(VLOOKUP(M1278,INSUMOS!$C$8:$K$928,5,0),"-----")</f>
        <v>-----</v>
      </c>
      <c r="R1278" s="80"/>
      <c r="S1278" s="80" t="str">
        <f>IFERROR(VLOOKUP(M1278,INSUMOS!$C$8:$K$928,6,0),"0")</f>
        <v>0</v>
      </c>
      <c r="T1278" s="529" t="str">
        <f>IFERROR(VLOOKUP(M1278,INSUMOS!$C$8:$K$928,7,0),"0")</f>
        <v>0</v>
      </c>
      <c r="U1278" s="529"/>
      <c r="V1278" s="82">
        <f>+T1278*S1278*R1278</f>
        <v>0</v>
      </c>
      <c r="Y1278" s="393">
        <f>+IFERROR((R1278*S1278)*Y1255,0)</f>
        <v>0</v>
      </c>
      <c r="Z1278" s="391">
        <f>Y1255*V1278</f>
        <v>0</v>
      </c>
      <c r="AA1278" s="86"/>
      <c r="AB1278" s="92">
        <f>+Y1278*T1278</f>
        <v>0</v>
      </c>
      <c r="AC1278" s="93">
        <f>+AB1278-Z1278</f>
        <v>0</v>
      </c>
      <c r="AD1278" s="94"/>
      <c r="AE1278" s="406" t="str">
        <f>+IF(V1278=0,"CERO","NO")</f>
        <v>CERO</v>
      </c>
    </row>
    <row r="1279" spans="3:31" s="260" customFormat="1" x14ac:dyDescent="0.25">
      <c r="C1279" s="84"/>
      <c r="D1279" s="85"/>
      <c r="E1279" s="86"/>
      <c r="F1279" s="86"/>
      <c r="G1279" s="86"/>
      <c r="H1279" s="86"/>
      <c r="I1279" s="86"/>
      <c r="J1279" s="87"/>
      <c r="K1279" s="88"/>
      <c r="M1279" s="102">
        <v>0</v>
      </c>
      <c r="N1279" s="530" t="str">
        <f>IFERROR(VLOOKUP(M1279,INSUMOS!$C$8:$K$928,2,0),"-----")</f>
        <v>-----</v>
      </c>
      <c r="O1279" s="531"/>
      <c r="P1279" s="532"/>
      <c r="Q1279" s="78" t="str">
        <f>IFERROR(VLOOKUP(M1279,INSUMOS!$C$8:$K$928,5,0),"-----")</f>
        <v>-----</v>
      </c>
      <c r="R1279" s="80"/>
      <c r="S1279" s="80" t="str">
        <f>IFERROR(VLOOKUP(M1279,INSUMOS!$C$8:$K$928,6,0),"0")</f>
        <v>0</v>
      </c>
      <c r="T1279" s="529" t="str">
        <f>IFERROR(VLOOKUP(M1279,INSUMOS!$C$8:$K$928,7,0),"0")</f>
        <v>0</v>
      </c>
      <c r="U1279" s="529"/>
      <c r="V1279" s="82">
        <f>+T1279*S1279*R1279</f>
        <v>0</v>
      </c>
      <c r="Y1279" s="393">
        <f>+IFERROR((R1279*S1279)*Y1255,0)</f>
        <v>0</v>
      </c>
      <c r="Z1279" s="391">
        <f>Y1255*V1279</f>
        <v>0</v>
      </c>
      <c r="AA1279" s="86"/>
      <c r="AB1279" s="92">
        <f>+Y1279*T1279</f>
        <v>0</v>
      </c>
      <c r="AC1279" s="93">
        <f>+AB1279-Z1279</f>
        <v>0</v>
      </c>
      <c r="AD1279" s="94"/>
      <c r="AE1279" s="406" t="str">
        <f>+IF(V1279=0,"CERO","NO")</f>
        <v>CERO</v>
      </c>
    </row>
    <row r="1280" spans="3:31" s="260" customFormat="1" ht="15.75" thickBot="1" x14ac:dyDescent="0.3">
      <c r="C1280" s="84"/>
      <c r="D1280" s="89"/>
      <c r="E1280" s="90"/>
      <c r="F1280" s="90"/>
      <c r="G1280" s="90"/>
      <c r="H1280" s="90"/>
      <c r="I1280" s="90"/>
      <c r="J1280" s="91"/>
      <c r="K1280" s="88"/>
      <c r="M1280" s="102">
        <v>0</v>
      </c>
      <c r="N1280" s="533"/>
      <c r="O1280" s="533"/>
      <c r="P1280" s="533"/>
      <c r="Q1280" s="79"/>
      <c r="R1280" s="78"/>
      <c r="S1280" s="81"/>
      <c r="T1280" s="529"/>
      <c r="U1280" s="529"/>
      <c r="V1280" s="82"/>
      <c r="Y1280" s="393">
        <f>+IFERROR((R1280*S1280)*Y1255,0)</f>
        <v>0</v>
      </c>
      <c r="Z1280" s="391">
        <f>Y1255*V1280</f>
        <v>0</v>
      </c>
      <c r="AA1280" s="86"/>
      <c r="AB1280" s="92">
        <f>+Y1280*T1280</f>
        <v>0</v>
      </c>
      <c r="AC1280" s="93">
        <f>+AB1280-Z1280</f>
        <v>0</v>
      </c>
      <c r="AD1280" s="94"/>
      <c r="AE1280" s="406" t="str">
        <f>+IF(V1280=0,"CERO","NO")</f>
        <v>CERO</v>
      </c>
    </row>
    <row r="1281" spans="3:31" s="260" customFormat="1" ht="15.75" thickBot="1" x14ac:dyDescent="0.3">
      <c r="C1281" s="84"/>
      <c r="D1281" s="375" t="s">
        <v>128</v>
      </c>
      <c r="E1281" s="376" t="s">
        <v>129</v>
      </c>
      <c r="F1281" s="376" t="s">
        <v>130</v>
      </c>
      <c r="G1281" s="376" t="s">
        <v>131</v>
      </c>
      <c r="H1281" s="376" t="s">
        <v>132</v>
      </c>
      <c r="I1281" s="376" t="s">
        <v>133</v>
      </c>
      <c r="J1281" s="377" t="s">
        <v>134</v>
      </c>
      <c r="K1281" s="88"/>
      <c r="M1281" s="534"/>
      <c r="N1281" s="536" t="s">
        <v>113</v>
      </c>
      <c r="O1281" s="536"/>
      <c r="P1281" s="536"/>
      <c r="Q1281" s="536"/>
      <c r="R1281" s="536"/>
      <c r="S1281" s="536"/>
      <c r="T1281" s="536"/>
      <c r="U1281" s="536"/>
      <c r="V1281" s="411">
        <f>+SUM(V1277:V1280)</f>
        <v>347.2217399698057</v>
      </c>
      <c r="Y1281" s="398" t="s">
        <v>135</v>
      </c>
      <c r="Z1281" s="397">
        <f>+SUM(Z1277:Z1280)</f>
        <v>11111.095679033782</v>
      </c>
      <c r="AA1281" s="86"/>
      <c r="AB1281" s="384"/>
      <c r="AC1281" s="385"/>
      <c r="AD1281" s="94"/>
      <c r="AE1281" s="399"/>
    </row>
    <row r="1282" spans="3:31" s="260" customFormat="1" ht="15.75" thickBot="1" x14ac:dyDescent="0.3">
      <c r="C1282" s="84"/>
      <c r="D1282" s="355"/>
      <c r="E1282" s="367"/>
      <c r="F1282" s="412">
        <f>+E1274</f>
        <v>2.16</v>
      </c>
      <c r="G1282" s="367"/>
      <c r="H1282" s="367"/>
      <c r="I1282" s="367"/>
      <c r="J1282" s="368"/>
      <c r="K1282" s="88"/>
      <c r="M1282" s="535"/>
      <c r="N1282" s="537" t="s">
        <v>114</v>
      </c>
      <c r="O1282" s="537"/>
      <c r="P1282" s="537"/>
      <c r="Q1282" s="537"/>
      <c r="R1282" s="537"/>
      <c r="S1282" s="537"/>
      <c r="T1282" s="537"/>
      <c r="U1282" s="537"/>
      <c r="V1282" s="413">
        <f>+ROUND(V1281,$AA$5)</f>
        <v>347.22</v>
      </c>
      <c r="Y1282" s="401" t="s">
        <v>136</v>
      </c>
      <c r="Z1282" s="402">
        <f>+ROUND(Z1281,$AA$5)</f>
        <v>11111.1</v>
      </c>
      <c r="AA1282" s="86"/>
      <c r="AB1282" s="403">
        <f>+V1282*Y1255</f>
        <v>11111.04</v>
      </c>
      <c r="AC1282" s="414"/>
      <c r="AD1282" s="94"/>
      <c r="AE1282" s="405"/>
    </row>
    <row r="1283" spans="3:31" s="260" customFormat="1" ht="15.75" thickBot="1" x14ac:dyDescent="0.3">
      <c r="C1283" s="84"/>
      <c r="D1283" s="415"/>
      <c r="E1283" s="416"/>
      <c r="F1283" s="416"/>
      <c r="G1283" s="416"/>
      <c r="H1283" s="416"/>
      <c r="I1283" s="416"/>
      <c r="J1283" s="417"/>
      <c r="K1283" s="88"/>
      <c r="M1283" s="538" t="s">
        <v>115</v>
      </c>
      <c r="N1283" s="539"/>
      <c r="O1283" s="539"/>
      <c r="P1283" s="539"/>
      <c r="Q1283" s="539"/>
      <c r="R1283" s="539"/>
      <c r="S1283" s="539"/>
      <c r="T1283" s="539"/>
      <c r="U1283" s="539"/>
      <c r="V1283" s="540"/>
      <c r="Y1283" s="378"/>
      <c r="Z1283" s="121"/>
      <c r="AA1283" s="86"/>
      <c r="AB1283" s="409"/>
      <c r="AC1283" s="121"/>
      <c r="AD1283" s="94"/>
      <c r="AE1283" s="126"/>
    </row>
    <row r="1284" spans="3:31" s="260" customFormat="1" ht="15.75" thickBot="1" x14ac:dyDescent="0.3">
      <c r="C1284" s="84"/>
      <c r="D1284" s="375" t="s">
        <v>128</v>
      </c>
      <c r="E1284" s="376" t="s">
        <v>129</v>
      </c>
      <c r="F1284" s="376" t="s">
        <v>130</v>
      </c>
      <c r="G1284" s="376" t="s">
        <v>131</v>
      </c>
      <c r="H1284" s="376" t="s">
        <v>132</v>
      </c>
      <c r="I1284" s="376" t="s">
        <v>133</v>
      </c>
      <c r="J1284" s="377" t="s">
        <v>134</v>
      </c>
      <c r="K1284" s="88"/>
      <c r="M1284" s="99" t="s">
        <v>94</v>
      </c>
      <c r="N1284" s="98" t="s">
        <v>95</v>
      </c>
      <c r="O1284" s="95" t="s">
        <v>96</v>
      </c>
      <c r="P1284" s="359" t="s">
        <v>104</v>
      </c>
      <c r="Q1284" s="95" t="s">
        <v>116</v>
      </c>
      <c r="R1284" s="418" t="s">
        <v>117</v>
      </c>
      <c r="S1284" s="95" t="s">
        <v>347</v>
      </c>
      <c r="T1284" s="419" t="s">
        <v>118</v>
      </c>
      <c r="U1284" s="189" t="s">
        <v>119</v>
      </c>
      <c r="V1284" s="100" t="s">
        <v>98</v>
      </c>
      <c r="Y1284" s="383" t="s">
        <v>104</v>
      </c>
      <c r="Z1284" s="119" t="s">
        <v>9</v>
      </c>
      <c r="AA1284" s="86"/>
      <c r="AB1284" s="384"/>
      <c r="AC1284" s="385"/>
      <c r="AD1284" s="94"/>
      <c r="AE1284" s="410"/>
    </row>
    <row r="1285" spans="3:31" s="260" customFormat="1" ht="25.5" x14ac:dyDescent="0.25">
      <c r="C1285" s="84"/>
      <c r="D1285" s="354"/>
      <c r="E1285" s="96"/>
      <c r="F1285" s="96"/>
      <c r="G1285" s="96"/>
      <c r="H1285" s="96"/>
      <c r="I1285" s="96"/>
      <c r="J1285" s="420">
        <f>+F1282</f>
        <v>2.16</v>
      </c>
      <c r="K1285" s="88"/>
      <c r="M1285" s="102">
        <v>207</v>
      </c>
      <c r="N1285" s="347" t="str">
        <f>IFERROR(VLOOKUP(M1285,INSUMOS!$C$8:$K$928,2,0),"-----")</f>
        <v>Oficial Hidrosanitario</v>
      </c>
      <c r="O1285" s="78" t="str">
        <f>IFERROR(VLOOKUP(M1285,INSUMOS!$C$8:$K$928,3,0),"-----")</f>
        <v>JORNAL+PS</v>
      </c>
      <c r="P1285" s="80">
        <v>1</v>
      </c>
      <c r="Q1285" s="79">
        <v>30</v>
      </c>
      <c r="R1285" s="190">
        <f>IFERROR(VLOOKUP(M1285,INSUMOS!$C$8:$K$928,4,0),"-----")</f>
        <v>92983</v>
      </c>
      <c r="S1285" s="190">
        <f>IFERROR(VLOOKUP(M1285,INSUMOS!$C$8:$K$928,6,0),"-----")</f>
        <v>74386</v>
      </c>
      <c r="T1285" s="190">
        <f>IFERROR(VLOOKUP(M1285,INSUMOS!$C$8:$K$928,5,0),"-----")</f>
        <v>0</v>
      </c>
      <c r="U1285" s="388">
        <f>SUM(R1285:T1285)</f>
        <v>167369</v>
      </c>
      <c r="V1285" s="82">
        <f>+IFERROR((P1285/Q1285)*U1285,0)</f>
        <v>5578.9666666666662</v>
      </c>
      <c r="Y1285" s="393">
        <f>+IFERROR((Y1255/Q1285*P1285),0)</f>
        <v>1.0666666666666667</v>
      </c>
      <c r="Z1285" s="391">
        <f>Y1255*V1285</f>
        <v>178526.93333333332</v>
      </c>
      <c r="AA1285" s="86"/>
      <c r="AB1285" s="92">
        <f>+(U1285)*Y1285</f>
        <v>178526.93333333332</v>
      </c>
      <c r="AC1285" s="93">
        <f>+AB1285-Z1285</f>
        <v>0</v>
      </c>
      <c r="AD1285" s="421"/>
      <c r="AE1285" s="410" t="str">
        <f>+IF(V1285=0,"CERO","NO")</f>
        <v>NO</v>
      </c>
    </row>
    <row r="1286" spans="3:31" s="260" customFormat="1" ht="15.75" thickBot="1" x14ac:dyDescent="0.3">
      <c r="C1286" s="84"/>
      <c r="D1286" s="355"/>
      <c r="E1286" s="367"/>
      <c r="F1286" s="367"/>
      <c r="G1286" s="367"/>
      <c r="H1286" s="367"/>
      <c r="I1286" s="367"/>
      <c r="J1286" s="422">
        <f>+J1285</f>
        <v>2.16</v>
      </c>
      <c r="K1286" s="88"/>
      <c r="M1286" s="102"/>
      <c r="N1286" s="347" t="str">
        <f>IFERROR(VLOOKUP(M1286,INSUMOS!$C$8:$K$928,2,0),"-----")</f>
        <v>-----</v>
      </c>
      <c r="O1286" s="78" t="str">
        <f>IFERROR(VLOOKUP(M1286,INSUMOS!$C$8:$K$928,3,0),"-----")</f>
        <v>-----</v>
      </c>
      <c r="P1286" s="80"/>
      <c r="Q1286" s="79"/>
      <c r="R1286" s="190" t="str">
        <f>IFERROR(VLOOKUP(M1286,INSUMOS!$C$8:$K$928,4,0),"-----")</f>
        <v>-----</v>
      </c>
      <c r="S1286" s="190" t="str">
        <f>IFERROR(VLOOKUP(M1286,INSUMOS!$C$8:$K$928,6,0),"-----")</f>
        <v>-----</v>
      </c>
      <c r="T1286" s="190" t="str">
        <f>IFERROR(VLOOKUP(M1286,INSUMOS!$C$8:$K$928,5,0),"-----")</f>
        <v>-----</v>
      </c>
      <c r="U1286" s="388">
        <f>SUM(R1286:T1286)</f>
        <v>0</v>
      </c>
      <c r="V1286" s="82">
        <f>+IFERROR((P1286/Q1286)*U1286,0)</f>
        <v>0</v>
      </c>
      <c r="Y1286" s="393">
        <f>+IFERROR((Y1255/Q1286*P1286),0)</f>
        <v>0</v>
      </c>
      <c r="Z1286" s="391">
        <f>Y1255*V1286</f>
        <v>0</v>
      </c>
      <c r="AA1286" s="86"/>
      <c r="AB1286" s="92">
        <f>+U1286*Y1286</f>
        <v>0</v>
      </c>
      <c r="AC1286" s="93">
        <f>+AB1286-Z1286</f>
        <v>0</v>
      </c>
      <c r="AD1286" s="94"/>
      <c r="AE1286" s="410" t="str">
        <f>+IF(V1286=0,"CERO","NO")</f>
        <v>CERO</v>
      </c>
    </row>
    <row r="1287" spans="3:31" s="260" customFormat="1" ht="15.75" thickBot="1" x14ac:dyDescent="0.3">
      <c r="C1287" s="84"/>
      <c r="D1287" s="380"/>
      <c r="E1287" s="381"/>
      <c r="F1287" s="381"/>
      <c r="G1287" s="381"/>
      <c r="H1287" s="381"/>
      <c r="I1287" s="381"/>
      <c r="J1287" s="382"/>
      <c r="K1287" s="88"/>
      <c r="M1287" s="102">
        <v>0</v>
      </c>
      <c r="N1287" s="347"/>
      <c r="O1287" s="79"/>
      <c r="P1287" s="423"/>
      <c r="Q1287" s="81"/>
      <c r="R1287" s="111"/>
      <c r="S1287" s="357"/>
      <c r="T1287" s="111"/>
      <c r="U1287" s="388"/>
      <c r="V1287" s="426"/>
      <c r="Y1287" s="393">
        <f>+IFERROR((Y1255/Q1287*P1287),0)</f>
        <v>0</v>
      </c>
      <c r="Z1287" s="391">
        <f>Y1255*V1287</f>
        <v>0</v>
      </c>
      <c r="AA1287" s="86"/>
      <c r="AB1287" s="92">
        <f>+(U1287)*Y1287*P1287</f>
        <v>0</v>
      </c>
      <c r="AC1287" s="93">
        <f>+AB1287-Z1287</f>
        <v>0</v>
      </c>
      <c r="AD1287" s="94"/>
      <c r="AE1287" s="410" t="str">
        <f>+IF(V1287=0,"CERO","NO")</f>
        <v>CERO</v>
      </c>
    </row>
    <row r="1288" spans="3:31" s="260" customFormat="1" ht="15.75" thickBot="1" x14ac:dyDescent="0.3">
      <c r="C1288" s="84"/>
      <c r="D1288" s="375" t="s">
        <v>128</v>
      </c>
      <c r="E1288" s="376" t="s">
        <v>129</v>
      </c>
      <c r="F1288" s="376" t="s">
        <v>130</v>
      </c>
      <c r="G1288" s="376" t="s">
        <v>131</v>
      </c>
      <c r="H1288" s="376" t="s">
        <v>132</v>
      </c>
      <c r="I1288" s="376" t="s">
        <v>133</v>
      </c>
      <c r="J1288" s="377" t="s">
        <v>134</v>
      </c>
      <c r="K1288" s="88"/>
      <c r="M1288" s="534"/>
      <c r="N1288" s="536" t="s">
        <v>120</v>
      </c>
      <c r="O1288" s="536"/>
      <c r="P1288" s="536"/>
      <c r="Q1288" s="536"/>
      <c r="R1288" s="536"/>
      <c r="S1288" s="536"/>
      <c r="T1288" s="536"/>
      <c r="U1288" s="536"/>
      <c r="V1288" s="82">
        <f>+SUM(V1285:V1287)</f>
        <v>5578.9666666666662</v>
      </c>
      <c r="Y1288" s="398" t="s">
        <v>135</v>
      </c>
      <c r="Z1288" s="397">
        <f>+SUM(Z1285:Z1287)</f>
        <v>178526.93333333332</v>
      </c>
      <c r="AA1288" s="86"/>
      <c r="AB1288" s="384"/>
      <c r="AC1288" s="385"/>
      <c r="AD1288" s="94"/>
      <c r="AE1288" s="399"/>
    </row>
    <row r="1289" spans="3:31" s="260" customFormat="1" ht="15.75" thickBot="1" x14ac:dyDescent="0.3">
      <c r="C1289" s="84"/>
      <c r="D1289" s="354"/>
      <c r="E1289" s="96"/>
      <c r="F1289" s="96"/>
      <c r="G1289" s="107">
        <f>+F1282</f>
        <v>2.16</v>
      </c>
      <c r="H1289" s="96"/>
      <c r="I1289" s="96"/>
      <c r="J1289" s="427"/>
      <c r="K1289" s="88"/>
      <c r="M1289" s="535"/>
      <c r="N1289" s="537" t="s">
        <v>121</v>
      </c>
      <c r="O1289" s="537"/>
      <c r="P1289" s="537"/>
      <c r="Q1289" s="537"/>
      <c r="R1289" s="537"/>
      <c r="S1289" s="537"/>
      <c r="T1289" s="537"/>
      <c r="U1289" s="537"/>
      <c r="V1289" s="413">
        <f>+ROUND(V1288,$AA$5)</f>
        <v>5578.97</v>
      </c>
      <c r="Y1289" s="401" t="s">
        <v>136</v>
      </c>
      <c r="Z1289" s="402">
        <f>+ROUND(Z1288,$AA$5)</f>
        <v>178526.93</v>
      </c>
      <c r="AA1289" s="86"/>
      <c r="AB1289" s="403">
        <f>+V1289*Y1255</f>
        <v>178527.04</v>
      </c>
      <c r="AC1289" s="404">
        <f>+AB1289-Z1289</f>
        <v>0.11000000001513399</v>
      </c>
      <c r="AD1289" s="94"/>
      <c r="AE1289" s="405"/>
    </row>
    <row r="1290" spans="3:31" s="260" customFormat="1" ht="15.75" thickBot="1" x14ac:dyDescent="0.3">
      <c r="C1290" s="84"/>
      <c r="D1290" s="375" t="s">
        <v>128</v>
      </c>
      <c r="E1290" s="376" t="s">
        <v>129</v>
      </c>
      <c r="F1290" s="376" t="s">
        <v>130</v>
      </c>
      <c r="G1290" s="376" t="s">
        <v>131</v>
      </c>
      <c r="H1290" s="376" t="s">
        <v>132</v>
      </c>
      <c r="I1290" s="376" t="s">
        <v>133</v>
      </c>
      <c r="J1290" s="377" t="s">
        <v>134</v>
      </c>
      <c r="K1290" s="88"/>
      <c r="M1290" s="541"/>
      <c r="N1290" s="542"/>
      <c r="O1290" s="542"/>
      <c r="P1290" s="542"/>
      <c r="Q1290" s="542"/>
      <c r="R1290" s="542"/>
      <c r="S1290" s="542"/>
      <c r="T1290" s="542"/>
      <c r="U1290" s="542"/>
      <c r="V1290" s="543"/>
      <c r="Y1290" s="378"/>
      <c r="Z1290" s="121"/>
      <c r="AA1290" s="86"/>
      <c r="AB1290" s="409"/>
      <c r="AC1290" s="121"/>
      <c r="AD1290" s="94"/>
      <c r="AE1290" s="428"/>
    </row>
    <row r="1291" spans="3:31" s="260" customFormat="1" ht="15.75" thickBot="1" x14ac:dyDescent="0.3">
      <c r="C1291" s="84"/>
      <c r="D1291" s="355"/>
      <c r="E1291" s="367"/>
      <c r="F1291" s="367"/>
      <c r="G1291" s="367"/>
      <c r="H1291" s="412">
        <f>G1289</f>
        <v>2.16</v>
      </c>
      <c r="I1291" s="412"/>
      <c r="J1291" s="422"/>
      <c r="K1291" s="88"/>
      <c r="M1291" s="544" t="s">
        <v>122</v>
      </c>
      <c r="N1291" s="537"/>
      <c r="O1291" s="537"/>
      <c r="P1291" s="537"/>
      <c r="Q1291" s="537"/>
      <c r="R1291" s="537"/>
      <c r="S1291" s="537"/>
      <c r="T1291" s="537"/>
      <c r="U1291" s="545">
        <f>+V1289+V1282+V1274+V1265</f>
        <v>21099.460000000003</v>
      </c>
      <c r="V1291" s="546"/>
      <c r="Y1291" s="429"/>
      <c r="Z1291" s="430">
        <f>+Z1289+Z1282+Z1274+Z1265</f>
        <v>675182.5</v>
      </c>
      <c r="AA1291" s="86"/>
      <c r="AB1291" s="431">
        <f>+AB1289+AB1282+AB1274+AB1265</f>
        <v>675182.72000000009</v>
      </c>
      <c r="AC1291" s="404">
        <f>+AB1291-Z1291</f>
        <v>0.22000000008847564</v>
      </c>
      <c r="AD1291" s="94"/>
      <c r="AE1291" s="432"/>
    </row>
    <row r="1292" spans="3:31" s="260" customFormat="1" ht="15.75" thickBot="1" x14ac:dyDescent="0.3"/>
    <row r="1293" spans="3:31" s="260" customFormat="1" x14ac:dyDescent="0.25">
      <c r="M1293" s="547" t="s">
        <v>348</v>
      </c>
      <c r="N1293" s="548"/>
      <c r="O1293" s="548"/>
      <c r="P1293" s="548"/>
      <c r="Q1293" s="548"/>
      <c r="R1293" s="548"/>
      <c r="S1293" s="548"/>
      <c r="T1293" s="548"/>
      <c r="U1293" s="548"/>
      <c r="V1293" s="549"/>
      <c r="Y1293" s="378"/>
      <c r="Z1293" s="121"/>
      <c r="AA1293" s="86"/>
      <c r="AB1293" s="94"/>
      <c r="AC1293" s="94"/>
      <c r="AD1293" s="94"/>
      <c r="AE1293" s="126" t="s">
        <v>133</v>
      </c>
    </row>
    <row r="1294" spans="3:31" s="260" customFormat="1" x14ac:dyDescent="0.25">
      <c r="M1294" s="515" t="s">
        <v>138</v>
      </c>
      <c r="N1294" s="516"/>
      <c r="O1294" s="516"/>
      <c r="P1294" s="516"/>
      <c r="Q1294" s="516"/>
      <c r="R1294" s="516"/>
      <c r="S1294" s="516"/>
      <c r="T1294" s="437">
        <v>0</v>
      </c>
      <c r="U1294" s="517">
        <f>+ROUND(U1291*T1294,$AA$5)</f>
        <v>0</v>
      </c>
      <c r="V1294" s="518"/>
      <c r="Y1294" s="390"/>
      <c r="Z1294" s="438">
        <f>+Z1291*T1294</f>
        <v>0</v>
      </c>
      <c r="AA1294" s="86"/>
      <c r="AB1294" s="94"/>
      <c r="AC1294" s="94"/>
      <c r="AD1294" s="94"/>
      <c r="AE1294" s="386" t="s">
        <v>133</v>
      </c>
    </row>
    <row r="1295" spans="3:31" s="260" customFormat="1" x14ac:dyDescent="0.25">
      <c r="M1295" s="515" t="s">
        <v>19</v>
      </c>
      <c r="N1295" s="516"/>
      <c r="O1295" s="516"/>
      <c r="P1295" s="516"/>
      <c r="Q1295" s="516"/>
      <c r="R1295" s="516"/>
      <c r="S1295" s="516"/>
      <c r="T1295" s="437">
        <v>0.05</v>
      </c>
      <c r="U1295" s="517">
        <f>+ROUND(U1291*T1295,$AA$5)</f>
        <v>1054.97</v>
      </c>
      <c r="V1295" s="518"/>
      <c r="Y1295" s="390"/>
      <c r="Z1295" s="438">
        <f>+Z1291*T1295</f>
        <v>33759.125</v>
      </c>
      <c r="AA1295" s="86"/>
      <c r="AB1295" s="94"/>
      <c r="AC1295" s="94"/>
      <c r="AD1295" s="94"/>
      <c r="AE1295" s="386" t="s">
        <v>133</v>
      </c>
    </row>
    <row r="1296" spans="3:31" s="260" customFormat="1" x14ac:dyDescent="0.25">
      <c r="M1296" s="515" t="s">
        <v>20</v>
      </c>
      <c r="N1296" s="516"/>
      <c r="O1296" s="516"/>
      <c r="P1296" s="516"/>
      <c r="Q1296" s="516"/>
      <c r="R1296" s="516"/>
      <c r="S1296" s="516"/>
      <c r="T1296" s="437">
        <v>0</v>
      </c>
      <c r="U1296" s="517">
        <f>+ROUND(U1291*T1296,$AA$5)</f>
        <v>0</v>
      </c>
      <c r="V1296" s="518"/>
      <c r="Y1296" s="390"/>
      <c r="Z1296" s="438">
        <f>+Z1291*T1296</f>
        <v>0</v>
      </c>
      <c r="AA1296" s="86"/>
      <c r="AB1296" s="94"/>
      <c r="AC1296" s="94"/>
      <c r="AD1296" s="94"/>
      <c r="AE1296" s="386" t="s">
        <v>133</v>
      </c>
    </row>
    <row r="1297" spans="3:31" s="260" customFormat="1" x14ac:dyDescent="0.25">
      <c r="M1297" s="515" t="s">
        <v>21</v>
      </c>
      <c r="N1297" s="516"/>
      <c r="O1297" s="516"/>
      <c r="P1297" s="516"/>
      <c r="Q1297" s="516"/>
      <c r="R1297" s="516"/>
      <c r="S1297" s="516"/>
      <c r="T1297" s="437">
        <f>$AA$9</f>
        <v>0</v>
      </c>
      <c r="U1297" s="517">
        <f>+ROUND(U1291*T1297,$AA$5)</f>
        <v>0</v>
      </c>
      <c r="V1297" s="518"/>
      <c r="Y1297" s="390"/>
      <c r="Z1297" s="438">
        <f>+Z1296*T1297</f>
        <v>0</v>
      </c>
      <c r="AA1297" s="86"/>
      <c r="AB1297" s="94"/>
      <c r="AC1297" s="94"/>
      <c r="AD1297" s="94"/>
      <c r="AE1297" s="386" t="s">
        <v>133</v>
      </c>
    </row>
    <row r="1298" spans="3:31" s="260" customFormat="1" ht="15.75" thickBot="1" x14ac:dyDescent="0.3">
      <c r="M1298" s="519" t="s">
        <v>349</v>
      </c>
      <c r="N1298" s="520"/>
      <c r="O1298" s="520"/>
      <c r="P1298" s="520"/>
      <c r="Q1298" s="520"/>
      <c r="R1298" s="520"/>
      <c r="S1298" s="520"/>
      <c r="T1298" s="520"/>
      <c r="U1298" s="521">
        <f>+SUM(U1294:V1297)</f>
        <v>1054.97</v>
      </c>
      <c r="V1298" s="522"/>
      <c r="Y1298" s="390"/>
      <c r="Z1298" s="439">
        <f>+SUM(Z1294:Z1297)</f>
        <v>33759.125</v>
      </c>
      <c r="AA1298" s="86"/>
      <c r="AB1298" s="94"/>
      <c r="AC1298" s="94"/>
      <c r="AD1298" s="94"/>
      <c r="AE1298" s="386" t="s">
        <v>133</v>
      </c>
    </row>
    <row r="1299" spans="3:31" s="260" customFormat="1" ht="15.75" thickBot="1" x14ac:dyDescent="0.3">
      <c r="D1299" s="375" t="s">
        <v>128</v>
      </c>
      <c r="E1299" s="376" t="s">
        <v>129</v>
      </c>
      <c r="F1299" s="376" t="s">
        <v>130</v>
      </c>
      <c r="G1299" s="376" t="s">
        <v>131</v>
      </c>
      <c r="H1299" s="376" t="s">
        <v>132</v>
      </c>
      <c r="I1299" s="376" t="s">
        <v>133</v>
      </c>
      <c r="J1299" s="377" t="s">
        <v>134</v>
      </c>
      <c r="M1299" s="86"/>
      <c r="N1299" s="94"/>
      <c r="O1299" s="94"/>
      <c r="P1299" s="94"/>
      <c r="Q1299" s="86"/>
      <c r="R1299" s="86"/>
      <c r="S1299" s="86"/>
      <c r="T1299" s="440"/>
      <c r="U1299" s="523"/>
      <c r="V1299" s="523"/>
      <c r="Y1299" s="390"/>
      <c r="Z1299" s="385"/>
      <c r="AA1299" s="86"/>
      <c r="AB1299" s="94"/>
      <c r="AC1299" s="94"/>
      <c r="AD1299" s="94"/>
      <c r="AE1299" s="386" t="s">
        <v>133</v>
      </c>
    </row>
    <row r="1300" spans="3:31" s="260" customFormat="1" ht="15.75" thickBot="1" x14ac:dyDescent="0.3">
      <c r="D1300" s="355"/>
      <c r="E1300" s="367"/>
      <c r="F1300" s="367"/>
      <c r="G1300" s="367"/>
      <c r="H1300" s="412"/>
      <c r="I1300" s="412">
        <f>H1291</f>
        <v>2.16</v>
      </c>
      <c r="J1300" s="422"/>
      <c r="M1300" s="524" t="s">
        <v>11</v>
      </c>
      <c r="N1300" s="525"/>
      <c r="O1300" s="525"/>
      <c r="P1300" s="525"/>
      <c r="Q1300" s="525"/>
      <c r="R1300" s="525"/>
      <c r="S1300" s="525"/>
      <c r="T1300" s="526"/>
      <c r="U1300" s="527">
        <f>+U1298+U1291</f>
        <v>22154.430000000004</v>
      </c>
      <c r="V1300" s="528"/>
      <c r="Y1300" s="429"/>
      <c r="Z1300" s="441">
        <f>+Z1298+Z1291</f>
        <v>708941.625</v>
      </c>
      <c r="AA1300" s="86"/>
      <c r="AB1300" s="94"/>
      <c r="AC1300" s="94"/>
      <c r="AD1300" s="94"/>
      <c r="AE1300" s="405" t="s">
        <v>133</v>
      </c>
    </row>
    <row r="1301" spans="3:31" s="260" customFormat="1" x14ac:dyDescent="0.25"/>
    <row r="1302" spans="3:31" s="260" customFormat="1" ht="15.75" thickBot="1" x14ac:dyDescent="0.3"/>
    <row r="1303" spans="3:31" s="260" customFormat="1" ht="15.75" thickBot="1" x14ac:dyDescent="0.3">
      <c r="M1303" s="363" t="s">
        <v>88</v>
      </c>
      <c r="N1303" s="436" t="str">
        <f>+N1254</f>
        <v>CAP.2</v>
      </c>
      <c r="O1303" s="550" t="str">
        <f>IFERROR(VLOOKUP(N1303,PPTO!C:H,2,0),"----")</f>
        <v>RED HIDRAULICA</v>
      </c>
      <c r="P1303" s="551"/>
      <c r="Q1303" s="551"/>
      <c r="R1303" s="551"/>
      <c r="S1303" s="551"/>
      <c r="T1303" s="551"/>
      <c r="U1303" s="552"/>
      <c r="V1303" s="74" t="s">
        <v>91</v>
      </c>
      <c r="Y1303" s="365" t="s">
        <v>104</v>
      </c>
      <c r="Z1303" s="94"/>
      <c r="AA1303" s="188"/>
      <c r="AB1303" s="553"/>
      <c r="AC1303" s="553"/>
      <c r="AD1303" s="553"/>
      <c r="AE1303" s="94"/>
    </row>
    <row r="1304" spans="3:31" s="260" customFormat="1" ht="15.75" thickBot="1" x14ac:dyDescent="0.3">
      <c r="C1304" s="369">
        <f>+N1304</f>
        <v>2.17</v>
      </c>
      <c r="D1304" s="86"/>
      <c r="E1304" s="86"/>
      <c r="F1304" s="86"/>
      <c r="G1304" s="86"/>
      <c r="H1304" s="86"/>
      <c r="I1304" s="86"/>
      <c r="J1304" s="86"/>
      <c r="K1304" s="370"/>
      <c r="M1304" s="75" t="s">
        <v>92</v>
      </c>
      <c r="N1304" s="371">
        <f>+ROUNDUP(N1255+0.01,2)</f>
        <v>2.17</v>
      </c>
      <c r="O1304" s="554" t="str">
        <f>IFERROR(VLOOKUP(N1304,PPTO!C:H,2,0),"----")</f>
        <v>Tee PVC Ø2"</v>
      </c>
      <c r="P1304" s="555"/>
      <c r="Q1304" s="555"/>
      <c r="R1304" s="555"/>
      <c r="S1304" s="555"/>
      <c r="T1304" s="555"/>
      <c r="U1304" s="556"/>
      <c r="V1304" s="76" t="str">
        <f>IFERROR(VLOOKUP(N1304,PPTO!C:H,3,0),"----")</f>
        <v>UND</v>
      </c>
      <c r="Y1304" s="373">
        <f>SUMIFS(PPTO!F:F,PPTO!C:C,APUS!N1304)</f>
        <v>3</v>
      </c>
      <c r="Z1304" s="94"/>
      <c r="AA1304" s="86"/>
      <c r="AB1304" s="94"/>
      <c r="AC1304" s="94"/>
      <c r="AD1304" s="94"/>
      <c r="AE1304" s="94"/>
    </row>
    <row r="1305" spans="3:31" s="260" customFormat="1" ht="15.75" thickBot="1" x14ac:dyDescent="0.3">
      <c r="C1305" s="84"/>
      <c r="D1305" s="86"/>
      <c r="E1305" s="86"/>
      <c r="F1305" s="86"/>
      <c r="G1305" s="86"/>
      <c r="H1305" s="86"/>
      <c r="I1305" s="86"/>
      <c r="J1305" s="86"/>
      <c r="K1305" s="88"/>
      <c r="M1305" s="557"/>
      <c r="N1305" s="557"/>
      <c r="O1305" s="557"/>
      <c r="P1305" s="557"/>
      <c r="Q1305" s="557"/>
      <c r="R1305" s="557"/>
      <c r="S1305" s="557"/>
      <c r="T1305" s="557"/>
      <c r="U1305" s="557"/>
      <c r="V1305" s="557"/>
      <c r="Y1305" s="374"/>
      <c r="Z1305" s="94"/>
      <c r="AA1305" s="86"/>
      <c r="AB1305" s="94"/>
      <c r="AC1305" s="94"/>
      <c r="AD1305" s="94"/>
      <c r="AE1305" s="94"/>
    </row>
    <row r="1306" spans="3:31" s="260" customFormat="1" ht="15.75" thickBot="1" x14ac:dyDescent="0.3">
      <c r="C1306" s="84"/>
      <c r="D1306" s="375" t="s">
        <v>128</v>
      </c>
      <c r="E1306" s="376" t="s">
        <v>129</v>
      </c>
      <c r="F1306" s="376" t="s">
        <v>130</v>
      </c>
      <c r="G1306" s="376" t="s">
        <v>131</v>
      </c>
      <c r="H1306" s="376" t="s">
        <v>132</v>
      </c>
      <c r="I1306" s="376" t="s">
        <v>133</v>
      </c>
      <c r="J1306" s="377" t="s">
        <v>134</v>
      </c>
      <c r="K1306" s="88"/>
      <c r="M1306" s="558" t="s">
        <v>93</v>
      </c>
      <c r="N1306" s="559"/>
      <c r="O1306" s="559"/>
      <c r="P1306" s="559"/>
      <c r="Q1306" s="559"/>
      <c r="R1306" s="559"/>
      <c r="S1306" s="559"/>
      <c r="T1306" s="559"/>
      <c r="U1306" s="559"/>
      <c r="V1306" s="560"/>
      <c r="Y1306" s="378"/>
      <c r="Z1306" s="121"/>
      <c r="AA1306" s="86"/>
      <c r="AB1306" s="513"/>
      <c r="AC1306" s="514"/>
      <c r="AD1306" s="94"/>
      <c r="AE1306" s="379"/>
    </row>
    <row r="1307" spans="3:31" s="260" customFormat="1" x14ac:dyDescent="0.25">
      <c r="C1307" s="84"/>
      <c r="D1307" s="380"/>
      <c r="E1307" s="381"/>
      <c r="F1307" s="381"/>
      <c r="G1307" s="381"/>
      <c r="H1307" s="381"/>
      <c r="I1307" s="381"/>
      <c r="J1307" s="382"/>
      <c r="K1307" s="88"/>
      <c r="M1307" s="99" t="s">
        <v>94</v>
      </c>
      <c r="N1307" s="561" t="s">
        <v>95</v>
      </c>
      <c r="O1307" s="561"/>
      <c r="P1307" s="561"/>
      <c r="Q1307" s="561"/>
      <c r="R1307" s="95" t="s">
        <v>96</v>
      </c>
      <c r="S1307" s="95" t="s">
        <v>97</v>
      </c>
      <c r="T1307" s="562" t="s">
        <v>8</v>
      </c>
      <c r="U1307" s="562"/>
      <c r="V1307" s="100" t="s">
        <v>98</v>
      </c>
      <c r="Y1307" s="383" t="s">
        <v>104</v>
      </c>
      <c r="Z1307" s="119" t="s">
        <v>9</v>
      </c>
      <c r="AA1307" s="86"/>
      <c r="AB1307" s="384"/>
      <c r="AC1307" s="385"/>
      <c r="AD1307" s="94"/>
      <c r="AE1307" s="386"/>
    </row>
    <row r="1308" spans="3:31" s="260" customFormat="1" x14ac:dyDescent="0.25">
      <c r="C1308" s="84"/>
      <c r="D1308" s="85"/>
      <c r="E1308" s="86"/>
      <c r="F1308" s="86"/>
      <c r="G1308" s="86"/>
      <c r="H1308" s="86"/>
      <c r="I1308" s="86"/>
      <c r="J1308" s="87"/>
      <c r="K1308" s="88"/>
      <c r="M1308" s="102"/>
      <c r="N1308" s="533" t="s">
        <v>99</v>
      </c>
      <c r="O1308" s="533"/>
      <c r="P1308" s="533"/>
      <c r="Q1308" s="533"/>
      <c r="R1308" s="78" t="s">
        <v>100</v>
      </c>
      <c r="S1308" s="387">
        <f>+$AA$10</f>
        <v>0.05</v>
      </c>
      <c r="T1308" s="563">
        <f>V1338</f>
        <v>5578.97</v>
      </c>
      <c r="U1308" s="563"/>
      <c r="V1308" s="389">
        <f>+IFERROR(T1308*S1308,0)</f>
        <v>278.94850000000002</v>
      </c>
      <c r="Y1308" s="390"/>
      <c r="Z1308" s="391">
        <f>Y1304*V1308</f>
        <v>836.84550000000013</v>
      </c>
      <c r="AA1308" s="86"/>
      <c r="AB1308" s="384"/>
      <c r="AC1308" s="385"/>
      <c r="AD1308" s="94"/>
      <c r="AE1308" s="386" t="str">
        <f>+IF(V1308=0,"CERO","NO")</f>
        <v>NO</v>
      </c>
    </row>
    <row r="1309" spans="3:31" s="260" customFormat="1" x14ac:dyDescent="0.25">
      <c r="C1309" s="84"/>
      <c r="D1309" s="85"/>
      <c r="E1309" s="86"/>
      <c r="F1309" s="86"/>
      <c r="G1309" s="86"/>
      <c r="H1309" s="86"/>
      <c r="I1309" s="86"/>
      <c r="J1309" s="87"/>
      <c r="K1309" s="88"/>
      <c r="M1309" s="106"/>
      <c r="N1309" s="533" t="str">
        <f>IFERROR(VLOOKUP(M1309,INSUMOS!$C$8:$K$928,2,0),"-----")</f>
        <v>-----</v>
      </c>
      <c r="O1309" s="533"/>
      <c r="P1309" s="533"/>
      <c r="Q1309" s="533"/>
      <c r="R1309" s="78" t="str">
        <f>IFERROR(VLOOKUP(M1309,INSUMOS!$C$8:$K$928,6,0),"-----")</f>
        <v>-----</v>
      </c>
      <c r="S1309" s="392"/>
      <c r="T1309" s="529" t="str">
        <f>IFERROR(VLOOKUP(M1309,INSUMOS!$C$8:$K$928,7,0),"0")</f>
        <v>0</v>
      </c>
      <c r="U1309" s="529"/>
      <c r="V1309" s="389">
        <f>+IFERROR(T1309*S1309,0)</f>
        <v>0</v>
      </c>
      <c r="Y1309" s="393">
        <f>+IFERROR(Y1304*S1309,0)</f>
        <v>0</v>
      </c>
      <c r="Z1309" s="391">
        <f>Y1304*V1309</f>
        <v>0</v>
      </c>
      <c r="AA1309" s="394"/>
      <c r="AB1309" s="395">
        <f>+Y1309*T1309</f>
        <v>0</v>
      </c>
      <c r="AC1309" s="93">
        <f>+AB1309-Z1309</f>
        <v>0</v>
      </c>
      <c r="AD1309" s="94"/>
      <c r="AE1309" s="386" t="str">
        <f>+IF(V1309=0,"CERO","NO")</f>
        <v>CERO</v>
      </c>
    </row>
    <row r="1310" spans="3:31" s="260" customFormat="1" x14ac:dyDescent="0.25">
      <c r="C1310" s="84"/>
      <c r="D1310" s="85"/>
      <c r="E1310" s="86"/>
      <c r="F1310" s="86"/>
      <c r="G1310" s="86"/>
      <c r="H1310" s="86"/>
      <c r="I1310" s="86"/>
      <c r="J1310" s="87"/>
      <c r="K1310" s="88"/>
      <c r="M1310" s="102">
        <v>0</v>
      </c>
      <c r="N1310" s="533"/>
      <c r="O1310" s="533"/>
      <c r="P1310" s="533"/>
      <c r="Q1310" s="533"/>
      <c r="R1310" s="78"/>
      <c r="S1310" s="396"/>
      <c r="T1310" s="529"/>
      <c r="U1310" s="529"/>
      <c r="V1310" s="397"/>
      <c r="Y1310" s="393">
        <f>+IFERROR(Y1304*S1310,0)</f>
        <v>0</v>
      </c>
      <c r="Z1310" s="391">
        <f>Y1304*V1310</f>
        <v>0</v>
      </c>
      <c r="AA1310" s="394"/>
      <c r="AB1310" s="395">
        <f>+Y1310*T1310</f>
        <v>0</v>
      </c>
      <c r="AC1310" s="93">
        <f>+AB1310-Z1310</f>
        <v>0</v>
      </c>
      <c r="AD1310" s="94"/>
      <c r="AE1310" s="386" t="str">
        <f>+IF(V1310=0,"CERO","NO")</f>
        <v>CERO</v>
      </c>
    </row>
    <row r="1311" spans="3:31" s="260" customFormat="1" x14ac:dyDescent="0.25">
      <c r="C1311" s="84"/>
      <c r="D1311" s="85"/>
      <c r="E1311" s="86"/>
      <c r="F1311" s="86"/>
      <c r="G1311" s="86"/>
      <c r="H1311" s="86"/>
      <c r="I1311" s="86"/>
      <c r="J1311" s="87"/>
      <c r="K1311" s="88"/>
      <c r="M1311" s="102">
        <v>0</v>
      </c>
      <c r="N1311" s="533"/>
      <c r="O1311" s="533"/>
      <c r="P1311" s="533"/>
      <c r="Q1311" s="533"/>
      <c r="R1311" s="78"/>
      <c r="S1311" s="396"/>
      <c r="T1311" s="529"/>
      <c r="U1311" s="529"/>
      <c r="V1311" s="397"/>
      <c r="Y1311" s="393">
        <f>+IFERROR(Y1304*S1311,0)</f>
        <v>0</v>
      </c>
      <c r="Z1311" s="391">
        <f>Y1304*V1311</f>
        <v>0</v>
      </c>
      <c r="AA1311" s="394"/>
      <c r="AB1311" s="395">
        <f>+Y1311*T1311</f>
        <v>0</v>
      </c>
      <c r="AC1311" s="93">
        <f>+AB1311-Z1311</f>
        <v>0</v>
      </c>
      <c r="AD1311" s="94"/>
      <c r="AE1311" s="386" t="str">
        <f>+IF(V1311=0,"CERO","NO")</f>
        <v>CERO</v>
      </c>
    </row>
    <row r="1312" spans="3:31" s="260" customFormat="1" ht="15.75" thickBot="1" x14ac:dyDescent="0.3">
      <c r="C1312" s="84"/>
      <c r="D1312" s="85"/>
      <c r="E1312" s="86"/>
      <c r="F1312" s="86"/>
      <c r="G1312" s="86"/>
      <c r="H1312" s="86"/>
      <c r="I1312" s="86"/>
      <c r="J1312" s="87"/>
      <c r="K1312" s="88"/>
      <c r="M1312" s="102">
        <v>0</v>
      </c>
      <c r="N1312" s="564"/>
      <c r="O1312" s="564"/>
      <c r="P1312" s="564"/>
      <c r="Q1312" s="564"/>
      <c r="R1312" s="96"/>
      <c r="S1312" s="96"/>
      <c r="T1312" s="565"/>
      <c r="U1312" s="565"/>
      <c r="V1312" s="101"/>
      <c r="Y1312" s="393">
        <f>+IFERROR(Y1304*S1312,0)</f>
        <v>0</v>
      </c>
      <c r="Z1312" s="391">
        <f>Y1304*V1312</f>
        <v>0</v>
      </c>
      <c r="AA1312" s="394"/>
      <c r="AB1312" s="395">
        <f>+Y1312*T1312</f>
        <v>0</v>
      </c>
      <c r="AC1312" s="93">
        <f>+AB1312-Z1312</f>
        <v>0</v>
      </c>
      <c r="AD1312" s="94"/>
      <c r="AE1312" s="386" t="str">
        <f>+IF(V1312=0,"CERO","NO")</f>
        <v>CERO</v>
      </c>
    </row>
    <row r="1313" spans="3:31" s="260" customFormat="1" ht="15.75" thickBot="1" x14ac:dyDescent="0.3">
      <c r="C1313" s="84"/>
      <c r="D1313" s="375" t="s">
        <v>128</v>
      </c>
      <c r="E1313" s="376" t="s">
        <v>129</v>
      </c>
      <c r="F1313" s="376" t="s">
        <v>130</v>
      </c>
      <c r="G1313" s="376" t="s">
        <v>131</v>
      </c>
      <c r="H1313" s="376" t="s">
        <v>132</v>
      </c>
      <c r="I1313" s="376" t="s">
        <v>133</v>
      </c>
      <c r="J1313" s="377" t="s">
        <v>134</v>
      </c>
      <c r="K1313" s="88"/>
      <c r="M1313" s="534"/>
      <c r="N1313" s="536" t="s">
        <v>101</v>
      </c>
      <c r="O1313" s="536"/>
      <c r="P1313" s="536"/>
      <c r="Q1313" s="536"/>
      <c r="R1313" s="536"/>
      <c r="S1313" s="536"/>
      <c r="T1313" s="536"/>
      <c r="U1313" s="536"/>
      <c r="V1313" s="389">
        <f>+SUM(V1308:V1312)</f>
        <v>278.94850000000002</v>
      </c>
      <c r="Y1313" s="398" t="s">
        <v>135</v>
      </c>
      <c r="Z1313" s="397">
        <f>+SUM(Z1308:Z1312)</f>
        <v>836.84550000000013</v>
      </c>
      <c r="AA1313" s="86"/>
      <c r="AB1313" s="384"/>
      <c r="AC1313" s="385"/>
      <c r="AD1313" s="94"/>
      <c r="AE1313" s="399"/>
    </row>
    <row r="1314" spans="3:31" s="260" customFormat="1" ht="15.75" thickBot="1" x14ac:dyDescent="0.3">
      <c r="C1314" s="84"/>
      <c r="D1314" s="375">
        <f>C1304</f>
        <v>2.17</v>
      </c>
      <c r="E1314" s="376"/>
      <c r="F1314" s="376"/>
      <c r="G1314" s="376"/>
      <c r="H1314" s="376"/>
      <c r="I1314" s="376"/>
      <c r="J1314" s="377"/>
      <c r="K1314" s="88"/>
      <c r="M1314" s="566"/>
      <c r="N1314" s="567" t="s">
        <v>102</v>
      </c>
      <c r="O1314" s="567"/>
      <c r="P1314" s="567"/>
      <c r="Q1314" s="567"/>
      <c r="R1314" s="567"/>
      <c r="S1314" s="567"/>
      <c r="T1314" s="567"/>
      <c r="U1314" s="567"/>
      <c r="V1314" s="400">
        <f>+ROUND(V1313,$AA$5)</f>
        <v>278.95</v>
      </c>
      <c r="Y1314" s="401" t="s">
        <v>136</v>
      </c>
      <c r="Z1314" s="402">
        <f>+ROUND(Z1313,$AA$5)</f>
        <v>836.85</v>
      </c>
      <c r="AA1314" s="86"/>
      <c r="AB1314" s="403">
        <f>+V1314*Y1304</f>
        <v>836.84999999999991</v>
      </c>
      <c r="AC1314" s="404">
        <f>+AB1314-Z1314</f>
        <v>0</v>
      </c>
      <c r="AD1314" s="94"/>
      <c r="AE1314" s="405"/>
    </row>
    <row r="1315" spans="3:31" s="260" customFormat="1" x14ac:dyDescent="0.25">
      <c r="C1315" s="84"/>
      <c r="D1315" s="380"/>
      <c r="E1315" s="381"/>
      <c r="F1315" s="381"/>
      <c r="G1315" s="381"/>
      <c r="H1315" s="381"/>
      <c r="I1315" s="381"/>
      <c r="J1315" s="382"/>
      <c r="K1315" s="88"/>
      <c r="M1315" s="510" t="s">
        <v>103</v>
      </c>
      <c r="N1315" s="511"/>
      <c r="O1315" s="511"/>
      <c r="P1315" s="511"/>
      <c r="Q1315" s="511"/>
      <c r="R1315" s="511"/>
      <c r="S1315" s="511"/>
      <c r="T1315" s="511"/>
      <c r="U1315" s="511"/>
      <c r="V1315" s="512"/>
      <c r="Y1315" s="378"/>
      <c r="Z1315" s="121"/>
      <c r="AA1315" s="86"/>
      <c r="AB1315" s="513"/>
      <c r="AC1315" s="514"/>
      <c r="AD1315" s="94"/>
      <c r="AE1315" s="126"/>
    </row>
    <row r="1316" spans="3:31" s="260" customFormat="1" x14ac:dyDescent="0.25">
      <c r="C1316" s="84"/>
      <c r="D1316" s="85"/>
      <c r="E1316" s="86"/>
      <c r="F1316" s="86"/>
      <c r="G1316" s="86"/>
      <c r="H1316" s="86"/>
      <c r="I1316" s="86"/>
      <c r="J1316" s="87"/>
      <c r="K1316" s="88"/>
      <c r="M1316" s="99" t="s">
        <v>94</v>
      </c>
      <c r="N1316" s="561" t="s">
        <v>95</v>
      </c>
      <c r="O1316" s="561"/>
      <c r="P1316" s="561"/>
      <c r="Q1316" s="561"/>
      <c r="R1316" s="95" t="s">
        <v>96</v>
      </c>
      <c r="S1316" s="95" t="s">
        <v>104</v>
      </c>
      <c r="T1316" s="356" t="s">
        <v>105</v>
      </c>
      <c r="U1316" s="356" t="s">
        <v>8</v>
      </c>
      <c r="V1316" s="100" t="s">
        <v>98</v>
      </c>
      <c r="Y1316" s="383" t="s">
        <v>104</v>
      </c>
      <c r="Z1316" s="119" t="s">
        <v>9</v>
      </c>
      <c r="AA1316" s="86"/>
      <c r="AB1316" s="384"/>
      <c r="AC1316" s="385"/>
      <c r="AD1316" s="94"/>
      <c r="AE1316" s="406"/>
    </row>
    <row r="1317" spans="3:31" s="260" customFormat="1" x14ac:dyDescent="0.25">
      <c r="C1317" s="84"/>
      <c r="D1317" s="85"/>
      <c r="E1317" s="86"/>
      <c r="F1317" s="86"/>
      <c r="G1317" s="86"/>
      <c r="H1317" s="86"/>
      <c r="I1317" s="86"/>
      <c r="J1317" s="87"/>
      <c r="K1317" s="88"/>
      <c r="M1317" s="102">
        <v>714</v>
      </c>
      <c r="N1317" s="533" t="str">
        <f>IFERROR(VLOOKUP(M1317,INSUMOS!$C$8:$K$928,2,0),"-----")</f>
        <v>TEE PVC-P 2"</v>
      </c>
      <c r="O1317" s="533"/>
      <c r="P1317" s="533"/>
      <c r="Q1317" s="533"/>
      <c r="R1317" s="78" t="str">
        <f>IFERROR(VLOOKUP(M1317,INSUMOS!$C$8:$K$928,6,0),"-----")</f>
        <v>und</v>
      </c>
      <c r="S1317" s="396">
        <v>1</v>
      </c>
      <c r="T1317" s="387">
        <v>0</v>
      </c>
      <c r="U1317" s="388">
        <f>IFERROR(VLOOKUP(M1317,INSUMOS!$C$8:$K$928,7,0),"0")</f>
        <v>20267</v>
      </c>
      <c r="V1317" s="389">
        <f>+IFERROR(U1317*(S1317*(1+T1317)),0)</f>
        <v>20267</v>
      </c>
      <c r="Y1317" s="393">
        <f>+IFERROR(Y1304*(S1317*(1+T1317)),0)</f>
        <v>3</v>
      </c>
      <c r="Z1317" s="391">
        <f>Y1304*V1317</f>
        <v>60801</v>
      </c>
      <c r="AA1317" s="394"/>
      <c r="AB1317" s="395">
        <f>+Y1317*U1317</f>
        <v>60801</v>
      </c>
      <c r="AC1317" s="93">
        <f>+AB1317-Z1317</f>
        <v>0</v>
      </c>
      <c r="AD1317" s="94"/>
      <c r="AE1317" s="406" t="str">
        <f>+IF(V1317=0,"CERO","NO")</f>
        <v>NO</v>
      </c>
    </row>
    <row r="1318" spans="3:31" s="260" customFormat="1" x14ac:dyDescent="0.25">
      <c r="C1318" s="84"/>
      <c r="D1318" s="85"/>
      <c r="E1318" s="86"/>
      <c r="F1318" s="86"/>
      <c r="G1318" s="86"/>
      <c r="H1318" s="86"/>
      <c r="I1318" s="86"/>
      <c r="J1318" s="87"/>
      <c r="K1318" s="88"/>
      <c r="M1318" s="102">
        <v>699</v>
      </c>
      <c r="N1318" s="533" t="str">
        <f>IFERROR(VLOOKUP(M1318,INSUMOS!$C$8:$K$928,2,0),"-----")</f>
        <v>SOLDADURA PVC LIQUIDA 1/4"</v>
      </c>
      <c r="O1318" s="533"/>
      <c r="P1318" s="533"/>
      <c r="Q1318" s="533"/>
      <c r="R1318" s="78" t="str">
        <f>IFERROR(VLOOKUP(M1318,INSUMOS!$C$8:$K$928,6,0),"-----")</f>
        <v>und</v>
      </c>
      <c r="S1318" s="392">
        <v>0.01</v>
      </c>
      <c r="T1318" s="387">
        <v>0.02</v>
      </c>
      <c r="U1318" s="388">
        <f>IFERROR(VLOOKUP(M1318,INSUMOS!$C$8:$K$928,7,0),"0")</f>
        <v>146569</v>
      </c>
      <c r="V1318" s="389">
        <f>+IFERROR(U1318*(S1318*(1+T1318)),0)</f>
        <v>1495.0038000000002</v>
      </c>
      <c r="Y1318" s="393">
        <f>+IFERROR(Y1304*(S1318*(1+T1318)),0)</f>
        <v>3.0600000000000002E-2</v>
      </c>
      <c r="Z1318" s="391">
        <f>Y1304*V1318</f>
        <v>4485.0114000000003</v>
      </c>
      <c r="AA1318" s="394"/>
      <c r="AB1318" s="395">
        <f>+Y1318*U1318</f>
        <v>4485.0114000000003</v>
      </c>
      <c r="AC1318" s="93">
        <f>+AB1318-Z1318</f>
        <v>0</v>
      </c>
      <c r="AD1318" s="94"/>
      <c r="AE1318" s="406" t="str">
        <f>+IF(V1318=0,"CERO","NO")</f>
        <v>NO</v>
      </c>
    </row>
    <row r="1319" spans="3:31" s="260" customFormat="1" x14ac:dyDescent="0.25">
      <c r="C1319" s="84"/>
      <c r="D1319" s="85"/>
      <c r="E1319" s="86"/>
      <c r="F1319" s="86"/>
      <c r="G1319" s="86"/>
      <c r="H1319" s="86"/>
      <c r="I1319" s="86"/>
      <c r="J1319" s="87"/>
      <c r="K1319" s="88"/>
      <c r="M1319" s="102">
        <v>700</v>
      </c>
      <c r="N1319" s="533" t="str">
        <f>IFERROR(VLOOKUP(M1319,INSUMOS!$C$8:$K$928,2,0),"-----")</f>
        <v>LIMPIADOR PVC 1/4</v>
      </c>
      <c r="O1319" s="533"/>
      <c r="P1319" s="533"/>
      <c r="Q1319" s="533"/>
      <c r="R1319" s="78" t="str">
        <f>IFERROR(VLOOKUP(M1319,INSUMOS!$C$8:$K$928,6,0),"-----")</f>
        <v>und</v>
      </c>
      <c r="S1319" s="392">
        <v>0.01</v>
      </c>
      <c r="T1319" s="387">
        <v>0.02</v>
      </c>
      <c r="U1319" s="388">
        <f>IFERROR(VLOOKUP(M1319,INSUMOS!$C$8:$K$928,7,0),"0")</f>
        <v>65913</v>
      </c>
      <c r="V1319" s="389">
        <f>+IFERROR(U1319*(S1319*(1+T1319)),0)</f>
        <v>672.31260000000009</v>
      </c>
      <c r="Y1319" s="393">
        <f>+IFERROR(Y1304*(S1319*(1+T1319)),0)</f>
        <v>3.0600000000000002E-2</v>
      </c>
      <c r="Z1319" s="391">
        <f>Y1304*V1319</f>
        <v>2016.9378000000002</v>
      </c>
      <c r="AA1319" s="394"/>
      <c r="AB1319" s="395">
        <f>+Y1319*U1319</f>
        <v>2016.9378000000002</v>
      </c>
      <c r="AC1319" s="93">
        <f>+AB1319-Z1319</f>
        <v>0</v>
      </c>
      <c r="AD1319" s="94"/>
      <c r="AE1319" s="406" t="str">
        <f>+IF(V1319=0,"CERO","NO")</f>
        <v>NO</v>
      </c>
    </row>
    <row r="1320" spans="3:31" s="260" customFormat="1" x14ac:dyDescent="0.25">
      <c r="C1320" s="84"/>
      <c r="D1320" s="85"/>
      <c r="E1320" s="86"/>
      <c r="F1320" s="86"/>
      <c r="G1320" s="86"/>
      <c r="H1320" s="86"/>
      <c r="I1320" s="86"/>
      <c r="J1320" s="87"/>
      <c r="K1320" s="88"/>
      <c r="M1320" s="102">
        <v>0</v>
      </c>
      <c r="N1320" s="533" t="str">
        <f>IFERROR(VLOOKUP(M1320,INSUMOS!$C$8:$K$928,2,0),"-----")</f>
        <v>-----</v>
      </c>
      <c r="O1320" s="533"/>
      <c r="P1320" s="533"/>
      <c r="Q1320" s="533"/>
      <c r="R1320" s="78" t="str">
        <f>IFERROR(VLOOKUP(M1320,INSUMOS!$C$8:$K$928,6,0),"-----")</f>
        <v>-----</v>
      </c>
      <c r="S1320" s="396"/>
      <c r="T1320" s="387"/>
      <c r="U1320" s="388" t="str">
        <f>IFERROR(VLOOKUP(M1320,INSUMOS!$C$8:$K$928,7,0),"0")</f>
        <v>0</v>
      </c>
      <c r="V1320" s="389">
        <f>+IFERROR(U1320*(S1320*(1+T1320)),0)</f>
        <v>0</v>
      </c>
      <c r="Y1320" s="393">
        <f>+IFERROR(Y1304*(S1320*(1+T1320)),0)</f>
        <v>0</v>
      </c>
      <c r="Z1320" s="391">
        <f>Y1304*V1320</f>
        <v>0</v>
      </c>
      <c r="AA1320" s="394"/>
      <c r="AB1320" s="395">
        <f>+Y1320*U1320</f>
        <v>0</v>
      </c>
      <c r="AC1320" s="93">
        <f>+AB1320-Z1320</f>
        <v>0</v>
      </c>
      <c r="AD1320" s="94"/>
      <c r="AE1320" s="406" t="str">
        <f>+IF(V1320=0,"CERO","NO")</f>
        <v>CERO</v>
      </c>
    </row>
    <row r="1321" spans="3:31" s="260" customFormat="1" ht="15.75" thickBot="1" x14ac:dyDescent="0.3">
      <c r="C1321" s="84"/>
      <c r="D1321" s="85"/>
      <c r="E1321" s="86"/>
      <c r="F1321" s="86"/>
      <c r="G1321" s="86"/>
      <c r="H1321" s="86"/>
      <c r="I1321" s="86"/>
      <c r="J1321" s="87"/>
      <c r="K1321" s="88"/>
      <c r="M1321" s="102">
        <v>0</v>
      </c>
      <c r="N1321" s="564"/>
      <c r="O1321" s="564"/>
      <c r="P1321" s="564"/>
      <c r="Q1321" s="564"/>
      <c r="R1321" s="96"/>
      <c r="S1321" s="79"/>
      <c r="T1321" s="97"/>
      <c r="U1321" s="358"/>
      <c r="V1321" s="397"/>
      <c r="Y1321" s="393">
        <f>+IFERROR(Y1304*(S1321*(1+T1321)),0)</f>
        <v>0</v>
      </c>
      <c r="Z1321" s="391">
        <f>Y1304*V1321</f>
        <v>0</v>
      </c>
      <c r="AA1321" s="394"/>
      <c r="AB1321" s="395">
        <f>+Y1321*U1321</f>
        <v>0</v>
      </c>
      <c r="AC1321" s="93">
        <f>+AB1321-Z1321</f>
        <v>0</v>
      </c>
      <c r="AD1321" s="94"/>
      <c r="AE1321" s="406" t="str">
        <f>+IF(V1321=0,"CERO","NO")</f>
        <v>CERO</v>
      </c>
    </row>
    <row r="1322" spans="3:31" s="260" customFormat="1" ht="15.75" thickBot="1" x14ac:dyDescent="0.3">
      <c r="C1322" s="84"/>
      <c r="D1322" s="375" t="s">
        <v>128</v>
      </c>
      <c r="E1322" s="376" t="s">
        <v>129</v>
      </c>
      <c r="F1322" s="376" t="s">
        <v>130</v>
      </c>
      <c r="G1322" s="376" t="s">
        <v>131</v>
      </c>
      <c r="H1322" s="376" t="s">
        <v>132</v>
      </c>
      <c r="I1322" s="376" t="s">
        <v>133</v>
      </c>
      <c r="J1322" s="377" t="s">
        <v>134</v>
      </c>
      <c r="K1322" s="88"/>
      <c r="M1322" s="534"/>
      <c r="N1322" s="536" t="s">
        <v>106</v>
      </c>
      <c r="O1322" s="536"/>
      <c r="P1322" s="536"/>
      <c r="Q1322" s="536"/>
      <c r="R1322" s="536"/>
      <c r="S1322" s="536"/>
      <c r="T1322" s="536"/>
      <c r="U1322" s="536"/>
      <c r="V1322" s="389">
        <f>+SUM(V1317:V1321)</f>
        <v>22434.3164</v>
      </c>
      <c r="Y1322" s="398" t="s">
        <v>135</v>
      </c>
      <c r="Z1322" s="397">
        <f>+SUM(Z1317:Z1321)</f>
        <v>67302.949200000003</v>
      </c>
      <c r="AA1322" s="86"/>
      <c r="AB1322" s="384"/>
      <c r="AC1322" s="385"/>
      <c r="AD1322" s="94"/>
      <c r="AE1322" s="399"/>
    </row>
    <row r="1323" spans="3:31" s="260" customFormat="1" ht="15.75" thickBot="1" x14ac:dyDescent="0.3">
      <c r="C1323" s="84"/>
      <c r="D1323" s="375"/>
      <c r="E1323" s="407">
        <f>+D1314</f>
        <v>2.17</v>
      </c>
      <c r="F1323" s="376"/>
      <c r="G1323" s="376"/>
      <c r="H1323" s="376"/>
      <c r="I1323" s="376"/>
      <c r="J1323" s="377"/>
      <c r="K1323" s="88"/>
      <c r="M1323" s="535"/>
      <c r="N1323" s="537" t="s">
        <v>107</v>
      </c>
      <c r="O1323" s="537"/>
      <c r="P1323" s="537"/>
      <c r="Q1323" s="537"/>
      <c r="R1323" s="537"/>
      <c r="S1323" s="537"/>
      <c r="T1323" s="537"/>
      <c r="U1323" s="537"/>
      <c r="V1323" s="408">
        <f>+ROUND(V1322,$AA$5)</f>
        <v>22434.32</v>
      </c>
      <c r="Y1323" s="401" t="s">
        <v>136</v>
      </c>
      <c r="Z1323" s="402">
        <f>+ROUND(Z1322,$AA$5)</f>
        <v>67302.95</v>
      </c>
      <c r="AA1323" s="86"/>
      <c r="AB1323" s="403">
        <f>+V1323*Y1304</f>
        <v>67302.959999999992</v>
      </c>
      <c r="AC1323" s="404">
        <f>+AB1323-Z1323</f>
        <v>9.9999999947613105E-3</v>
      </c>
      <c r="AD1323" s="94"/>
      <c r="AE1323" s="405"/>
    </row>
    <row r="1324" spans="3:31" s="260" customFormat="1" x14ac:dyDescent="0.25">
      <c r="C1324" s="84"/>
      <c r="D1324" s="380"/>
      <c r="E1324" s="381"/>
      <c r="F1324" s="381"/>
      <c r="G1324" s="381"/>
      <c r="H1324" s="381"/>
      <c r="I1324" s="381"/>
      <c r="J1324" s="382"/>
      <c r="K1324" s="88"/>
      <c r="M1324" s="568" t="s">
        <v>108</v>
      </c>
      <c r="N1324" s="569"/>
      <c r="O1324" s="569"/>
      <c r="P1324" s="569"/>
      <c r="Q1324" s="569"/>
      <c r="R1324" s="569"/>
      <c r="S1324" s="569"/>
      <c r="T1324" s="569"/>
      <c r="U1324" s="569"/>
      <c r="V1324" s="570"/>
      <c r="Y1324" s="378"/>
      <c r="Z1324" s="121"/>
      <c r="AA1324" s="86"/>
      <c r="AB1324" s="409"/>
      <c r="AC1324" s="121"/>
      <c r="AD1324" s="94"/>
      <c r="AE1324" s="126"/>
    </row>
    <row r="1325" spans="3:31" s="260" customFormat="1" ht="25.5" x14ac:dyDescent="0.25">
      <c r="C1325" s="84"/>
      <c r="D1325" s="85"/>
      <c r="E1325" s="86"/>
      <c r="F1325" s="86"/>
      <c r="G1325" s="86"/>
      <c r="H1325" s="86"/>
      <c r="I1325" s="86"/>
      <c r="J1325" s="87"/>
      <c r="K1325" s="88"/>
      <c r="M1325" s="99" t="s">
        <v>94</v>
      </c>
      <c r="N1325" s="561" t="s">
        <v>95</v>
      </c>
      <c r="O1325" s="561"/>
      <c r="P1325" s="561"/>
      <c r="Q1325" s="95" t="s">
        <v>109</v>
      </c>
      <c r="R1325" s="95" t="s">
        <v>110</v>
      </c>
      <c r="S1325" s="95" t="s">
        <v>111</v>
      </c>
      <c r="T1325" s="562" t="s">
        <v>112</v>
      </c>
      <c r="U1325" s="562"/>
      <c r="V1325" s="100" t="s">
        <v>98</v>
      </c>
      <c r="Y1325" s="383" t="s">
        <v>104</v>
      </c>
      <c r="Z1325" s="119" t="s">
        <v>9</v>
      </c>
      <c r="AA1325" s="86"/>
      <c r="AB1325" s="384"/>
      <c r="AC1325" s="385"/>
      <c r="AD1325" s="94"/>
      <c r="AE1325" s="410"/>
    </row>
    <row r="1326" spans="3:31" s="260" customFormat="1" x14ac:dyDescent="0.25">
      <c r="C1326" s="84"/>
      <c r="D1326" s="85"/>
      <c r="E1326" s="86"/>
      <c r="F1326" s="86"/>
      <c r="G1326" s="86"/>
      <c r="H1326" s="86"/>
      <c r="I1326" s="86"/>
      <c r="J1326" s="87"/>
      <c r="K1326" s="88"/>
      <c r="M1326" s="102">
        <v>129</v>
      </c>
      <c r="N1326" s="530" t="str">
        <f>IFERROR(VLOOKUP(M1326,INSUMOS!$C$8:$K$928,2,0),"-----")</f>
        <v>transporte materiales en general</v>
      </c>
      <c r="O1326" s="531"/>
      <c r="P1326" s="532"/>
      <c r="Q1326" s="78" t="str">
        <f>IFERROR(VLOOKUP(M1326,INSUMOS!$C$8:$K$928,5,0),"-----")</f>
        <v>Km</v>
      </c>
      <c r="R1326" s="80">
        <v>1</v>
      </c>
      <c r="S1326" s="80">
        <f>IFERROR(VLOOKUP(M1326,INSUMOS!$C$8:$K$928,6,0),"0")</f>
        <v>348</v>
      </c>
      <c r="T1326" s="529">
        <f>IFERROR(VLOOKUP(M1326,INSUMOS!$C$8:$K$928,7,0),"0")</f>
        <v>0.99776362060288992</v>
      </c>
      <c r="U1326" s="529"/>
      <c r="V1326" s="82">
        <f>+T1326*S1326*R1326</f>
        <v>347.2217399698057</v>
      </c>
      <c r="Y1326" s="393">
        <f>+IFERROR((R1326*S1326)*Y1304,0)</f>
        <v>1044</v>
      </c>
      <c r="Z1326" s="391">
        <f>Y1304*V1326</f>
        <v>1041.6652199094171</v>
      </c>
      <c r="AA1326" s="86"/>
      <c r="AB1326" s="92">
        <f>+Y1326*T1326</f>
        <v>1041.6652199094171</v>
      </c>
      <c r="AC1326" s="93">
        <f>+AB1326-Z1326</f>
        <v>0</v>
      </c>
      <c r="AD1326" s="94"/>
      <c r="AE1326" s="406" t="str">
        <f>+IF(V1326=0,"CERO","NO")</f>
        <v>NO</v>
      </c>
    </row>
    <row r="1327" spans="3:31" s="260" customFormat="1" x14ac:dyDescent="0.25">
      <c r="C1327" s="84"/>
      <c r="D1327" s="85"/>
      <c r="E1327" s="86"/>
      <c r="F1327" s="86"/>
      <c r="G1327" s="86"/>
      <c r="H1327" s="86"/>
      <c r="I1327" s="86"/>
      <c r="J1327" s="87"/>
      <c r="K1327" s="88"/>
      <c r="M1327" s="102">
        <v>0</v>
      </c>
      <c r="N1327" s="530" t="str">
        <f>IFERROR(VLOOKUP(M1327,INSUMOS!$C$8:$K$928,2,0),"-----")</f>
        <v>-----</v>
      </c>
      <c r="O1327" s="531"/>
      <c r="P1327" s="532"/>
      <c r="Q1327" s="78" t="str">
        <f>IFERROR(VLOOKUP(M1327,INSUMOS!$C$8:$K$928,5,0),"-----")</f>
        <v>-----</v>
      </c>
      <c r="R1327" s="80"/>
      <c r="S1327" s="80" t="str">
        <f>IFERROR(VLOOKUP(M1327,INSUMOS!$C$8:$K$928,6,0),"0")</f>
        <v>0</v>
      </c>
      <c r="T1327" s="529" t="str">
        <f>IFERROR(VLOOKUP(M1327,INSUMOS!$C$8:$K$928,7,0),"0")</f>
        <v>0</v>
      </c>
      <c r="U1327" s="529"/>
      <c r="V1327" s="82">
        <f>+T1327*S1327*R1327</f>
        <v>0</v>
      </c>
      <c r="Y1327" s="393">
        <f>+IFERROR((R1327*S1327)*Y1304,0)</f>
        <v>0</v>
      </c>
      <c r="Z1327" s="391">
        <f>Y1304*V1327</f>
        <v>0</v>
      </c>
      <c r="AA1327" s="86"/>
      <c r="AB1327" s="92">
        <f>+Y1327*T1327</f>
        <v>0</v>
      </c>
      <c r="AC1327" s="93">
        <f>+AB1327-Z1327</f>
        <v>0</v>
      </c>
      <c r="AD1327" s="94"/>
      <c r="AE1327" s="406" t="str">
        <f>+IF(V1327=0,"CERO","NO")</f>
        <v>CERO</v>
      </c>
    </row>
    <row r="1328" spans="3:31" s="260" customFormat="1" x14ac:dyDescent="0.25">
      <c r="C1328" s="84"/>
      <c r="D1328" s="85"/>
      <c r="E1328" s="86"/>
      <c r="F1328" s="86"/>
      <c r="G1328" s="86"/>
      <c r="H1328" s="86"/>
      <c r="I1328" s="86"/>
      <c r="J1328" s="87"/>
      <c r="K1328" s="88"/>
      <c r="M1328" s="102">
        <v>0</v>
      </c>
      <c r="N1328" s="530" t="str">
        <f>IFERROR(VLOOKUP(M1328,INSUMOS!$C$8:$K$928,2,0),"-----")</f>
        <v>-----</v>
      </c>
      <c r="O1328" s="531"/>
      <c r="P1328" s="532"/>
      <c r="Q1328" s="78" t="str">
        <f>IFERROR(VLOOKUP(M1328,INSUMOS!$C$8:$K$928,5,0),"-----")</f>
        <v>-----</v>
      </c>
      <c r="R1328" s="80"/>
      <c r="S1328" s="80" t="str">
        <f>IFERROR(VLOOKUP(M1328,INSUMOS!$C$8:$K$928,6,0),"0")</f>
        <v>0</v>
      </c>
      <c r="T1328" s="529" t="str">
        <f>IFERROR(VLOOKUP(M1328,INSUMOS!$C$8:$K$928,7,0),"0")</f>
        <v>0</v>
      </c>
      <c r="U1328" s="529"/>
      <c r="V1328" s="82">
        <f>+T1328*S1328*R1328</f>
        <v>0</v>
      </c>
      <c r="Y1328" s="393">
        <f>+IFERROR((R1328*S1328)*Y1304,0)</f>
        <v>0</v>
      </c>
      <c r="Z1328" s="391">
        <f>Y1304*V1328</f>
        <v>0</v>
      </c>
      <c r="AA1328" s="86"/>
      <c r="AB1328" s="92">
        <f>+Y1328*T1328</f>
        <v>0</v>
      </c>
      <c r="AC1328" s="93">
        <f>+AB1328-Z1328</f>
        <v>0</v>
      </c>
      <c r="AD1328" s="94"/>
      <c r="AE1328" s="406" t="str">
        <f>+IF(V1328=0,"CERO","NO")</f>
        <v>CERO</v>
      </c>
    </row>
    <row r="1329" spans="3:31" s="260" customFormat="1" ht="15.75" thickBot="1" x14ac:dyDescent="0.3">
      <c r="C1329" s="84"/>
      <c r="D1329" s="89"/>
      <c r="E1329" s="90"/>
      <c r="F1329" s="90"/>
      <c r="G1329" s="90"/>
      <c r="H1329" s="90"/>
      <c r="I1329" s="90"/>
      <c r="J1329" s="91"/>
      <c r="K1329" s="88"/>
      <c r="M1329" s="102">
        <v>0</v>
      </c>
      <c r="N1329" s="533"/>
      <c r="O1329" s="533"/>
      <c r="P1329" s="533"/>
      <c r="Q1329" s="79"/>
      <c r="R1329" s="78"/>
      <c r="S1329" s="81"/>
      <c r="T1329" s="529"/>
      <c r="U1329" s="529"/>
      <c r="V1329" s="82"/>
      <c r="Y1329" s="393">
        <f>+IFERROR((R1329*S1329)*Y1304,0)</f>
        <v>0</v>
      </c>
      <c r="Z1329" s="391">
        <f>Y1304*V1329</f>
        <v>0</v>
      </c>
      <c r="AA1329" s="86"/>
      <c r="AB1329" s="92">
        <f>+Y1329*T1329</f>
        <v>0</v>
      </c>
      <c r="AC1329" s="93">
        <f>+AB1329-Z1329</f>
        <v>0</v>
      </c>
      <c r="AD1329" s="94"/>
      <c r="AE1329" s="406" t="str">
        <f>+IF(V1329=0,"CERO","NO")</f>
        <v>CERO</v>
      </c>
    </row>
    <row r="1330" spans="3:31" s="260" customFormat="1" ht="15.75" thickBot="1" x14ac:dyDescent="0.3">
      <c r="C1330" s="84"/>
      <c r="D1330" s="375" t="s">
        <v>128</v>
      </c>
      <c r="E1330" s="376" t="s">
        <v>129</v>
      </c>
      <c r="F1330" s="376" t="s">
        <v>130</v>
      </c>
      <c r="G1330" s="376" t="s">
        <v>131</v>
      </c>
      <c r="H1330" s="376" t="s">
        <v>132</v>
      </c>
      <c r="I1330" s="376" t="s">
        <v>133</v>
      </c>
      <c r="J1330" s="377" t="s">
        <v>134</v>
      </c>
      <c r="K1330" s="88"/>
      <c r="M1330" s="534"/>
      <c r="N1330" s="536" t="s">
        <v>113</v>
      </c>
      <c r="O1330" s="536"/>
      <c r="P1330" s="536"/>
      <c r="Q1330" s="536"/>
      <c r="R1330" s="536"/>
      <c r="S1330" s="536"/>
      <c r="T1330" s="536"/>
      <c r="U1330" s="536"/>
      <c r="V1330" s="411">
        <f>+SUM(V1326:V1329)</f>
        <v>347.2217399698057</v>
      </c>
      <c r="Y1330" s="398" t="s">
        <v>135</v>
      </c>
      <c r="Z1330" s="397">
        <f>+SUM(Z1326:Z1329)</f>
        <v>1041.6652199094171</v>
      </c>
      <c r="AA1330" s="86"/>
      <c r="AB1330" s="384"/>
      <c r="AC1330" s="385"/>
      <c r="AD1330" s="94"/>
      <c r="AE1330" s="399"/>
    </row>
    <row r="1331" spans="3:31" s="260" customFormat="1" ht="15.75" thickBot="1" x14ac:dyDescent="0.3">
      <c r="C1331" s="84"/>
      <c r="D1331" s="355"/>
      <c r="E1331" s="367"/>
      <c r="F1331" s="412">
        <f>+E1323</f>
        <v>2.17</v>
      </c>
      <c r="G1331" s="367"/>
      <c r="H1331" s="367"/>
      <c r="I1331" s="367"/>
      <c r="J1331" s="368"/>
      <c r="K1331" s="88"/>
      <c r="M1331" s="535"/>
      <c r="N1331" s="537" t="s">
        <v>114</v>
      </c>
      <c r="O1331" s="537"/>
      <c r="P1331" s="537"/>
      <c r="Q1331" s="537"/>
      <c r="R1331" s="537"/>
      <c r="S1331" s="537"/>
      <c r="T1331" s="537"/>
      <c r="U1331" s="537"/>
      <c r="V1331" s="413">
        <f>+ROUND(V1330,$AA$5)</f>
        <v>347.22</v>
      </c>
      <c r="Y1331" s="401" t="s">
        <v>136</v>
      </c>
      <c r="Z1331" s="402">
        <f>+ROUND(Z1330,$AA$5)</f>
        <v>1041.67</v>
      </c>
      <c r="AA1331" s="86"/>
      <c r="AB1331" s="403">
        <f>+V1331*Y1304</f>
        <v>1041.6600000000001</v>
      </c>
      <c r="AC1331" s="414"/>
      <c r="AD1331" s="94"/>
      <c r="AE1331" s="405"/>
    </row>
    <row r="1332" spans="3:31" s="260" customFormat="1" ht="15.75" thickBot="1" x14ac:dyDescent="0.3">
      <c r="C1332" s="84"/>
      <c r="D1332" s="415"/>
      <c r="E1332" s="416"/>
      <c r="F1332" s="416"/>
      <c r="G1332" s="416"/>
      <c r="H1332" s="416"/>
      <c r="I1332" s="416"/>
      <c r="J1332" s="417"/>
      <c r="K1332" s="88"/>
      <c r="M1332" s="538" t="s">
        <v>115</v>
      </c>
      <c r="N1332" s="539"/>
      <c r="O1332" s="539"/>
      <c r="P1332" s="539"/>
      <c r="Q1332" s="539"/>
      <c r="R1332" s="539"/>
      <c r="S1332" s="539"/>
      <c r="T1332" s="539"/>
      <c r="U1332" s="539"/>
      <c r="V1332" s="540"/>
      <c r="Y1332" s="378"/>
      <c r="Z1332" s="121"/>
      <c r="AA1332" s="86"/>
      <c r="AB1332" s="409"/>
      <c r="AC1332" s="121"/>
      <c r="AD1332" s="94"/>
      <c r="AE1332" s="126"/>
    </row>
    <row r="1333" spans="3:31" s="260" customFormat="1" ht="15.75" thickBot="1" x14ac:dyDescent="0.3">
      <c r="C1333" s="84"/>
      <c r="D1333" s="375" t="s">
        <v>128</v>
      </c>
      <c r="E1333" s="376" t="s">
        <v>129</v>
      </c>
      <c r="F1333" s="376" t="s">
        <v>130</v>
      </c>
      <c r="G1333" s="376" t="s">
        <v>131</v>
      </c>
      <c r="H1333" s="376" t="s">
        <v>132</v>
      </c>
      <c r="I1333" s="376" t="s">
        <v>133</v>
      </c>
      <c r="J1333" s="377" t="s">
        <v>134</v>
      </c>
      <c r="K1333" s="88"/>
      <c r="M1333" s="99" t="s">
        <v>94</v>
      </c>
      <c r="N1333" s="98" t="s">
        <v>95</v>
      </c>
      <c r="O1333" s="95" t="s">
        <v>96</v>
      </c>
      <c r="P1333" s="359" t="s">
        <v>104</v>
      </c>
      <c r="Q1333" s="95" t="s">
        <v>116</v>
      </c>
      <c r="R1333" s="418" t="s">
        <v>117</v>
      </c>
      <c r="S1333" s="95" t="s">
        <v>347</v>
      </c>
      <c r="T1333" s="419" t="s">
        <v>118</v>
      </c>
      <c r="U1333" s="189" t="s">
        <v>119</v>
      </c>
      <c r="V1333" s="100" t="s">
        <v>98</v>
      </c>
      <c r="Y1333" s="383" t="s">
        <v>104</v>
      </c>
      <c r="Z1333" s="119" t="s">
        <v>9</v>
      </c>
      <c r="AA1333" s="86"/>
      <c r="AB1333" s="384"/>
      <c r="AC1333" s="385"/>
      <c r="AD1333" s="94"/>
      <c r="AE1333" s="410"/>
    </row>
    <row r="1334" spans="3:31" s="260" customFormat="1" ht="25.5" x14ac:dyDescent="0.25">
      <c r="C1334" s="84"/>
      <c r="D1334" s="354"/>
      <c r="E1334" s="96"/>
      <c r="F1334" s="96"/>
      <c r="G1334" s="96"/>
      <c r="H1334" s="96"/>
      <c r="I1334" s="96"/>
      <c r="J1334" s="420">
        <f>+F1331</f>
        <v>2.17</v>
      </c>
      <c r="K1334" s="88"/>
      <c r="M1334" s="102">
        <v>207</v>
      </c>
      <c r="N1334" s="347" t="str">
        <f>IFERROR(VLOOKUP(M1334,INSUMOS!$C$8:$K$928,2,0),"-----")</f>
        <v>Oficial Hidrosanitario</v>
      </c>
      <c r="O1334" s="78" t="str">
        <f>IFERROR(VLOOKUP(M1334,INSUMOS!$C$8:$K$928,3,0),"-----")</f>
        <v>JORNAL+PS</v>
      </c>
      <c r="P1334" s="80">
        <v>1</v>
      </c>
      <c r="Q1334" s="79">
        <v>30</v>
      </c>
      <c r="R1334" s="190">
        <f>IFERROR(VLOOKUP(M1334,INSUMOS!$C$8:$K$928,4,0),"-----")</f>
        <v>92983</v>
      </c>
      <c r="S1334" s="190">
        <f>IFERROR(VLOOKUP(M1334,INSUMOS!$C$8:$K$928,6,0),"-----")</f>
        <v>74386</v>
      </c>
      <c r="T1334" s="190">
        <f>IFERROR(VLOOKUP(M1334,INSUMOS!$C$8:$K$928,5,0),"-----")</f>
        <v>0</v>
      </c>
      <c r="U1334" s="388">
        <f>SUM(R1334:T1334)</f>
        <v>167369</v>
      </c>
      <c r="V1334" s="82">
        <f>+IFERROR((P1334/Q1334)*U1334,0)</f>
        <v>5578.9666666666662</v>
      </c>
      <c r="Y1334" s="393">
        <f>+IFERROR((Y1304/Q1334*P1334),0)</f>
        <v>0.1</v>
      </c>
      <c r="Z1334" s="391">
        <f>Y1304*V1334</f>
        <v>16736.899999999998</v>
      </c>
      <c r="AA1334" s="86"/>
      <c r="AB1334" s="92">
        <f>+(U1334)*Y1334</f>
        <v>16736.900000000001</v>
      </c>
      <c r="AC1334" s="93">
        <f>+AB1334-Z1334</f>
        <v>0</v>
      </c>
      <c r="AD1334" s="421"/>
      <c r="AE1334" s="410" t="str">
        <f>+IF(V1334=0,"CERO","NO")</f>
        <v>NO</v>
      </c>
    </row>
    <row r="1335" spans="3:31" s="260" customFormat="1" ht="15.75" thickBot="1" x14ac:dyDescent="0.3">
      <c r="C1335" s="84"/>
      <c r="D1335" s="355"/>
      <c r="E1335" s="367"/>
      <c r="F1335" s="367"/>
      <c r="G1335" s="367"/>
      <c r="H1335" s="367"/>
      <c r="I1335" s="367"/>
      <c r="J1335" s="422">
        <f>+J1334</f>
        <v>2.17</v>
      </c>
      <c r="K1335" s="88"/>
      <c r="M1335" s="102"/>
      <c r="N1335" s="347" t="str">
        <f>IFERROR(VLOOKUP(M1335,INSUMOS!$C$8:$K$928,2,0),"-----")</f>
        <v>-----</v>
      </c>
      <c r="O1335" s="78" t="str">
        <f>IFERROR(VLOOKUP(M1335,INSUMOS!$C$8:$K$928,3,0),"-----")</f>
        <v>-----</v>
      </c>
      <c r="P1335" s="80"/>
      <c r="Q1335" s="79"/>
      <c r="R1335" s="190" t="str">
        <f>IFERROR(VLOOKUP(M1335,INSUMOS!$C$8:$K$928,4,0),"-----")</f>
        <v>-----</v>
      </c>
      <c r="S1335" s="190" t="str">
        <f>IFERROR(VLOOKUP(M1335,INSUMOS!$C$8:$K$928,6,0),"-----")</f>
        <v>-----</v>
      </c>
      <c r="T1335" s="190" t="str">
        <f>IFERROR(VLOOKUP(M1335,INSUMOS!$C$8:$K$928,5,0),"-----")</f>
        <v>-----</v>
      </c>
      <c r="U1335" s="388">
        <f>SUM(R1335:T1335)</f>
        <v>0</v>
      </c>
      <c r="V1335" s="82">
        <f>+IFERROR((P1335/Q1335)*U1335,0)</f>
        <v>0</v>
      </c>
      <c r="Y1335" s="393">
        <f>+IFERROR((Y1304/Q1335*P1335),0)</f>
        <v>0</v>
      </c>
      <c r="Z1335" s="391">
        <f>Y1304*V1335</f>
        <v>0</v>
      </c>
      <c r="AA1335" s="86"/>
      <c r="AB1335" s="92">
        <f>+U1335*Y1335</f>
        <v>0</v>
      </c>
      <c r="AC1335" s="93">
        <f>+AB1335-Z1335</f>
        <v>0</v>
      </c>
      <c r="AD1335" s="94"/>
      <c r="AE1335" s="410" t="str">
        <f>+IF(V1335=0,"CERO","NO")</f>
        <v>CERO</v>
      </c>
    </row>
    <row r="1336" spans="3:31" s="260" customFormat="1" ht="15.75" thickBot="1" x14ac:dyDescent="0.3">
      <c r="C1336" s="84"/>
      <c r="D1336" s="380"/>
      <c r="E1336" s="381"/>
      <c r="F1336" s="381"/>
      <c r="G1336" s="381"/>
      <c r="H1336" s="381"/>
      <c r="I1336" s="381"/>
      <c r="J1336" s="382"/>
      <c r="K1336" s="88"/>
      <c r="M1336" s="102">
        <v>0</v>
      </c>
      <c r="N1336" s="347"/>
      <c r="O1336" s="79"/>
      <c r="P1336" s="423"/>
      <c r="Q1336" s="81"/>
      <c r="R1336" s="111"/>
      <c r="S1336" s="357"/>
      <c r="T1336" s="111"/>
      <c r="U1336" s="388"/>
      <c r="V1336" s="426"/>
      <c r="Y1336" s="393">
        <f>+IFERROR((Y1304/Q1336*P1336),0)</f>
        <v>0</v>
      </c>
      <c r="Z1336" s="391">
        <f>Y1304*V1336</f>
        <v>0</v>
      </c>
      <c r="AA1336" s="86"/>
      <c r="AB1336" s="92">
        <f>+(U1336)*Y1336*P1336</f>
        <v>0</v>
      </c>
      <c r="AC1336" s="93">
        <f>+AB1336-Z1336</f>
        <v>0</v>
      </c>
      <c r="AD1336" s="94"/>
      <c r="AE1336" s="410" t="str">
        <f>+IF(V1336=0,"CERO","NO")</f>
        <v>CERO</v>
      </c>
    </row>
    <row r="1337" spans="3:31" s="260" customFormat="1" ht="15.75" thickBot="1" x14ac:dyDescent="0.3">
      <c r="C1337" s="84"/>
      <c r="D1337" s="375" t="s">
        <v>128</v>
      </c>
      <c r="E1337" s="376" t="s">
        <v>129</v>
      </c>
      <c r="F1337" s="376" t="s">
        <v>130</v>
      </c>
      <c r="G1337" s="376" t="s">
        <v>131</v>
      </c>
      <c r="H1337" s="376" t="s">
        <v>132</v>
      </c>
      <c r="I1337" s="376" t="s">
        <v>133</v>
      </c>
      <c r="J1337" s="377" t="s">
        <v>134</v>
      </c>
      <c r="K1337" s="88"/>
      <c r="M1337" s="534"/>
      <c r="N1337" s="536" t="s">
        <v>120</v>
      </c>
      <c r="O1337" s="536"/>
      <c r="P1337" s="536"/>
      <c r="Q1337" s="536"/>
      <c r="R1337" s="536"/>
      <c r="S1337" s="536"/>
      <c r="T1337" s="536"/>
      <c r="U1337" s="536"/>
      <c r="V1337" s="82">
        <f>+SUM(V1334:V1336)</f>
        <v>5578.9666666666662</v>
      </c>
      <c r="Y1337" s="398" t="s">
        <v>135</v>
      </c>
      <c r="Z1337" s="397">
        <f>+SUM(Z1334:Z1336)</f>
        <v>16736.899999999998</v>
      </c>
      <c r="AA1337" s="86"/>
      <c r="AB1337" s="384"/>
      <c r="AC1337" s="385"/>
      <c r="AD1337" s="94"/>
      <c r="AE1337" s="399"/>
    </row>
    <row r="1338" spans="3:31" s="260" customFormat="1" ht="15.75" thickBot="1" x14ac:dyDescent="0.3">
      <c r="C1338" s="84"/>
      <c r="D1338" s="354"/>
      <c r="E1338" s="96"/>
      <c r="F1338" s="96"/>
      <c r="G1338" s="107">
        <f>+F1331</f>
        <v>2.17</v>
      </c>
      <c r="H1338" s="96"/>
      <c r="I1338" s="96"/>
      <c r="J1338" s="427"/>
      <c r="K1338" s="88"/>
      <c r="M1338" s="535"/>
      <c r="N1338" s="537" t="s">
        <v>121</v>
      </c>
      <c r="O1338" s="537"/>
      <c r="P1338" s="537"/>
      <c r="Q1338" s="537"/>
      <c r="R1338" s="537"/>
      <c r="S1338" s="537"/>
      <c r="T1338" s="537"/>
      <c r="U1338" s="537"/>
      <c r="V1338" s="413">
        <f>+ROUND(V1337,$AA$5)</f>
        <v>5578.97</v>
      </c>
      <c r="Y1338" s="401" t="s">
        <v>136</v>
      </c>
      <c r="Z1338" s="402">
        <f>+ROUND(Z1337,$AA$5)</f>
        <v>16736.900000000001</v>
      </c>
      <c r="AA1338" s="86"/>
      <c r="AB1338" s="403">
        <f>+V1338*Y1304</f>
        <v>16736.91</v>
      </c>
      <c r="AC1338" s="404">
        <f>+AB1338-Z1338</f>
        <v>9.9999999983992893E-3</v>
      </c>
      <c r="AD1338" s="94"/>
      <c r="AE1338" s="405"/>
    </row>
    <row r="1339" spans="3:31" s="260" customFormat="1" ht="15.75" thickBot="1" x14ac:dyDescent="0.3">
      <c r="C1339" s="84"/>
      <c r="D1339" s="375" t="s">
        <v>128</v>
      </c>
      <c r="E1339" s="376" t="s">
        <v>129</v>
      </c>
      <c r="F1339" s="376" t="s">
        <v>130</v>
      </c>
      <c r="G1339" s="376" t="s">
        <v>131</v>
      </c>
      <c r="H1339" s="376" t="s">
        <v>132</v>
      </c>
      <c r="I1339" s="376" t="s">
        <v>133</v>
      </c>
      <c r="J1339" s="377" t="s">
        <v>134</v>
      </c>
      <c r="K1339" s="88"/>
      <c r="M1339" s="541"/>
      <c r="N1339" s="542"/>
      <c r="O1339" s="542"/>
      <c r="P1339" s="542"/>
      <c r="Q1339" s="542"/>
      <c r="R1339" s="542"/>
      <c r="S1339" s="542"/>
      <c r="T1339" s="542"/>
      <c r="U1339" s="542"/>
      <c r="V1339" s="543"/>
      <c r="Y1339" s="378"/>
      <c r="Z1339" s="121"/>
      <c r="AA1339" s="86"/>
      <c r="AB1339" s="409"/>
      <c r="AC1339" s="121"/>
      <c r="AD1339" s="94"/>
      <c r="AE1339" s="428"/>
    </row>
    <row r="1340" spans="3:31" s="260" customFormat="1" ht="15.75" thickBot="1" x14ac:dyDescent="0.3">
      <c r="C1340" s="84"/>
      <c r="D1340" s="355"/>
      <c r="E1340" s="367"/>
      <c r="F1340" s="367"/>
      <c r="G1340" s="367"/>
      <c r="H1340" s="412">
        <f>G1338</f>
        <v>2.17</v>
      </c>
      <c r="I1340" s="412"/>
      <c r="J1340" s="422"/>
      <c r="K1340" s="88"/>
      <c r="M1340" s="544" t="s">
        <v>122</v>
      </c>
      <c r="N1340" s="537"/>
      <c r="O1340" s="537"/>
      <c r="P1340" s="537"/>
      <c r="Q1340" s="537"/>
      <c r="R1340" s="537"/>
      <c r="S1340" s="537"/>
      <c r="T1340" s="537"/>
      <c r="U1340" s="545">
        <f>+V1338+V1331+V1323+V1314</f>
        <v>28639.460000000003</v>
      </c>
      <c r="V1340" s="546"/>
      <c r="Y1340" s="429"/>
      <c r="Z1340" s="430">
        <f>+Z1338+Z1331+Z1323+Z1314</f>
        <v>85918.37</v>
      </c>
      <c r="AA1340" s="86"/>
      <c r="AB1340" s="431">
        <f>+AB1338+AB1331+AB1323+AB1314</f>
        <v>85918.38</v>
      </c>
      <c r="AC1340" s="404">
        <f>+AB1340-Z1340</f>
        <v>1.0000000009313226E-2</v>
      </c>
      <c r="AD1340" s="94"/>
      <c r="AE1340" s="432"/>
    </row>
    <row r="1341" spans="3:31" s="260" customFormat="1" ht="15.75" thickBot="1" x14ac:dyDescent="0.3"/>
    <row r="1342" spans="3:31" s="260" customFormat="1" x14ac:dyDescent="0.25">
      <c r="M1342" s="547" t="s">
        <v>348</v>
      </c>
      <c r="N1342" s="548"/>
      <c r="O1342" s="548"/>
      <c r="P1342" s="548"/>
      <c r="Q1342" s="548"/>
      <c r="R1342" s="548"/>
      <c r="S1342" s="548"/>
      <c r="T1342" s="548"/>
      <c r="U1342" s="548"/>
      <c r="V1342" s="549"/>
      <c r="Y1342" s="378"/>
      <c r="Z1342" s="121"/>
      <c r="AA1342" s="86"/>
      <c r="AB1342" s="94"/>
      <c r="AC1342" s="94"/>
      <c r="AD1342" s="94"/>
      <c r="AE1342" s="126" t="s">
        <v>133</v>
      </c>
    </row>
    <row r="1343" spans="3:31" s="260" customFormat="1" x14ac:dyDescent="0.25">
      <c r="M1343" s="515" t="s">
        <v>138</v>
      </c>
      <c r="N1343" s="516"/>
      <c r="O1343" s="516"/>
      <c r="P1343" s="516"/>
      <c r="Q1343" s="516"/>
      <c r="R1343" s="516"/>
      <c r="S1343" s="516"/>
      <c r="T1343" s="437">
        <v>0</v>
      </c>
      <c r="U1343" s="517">
        <f>+ROUND(U1340*T1343,$AA$5)</f>
        <v>0</v>
      </c>
      <c r="V1343" s="518"/>
      <c r="Y1343" s="390"/>
      <c r="Z1343" s="438">
        <f>+Z1340*T1343</f>
        <v>0</v>
      </c>
      <c r="AA1343" s="86"/>
      <c r="AB1343" s="94"/>
      <c r="AC1343" s="94"/>
      <c r="AD1343" s="94"/>
      <c r="AE1343" s="386" t="s">
        <v>133</v>
      </c>
    </row>
    <row r="1344" spans="3:31" s="260" customFormat="1" x14ac:dyDescent="0.25">
      <c r="M1344" s="515" t="s">
        <v>19</v>
      </c>
      <c r="N1344" s="516"/>
      <c r="O1344" s="516"/>
      <c r="P1344" s="516"/>
      <c r="Q1344" s="516"/>
      <c r="R1344" s="516"/>
      <c r="S1344" s="516"/>
      <c r="T1344" s="437">
        <v>0.05</v>
      </c>
      <c r="U1344" s="517">
        <f>+ROUND(U1340*T1344,$AA$5)</f>
        <v>1431.97</v>
      </c>
      <c r="V1344" s="518"/>
      <c r="Y1344" s="390"/>
      <c r="Z1344" s="438">
        <f>+Z1340*T1344</f>
        <v>4295.9184999999998</v>
      </c>
      <c r="AA1344" s="86"/>
      <c r="AB1344" s="94"/>
      <c r="AC1344" s="94"/>
      <c r="AD1344" s="94"/>
      <c r="AE1344" s="386" t="s">
        <v>133</v>
      </c>
    </row>
    <row r="1345" spans="3:31" s="260" customFormat="1" x14ac:dyDescent="0.25">
      <c r="M1345" s="515" t="s">
        <v>20</v>
      </c>
      <c r="N1345" s="516"/>
      <c r="O1345" s="516"/>
      <c r="P1345" s="516"/>
      <c r="Q1345" s="516"/>
      <c r="R1345" s="516"/>
      <c r="S1345" s="516"/>
      <c r="T1345" s="437">
        <v>0</v>
      </c>
      <c r="U1345" s="517">
        <f>+ROUND(U1340*T1345,$AA$5)</f>
        <v>0</v>
      </c>
      <c r="V1345" s="518"/>
      <c r="Y1345" s="390"/>
      <c r="Z1345" s="438">
        <f>+Z1340*T1345</f>
        <v>0</v>
      </c>
      <c r="AA1345" s="86"/>
      <c r="AB1345" s="94"/>
      <c r="AC1345" s="94"/>
      <c r="AD1345" s="94"/>
      <c r="AE1345" s="386" t="s">
        <v>133</v>
      </c>
    </row>
    <row r="1346" spans="3:31" s="260" customFormat="1" x14ac:dyDescent="0.25">
      <c r="M1346" s="515" t="s">
        <v>21</v>
      </c>
      <c r="N1346" s="516"/>
      <c r="O1346" s="516"/>
      <c r="P1346" s="516"/>
      <c r="Q1346" s="516"/>
      <c r="R1346" s="516"/>
      <c r="S1346" s="516"/>
      <c r="T1346" s="437">
        <f>$AA$9</f>
        <v>0</v>
      </c>
      <c r="U1346" s="517">
        <f>+ROUND(U1340*T1346,$AA$5)</f>
        <v>0</v>
      </c>
      <c r="V1346" s="518"/>
      <c r="Y1346" s="390"/>
      <c r="Z1346" s="438">
        <f>+Z1345*T1346</f>
        <v>0</v>
      </c>
      <c r="AA1346" s="86"/>
      <c r="AB1346" s="94"/>
      <c r="AC1346" s="94"/>
      <c r="AD1346" s="94"/>
      <c r="AE1346" s="386" t="s">
        <v>133</v>
      </c>
    </row>
    <row r="1347" spans="3:31" s="260" customFormat="1" ht="15.75" thickBot="1" x14ac:dyDescent="0.3">
      <c r="M1347" s="519" t="s">
        <v>349</v>
      </c>
      <c r="N1347" s="520"/>
      <c r="O1347" s="520"/>
      <c r="P1347" s="520"/>
      <c r="Q1347" s="520"/>
      <c r="R1347" s="520"/>
      <c r="S1347" s="520"/>
      <c r="T1347" s="520"/>
      <c r="U1347" s="521">
        <f>+SUM(U1343:V1346)</f>
        <v>1431.97</v>
      </c>
      <c r="V1347" s="522"/>
      <c r="Y1347" s="390"/>
      <c r="Z1347" s="439">
        <f>+SUM(Z1343:Z1346)</f>
        <v>4295.9184999999998</v>
      </c>
      <c r="AA1347" s="86"/>
      <c r="AB1347" s="94"/>
      <c r="AC1347" s="94"/>
      <c r="AD1347" s="94"/>
      <c r="AE1347" s="386" t="s">
        <v>133</v>
      </c>
    </row>
    <row r="1348" spans="3:31" s="260" customFormat="1" ht="15.75" thickBot="1" x14ac:dyDescent="0.3">
      <c r="D1348" s="375" t="s">
        <v>128</v>
      </c>
      <c r="E1348" s="376" t="s">
        <v>129</v>
      </c>
      <c r="F1348" s="376" t="s">
        <v>130</v>
      </c>
      <c r="G1348" s="376" t="s">
        <v>131</v>
      </c>
      <c r="H1348" s="376" t="s">
        <v>132</v>
      </c>
      <c r="I1348" s="376" t="s">
        <v>133</v>
      </c>
      <c r="J1348" s="377" t="s">
        <v>134</v>
      </c>
      <c r="M1348" s="86"/>
      <c r="N1348" s="94"/>
      <c r="O1348" s="94"/>
      <c r="P1348" s="94"/>
      <c r="Q1348" s="86"/>
      <c r="R1348" s="86"/>
      <c r="S1348" s="86"/>
      <c r="T1348" s="440"/>
      <c r="U1348" s="523"/>
      <c r="V1348" s="523"/>
      <c r="Y1348" s="390"/>
      <c r="Z1348" s="385"/>
      <c r="AA1348" s="86"/>
      <c r="AB1348" s="94"/>
      <c r="AC1348" s="94"/>
      <c r="AD1348" s="94"/>
      <c r="AE1348" s="386" t="s">
        <v>133</v>
      </c>
    </row>
    <row r="1349" spans="3:31" s="260" customFormat="1" ht="15.75" thickBot="1" x14ac:dyDescent="0.3">
      <c r="D1349" s="355"/>
      <c r="E1349" s="367"/>
      <c r="F1349" s="367"/>
      <c r="G1349" s="367"/>
      <c r="H1349" s="412"/>
      <c r="I1349" s="412">
        <f>H1340</f>
        <v>2.17</v>
      </c>
      <c r="J1349" s="422"/>
      <c r="M1349" s="524" t="s">
        <v>11</v>
      </c>
      <c r="N1349" s="525"/>
      <c r="O1349" s="525"/>
      <c r="P1349" s="525"/>
      <c r="Q1349" s="525"/>
      <c r="R1349" s="525"/>
      <c r="S1349" s="525"/>
      <c r="T1349" s="526"/>
      <c r="U1349" s="527">
        <f>+U1347+U1340</f>
        <v>30071.430000000004</v>
      </c>
      <c r="V1349" s="528"/>
      <c r="Y1349" s="429"/>
      <c r="Z1349" s="441">
        <f>+Z1347+Z1340</f>
        <v>90214.288499999995</v>
      </c>
      <c r="AA1349" s="86"/>
      <c r="AB1349" s="94"/>
      <c r="AC1349" s="94"/>
      <c r="AD1349" s="94"/>
      <c r="AE1349" s="405" t="s">
        <v>133</v>
      </c>
    </row>
    <row r="1350" spans="3:31" s="260" customFormat="1" x14ac:dyDescent="0.25"/>
    <row r="1351" spans="3:31" s="260" customFormat="1" ht="15.75" thickBot="1" x14ac:dyDescent="0.3"/>
    <row r="1352" spans="3:31" s="260" customFormat="1" ht="15.75" thickBot="1" x14ac:dyDescent="0.3">
      <c r="M1352" s="363" t="s">
        <v>88</v>
      </c>
      <c r="N1352" s="436" t="str">
        <f>+N1303</f>
        <v>CAP.2</v>
      </c>
      <c r="O1352" s="550" t="str">
        <f>IFERROR(VLOOKUP(N1352,PPTO!C:H,2,0),"----")</f>
        <v>RED HIDRAULICA</v>
      </c>
      <c r="P1352" s="551"/>
      <c r="Q1352" s="551"/>
      <c r="R1352" s="551"/>
      <c r="S1352" s="551"/>
      <c r="T1352" s="551"/>
      <c r="U1352" s="552"/>
      <c r="V1352" s="74" t="s">
        <v>91</v>
      </c>
      <c r="Y1352" s="365" t="s">
        <v>104</v>
      </c>
      <c r="Z1352" s="94"/>
      <c r="AA1352" s="188"/>
      <c r="AB1352" s="553"/>
      <c r="AC1352" s="553"/>
      <c r="AD1352" s="553"/>
      <c r="AE1352" s="94"/>
    </row>
    <row r="1353" spans="3:31" s="260" customFormat="1" ht="15.75" thickBot="1" x14ac:dyDescent="0.3">
      <c r="C1353" s="369">
        <f>+N1353</f>
        <v>2.1800000000000002</v>
      </c>
      <c r="D1353" s="86"/>
      <c r="E1353" s="86"/>
      <c r="F1353" s="86"/>
      <c r="G1353" s="86"/>
      <c r="H1353" s="86"/>
      <c r="I1353" s="86"/>
      <c r="J1353" s="86"/>
      <c r="K1353" s="370"/>
      <c r="M1353" s="75" t="s">
        <v>92</v>
      </c>
      <c r="N1353" s="371">
        <f>+ROUNDUP(N1304+0.01,2)</f>
        <v>2.1800000000000002</v>
      </c>
      <c r="O1353" s="554" t="str">
        <f>IFERROR(VLOOKUP(N1353,PPTO!C:H,2,0),"----")</f>
        <v>Codo 90° PVC Ø2_1/2"</v>
      </c>
      <c r="P1353" s="555"/>
      <c r="Q1353" s="555"/>
      <c r="R1353" s="555"/>
      <c r="S1353" s="555"/>
      <c r="T1353" s="555"/>
      <c r="U1353" s="556"/>
      <c r="V1353" s="76" t="str">
        <f>IFERROR(VLOOKUP(N1353,PPTO!C:H,3,0),"----")</f>
        <v>UND</v>
      </c>
      <c r="Y1353" s="373">
        <f>SUMIFS(PPTO!F:F,PPTO!C:C,APUS!N1353)</f>
        <v>2</v>
      </c>
      <c r="Z1353" s="94"/>
      <c r="AA1353" s="86"/>
      <c r="AB1353" s="94"/>
      <c r="AC1353" s="94"/>
      <c r="AD1353" s="94"/>
      <c r="AE1353" s="94"/>
    </row>
    <row r="1354" spans="3:31" s="260" customFormat="1" ht="15.75" thickBot="1" x14ac:dyDescent="0.3">
      <c r="C1354" s="84"/>
      <c r="D1354" s="86"/>
      <c r="E1354" s="86"/>
      <c r="F1354" s="86"/>
      <c r="G1354" s="86"/>
      <c r="H1354" s="86"/>
      <c r="I1354" s="86"/>
      <c r="J1354" s="86"/>
      <c r="K1354" s="88"/>
      <c r="M1354" s="557"/>
      <c r="N1354" s="557"/>
      <c r="O1354" s="557"/>
      <c r="P1354" s="557"/>
      <c r="Q1354" s="557"/>
      <c r="R1354" s="557"/>
      <c r="S1354" s="557"/>
      <c r="T1354" s="557"/>
      <c r="U1354" s="557"/>
      <c r="V1354" s="557"/>
      <c r="Y1354" s="374"/>
      <c r="Z1354" s="94"/>
      <c r="AA1354" s="86"/>
      <c r="AB1354" s="94"/>
      <c r="AC1354" s="94"/>
      <c r="AD1354" s="94"/>
      <c r="AE1354" s="94"/>
    </row>
    <row r="1355" spans="3:31" s="260" customFormat="1" ht="15.75" thickBot="1" x14ac:dyDescent="0.3">
      <c r="C1355" s="84"/>
      <c r="D1355" s="375" t="s">
        <v>128</v>
      </c>
      <c r="E1355" s="376" t="s">
        <v>129</v>
      </c>
      <c r="F1355" s="376" t="s">
        <v>130</v>
      </c>
      <c r="G1355" s="376" t="s">
        <v>131</v>
      </c>
      <c r="H1355" s="376" t="s">
        <v>132</v>
      </c>
      <c r="I1355" s="376" t="s">
        <v>133</v>
      </c>
      <c r="J1355" s="377" t="s">
        <v>134</v>
      </c>
      <c r="K1355" s="88"/>
      <c r="M1355" s="558" t="s">
        <v>93</v>
      </c>
      <c r="N1355" s="559"/>
      <c r="O1355" s="559"/>
      <c r="P1355" s="559"/>
      <c r="Q1355" s="559"/>
      <c r="R1355" s="559"/>
      <c r="S1355" s="559"/>
      <c r="T1355" s="559"/>
      <c r="U1355" s="559"/>
      <c r="V1355" s="560"/>
      <c r="Y1355" s="378"/>
      <c r="Z1355" s="121"/>
      <c r="AA1355" s="86"/>
      <c r="AB1355" s="513"/>
      <c r="AC1355" s="514"/>
      <c r="AD1355" s="94"/>
      <c r="AE1355" s="379"/>
    </row>
    <row r="1356" spans="3:31" s="260" customFormat="1" x14ac:dyDescent="0.25">
      <c r="C1356" s="84"/>
      <c r="D1356" s="380"/>
      <c r="E1356" s="381"/>
      <c r="F1356" s="381"/>
      <c r="G1356" s="381"/>
      <c r="H1356" s="381"/>
      <c r="I1356" s="381"/>
      <c r="J1356" s="382"/>
      <c r="K1356" s="88"/>
      <c r="M1356" s="99" t="s">
        <v>94</v>
      </c>
      <c r="N1356" s="561" t="s">
        <v>95</v>
      </c>
      <c r="O1356" s="561"/>
      <c r="P1356" s="561"/>
      <c r="Q1356" s="561"/>
      <c r="R1356" s="95" t="s">
        <v>96</v>
      </c>
      <c r="S1356" s="95" t="s">
        <v>97</v>
      </c>
      <c r="T1356" s="562" t="s">
        <v>8</v>
      </c>
      <c r="U1356" s="562"/>
      <c r="V1356" s="100" t="s">
        <v>98</v>
      </c>
      <c r="Y1356" s="383" t="s">
        <v>104</v>
      </c>
      <c r="Z1356" s="119" t="s">
        <v>9</v>
      </c>
      <c r="AA1356" s="86"/>
      <c r="AB1356" s="384"/>
      <c r="AC1356" s="385"/>
      <c r="AD1356" s="94"/>
      <c r="AE1356" s="386"/>
    </row>
    <row r="1357" spans="3:31" s="260" customFormat="1" x14ac:dyDescent="0.25">
      <c r="C1357" s="84"/>
      <c r="D1357" s="85"/>
      <c r="E1357" s="86"/>
      <c r="F1357" s="86"/>
      <c r="G1357" s="86"/>
      <c r="H1357" s="86"/>
      <c r="I1357" s="86"/>
      <c r="J1357" s="87"/>
      <c r="K1357" s="88"/>
      <c r="M1357" s="102"/>
      <c r="N1357" s="533" t="s">
        <v>99</v>
      </c>
      <c r="O1357" s="533"/>
      <c r="P1357" s="533"/>
      <c r="Q1357" s="533"/>
      <c r="R1357" s="78" t="s">
        <v>100</v>
      </c>
      <c r="S1357" s="387">
        <f>+$AA$10</f>
        <v>0.05</v>
      </c>
      <c r="T1357" s="563">
        <f>V1387</f>
        <v>5578.97</v>
      </c>
      <c r="U1357" s="563"/>
      <c r="V1357" s="389">
        <f>+IFERROR(T1357*S1357,0)</f>
        <v>278.94850000000002</v>
      </c>
      <c r="Y1357" s="390"/>
      <c r="Z1357" s="391">
        <f>Y1353*V1357</f>
        <v>557.89700000000005</v>
      </c>
      <c r="AA1357" s="86"/>
      <c r="AB1357" s="384"/>
      <c r="AC1357" s="385"/>
      <c r="AD1357" s="94"/>
      <c r="AE1357" s="386" t="str">
        <f>+IF(V1357=0,"CERO","NO")</f>
        <v>NO</v>
      </c>
    </row>
    <row r="1358" spans="3:31" s="260" customFormat="1" x14ac:dyDescent="0.25">
      <c r="C1358" s="84"/>
      <c r="D1358" s="85"/>
      <c r="E1358" s="86"/>
      <c r="F1358" s="86"/>
      <c r="G1358" s="86"/>
      <c r="H1358" s="86"/>
      <c r="I1358" s="86"/>
      <c r="J1358" s="87"/>
      <c r="K1358" s="88"/>
      <c r="M1358" s="106"/>
      <c r="N1358" s="533" t="str">
        <f>IFERROR(VLOOKUP(M1358,INSUMOS!$C$8:$K$928,2,0),"-----")</f>
        <v>-----</v>
      </c>
      <c r="O1358" s="533"/>
      <c r="P1358" s="533"/>
      <c r="Q1358" s="533"/>
      <c r="R1358" s="78" t="str">
        <f>IFERROR(VLOOKUP(M1358,INSUMOS!$C$8:$K$928,6,0),"-----")</f>
        <v>-----</v>
      </c>
      <c r="S1358" s="392"/>
      <c r="T1358" s="529" t="str">
        <f>IFERROR(VLOOKUP(M1358,INSUMOS!$C$8:$K$928,7,0),"0")</f>
        <v>0</v>
      </c>
      <c r="U1358" s="529"/>
      <c r="V1358" s="389">
        <f>+IFERROR(T1358*S1358,0)</f>
        <v>0</v>
      </c>
      <c r="Y1358" s="393">
        <f>+IFERROR(Y1353*S1358,0)</f>
        <v>0</v>
      </c>
      <c r="Z1358" s="391">
        <f>Y1353*V1358</f>
        <v>0</v>
      </c>
      <c r="AA1358" s="394"/>
      <c r="AB1358" s="395">
        <f>+Y1358*T1358</f>
        <v>0</v>
      </c>
      <c r="AC1358" s="93">
        <f>+AB1358-Z1358</f>
        <v>0</v>
      </c>
      <c r="AD1358" s="94"/>
      <c r="AE1358" s="386" t="str">
        <f>+IF(V1358=0,"CERO","NO")</f>
        <v>CERO</v>
      </c>
    </row>
    <row r="1359" spans="3:31" s="260" customFormat="1" x14ac:dyDescent="0.25">
      <c r="C1359" s="84"/>
      <c r="D1359" s="85"/>
      <c r="E1359" s="86"/>
      <c r="F1359" s="86"/>
      <c r="G1359" s="86"/>
      <c r="H1359" s="86"/>
      <c r="I1359" s="86"/>
      <c r="J1359" s="87"/>
      <c r="K1359" s="88"/>
      <c r="M1359" s="102">
        <v>0</v>
      </c>
      <c r="N1359" s="533"/>
      <c r="O1359" s="533"/>
      <c r="P1359" s="533"/>
      <c r="Q1359" s="533"/>
      <c r="R1359" s="78"/>
      <c r="S1359" s="396"/>
      <c r="T1359" s="529"/>
      <c r="U1359" s="529"/>
      <c r="V1359" s="397"/>
      <c r="Y1359" s="393">
        <f>+IFERROR(Y1353*S1359,0)</f>
        <v>0</v>
      </c>
      <c r="Z1359" s="391">
        <f>Y1353*V1359</f>
        <v>0</v>
      </c>
      <c r="AA1359" s="394"/>
      <c r="AB1359" s="395">
        <f>+Y1359*T1359</f>
        <v>0</v>
      </c>
      <c r="AC1359" s="93">
        <f>+AB1359-Z1359</f>
        <v>0</v>
      </c>
      <c r="AD1359" s="94"/>
      <c r="AE1359" s="386" t="str">
        <f>+IF(V1359=0,"CERO","NO")</f>
        <v>CERO</v>
      </c>
    </row>
    <row r="1360" spans="3:31" s="260" customFormat="1" x14ac:dyDescent="0.25">
      <c r="C1360" s="84"/>
      <c r="D1360" s="85"/>
      <c r="E1360" s="86"/>
      <c r="F1360" s="86"/>
      <c r="G1360" s="86"/>
      <c r="H1360" s="86"/>
      <c r="I1360" s="86"/>
      <c r="J1360" s="87"/>
      <c r="K1360" s="88"/>
      <c r="M1360" s="102">
        <v>0</v>
      </c>
      <c r="N1360" s="533"/>
      <c r="O1360" s="533"/>
      <c r="P1360" s="533"/>
      <c r="Q1360" s="533"/>
      <c r="R1360" s="78"/>
      <c r="S1360" s="396"/>
      <c r="T1360" s="529"/>
      <c r="U1360" s="529"/>
      <c r="V1360" s="397"/>
      <c r="Y1360" s="393">
        <f>+IFERROR(Y1353*S1360,0)</f>
        <v>0</v>
      </c>
      <c r="Z1360" s="391">
        <f>Y1353*V1360</f>
        <v>0</v>
      </c>
      <c r="AA1360" s="394"/>
      <c r="AB1360" s="395">
        <f>+Y1360*T1360</f>
        <v>0</v>
      </c>
      <c r="AC1360" s="93">
        <f>+AB1360-Z1360</f>
        <v>0</v>
      </c>
      <c r="AD1360" s="94"/>
      <c r="AE1360" s="386" t="str">
        <f>+IF(V1360=0,"CERO","NO")</f>
        <v>CERO</v>
      </c>
    </row>
    <row r="1361" spans="3:31" s="260" customFormat="1" ht="15.75" thickBot="1" x14ac:dyDescent="0.3">
      <c r="C1361" s="84"/>
      <c r="D1361" s="85"/>
      <c r="E1361" s="86"/>
      <c r="F1361" s="86"/>
      <c r="G1361" s="86"/>
      <c r="H1361" s="86"/>
      <c r="I1361" s="86"/>
      <c r="J1361" s="87"/>
      <c r="K1361" s="88"/>
      <c r="M1361" s="102">
        <v>0</v>
      </c>
      <c r="N1361" s="564"/>
      <c r="O1361" s="564"/>
      <c r="P1361" s="564"/>
      <c r="Q1361" s="564"/>
      <c r="R1361" s="96"/>
      <c r="S1361" s="96"/>
      <c r="T1361" s="565"/>
      <c r="U1361" s="565"/>
      <c r="V1361" s="101"/>
      <c r="Y1361" s="393">
        <f>+IFERROR(Y1353*S1361,0)</f>
        <v>0</v>
      </c>
      <c r="Z1361" s="391">
        <f>Y1353*V1361</f>
        <v>0</v>
      </c>
      <c r="AA1361" s="394"/>
      <c r="AB1361" s="395">
        <f>+Y1361*T1361</f>
        <v>0</v>
      </c>
      <c r="AC1361" s="93">
        <f>+AB1361-Z1361</f>
        <v>0</v>
      </c>
      <c r="AD1361" s="94"/>
      <c r="AE1361" s="386" t="str">
        <f>+IF(V1361=0,"CERO","NO")</f>
        <v>CERO</v>
      </c>
    </row>
    <row r="1362" spans="3:31" s="260" customFormat="1" ht="15.75" thickBot="1" x14ac:dyDescent="0.3">
      <c r="C1362" s="84"/>
      <c r="D1362" s="375" t="s">
        <v>128</v>
      </c>
      <c r="E1362" s="376" t="s">
        <v>129</v>
      </c>
      <c r="F1362" s="376" t="s">
        <v>130</v>
      </c>
      <c r="G1362" s="376" t="s">
        <v>131</v>
      </c>
      <c r="H1362" s="376" t="s">
        <v>132</v>
      </c>
      <c r="I1362" s="376" t="s">
        <v>133</v>
      </c>
      <c r="J1362" s="377" t="s">
        <v>134</v>
      </c>
      <c r="K1362" s="88"/>
      <c r="M1362" s="534"/>
      <c r="N1362" s="536" t="s">
        <v>101</v>
      </c>
      <c r="O1362" s="536"/>
      <c r="P1362" s="536"/>
      <c r="Q1362" s="536"/>
      <c r="R1362" s="536"/>
      <c r="S1362" s="536"/>
      <c r="T1362" s="536"/>
      <c r="U1362" s="536"/>
      <c r="V1362" s="389">
        <f>+SUM(V1357:V1361)</f>
        <v>278.94850000000002</v>
      </c>
      <c r="Y1362" s="398" t="s">
        <v>135</v>
      </c>
      <c r="Z1362" s="397">
        <f>+SUM(Z1357:Z1361)</f>
        <v>557.89700000000005</v>
      </c>
      <c r="AA1362" s="86"/>
      <c r="AB1362" s="384"/>
      <c r="AC1362" s="385"/>
      <c r="AD1362" s="94"/>
      <c r="AE1362" s="399"/>
    </row>
    <row r="1363" spans="3:31" s="260" customFormat="1" ht="15.75" thickBot="1" x14ac:dyDescent="0.3">
      <c r="C1363" s="84"/>
      <c r="D1363" s="375">
        <f>C1353</f>
        <v>2.1800000000000002</v>
      </c>
      <c r="E1363" s="376"/>
      <c r="F1363" s="376"/>
      <c r="G1363" s="376"/>
      <c r="H1363" s="376"/>
      <c r="I1363" s="376"/>
      <c r="J1363" s="377"/>
      <c r="K1363" s="88"/>
      <c r="M1363" s="566"/>
      <c r="N1363" s="567" t="s">
        <v>102</v>
      </c>
      <c r="O1363" s="567"/>
      <c r="P1363" s="567"/>
      <c r="Q1363" s="567"/>
      <c r="R1363" s="567"/>
      <c r="S1363" s="567"/>
      <c r="T1363" s="567"/>
      <c r="U1363" s="567"/>
      <c r="V1363" s="400">
        <f>+ROUND(V1362,$AA$5)</f>
        <v>278.95</v>
      </c>
      <c r="Y1363" s="401" t="s">
        <v>136</v>
      </c>
      <c r="Z1363" s="402">
        <f>+ROUND(Z1362,$AA$5)</f>
        <v>557.9</v>
      </c>
      <c r="AA1363" s="86"/>
      <c r="AB1363" s="403">
        <f>+V1363*Y1353</f>
        <v>557.9</v>
      </c>
      <c r="AC1363" s="404">
        <f>+AB1363-Z1363</f>
        <v>0</v>
      </c>
      <c r="AD1363" s="94"/>
      <c r="AE1363" s="405"/>
    </row>
    <row r="1364" spans="3:31" s="260" customFormat="1" x14ac:dyDescent="0.25">
      <c r="C1364" s="84"/>
      <c r="D1364" s="380"/>
      <c r="E1364" s="381"/>
      <c r="F1364" s="381"/>
      <c r="G1364" s="381"/>
      <c r="H1364" s="381"/>
      <c r="I1364" s="381"/>
      <c r="J1364" s="382"/>
      <c r="K1364" s="88"/>
      <c r="M1364" s="510" t="s">
        <v>103</v>
      </c>
      <c r="N1364" s="511"/>
      <c r="O1364" s="511"/>
      <c r="P1364" s="511"/>
      <c r="Q1364" s="511"/>
      <c r="R1364" s="511"/>
      <c r="S1364" s="511"/>
      <c r="T1364" s="511"/>
      <c r="U1364" s="511"/>
      <c r="V1364" s="512"/>
      <c r="Y1364" s="378"/>
      <c r="Z1364" s="121"/>
      <c r="AA1364" s="86"/>
      <c r="AB1364" s="513"/>
      <c r="AC1364" s="514"/>
      <c r="AD1364" s="94"/>
      <c r="AE1364" s="126"/>
    </row>
    <row r="1365" spans="3:31" s="260" customFormat="1" x14ac:dyDescent="0.25">
      <c r="C1365" s="84"/>
      <c r="D1365" s="85"/>
      <c r="E1365" s="86"/>
      <c r="F1365" s="86"/>
      <c r="G1365" s="86"/>
      <c r="H1365" s="86"/>
      <c r="I1365" s="86"/>
      <c r="J1365" s="87"/>
      <c r="K1365" s="88"/>
      <c r="M1365" s="99" t="s">
        <v>94</v>
      </c>
      <c r="N1365" s="561" t="s">
        <v>95</v>
      </c>
      <c r="O1365" s="561"/>
      <c r="P1365" s="561"/>
      <c r="Q1365" s="561"/>
      <c r="R1365" s="95" t="s">
        <v>96</v>
      </c>
      <c r="S1365" s="95" t="s">
        <v>104</v>
      </c>
      <c r="T1365" s="356" t="s">
        <v>105</v>
      </c>
      <c r="U1365" s="356" t="s">
        <v>8</v>
      </c>
      <c r="V1365" s="100" t="s">
        <v>98</v>
      </c>
      <c r="Y1365" s="383" t="s">
        <v>104</v>
      </c>
      <c r="Z1365" s="119" t="s">
        <v>9</v>
      </c>
      <c r="AA1365" s="86"/>
      <c r="AB1365" s="384"/>
      <c r="AC1365" s="385"/>
      <c r="AD1365" s="94"/>
      <c r="AE1365" s="406"/>
    </row>
    <row r="1366" spans="3:31" s="260" customFormat="1" x14ac:dyDescent="0.25">
      <c r="C1366" s="84"/>
      <c r="D1366" s="85"/>
      <c r="E1366" s="86"/>
      <c r="F1366" s="86"/>
      <c r="G1366" s="86"/>
      <c r="H1366" s="86"/>
      <c r="I1366" s="86"/>
      <c r="J1366" s="87"/>
      <c r="K1366" s="88"/>
      <c r="M1366" s="102">
        <v>707</v>
      </c>
      <c r="N1366" s="533" t="str">
        <f>IFERROR(VLOOKUP(M1366,INSUMOS!$C$8:$K$928,2,0),"-----")</f>
        <v>CODO 90 PVC-P 2 1/2"</v>
      </c>
      <c r="O1366" s="533"/>
      <c r="P1366" s="533"/>
      <c r="Q1366" s="533"/>
      <c r="R1366" s="78" t="str">
        <f>IFERROR(VLOOKUP(M1366,INSUMOS!$C$8:$K$928,6,0),"-----")</f>
        <v>und</v>
      </c>
      <c r="S1366" s="396">
        <v>1</v>
      </c>
      <c r="T1366" s="387">
        <v>0</v>
      </c>
      <c r="U1366" s="388">
        <f>IFERROR(VLOOKUP(M1366,INSUMOS!$C$8:$K$928,7,0),"0")</f>
        <v>45680</v>
      </c>
      <c r="V1366" s="389">
        <f>+IFERROR(U1366*(S1366*(1+T1366)),0)</f>
        <v>45680</v>
      </c>
      <c r="Y1366" s="393">
        <f>+IFERROR(Y1353*(S1366*(1+T1366)),0)</f>
        <v>2</v>
      </c>
      <c r="Z1366" s="391">
        <f>Y1353*V1366</f>
        <v>91360</v>
      </c>
      <c r="AA1366" s="394"/>
      <c r="AB1366" s="395">
        <f>+Y1366*U1366</f>
        <v>91360</v>
      </c>
      <c r="AC1366" s="93">
        <f>+AB1366-Z1366</f>
        <v>0</v>
      </c>
      <c r="AD1366" s="94"/>
      <c r="AE1366" s="406" t="str">
        <f>+IF(V1366=0,"CERO","NO")</f>
        <v>NO</v>
      </c>
    </row>
    <row r="1367" spans="3:31" s="260" customFormat="1" x14ac:dyDescent="0.25">
      <c r="C1367" s="84"/>
      <c r="D1367" s="85"/>
      <c r="E1367" s="86"/>
      <c r="F1367" s="86"/>
      <c r="G1367" s="86"/>
      <c r="H1367" s="86"/>
      <c r="I1367" s="86"/>
      <c r="J1367" s="87"/>
      <c r="K1367" s="88"/>
      <c r="M1367" s="102">
        <v>699</v>
      </c>
      <c r="N1367" s="533" t="str">
        <f>IFERROR(VLOOKUP(M1367,INSUMOS!$C$8:$K$928,2,0),"-----")</f>
        <v>SOLDADURA PVC LIQUIDA 1/4"</v>
      </c>
      <c r="O1367" s="533"/>
      <c r="P1367" s="533"/>
      <c r="Q1367" s="533"/>
      <c r="R1367" s="78" t="str">
        <f>IFERROR(VLOOKUP(M1367,INSUMOS!$C$8:$K$928,6,0),"-----")</f>
        <v>und</v>
      </c>
      <c r="S1367" s="392">
        <v>0.01</v>
      </c>
      <c r="T1367" s="387">
        <v>0.02</v>
      </c>
      <c r="U1367" s="388">
        <f>IFERROR(VLOOKUP(M1367,INSUMOS!$C$8:$K$928,7,0),"0")</f>
        <v>146569</v>
      </c>
      <c r="V1367" s="389">
        <f>+IFERROR(U1367*(S1367*(1+T1367)),0)</f>
        <v>1495.0038000000002</v>
      </c>
      <c r="Y1367" s="393">
        <f>+IFERROR(Y1353*(S1367*(1+T1367)),0)</f>
        <v>2.0400000000000001E-2</v>
      </c>
      <c r="Z1367" s="391">
        <f>Y1353*V1367</f>
        <v>2990.0076000000004</v>
      </c>
      <c r="AA1367" s="394"/>
      <c r="AB1367" s="395">
        <f>+Y1367*U1367</f>
        <v>2990.0076000000004</v>
      </c>
      <c r="AC1367" s="93">
        <f>+AB1367-Z1367</f>
        <v>0</v>
      </c>
      <c r="AD1367" s="94"/>
      <c r="AE1367" s="406" t="str">
        <f>+IF(V1367=0,"CERO","NO")</f>
        <v>NO</v>
      </c>
    </row>
    <row r="1368" spans="3:31" s="260" customFormat="1" x14ac:dyDescent="0.25">
      <c r="C1368" s="84"/>
      <c r="D1368" s="85"/>
      <c r="E1368" s="86"/>
      <c r="F1368" s="86"/>
      <c r="G1368" s="86"/>
      <c r="H1368" s="86"/>
      <c r="I1368" s="86"/>
      <c r="J1368" s="87"/>
      <c r="K1368" s="88"/>
      <c r="M1368" s="102">
        <v>700</v>
      </c>
      <c r="N1368" s="533" t="str">
        <f>IFERROR(VLOOKUP(M1368,INSUMOS!$C$8:$K$928,2,0),"-----")</f>
        <v>LIMPIADOR PVC 1/4</v>
      </c>
      <c r="O1368" s="533"/>
      <c r="P1368" s="533"/>
      <c r="Q1368" s="533"/>
      <c r="R1368" s="78" t="str">
        <f>IFERROR(VLOOKUP(M1368,INSUMOS!$C$8:$K$928,6,0),"-----")</f>
        <v>und</v>
      </c>
      <c r="S1368" s="392">
        <v>0.01</v>
      </c>
      <c r="T1368" s="387">
        <v>0.02</v>
      </c>
      <c r="U1368" s="388">
        <f>IFERROR(VLOOKUP(M1368,INSUMOS!$C$8:$K$928,7,0),"0")</f>
        <v>65913</v>
      </c>
      <c r="V1368" s="389">
        <f>+IFERROR(U1368*(S1368*(1+T1368)),0)</f>
        <v>672.31260000000009</v>
      </c>
      <c r="Y1368" s="393">
        <f>+IFERROR(Y1353*(S1368*(1+T1368)),0)</f>
        <v>2.0400000000000001E-2</v>
      </c>
      <c r="Z1368" s="391">
        <f>Y1353*V1368</f>
        <v>1344.6252000000002</v>
      </c>
      <c r="AA1368" s="394"/>
      <c r="AB1368" s="395">
        <f>+Y1368*U1368</f>
        <v>1344.6252000000002</v>
      </c>
      <c r="AC1368" s="93">
        <f>+AB1368-Z1368</f>
        <v>0</v>
      </c>
      <c r="AD1368" s="94"/>
      <c r="AE1368" s="406" t="str">
        <f>+IF(V1368=0,"CERO","NO")</f>
        <v>NO</v>
      </c>
    </row>
    <row r="1369" spans="3:31" s="260" customFormat="1" x14ac:dyDescent="0.25">
      <c r="C1369" s="84"/>
      <c r="D1369" s="85"/>
      <c r="E1369" s="86"/>
      <c r="F1369" s="86"/>
      <c r="G1369" s="86"/>
      <c r="H1369" s="86"/>
      <c r="I1369" s="86"/>
      <c r="J1369" s="87"/>
      <c r="K1369" s="88"/>
      <c r="M1369" s="102">
        <v>0</v>
      </c>
      <c r="N1369" s="533" t="str">
        <f>IFERROR(VLOOKUP(M1369,INSUMOS!$C$8:$K$928,2,0),"-----")</f>
        <v>-----</v>
      </c>
      <c r="O1369" s="533"/>
      <c r="P1369" s="533"/>
      <c r="Q1369" s="533"/>
      <c r="R1369" s="78" t="str">
        <f>IFERROR(VLOOKUP(M1369,INSUMOS!$C$8:$K$928,6,0),"-----")</f>
        <v>-----</v>
      </c>
      <c r="S1369" s="396"/>
      <c r="T1369" s="387"/>
      <c r="U1369" s="388" t="str">
        <f>IFERROR(VLOOKUP(M1369,INSUMOS!$C$8:$K$928,7,0),"0")</f>
        <v>0</v>
      </c>
      <c r="V1369" s="389">
        <f>+IFERROR(U1369*(S1369*(1+T1369)),0)</f>
        <v>0</v>
      </c>
      <c r="Y1369" s="393">
        <f>+IFERROR(Y1353*(S1369*(1+T1369)),0)</f>
        <v>0</v>
      </c>
      <c r="Z1369" s="391">
        <f>Y1353*V1369</f>
        <v>0</v>
      </c>
      <c r="AA1369" s="394"/>
      <c r="AB1369" s="395">
        <f>+Y1369*U1369</f>
        <v>0</v>
      </c>
      <c r="AC1369" s="93">
        <f>+AB1369-Z1369</f>
        <v>0</v>
      </c>
      <c r="AD1369" s="94"/>
      <c r="AE1369" s="406" t="str">
        <f>+IF(V1369=0,"CERO","NO")</f>
        <v>CERO</v>
      </c>
    </row>
    <row r="1370" spans="3:31" s="260" customFormat="1" ht="15.75" thickBot="1" x14ac:dyDescent="0.3">
      <c r="C1370" s="84"/>
      <c r="D1370" s="85"/>
      <c r="E1370" s="86"/>
      <c r="F1370" s="86"/>
      <c r="G1370" s="86"/>
      <c r="H1370" s="86"/>
      <c r="I1370" s="86"/>
      <c r="J1370" s="87"/>
      <c r="K1370" s="88"/>
      <c r="M1370" s="102">
        <v>0</v>
      </c>
      <c r="N1370" s="564"/>
      <c r="O1370" s="564"/>
      <c r="P1370" s="564"/>
      <c r="Q1370" s="564"/>
      <c r="R1370" s="96"/>
      <c r="S1370" s="79"/>
      <c r="T1370" s="97"/>
      <c r="U1370" s="358"/>
      <c r="V1370" s="397"/>
      <c r="Y1370" s="393">
        <f>+IFERROR(Y1353*(S1370*(1+T1370)),0)</f>
        <v>0</v>
      </c>
      <c r="Z1370" s="391">
        <f>Y1353*V1370</f>
        <v>0</v>
      </c>
      <c r="AA1370" s="394"/>
      <c r="AB1370" s="395">
        <f>+Y1370*U1370</f>
        <v>0</v>
      </c>
      <c r="AC1370" s="93">
        <f>+AB1370-Z1370</f>
        <v>0</v>
      </c>
      <c r="AD1370" s="94"/>
      <c r="AE1370" s="406" t="str">
        <f>+IF(V1370=0,"CERO","NO")</f>
        <v>CERO</v>
      </c>
    </row>
    <row r="1371" spans="3:31" s="260" customFormat="1" ht="15.75" thickBot="1" x14ac:dyDescent="0.3">
      <c r="C1371" s="84"/>
      <c r="D1371" s="375" t="s">
        <v>128</v>
      </c>
      <c r="E1371" s="376" t="s">
        <v>129</v>
      </c>
      <c r="F1371" s="376" t="s">
        <v>130</v>
      </c>
      <c r="G1371" s="376" t="s">
        <v>131</v>
      </c>
      <c r="H1371" s="376" t="s">
        <v>132</v>
      </c>
      <c r="I1371" s="376" t="s">
        <v>133</v>
      </c>
      <c r="J1371" s="377" t="s">
        <v>134</v>
      </c>
      <c r="K1371" s="88"/>
      <c r="M1371" s="534"/>
      <c r="N1371" s="536" t="s">
        <v>106</v>
      </c>
      <c r="O1371" s="536"/>
      <c r="P1371" s="536"/>
      <c r="Q1371" s="536"/>
      <c r="R1371" s="536"/>
      <c r="S1371" s="536"/>
      <c r="T1371" s="536"/>
      <c r="U1371" s="536"/>
      <c r="V1371" s="389">
        <f>+SUM(V1366:V1370)</f>
        <v>47847.316399999996</v>
      </c>
      <c r="Y1371" s="398" t="s">
        <v>135</v>
      </c>
      <c r="Z1371" s="397">
        <f>+SUM(Z1366:Z1370)</f>
        <v>95694.632799999992</v>
      </c>
      <c r="AA1371" s="86"/>
      <c r="AB1371" s="384"/>
      <c r="AC1371" s="385"/>
      <c r="AD1371" s="94"/>
      <c r="AE1371" s="399"/>
    </row>
    <row r="1372" spans="3:31" s="260" customFormat="1" ht="15.75" thickBot="1" x14ac:dyDescent="0.3">
      <c r="C1372" s="84"/>
      <c r="D1372" s="375"/>
      <c r="E1372" s="407">
        <f>+D1363</f>
        <v>2.1800000000000002</v>
      </c>
      <c r="F1372" s="376"/>
      <c r="G1372" s="376"/>
      <c r="H1372" s="376"/>
      <c r="I1372" s="376"/>
      <c r="J1372" s="377"/>
      <c r="K1372" s="88"/>
      <c r="M1372" s="535"/>
      <c r="N1372" s="537" t="s">
        <v>107</v>
      </c>
      <c r="O1372" s="537"/>
      <c r="P1372" s="537"/>
      <c r="Q1372" s="537"/>
      <c r="R1372" s="537"/>
      <c r="S1372" s="537"/>
      <c r="T1372" s="537"/>
      <c r="U1372" s="537"/>
      <c r="V1372" s="408">
        <f>+ROUND(V1371,$AA$5)</f>
        <v>47847.32</v>
      </c>
      <c r="Y1372" s="401" t="s">
        <v>136</v>
      </c>
      <c r="Z1372" s="402">
        <f>+ROUND(Z1371,$AA$5)</f>
        <v>95694.63</v>
      </c>
      <c r="AA1372" s="86"/>
      <c r="AB1372" s="403">
        <f>+V1372*Y1353</f>
        <v>95694.64</v>
      </c>
      <c r="AC1372" s="404">
        <f>+AB1372-Z1372</f>
        <v>9.9999999947613105E-3</v>
      </c>
      <c r="AD1372" s="94"/>
      <c r="AE1372" s="405"/>
    </row>
    <row r="1373" spans="3:31" s="260" customFormat="1" x14ac:dyDescent="0.25">
      <c r="C1373" s="84"/>
      <c r="D1373" s="380"/>
      <c r="E1373" s="381"/>
      <c r="F1373" s="381"/>
      <c r="G1373" s="381"/>
      <c r="H1373" s="381"/>
      <c r="I1373" s="381"/>
      <c r="J1373" s="382"/>
      <c r="K1373" s="88"/>
      <c r="M1373" s="568" t="s">
        <v>108</v>
      </c>
      <c r="N1373" s="569"/>
      <c r="O1373" s="569"/>
      <c r="P1373" s="569"/>
      <c r="Q1373" s="569"/>
      <c r="R1373" s="569"/>
      <c r="S1373" s="569"/>
      <c r="T1373" s="569"/>
      <c r="U1373" s="569"/>
      <c r="V1373" s="570"/>
      <c r="Y1373" s="378"/>
      <c r="Z1373" s="121"/>
      <c r="AA1373" s="86"/>
      <c r="AB1373" s="409"/>
      <c r="AC1373" s="121"/>
      <c r="AD1373" s="94"/>
      <c r="AE1373" s="126"/>
    </row>
    <row r="1374" spans="3:31" s="260" customFormat="1" ht="25.5" x14ac:dyDescent="0.25">
      <c r="C1374" s="84"/>
      <c r="D1374" s="85"/>
      <c r="E1374" s="86"/>
      <c r="F1374" s="86"/>
      <c r="G1374" s="86"/>
      <c r="H1374" s="86"/>
      <c r="I1374" s="86"/>
      <c r="J1374" s="87"/>
      <c r="K1374" s="88"/>
      <c r="M1374" s="99" t="s">
        <v>94</v>
      </c>
      <c r="N1374" s="561" t="s">
        <v>95</v>
      </c>
      <c r="O1374" s="561"/>
      <c r="P1374" s="561"/>
      <c r="Q1374" s="95" t="s">
        <v>109</v>
      </c>
      <c r="R1374" s="95" t="s">
        <v>110</v>
      </c>
      <c r="S1374" s="95" t="s">
        <v>111</v>
      </c>
      <c r="T1374" s="562" t="s">
        <v>112</v>
      </c>
      <c r="U1374" s="562"/>
      <c r="V1374" s="100" t="s">
        <v>98</v>
      </c>
      <c r="Y1374" s="383" t="s">
        <v>104</v>
      </c>
      <c r="Z1374" s="119" t="s">
        <v>9</v>
      </c>
      <c r="AA1374" s="86"/>
      <c r="AB1374" s="384"/>
      <c r="AC1374" s="385"/>
      <c r="AD1374" s="94"/>
      <c r="AE1374" s="410"/>
    </row>
    <row r="1375" spans="3:31" s="260" customFormat="1" x14ac:dyDescent="0.25">
      <c r="C1375" s="84"/>
      <c r="D1375" s="85"/>
      <c r="E1375" s="86"/>
      <c r="F1375" s="86"/>
      <c r="G1375" s="86"/>
      <c r="H1375" s="86"/>
      <c r="I1375" s="86"/>
      <c r="J1375" s="87"/>
      <c r="K1375" s="88"/>
      <c r="M1375" s="102">
        <v>129</v>
      </c>
      <c r="N1375" s="530" t="str">
        <f>IFERROR(VLOOKUP(M1375,INSUMOS!$C$8:$K$928,2,0),"-----")</f>
        <v>transporte materiales en general</v>
      </c>
      <c r="O1375" s="531"/>
      <c r="P1375" s="532"/>
      <c r="Q1375" s="78" t="str">
        <f>IFERROR(VLOOKUP(M1375,INSUMOS!$C$8:$K$928,5,0),"-----")</f>
        <v>Km</v>
      </c>
      <c r="R1375" s="80">
        <v>1</v>
      </c>
      <c r="S1375" s="80">
        <f>IFERROR(VLOOKUP(M1375,INSUMOS!$C$8:$K$928,6,0),"0")</f>
        <v>348</v>
      </c>
      <c r="T1375" s="529">
        <f>IFERROR(VLOOKUP(M1375,INSUMOS!$C$8:$K$928,7,0),"0")</f>
        <v>0.99776362060288992</v>
      </c>
      <c r="U1375" s="529"/>
      <c r="V1375" s="82">
        <f>+T1375*S1375*R1375</f>
        <v>347.2217399698057</v>
      </c>
      <c r="Y1375" s="393">
        <f>+IFERROR((R1375*S1375)*Y1353,0)</f>
        <v>696</v>
      </c>
      <c r="Z1375" s="391">
        <f>Y1353*V1375</f>
        <v>694.44347993961139</v>
      </c>
      <c r="AA1375" s="86"/>
      <c r="AB1375" s="92">
        <f>+Y1375*T1375</f>
        <v>694.44347993961139</v>
      </c>
      <c r="AC1375" s="93">
        <f>+AB1375-Z1375</f>
        <v>0</v>
      </c>
      <c r="AD1375" s="94"/>
      <c r="AE1375" s="406" t="str">
        <f>+IF(V1375=0,"CERO","NO")</f>
        <v>NO</v>
      </c>
    </row>
    <row r="1376" spans="3:31" s="260" customFormat="1" x14ac:dyDescent="0.25">
      <c r="C1376" s="84"/>
      <c r="D1376" s="85"/>
      <c r="E1376" s="86"/>
      <c r="F1376" s="86"/>
      <c r="G1376" s="86"/>
      <c r="H1376" s="86"/>
      <c r="I1376" s="86"/>
      <c r="J1376" s="87"/>
      <c r="K1376" s="88"/>
      <c r="M1376" s="102">
        <v>0</v>
      </c>
      <c r="N1376" s="530" t="str">
        <f>IFERROR(VLOOKUP(M1376,INSUMOS!$C$8:$K$928,2,0),"-----")</f>
        <v>-----</v>
      </c>
      <c r="O1376" s="531"/>
      <c r="P1376" s="532"/>
      <c r="Q1376" s="78" t="str">
        <f>IFERROR(VLOOKUP(M1376,INSUMOS!$C$8:$K$928,5,0),"-----")</f>
        <v>-----</v>
      </c>
      <c r="R1376" s="80"/>
      <c r="S1376" s="80" t="str">
        <f>IFERROR(VLOOKUP(M1376,INSUMOS!$C$8:$K$928,6,0),"0")</f>
        <v>0</v>
      </c>
      <c r="T1376" s="529" t="str">
        <f>IFERROR(VLOOKUP(M1376,INSUMOS!$C$8:$K$928,7,0),"0")</f>
        <v>0</v>
      </c>
      <c r="U1376" s="529"/>
      <c r="V1376" s="82">
        <f>+T1376*S1376*R1376</f>
        <v>0</v>
      </c>
      <c r="Y1376" s="393">
        <f>+IFERROR((R1376*S1376)*Y1353,0)</f>
        <v>0</v>
      </c>
      <c r="Z1376" s="391">
        <f>Y1353*V1376</f>
        <v>0</v>
      </c>
      <c r="AA1376" s="86"/>
      <c r="AB1376" s="92">
        <f>+Y1376*T1376</f>
        <v>0</v>
      </c>
      <c r="AC1376" s="93">
        <f>+AB1376-Z1376</f>
        <v>0</v>
      </c>
      <c r="AD1376" s="94"/>
      <c r="AE1376" s="406" t="str">
        <f>+IF(V1376=0,"CERO","NO")</f>
        <v>CERO</v>
      </c>
    </row>
    <row r="1377" spans="3:31" s="260" customFormat="1" x14ac:dyDescent="0.25">
      <c r="C1377" s="84"/>
      <c r="D1377" s="85"/>
      <c r="E1377" s="86"/>
      <c r="F1377" s="86"/>
      <c r="G1377" s="86"/>
      <c r="H1377" s="86"/>
      <c r="I1377" s="86"/>
      <c r="J1377" s="87"/>
      <c r="K1377" s="88"/>
      <c r="M1377" s="102">
        <v>0</v>
      </c>
      <c r="N1377" s="530" t="str">
        <f>IFERROR(VLOOKUP(M1377,INSUMOS!$C$8:$K$928,2,0),"-----")</f>
        <v>-----</v>
      </c>
      <c r="O1377" s="531"/>
      <c r="P1377" s="532"/>
      <c r="Q1377" s="78" t="str">
        <f>IFERROR(VLOOKUP(M1377,INSUMOS!$C$8:$K$928,5,0),"-----")</f>
        <v>-----</v>
      </c>
      <c r="R1377" s="80"/>
      <c r="S1377" s="80" t="str">
        <f>IFERROR(VLOOKUP(M1377,INSUMOS!$C$8:$K$928,6,0),"0")</f>
        <v>0</v>
      </c>
      <c r="T1377" s="529" t="str">
        <f>IFERROR(VLOOKUP(M1377,INSUMOS!$C$8:$K$928,7,0),"0")</f>
        <v>0</v>
      </c>
      <c r="U1377" s="529"/>
      <c r="V1377" s="82">
        <f>+T1377*S1377*R1377</f>
        <v>0</v>
      </c>
      <c r="Y1377" s="393">
        <f>+IFERROR((R1377*S1377)*Y1353,0)</f>
        <v>0</v>
      </c>
      <c r="Z1377" s="391">
        <f>Y1353*V1377</f>
        <v>0</v>
      </c>
      <c r="AA1377" s="86"/>
      <c r="AB1377" s="92">
        <f>+Y1377*T1377</f>
        <v>0</v>
      </c>
      <c r="AC1377" s="93">
        <f>+AB1377-Z1377</f>
        <v>0</v>
      </c>
      <c r="AD1377" s="94"/>
      <c r="AE1377" s="406" t="str">
        <f>+IF(V1377=0,"CERO","NO")</f>
        <v>CERO</v>
      </c>
    </row>
    <row r="1378" spans="3:31" s="260" customFormat="1" ht="15.75" thickBot="1" x14ac:dyDescent="0.3">
      <c r="C1378" s="84"/>
      <c r="D1378" s="89"/>
      <c r="E1378" s="90"/>
      <c r="F1378" s="90"/>
      <c r="G1378" s="90"/>
      <c r="H1378" s="90"/>
      <c r="I1378" s="90"/>
      <c r="J1378" s="91"/>
      <c r="K1378" s="88"/>
      <c r="M1378" s="102">
        <v>0</v>
      </c>
      <c r="N1378" s="533"/>
      <c r="O1378" s="533"/>
      <c r="P1378" s="533"/>
      <c r="Q1378" s="79"/>
      <c r="R1378" s="78"/>
      <c r="S1378" s="81"/>
      <c r="T1378" s="529"/>
      <c r="U1378" s="529"/>
      <c r="V1378" s="82"/>
      <c r="Y1378" s="393">
        <f>+IFERROR((R1378*S1378)*Y1353,0)</f>
        <v>0</v>
      </c>
      <c r="Z1378" s="391">
        <f>Y1353*V1378</f>
        <v>0</v>
      </c>
      <c r="AA1378" s="86"/>
      <c r="AB1378" s="92">
        <f>+Y1378*T1378</f>
        <v>0</v>
      </c>
      <c r="AC1378" s="93">
        <f>+AB1378-Z1378</f>
        <v>0</v>
      </c>
      <c r="AD1378" s="94"/>
      <c r="AE1378" s="406" t="str">
        <f>+IF(V1378=0,"CERO","NO")</f>
        <v>CERO</v>
      </c>
    </row>
    <row r="1379" spans="3:31" s="260" customFormat="1" ht="15.75" thickBot="1" x14ac:dyDescent="0.3">
      <c r="C1379" s="84"/>
      <c r="D1379" s="375" t="s">
        <v>128</v>
      </c>
      <c r="E1379" s="376" t="s">
        <v>129</v>
      </c>
      <c r="F1379" s="376" t="s">
        <v>130</v>
      </c>
      <c r="G1379" s="376" t="s">
        <v>131</v>
      </c>
      <c r="H1379" s="376" t="s">
        <v>132</v>
      </c>
      <c r="I1379" s="376" t="s">
        <v>133</v>
      </c>
      <c r="J1379" s="377" t="s">
        <v>134</v>
      </c>
      <c r="K1379" s="88"/>
      <c r="M1379" s="534"/>
      <c r="N1379" s="536" t="s">
        <v>113</v>
      </c>
      <c r="O1379" s="536"/>
      <c r="P1379" s="536"/>
      <c r="Q1379" s="536"/>
      <c r="R1379" s="536"/>
      <c r="S1379" s="536"/>
      <c r="T1379" s="536"/>
      <c r="U1379" s="536"/>
      <c r="V1379" s="411">
        <f>+SUM(V1375:V1378)</f>
        <v>347.2217399698057</v>
      </c>
      <c r="Y1379" s="398" t="s">
        <v>135</v>
      </c>
      <c r="Z1379" s="397">
        <f>+SUM(Z1375:Z1378)</f>
        <v>694.44347993961139</v>
      </c>
      <c r="AA1379" s="86"/>
      <c r="AB1379" s="384"/>
      <c r="AC1379" s="385"/>
      <c r="AD1379" s="94"/>
      <c r="AE1379" s="399"/>
    </row>
    <row r="1380" spans="3:31" s="260" customFormat="1" ht="15.75" thickBot="1" x14ac:dyDescent="0.3">
      <c r="C1380" s="84"/>
      <c r="D1380" s="355"/>
      <c r="E1380" s="367"/>
      <c r="F1380" s="412">
        <f>+E1372</f>
        <v>2.1800000000000002</v>
      </c>
      <c r="G1380" s="367"/>
      <c r="H1380" s="367"/>
      <c r="I1380" s="367"/>
      <c r="J1380" s="368"/>
      <c r="K1380" s="88"/>
      <c r="M1380" s="535"/>
      <c r="N1380" s="537" t="s">
        <v>114</v>
      </c>
      <c r="O1380" s="537"/>
      <c r="P1380" s="537"/>
      <c r="Q1380" s="537"/>
      <c r="R1380" s="537"/>
      <c r="S1380" s="537"/>
      <c r="T1380" s="537"/>
      <c r="U1380" s="537"/>
      <c r="V1380" s="413">
        <f>+ROUND(V1379,$AA$5)</f>
        <v>347.22</v>
      </c>
      <c r="Y1380" s="401" t="s">
        <v>136</v>
      </c>
      <c r="Z1380" s="402">
        <f>+ROUND(Z1379,$AA$5)</f>
        <v>694.44</v>
      </c>
      <c r="AA1380" s="86"/>
      <c r="AB1380" s="403">
        <f>+V1380*Y1353</f>
        <v>694.44</v>
      </c>
      <c r="AC1380" s="414"/>
      <c r="AD1380" s="94"/>
      <c r="AE1380" s="405"/>
    </row>
    <row r="1381" spans="3:31" s="260" customFormat="1" ht="15.75" thickBot="1" x14ac:dyDescent="0.3">
      <c r="C1381" s="84"/>
      <c r="D1381" s="415"/>
      <c r="E1381" s="416"/>
      <c r="F1381" s="416"/>
      <c r="G1381" s="416"/>
      <c r="H1381" s="416"/>
      <c r="I1381" s="416"/>
      <c r="J1381" s="417"/>
      <c r="K1381" s="88"/>
      <c r="M1381" s="538" t="s">
        <v>115</v>
      </c>
      <c r="N1381" s="539"/>
      <c r="O1381" s="539"/>
      <c r="P1381" s="539"/>
      <c r="Q1381" s="539"/>
      <c r="R1381" s="539"/>
      <c r="S1381" s="539"/>
      <c r="T1381" s="539"/>
      <c r="U1381" s="539"/>
      <c r="V1381" s="540"/>
      <c r="Y1381" s="378"/>
      <c r="Z1381" s="121"/>
      <c r="AA1381" s="86"/>
      <c r="AB1381" s="409"/>
      <c r="AC1381" s="121"/>
      <c r="AD1381" s="94"/>
      <c r="AE1381" s="126"/>
    </row>
    <row r="1382" spans="3:31" s="260" customFormat="1" ht="15.75" thickBot="1" x14ac:dyDescent="0.3">
      <c r="C1382" s="84"/>
      <c r="D1382" s="375" t="s">
        <v>128</v>
      </c>
      <c r="E1382" s="376" t="s">
        <v>129</v>
      </c>
      <c r="F1382" s="376" t="s">
        <v>130</v>
      </c>
      <c r="G1382" s="376" t="s">
        <v>131</v>
      </c>
      <c r="H1382" s="376" t="s">
        <v>132</v>
      </c>
      <c r="I1382" s="376" t="s">
        <v>133</v>
      </c>
      <c r="J1382" s="377" t="s">
        <v>134</v>
      </c>
      <c r="K1382" s="88"/>
      <c r="M1382" s="99" t="s">
        <v>94</v>
      </c>
      <c r="N1382" s="98" t="s">
        <v>95</v>
      </c>
      <c r="O1382" s="95" t="s">
        <v>96</v>
      </c>
      <c r="P1382" s="359" t="s">
        <v>104</v>
      </c>
      <c r="Q1382" s="95" t="s">
        <v>116</v>
      </c>
      <c r="R1382" s="418" t="s">
        <v>117</v>
      </c>
      <c r="S1382" s="95" t="s">
        <v>347</v>
      </c>
      <c r="T1382" s="419" t="s">
        <v>118</v>
      </c>
      <c r="U1382" s="189" t="s">
        <v>119</v>
      </c>
      <c r="V1382" s="100" t="s">
        <v>98</v>
      </c>
      <c r="Y1382" s="383" t="s">
        <v>104</v>
      </c>
      <c r="Z1382" s="119" t="s">
        <v>9</v>
      </c>
      <c r="AA1382" s="86"/>
      <c r="AB1382" s="384"/>
      <c r="AC1382" s="385"/>
      <c r="AD1382" s="94"/>
      <c r="AE1382" s="410"/>
    </row>
    <row r="1383" spans="3:31" s="260" customFormat="1" ht="25.5" x14ac:dyDescent="0.25">
      <c r="C1383" s="84"/>
      <c r="D1383" s="354"/>
      <c r="E1383" s="96"/>
      <c r="F1383" s="96"/>
      <c r="G1383" s="96"/>
      <c r="H1383" s="96"/>
      <c r="I1383" s="96"/>
      <c r="J1383" s="420">
        <f>+F1380</f>
        <v>2.1800000000000002</v>
      </c>
      <c r="K1383" s="88"/>
      <c r="M1383" s="102">
        <v>207</v>
      </c>
      <c r="N1383" s="347" t="str">
        <f>IFERROR(VLOOKUP(M1383,INSUMOS!$C$8:$K$928,2,0),"-----")</f>
        <v>Oficial Hidrosanitario</v>
      </c>
      <c r="O1383" s="78" t="str">
        <f>IFERROR(VLOOKUP(M1383,INSUMOS!$C$8:$K$928,3,0),"-----")</f>
        <v>JORNAL+PS</v>
      </c>
      <c r="P1383" s="80">
        <v>1</v>
      </c>
      <c r="Q1383" s="79">
        <v>30</v>
      </c>
      <c r="R1383" s="190">
        <f>IFERROR(VLOOKUP(M1383,INSUMOS!$C$8:$K$928,4,0),"-----")</f>
        <v>92983</v>
      </c>
      <c r="S1383" s="190">
        <f>IFERROR(VLOOKUP(M1383,INSUMOS!$C$8:$K$928,6,0),"-----")</f>
        <v>74386</v>
      </c>
      <c r="T1383" s="190">
        <f>IFERROR(VLOOKUP(M1383,INSUMOS!$C$8:$K$928,5,0),"-----")</f>
        <v>0</v>
      </c>
      <c r="U1383" s="388">
        <f>SUM(R1383:T1383)</f>
        <v>167369</v>
      </c>
      <c r="V1383" s="82">
        <f>+IFERROR((P1383/Q1383)*U1383,0)</f>
        <v>5578.9666666666662</v>
      </c>
      <c r="Y1383" s="393">
        <f>+IFERROR((Y1353/Q1383*P1383),0)</f>
        <v>6.6666666666666666E-2</v>
      </c>
      <c r="Z1383" s="391">
        <f>Y1353*V1383</f>
        <v>11157.933333333332</v>
      </c>
      <c r="AA1383" s="86"/>
      <c r="AB1383" s="92">
        <f>+(U1383)*Y1383</f>
        <v>11157.933333333332</v>
      </c>
      <c r="AC1383" s="93">
        <f>+AB1383-Z1383</f>
        <v>0</v>
      </c>
      <c r="AD1383" s="421"/>
      <c r="AE1383" s="410" t="str">
        <f>+IF(V1383=0,"CERO","NO")</f>
        <v>NO</v>
      </c>
    </row>
    <row r="1384" spans="3:31" s="260" customFormat="1" ht="15.75" thickBot="1" x14ac:dyDescent="0.3">
      <c r="C1384" s="84"/>
      <c r="D1384" s="355"/>
      <c r="E1384" s="367"/>
      <c r="F1384" s="367"/>
      <c r="G1384" s="367"/>
      <c r="H1384" s="367"/>
      <c r="I1384" s="367"/>
      <c r="J1384" s="422">
        <f>+J1383</f>
        <v>2.1800000000000002</v>
      </c>
      <c r="K1384" s="88"/>
      <c r="M1384" s="102"/>
      <c r="N1384" s="347" t="str">
        <f>IFERROR(VLOOKUP(M1384,INSUMOS!$C$8:$K$928,2,0),"-----")</f>
        <v>-----</v>
      </c>
      <c r="O1384" s="78" t="str">
        <f>IFERROR(VLOOKUP(M1384,INSUMOS!$C$8:$K$928,3,0),"-----")</f>
        <v>-----</v>
      </c>
      <c r="P1384" s="80"/>
      <c r="Q1384" s="79"/>
      <c r="R1384" s="190" t="str">
        <f>IFERROR(VLOOKUP(M1384,INSUMOS!$C$8:$K$928,4,0),"-----")</f>
        <v>-----</v>
      </c>
      <c r="S1384" s="190" t="str">
        <f>IFERROR(VLOOKUP(M1384,INSUMOS!$C$8:$K$928,6,0),"-----")</f>
        <v>-----</v>
      </c>
      <c r="T1384" s="190" t="str">
        <f>IFERROR(VLOOKUP(M1384,INSUMOS!$C$8:$K$928,5,0),"-----")</f>
        <v>-----</v>
      </c>
      <c r="U1384" s="388">
        <f>SUM(R1384:T1384)</f>
        <v>0</v>
      </c>
      <c r="V1384" s="82">
        <f>+IFERROR((P1384/Q1384)*U1384,0)</f>
        <v>0</v>
      </c>
      <c r="Y1384" s="393">
        <f>+IFERROR((Y1353/Q1384*P1384),0)</f>
        <v>0</v>
      </c>
      <c r="Z1384" s="391">
        <f>Y1353*V1384</f>
        <v>0</v>
      </c>
      <c r="AA1384" s="86"/>
      <c r="AB1384" s="92">
        <f>+U1384*Y1384</f>
        <v>0</v>
      </c>
      <c r="AC1384" s="93">
        <f>+AB1384-Z1384</f>
        <v>0</v>
      </c>
      <c r="AD1384" s="94"/>
      <c r="AE1384" s="410" t="str">
        <f>+IF(V1384=0,"CERO","NO")</f>
        <v>CERO</v>
      </c>
    </row>
    <row r="1385" spans="3:31" s="260" customFormat="1" ht="15.75" thickBot="1" x14ac:dyDescent="0.3">
      <c r="C1385" s="84"/>
      <c r="D1385" s="380"/>
      <c r="E1385" s="381"/>
      <c r="F1385" s="381"/>
      <c r="G1385" s="381"/>
      <c r="H1385" s="381"/>
      <c r="I1385" s="381"/>
      <c r="J1385" s="382"/>
      <c r="K1385" s="88"/>
      <c r="M1385" s="102">
        <v>0</v>
      </c>
      <c r="N1385" s="347"/>
      <c r="O1385" s="79"/>
      <c r="P1385" s="423"/>
      <c r="Q1385" s="81"/>
      <c r="R1385" s="111"/>
      <c r="S1385" s="357"/>
      <c r="T1385" s="111"/>
      <c r="U1385" s="388"/>
      <c r="V1385" s="426"/>
      <c r="Y1385" s="393">
        <f>+IFERROR((Y1353/Q1385*P1385),0)</f>
        <v>0</v>
      </c>
      <c r="Z1385" s="391">
        <f>Y1353*V1385</f>
        <v>0</v>
      </c>
      <c r="AA1385" s="86"/>
      <c r="AB1385" s="92">
        <f>+(U1385)*Y1385*P1385</f>
        <v>0</v>
      </c>
      <c r="AC1385" s="93">
        <f>+AB1385-Z1385</f>
        <v>0</v>
      </c>
      <c r="AD1385" s="94"/>
      <c r="AE1385" s="410" t="str">
        <f>+IF(V1385=0,"CERO","NO")</f>
        <v>CERO</v>
      </c>
    </row>
    <row r="1386" spans="3:31" s="260" customFormat="1" ht="15.75" thickBot="1" x14ac:dyDescent="0.3">
      <c r="C1386" s="84"/>
      <c r="D1386" s="375" t="s">
        <v>128</v>
      </c>
      <c r="E1386" s="376" t="s">
        <v>129</v>
      </c>
      <c r="F1386" s="376" t="s">
        <v>130</v>
      </c>
      <c r="G1386" s="376" t="s">
        <v>131</v>
      </c>
      <c r="H1386" s="376" t="s">
        <v>132</v>
      </c>
      <c r="I1386" s="376" t="s">
        <v>133</v>
      </c>
      <c r="J1386" s="377" t="s">
        <v>134</v>
      </c>
      <c r="K1386" s="88"/>
      <c r="M1386" s="534"/>
      <c r="N1386" s="536" t="s">
        <v>120</v>
      </c>
      <c r="O1386" s="536"/>
      <c r="P1386" s="536"/>
      <c r="Q1386" s="536"/>
      <c r="R1386" s="536"/>
      <c r="S1386" s="536"/>
      <c r="T1386" s="536"/>
      <c r="U1386" s="536"/>
      <c r="V1386" s="82">
        <f>+SUM(V1383:V1385)</f>
        <v>5578.9666666666662</v>
      </c>
      <c r="Y1386" s="398" t="s">
        <v>135</v>
      </c>
      <c r="Z1386" s="397">
        <f>+SUM(Z1383:Z1385)</f>
        <v>11157.933333333332</v>
      </c>
      <c r="AA1386" s="86"/>
      <c r="AB1386" s="384"/>
      <c r="AC1386" s="385"/>
      <c r="AD1386" s="94"/>
      <c r="AE1386" s="399"/>
    </row>
    <row r="1387" spans="3:31" s="260" customFormat="1" ht="15.75" thickBot="1" x14ac:dyDescent="0.3">
      <c r="C1387" s="84"/>
      <c r="D1387" s="354"/>
      <c r="E1387" s="96"/>
      <c r="F1387" s="96"/>
      <c r="G1387" s="107">
        <f>+F1380</f>
        <v>2.1800000000000002</v>
      </c>
      <c r="H1387" s="96"/>
      <c r="I1387" s="96"/>
      <c r="J1387" s="427"/>
      <c r="K1387" s="88"/>
      <c r="M1387" s="535"/>
      <c r="N1387" s="537" t="s">
        <v>121</v>
      </c>
      <c r="O1387" s="537"/>
      <c r="P1387" s="537"/>
      <c r="Q1387" s="537"/>
      <c r="R1387" s="537"/>
      <c r="S1387" s="537"/>
      <c r="T1387" s="537"/>
      <c r="U1387" s="537"/>
      <c r="V1387" s="413">
        <f>+ROUND(V1386,$AA$5)</f>
        <v>5578.97</v>
      </c>
      <c r="Y1387" s="401" t="s">
        <v>136</v>
      </c>
      <c r="Z1387" s="402">
        <f>+ROUND(Z1386,$AA$5)</f>
        <v>11157.93</v>
      </c>
      <c r="AA1387" s="86"/>
      <c r="AB1387" s="403">
        <f>+V1387*Y1353</f>
        <v>11157.94</v>
      </c>
      <c r="AC1387" s="404">
        <f>+AB1387-Z1387</f>
        <v>1.0000000000218279E-2</v>
      </c>
      <c r="AD1387" s="94"/>
      <c r="AE1387" s="405"/>
    </row>
    <row r="1388" spans="3:31" s="260" customFormat="1" ht="15.75" thickBot="1" x14ac:dyDescent="0.3">
      <c r="C1388" s="84"/>
      <c r="D1388" s="375" t="s">
        <v>128</v>
      </c>
      <c r="E1388" s="376" t="s">
        <v>129</v>
      </c>
      <c r="F1388" s="376" t="s">
        <v>130</v>
      </c>
      <c r="G1388" s="376" t="s">
        <v>131</v>
      </c>
      <c r="H1388" s="376" t="s">
        <v>132</v>
      </c>
      <c r="I1388" s="376" t="s">
        <v>133</v>
      </c>
      <c r="J1388" s="377" t="s">
        <v>134</v>
      </c>
      <c r="K1388" s="88"/>
      <c r="M1388" s="541"/>
      <c r="N1388" s="542"/>
      <c r="O1388" s="542"/>
      <c r="P1388" s="542"/>
      <c r="Q1388" s="542"/>
      <c r="R1388" s="542"/>
      <c r="S1388" s="542"/>
      <c r="T1388" s="542"/>
      <c r="U1388" s="542"/>
      <c r="V1388" s="543"/>
      <c r="Y1388" s="378"/>
      <c r="Z1388" s="121"/>
      <c r="AA1388" s="86"/>
      <c r="AB1388" s="409"/>
      <c r="AC1388" s="121"/>
      <c r="AD1388" s="94"/>
      <c r="AE1388" s="428"/>
    </row>
    <row r="1389" spans="3:31" s="260" customFormat="1" ht="15.75" thickBot="1" x14ac:dyDescent="0.3">
      <c r="C1389" s="84"/>
      <c r="D1389" s="355"/>
      <c r="E1389" s="367"/>
      <c r="F1389" s="367"/>
      <c r="G1389" s="367"/>
      <c r="H1389" s="412">
        <f>G1387</f>
        <v>2.1800000000000002</v>
      </c>
      <c r="I1389" s="412"/>
      <c r="J1389" s="422"/>
      <c r="K1389" s="88"/>
      <c r="M1389" s="544" t="s">
        <v>122</v>
      </c>
      <c r="N1389" s="537"/>
      <c r="O1389" s="537"/>
      <c r="P1389" s="537"/>
      <c r="Q1389" s="537"/>
      <c r="R1389" s="537"/>
      <c r="S1389" s="537"/>
      <c r="T1389" s="537"/>
      <c r="U1389" s="545">
        <f>+V1387+V1380+V1372+V1363</f>
        <v>54052.46</v>
      </c>
      <c r="V1389" s="546"/>
      <c r="Y1389" s="429"/>
      <c r="Z1389" s="430">
        <f>+Z1387+Z1380+Z1372+Z1363</f>
        <v>108104.9</v>
      </c>
      <c r="AA1389" s="86"/>
      <c r="AB1389" s="431">
        <f>+AB1387+AB1380+AB1372+AB1363</f>
        <v>108104.92</v>
      </c>
      <c r="AC1389" s="404">
        <f>+AB1389-Z1389</f>
        <v>2.0000000004074536E-2</v>
      </c>
      <c r="AD1389" s="94"/>
      <c r="AE1389" s="432"/>
    </row>
    <row r="1390" spans="3:31" s="260" customFormat="1" ht="15.75" thickBot="1" x14ac:dyDescent="0.3"/>
    <row r="1391" spans="3:31" s="260" customFormat="1" x14ac:dyDescent="0.25">
      <c r="M1391" s="547" t="s">
        <v>348</v>
      </c>
      <c r="N1391" s="548"/>
      <c r="O1391" s="548"/>
      <c r="P1391" s="548"/>
      <c r="Q1391" s="548"/>
      <c r="R1391" s="548"/>
      <c r="S1391" s="548"/>
      <c r="T1391" s="548"/>
      <c r="U1391" s="548"/>
      <c r="V1391" s="549"/>
      <c r="Y1391" s="378"/>
      <c r="Z1391" s="121"/>
      <c r="AA1391" s="86"/>
      <c r="AB1391" s="94"/>
      <c r="AC1391" s="94"/>
      <c r="AD1391" s="94"/>
      <c r="AE1391" s="126" t="s">
        <v>133</v>
      </c>
    </row>
    <row r="1392" spans="3:31" s="260" customFormat="1" x14ac:dyDescent="0.25">
      <c r="M1392" s="515" t="s">
        <v>138</v>
      </c>
      <c r="N1392" s="516"/>
      <c r="O1392" s="516"/>
      <c r="P1392" s="516"/>
      <c r="Q1392" s="516"/>
      <c r="R1392" s="516"/>
      <c r="S1392" s="516"/>
      <c r="T1392" s="437">
        <v>0</v>
      </c>
      <c r="U1392" s="517">
        <f>+ROUND(U1389*T1392,$AA$5)</f>
        <v>0</v>
      </c>
      <c r="V1392" s="518"/>
      <c r="Y1392" s="390"/>
      <c r="Z1392" s="438">
        <f>+Z1389*T1392</f>
        <v>0</v>
      </c>
      <c r="AA1392" s="86"/>
      <c r="AB1392" s="94"/>
      <c r="AC1392" s="94"/>
      <c r="AD1392" s="94"/>
      <c r="AE1392" s="386" t="s">
        <v>133</v>
      </c>
    </row>
    <row r="1393" spans="3:31" s="260" customFormat="1" x14ac:dyDescent="0.25">
      <c r="M1393" s="515" t="s">
        <v>19</v>
      </c>
      <c r="N1393" s="516"/>
      <c r="O1393" s="516"/>
      <c r="P1393" s="516"/>
      <c r="Q1393" s="516"/>
      <c r="R1393" s="516"/>
      <c r="S1393" s="516"/>
      <c r="T1393" s="437">
        <v>0.05</v>
      </c>
      <c r="U1393" s="517">
        <f>+ROUND(U1389*T1393,$AA$5)</f>
        <v>2702.62</v>
      </c>
      <c r="V1393" s="518"/>
      <c r="Y1393" s="390"/>
      <c r="Z1393" s="438">
        <f>+Z1389*T1393</f>
        <v>5405.2449999999999</v>
      </c>
      <c r="AA1393" s="86"/>
      <c r="AB1393" s="94"/>
      <c r="AC1393" s="94"/>
      <c r="AD1393" s="94"/>
      <c r="AE1393" s="386" t="s">
        <v>133</v>
      </c>
    </row>
    <row r="1394" spans="3:31" s="260" customFormat="1" x14ac:dyDescent="0.25">
      <c r="M1394" s="515" t="s">
        <v>20</v>
      </c>
      <c r="N1394" s="516"/>
      <c r="O1394" s="516"/>
      <c r="P1394" s="516"/>
      <c r="Q1394" s="516"/>
      <c r="R1394" s="516"/>
      <c r="S1394" s="516"/>
      <c r="T1394" s="437">
        <v>0</v>
      </c>
      <c r="U1394" s="517">
        <f>+ROUND(U1389*T1394,$AA$5)</f>
        <v>0</v>
      </c>
      <c r="V1394" s="518"/>
      <c r="Y1394" s="390"/>
      <c r="Z1394" s="438">
        <f>+Z1389*T1394</f>
        <v>0</v>
      </c>
      <c r="AA1394" s="86"/>
      <c r="AB1394" s="94"/>
      <c r="AC1394" s="94"/>
      <c r="AD1394" s="94"/>
      <c r="AE1394" s="386" t="s">
        <v>133</v>
      </c>
    </row>
    <row r="1395" spans="3:31" s="260" customFormat="1" x14ac:dyDescent="0.25">
      <c r="M1395" s="515" t="s">
        <v>21</v>
      </c>
      <c r="N1395" s="516"/>
      <c r="O1395" s="516"/>
      <c r="P1395" s="516"/>
      <c r="Q1395" s="516"/>
      <c r="R1395" s="516"/>
      <c r="S1395" s="516"/>
      <c r="T1395" s="437">
        <f>$AA$9</f>
        <v>0</v>
      </c>
      <c r="U1395" s="517">
        <f>+ROUND(U1389*T1395,$AA$5)</f>
        <v>0</v>
      </c>
      <c r="V1395" s="518"/>
      <c r="Y1395" s="390"/>
      <c r="Z1395" s="438">
        <f>+Z1394*T1395</f>
        <v>0</v>
      </c>
      <c r="AA1395" s="86"/>
      <c r="AB1395" s="94"/>
      <c r="AC1395" s="94"/>
      <c r="AD1395" s="94"/>
      <c r="AE1395" s="386" t="s">
        <v>133</v>
      </c>
    </row>
    <row r="1396" spans="3:31" s="260" customFormat="1" ht="15.75" thickBot="1" x14ac:dyDescent="0.3">
      <c r="M1396" s="519" t="s">
        <v>349</v>
      </c>
      <c r="N1396" s="520"/>
      <c r="O1396" s="520"/>
      <c r="P1396" s="520"/>
      <c r="Q1396" s="520"/>
      <c r="R1396" s="520"/>
      <c r="S1396" s="520"/>
      <c r="T1396" s="520"/>
      <c r="U1396" s="521">
        <f>+SUM(U1392:V1395)</f>
        <v>2702.62</v>
      </c>
      <c r="V1396" s="522"/>
      <c r="Y1396" s="390"/>
      <c r="Z1396" s="439">
        <f>+SUM(Z1392:Z1395)</f>
        <v>5405.2449999999999</v>
      </c>
      <c r="AA1396" s="86"/>
      <c r="AB1396" s="94"/>
      <c r="AC1396" s="94"/>
      <c r="AD1396" s="94"/>
      <c r="AE1396" s="386" t="s">
        <v>133</v>
      </c>
    </row>
    <row r="1397" spans="3:31" s="260" customFormat="1" ht="15.75" thickBot="1" x14ac:dyDescent="0.3">
      <c r="D1397" s="375" t="s">
        <v>128</v>
      </c>
      <c r="E1397" s="376" t="s">
        <v>129</v>
      </c>
      <c r="F1397" s="376" t="s">
        <v>130</v>
      </c>
      <c r="G1397" s="376" t="s">
        <v>131</v>
      </c>
      <c r="H1397" s="376" t="s">
        <v>132</v>
      </c>
      <c r="I1397" s="376" t="s">
        <v>133</v>
      </c>
      <c r="J1397" s="377" t="s">
        <v>134</v>
      </c>
      <c r="M1397" s="86"/>
      <c r="N1397" s="94"/>
      <c r="O1397" s="94"/>
      <c r="P1397" s="94"/>
      <c r="Q1397" s="86"/>
      <c r="R1397" s="86"/>
      <c r="S1397" s="86"/>
      <c r="T1397" s="440"/>
      <c r="U1397" s="523"/>
      <c r="V1397" s="523"/>
      <c r="Y1397" s="390"/>
      <c r="Z1397" s="385"/>
      <c r="AA1397" s="86"/>
      <c r="AB1397" s="94"/>
      <c r="AC1397" s="94"/>
      <c r="AD1397" s="94"/>
      <c r="AE1397" s="386" t="s">
        <v>133</v>
      </c>
    </row>
    <row r="1398" spans="3:31" s="260" customFormat="1" ht="15.75" thickBot="1" x14ac:dyDescent="0.3">
      <c r="D1398" s="355"/>
      <c r="E1398" s="367"/>
      <c r="F1398" s="367"/>
      <c r="G1398" s="367"/>
      <c r="H1398" s="412"/>
      <c r="I1398" s="412">
        <f>H1389</f>
        <v>2.1800000000000002</v>
      </c>
      <c r="J1398" s="422"/>
      <c r="M1398" s="524" t="s">
        <v>11</v>
      </c>
      <c r="N1398" s="525"/>
      <c r="O1398" s="525"/>
      <c r="P1398" s="525"/>
      <c r="Q1398" s="525"/>
      <c r="R1398" s="525"/>
      <c r="S1398" s="525"/>
      <c r="T1398" s="526"/>
      <c r="U1398" s="527">
        <f>+U1396+U1389</f>
        <v>56755.08</v>
      </c>
      <c r="V1398" s="528"/>
      <c r="Y1398" s="429"/>
      <c r="Z1398" s="441">
        <f>+Z1396+Z1389</f>
        <v>113510.14499999999</v>
      </c>
      <c r="AA1398" s="86"/>
      <c r="AB1398" s="94"/>
      <c r="AC1398" s="94"/>
      <c r="AD1398" s="94"/>
      <c r="AE1398" s="405" t="s">
        <v>133</v>
      </c>
    </row>
    <row r="1399" spans="3:31" s="260" customFormat="1" x14ac:dyDescent="0.25"/>
    <row r="1400" spans="3:31" s="260" customFormat="1" ht="15.75" thickBot="1" x14ac:dyDescent="0.3"/>
    <row r="1401" spans="3:31" s="260" customFormat="1" ht="15.75" thickBot="1" x14ac:dyDescent="0.3">
      <c r="M1401" s="363" t="s">
        <v>88</v>
      </c>
      <c r="N1401" s="436" t="str">
        <f>+N1352</f>
        <v>CAP.2</v>
      </c>
      <c r="O1401" s="550" t="str">
        <f>IFERROR(VLOOKUP(N1401,PPTO!C:H,2,0),"----")</f>
        <v>RED HIDRAULICA</v>
      </c>
      <c r="P1401" s="551"/>
      <c r="Q1401" s="551"/>
      <c r="R1401" s="551"/>
      <c r="S1401" s="551"/>
      <c r="T1401" s="551"/>
      <c r="U1401" s="552"/>
      <c r="V1401" s="74" t="s">
        <v>91</v>
      </c>
      <c r="Y1401" s="365" t="s">
        <v>104</v>
      </c>
      <c r="Z1401" s="94"/>
      <c r="AA1401" s="188"/>
      <c r="AB1401" s="553"/>
      <c r="AC1401" s="553"/>
      <c r="AD1401" s="553"/>
      <c r="AE1401" s="94"/>
    </row>
    <row r="1402" spans="3:31" s="260" customFormat="1" ht="15.75" thickBot="1" x14ac:dyDescent="0.3">
      <c r="C1402" s="369">
        <f>+N1402</f>
        <v>2.19</v>
      </c>
      <c r="D1402" s="86"/>
      <c r="E1402" s="86"/>
      <c r="F1402" s="86"/>
      <c r="G1402" s="86"/>
      <c r="H1402" s="86"/>
      <c r="I1402" s="86"/>
      <c r="J1402" s="86"/>
      <c r="K1402" s="370"/>
      <c r="M1402" s="75" t="s">
        <v>92</v>
      </c>
      <c r="N1402" s="371">
        <f>+ROUNDUP(N1353+0.01,2)</f>
        <v>2.19</v>
      </c>
      <c r="O1402" s="554" t="str">
        <f>IFERROR(VLOOKUP(N1402,PPTO!C:H,2,0),"----")</f>
        <v>Tee PVC Ø2_1/2"</v>
      </c>
      <c r="P1402" s="555"/>
      <c r="Q1402" s="555"/>
      <c r="R1402" s="555"/>
      <c r="S1402" s="555"/>
      <c r="T1402" s="555"/>
      <c r="U1402" s="556"/>
      <c r="V1402" s="76" t="str">
        <f>IFERROR(VLOOKUP(N1402,PPTO!C:H,3,0),"----")</f>
        <v>UND</v>
      </c>
      <c r="Y1402" s="373">
        <f>SUMIFS(PPTO!F:F,PPTO!C:C,APUS!N1402)</f>
        <v>10</v>
      </c>
      <c r="Z1402" s="94"/>
      <c r="AA1402" s="86"/>
      <c r="AB1402" s="94"/>
      <c r="AC1402" s="94"/>
      <c r="AD1402" s="94"/>
      <c r="AE1402" s="94"/>
    </row>
    <row r="1403" spans="3:31" s="260" customFormat="1" ht="15.75" thickBot="1" x14ac:dyDescent="0.3">
      <c r="C1403" s="84"/>
      <c r="D1403" s="86"/>
      <c r="E1403" s="86"/>
      <c r="F1403" s="86"/>
      <c r="G1403" s="86"/>
      <c r="H1403" s="86"/>
      <c r="I1403" s="86"/>
      <c r="J1403" s="86"/>
      <c r="K1403" s="88"/>
      <c r="M1403" s="557"/>
      <c r="N1403" s="557"/>
      <c r="O1403" s="557"/>
      <c r="P1403" s="557"/>
      <c r="Q1403" s="557"/>
      <c r="R1403" s="557"/>
      <c r="S1403" s="557"/>
      <c r="T1403" s="557"/>
      <c r="U1403" s="557"/>
      <c r="V1403" s="557"/>
      <c r="Y1403" s="374"/>
      <c r="Z1403" s="94"/>
      <c r="AA1403" s="86"/>
      <c r="AB1403" s="94"/>
      <c r="AC1403" s="94"/>
      <c r="AD1403" s="94"/>
      <c r="AE1403" s="94"/>
    </row>
    <row r="1404" spans="3:31" s="260" customFormat="1" ht="15.75" thickBot="1" x14ac:dyDescent="0.3">
      <c r="C1404" s="84"/>
      <c r="D1404" s="375" t="s">
        <v>128</v>
      </c>
      <c r="E1404" s="376" t="s">
        <v>129</v>
      </c>
      <c r="F1404" s="376" t="s">
        <v>130</v>
      </c>
      <c r="G1404" s="376" t="s">
        <v>131</v>
      </c>
      <c r="H1404" s="376" t="s">
        <v>132</v>
      </c>
      <c r="I1404" s="376" t="s">
        <v>133</v>
      </c>
      <c r="J1404" s="377" t="s">
        <v>134</v>
      </c>
      <c r="K1404" s="88"/>
      <c r="M1404" s="558" t="s">
        <v>93</v>
      </c>
      <c r="N1404" s="559"/>
      <c r="O1404" s="559"/>
      <c r="P1404" s="559"/>
      <c r="Q1404" s="559"/>
      <c r="R1404" s="559"/>
      <c r="S1404" s="559"/>
      <c r="T1404" s="559"/>
      <c r="U1404" s="559"/>
      <c r="V1404" s="560"/>
      <c r="Y1404" s="378"/>
      <c r="Z1404" s="121"/>
      <c r="AA1404" s="86"/>
      <c r="AB1404" s="513"/>
      <c r="AC1404" s="514"/>
      <c r="AD1404" s="94"/>
      <c r="AE1404" s="379"/>
    </row>
    <row r="1405" spans="3:31" s="260" customFormat="1" x14ac:dyDescent="0.25">
      <c r="C1405" s="84"/>
      <c r="D1405" s="380"/>
      <c r="E1405" s="381"/>
      <c r="F1405" s="381"/>
      <c r="G1405" s="381"/>
      <c r="H1405" s="381"/>
      <c r="I1405" s="381"/>
      <c r="J1405" s="382"/>
      <c r="K1405" s="88"/>
      <c r="M1405" s="99" t="s">
        <v>94</v>
      </c>
      <c r="N1405" s="561" t="s">
        <v>95</v>
      </c>
      <c r="O1405" s="561"/>
      <c r="P1405" s="561"/>
      <c r="Q1405" s="561"/>
      <c r="R1405" s="95" t="s">
        <v>96</v>
      </c>
      <c r="S1405" s="95" t="s">
        <v>97</v>
      </c>
      <c r="T1405" s="562" t="s">
        <v>8</v>
      </c>
      <c r="U1405" s="562"/>
      <c r="V1405" s="100" t="s">
        <v>98</v>
      </c>
      <c r="Y1405" s="383" t="s">
        <v>104</v>
      </c>
      <c r="Z1405" s="119" t="s">
        <v>9</v>
      </c>
      <c r="AA1405" s="86"/>
      <c r="AB1405" s="384"/>
      <c r="AC1405" s="385"/>
      <c r="AD1405" s="94"/>
      <c r="AE1405" s="386"/>
    </row>
    <row r="1406" spans="3:31" s="260" customFormat="1" x14ac:dyDescent="0.25">
      <c r="C1406" s="84"/>
      <c r="D1406" s="85"/>
      <c r="E1406" s="86"/>
      <c r="F1406" s="86"/>
      <c r="G1406" s="86"/>
      <c r="H1406" s="86"/>
      <c r="I1406" s="86"/>
      <c r="J1406" s="87"/>
      <c r="K1406" s="88"/>
      <c r="M1406" s="102"/>
      <c r="N1406" s="533" t="s">
        <v>99</v>
      </c>
      <c r="O1406" s="533"/>
      <c r="P1406" s="533"/>
      <c r="Q1406" s="533"/>
      <c r="R1406" s="78" t="s">
        <v>100</v>
      </c>
      <c r="S1406" s="387">
        <f>+$AA$10</f>
        <v>0.05</v>
      </c>
      <c r="T1406" s="563">
        <f>V1436</f>
        <v>5578.97</v>
      </c>
      <c r="U1406" s="563"/>
      <c r="V1406" s="389">
        <f>+IFERROR(T1406*S1406,0)</f>
        <v>278.94850000000002</v>
      </c>
      <c r="Y1406" s="390"/>
      <c r="Z1406" s="391">
        <f>Y1402*V1406</f>
        <v>2789.4850000000001</v>
      </c>
      <c r="AA1406" s="86"/>
      <c r="AB1406" s="384"/>
      <c r="AC1406" s="385"/>
      <c r="AD1406" s="94"/>
      <c r="AE1406" s="386" t="str">
        <f>+IF(V1406=0,"CERO","NO")</f>
        <v>NO</v>
      </c>
    </row>
    <row r="1407" spans="3:31" s="260" customFormat="1" x14ac:dyDescent="0.25">
      <c r="C1407" s="84"/>
      <c r="D1407" s="85"/>
      <c r="E1407" s="86"/>
      <c r="F1407" s="86"/>
      <c r="G1407" s="86"/>
      <c r="H1407" s="86"/>
      <c r="I1407" s="86"/>
      <c r="J1407" s="87"/>
      <c r="K1407" s="88"/>
      <c r="M1407" s="106"/>
      <c r="N1407" s="533" t="str">
        <f>IFERROR(VLOOKUP(M1407,INSUMOS!$C$8:$K$928,2,0),"-----")</f>
        <v>-----</v>
      </c>
      <c r="O1407" s="533"/>
      <c r="P1407" s="533"/>
      <c r="Q1407" s="533"/>
      <c r="R1407" s="78" t="str">
        <f>IFERROR(VLOOKUP(M1407,INSUMOS!$C$8:$K$928,6,0),"-----")</f>
        <v>-----</v>
      </c>
      <c r="S1407" s="392"/>
      <c r="T1407" s="529" t="str">
        <f>IFERROR(VLOOKUP(M1407,INSUMOS!$C$8:$K$928,7,0),"0")</f>
        <v>0</v>
      </c>
      <c r="U1407" s="529"/>
      <c r="V1407" s="389">
        <f>+IFERROR(T1407*S1407,0)</f>
        <v>0</v>
      </c>
      <c r="Y1407" s="393">
        <f>+IFERROR(Y1402*S1407,0)</f>
        <v>0</v>
      </c>
      <c r="Z1407" s="391">
        <f>Y1402*V1407</f>
        <v>0</v>
      </c>
      <c r="AA1407" s="394"/>
      <c r="AB1407" s="395">
        <f>+Y1407*T1407</f>
        <v>0</v>
      </c>
      <c r="AC1407" s="93">
        <f>+AB1407-Z1407</f>
        <v>0</v>
      </c>
      <c r="AD1407" s="94"/>
      <c r="AE1407" s="386" t="str">
        <f>+IF(V1407=0,"CERO","NO")</f>
        <v>CERO</v>
      </c>
    </row>
    <row r="1408" spans="3:31" s="260" customFormat="1" x14ac:dyDescent="0.25">
      <c r="C1408" s="84"/>
      <c r="D1408" s="85"/>
      <c r="E1408" s="86"/>
      <c r="F1408" s="86"/>
      <c r="G1408" s="86"/>
      <c r="H1408" s="86"/>
      <c r="I1408" s="86"/>
      <c r="J1408" s="87"/>
      <c r="K1408" s="88"/>
      <c r="M1408" s="102">
        <v>0</v>
      </c>
      <c r="N1408" s="533"/>
      <c r="O1408" s="533"/>
      <c r="P1408" s="533"/>
      <c r="Q1408" s="533"/>
      <c r="R1408" s="78"/>
      <c r="S1408" s="396"/>
      <c r="T1408" s="529"/>
      <c r="U1408" s="529"/>
      <c r="V1408" s="397"/>
      <c r="Y1408" s="393">
        <f>+IFERROR(Y1402*S1408,0)</f>
        <v>0</v>
      </c>
      <c r="Z1408" s="391">
        <f>Y1402*V1408</f>
        <v>0</v>
      </c>
      <c r="AA1408" s="394"/>
      <c r="AB1408" s="395">
        <f>+Y1408*T1408</f>
        <v>0</v>
      </c>
      <c r="AC1408" s="93">
        <f>+AB1408-Z1408</f>
        <v>0</v>
      </c>
      <c r="AD1408" s="94"/>
      <c r="AE1408" s="386" t="str">
        <f>+IF(V1408=0,"CERO","NO")</f>
        <v>CERO</v>
      </c>
    </row>
    <row r="1409" spans="3:31" s="260" customFormat="1" x14ac:dyDescent="0.25">
      <c r="C1409" s="84"/>
      <c r="D1409" s="85"/>
      <c r="E1409" s="86"/>
      <c r="F1409" s="86"/>
      <c r="G1409" s="86"/>
      <c r="H1409" s="86"/>
      <c r="I1409" s="86"/>
      <c r="J1409" s="87"/>
      <c r="K1409" s="88"/>
      <c r="M1409" s="102">
        <v>0</v>
      </c>
      <c r="N1409" s="533"/>
      <c r="O1409" s="533"/>
      <c r="P1409" s="533"/>
      <c r="Q1409" s="533"/>
      <c r="R1409" s="78"/>
      <c r="S1409" s="396"/>
      <c r="T1409" s="529"/>
      <c r="U1409" s="529"/>
      <c r="V1409" s="397"/>
      <c r="Y1409" s="393">
        <f>+IFERROR(Y1402*S1409,0)</f>
        <v>0</v>
      </c>
      <c r="Z1409" s="391">
        <f>Y1402*V1409</f>
        <v>0</v>
      </c>
      <c r="AA1409" s="394"/>
      <c r="AB1409" s="395">
        <f>+Y1409*T1409</f>
        <v>0</v>
      </c>
      <c r="AC1409" s="93">
        <f>+AB1409-Z1409</f>
        <v>0</v>
      </c>
      <c r="AD1409" s="94"/>
      <c r="AE1409" s="386" t="str">
        <f>+IF(V1409=0,"CERO","NO")</f>
        <v>CERO</v>
      </c>
    </row>
    <row r="1410" spans="3:31" s="260" customFormat="1" ht="15.75" thickBot="1" x14ac:dyDescent="0.3">
      <c r="C1410" s="84"/>
      <c r="D1410" s="85"/>
      <c r="E1410" s="86"/>
      <c r="F1410" s="86"/>
      <c r="G1410" s="86"/>
      <c r="H1410" s="86"/>
      <c r="I1410" s="86"/>
      <c r="J1410" s="87"/>
      <c r="K1410" s="88"/>
      <c r="M1410" s="102">
        <v>0</v>
      </c>
      <c r="N1410" s="564"/>
      <c r="O1410" s="564"/>
      <c r="P1410" s="564"/>
      <c r="Q1410" s="564"/>
      <c r="R1410" s="96"/>
      <c r="S1410" s="96"/>
      <c r="T1410" s="565"/>
      <c r="U1410" s="565"/>
      <c r="V1410" s="101"/>
      <c r="Y1410" s="393">
        <f>+IFERROR(Y1402*S1410,0)</f>
        <v>0</v>
      </c>
      <c r="Z1410" s="391">
        <f>Y1402*V1410</f>
        <v>0</v>
      </c>
      <c r="AA1410" s="394"/>
      <c r="AB1410" s="395">
        <f>+Y1410*T1410</f>
        <v>0</v>
      </c>
      <c r="AC1410" s="93">
        <f>+AB1410-Z1410</f>
        <v>0</v>
      </c>
      <c r="AD1410" s="94"/>
      <c r="AE1410" s="386" t="str">
        <f>+IF(V1410=0,"CERO","NO")</f>
        <v>CERO</v>
      </c>
    </row>
    <row r="1411" spans="3:31" s="260" customFormat="1" ht="15.75" thickBot="1" x14ac:dyDescent="0.3">
      <c r="C1411" s="84"/>
      <c r="D1411" s="375" t="s">
        <v>128</v>
      </c>
      <c r="E1411" s="376" t="s">
        <v>129</v>
      </c>
      <c r="F1411" s="376" t="s">
        <v>130</v>
      </c>
      <c r="G1411" s="376" t="s">
        <v>131</v>
      </c>
      <c r="H1411" s="376" t="s">
        <v>132</v>
      </c>
      <c r="I1411" s="376" t="s">
        <v>133</v>
      </c>
      <c r="J1411" s="377" t="s">
        <v>134</v>
      </c>
      <c r="K1411" s="88"/>
      <c r="M1411" s="534"/>
      <c r="N1411" s="536" t="s">
        <v>101</v>
      </c>
      <c r="O1411" s="536"/>
      <c r="P1411" s="536"/>
      <c r="Q1411" s="536"/>
      <c r="R1411" s="536"/>
      <c r="S1411" s="536"/>
      <c r="T1411" s="536"/>
      <c r="U1411" s="536"/>
      <c r="V1411" s="389">
        <f>+SUM(V1406:V1410)</f>
        <v>278.94850000000002</v>
      </c>
      <c r="Y1411" s="398" t="s">
        <v>135</v>
      </c>
      <c r="Z1411" s="397">
        <f>+SUM(Z1406:Z1410)</f>
        <v>2789.4850000000001</v>
      </c>
      <c r="AA1411" s="86"/>
      <c r="AB1411" s="384"/>
      <c r="AC1411" s="385"/>
      <c r="AD1411" s="94"/>
      <c r="AE1411" s="399"/>
    </row>
    <row r="1412" spans="3:31" s="260" customFormat="1" ht="15.75" thickBot="1" x14ac:dyDescent="0.3">
      <c r="C1412" s="84"/>
      <c r="D1412" s="375">
        <f>C1402</f>
        <v>2.19</v>
      </c>
      <c r="E1412" s="376"/>
      <c r="F1412" s="376"/>
      <c r="G1412" s="376"/>
      <c r="H1412" s="376"/>
      <c r="I1412" s="376"/>
      <c r="J1412" s="377"/>
      <c r="K1412" s="88"/>
      <c r="M1412" s="566"/>
      <c r="N1412" s="567" t="s">
        <v>102</v>
      </c>
      <c r="O1412" s="567"/>
      <c r="P1412" s="567"/>
      <c r="Q1412" s="567"/>
      <c r="R1412" s="567"/>
      <c r="S1412" s="567"/>
      <c r="T1412" s="567"/>
      <c r="U1412" s="567"/>
      <c r="V1412" s="400">
        <f>+ROUND(V1411,$AA$5)</f>
        <v>278.95</v>
      </c>
      <c r="Y1412" s="401" t="s">
        <v>136</v>
      </c>
      <c r="Z1412" s="402">
        <f>+ROUND(Z1411,$AA$5)</f>
        <v>2789.49</v>
      </c>
      <c r="AA1412" s="86"/>
      <c r="AB1412" s="403">
        <f>+V1412*Y1402</f>
        <v>2789.5</v>
      </c>
      <c r="AC1412" s="404">
        <f>+AB1412-Z1412</f>
        <v>1.0000000000218279E-2</v>
      </c>
      <c r="AD1412" s="94"/>
      <c r="AE1412" s="405"/>
    </row>
    <row r="1413" spans="3:31" s="260" customFormat="1" x14ac:dyDescent="0.25">
      <c r="C1413" s="84"/>
      <c r="D1413" s="380"/>
      <c r="E1413" s="381"/>
      <c r="F1413" s="381"/>
      <c r="G1413" s="381"/>
      <c r="H1413" s="381"/>
      <c r="I1413" s="381"/>
      <c r="J1413" s="382"/>
      <c r="K1413" s="88"/>
      <c r="M1413" s="510" t="s">
        <v>103</v>
      </c>
      <c r="N1413" s="511"/>
      <c r="O1413" s="511"/>
      <c r="P1413" s="511"/>
      <c r="Q1413" s="511"/>
      <c r="R1413" s="511"/>
      <c r="S1413" s="511"/>
      <c r="T1413" s="511"/>
      <c r="U1413" s="511"/>
      <c r="V1413" s="512"/>
      <c r="Y1413" s="378"/>
      <c r="Z1413" s="121"/>
      <c r="AA1413" s="86"/>
      <c r="AB1413" s="513"/>
      <c r="AC1413" s="514"/>
      <c r="AD1413" s="94"/>
      <c r="AE1413" s="126"/>
    </row>
    <row r="1414" spans="3:31" s="260" customFormat="1" x14ac:dyDescent="0.25">
      <c r="C1414" s="84"/>
      <c r="D1414" s="85"/>
      <c r="E1414" s="86"/>
      <c r="F1414" s="86"/>
      <c r="G1414" s="86"/>
      <c r="H1414" s="86"/>
      <c r="I1414" s="86"/>
      <c r="J1414" s="87"/>
      <c r="K1414" s="88"/>
      <c r="M1414" s="99" t="s">
        <v>94</v>
      </c>
      <c r="N1414" s="561" t="s">
        <v>95</v>
      </c>
      <c r="O1414" s="561"/>
      <c r="P1414" s="561"/>
      <c r="Q1414" s="561"/>
      <c r="R1414" s="95" t="s">
        <v>96</v>
      </c>
      <c r="S1414" s="95" t="s">
        <v>104</v>
      </c>
      <c r="T1414" s="356" t="s">
        <v>105</v>
      </c>
      <c r="U1414" s="356" t="s">
        <v>8</v>
      </c>
      <c r="V1414" s="100" t="s">
        <v>98</v>
      </c>
      <c r="Y1414" s="383" t="s">
        <v>104</v>
      </c>
      <c r="Z1414" s="119" t="s">
        <v>9</v>
      </c>
      <c r="AA1414" s="86"/>
      <c r="AB1414" s="384"/>
      <c r="AC1414" s="385"/>
      <c r="AD1414" s="94"/>
      <c r="AE1414" s="406"/>
    </row>
    <row r="1415" spans="3:31" s="260" customFormat="1" x14ac:dyDescent="0.25">
      <c r="C1415" s="84"/>
      <c r="D1415" s="85"/>
      <c r="E1415" s="86"/>
      <c r="F1415" s="86"/>
      <c r="G1415" s="86"/>
      <c r="H1415" s="86"/>
      <c r="I1415" s="86"/>
      <c r="J1415" s="87"/>
      <c r="K1415" s="88"/>
      <c r="M1415" s="102">
        <v>715</v>
      </c>
      <c r="N1415" s="533" t="str">
        <f>IFERROR(VLOOKUP(M1415,INSUMOS!$C$8:$K$928,2,0),"-----")</f>
        <v>TEE PVC-P 2 1/2"</v>
      </c>
      <c r="O1415" s="533"/>
      <c r="P1415" s="533"/>
      <c r="Q1415" s="533"/>
      <c r="R1415" s="78" t="str">
        <f>IFERROR(VLOOKUP(M1415,INSUMOS!$C$8:$K$928,6,0),"-----")</f>
        <v>und</v>
      </c>
      <c r="S1415" s="396">
        <v>1</v>
      </c>
      <c r="T1415" s="387">
        <v>0</v>
      </c>
      <c r="U1415" s="388">
        <f>IFERROR(VLOOKUP(M1415,INSUMOS!$C$8:$K$928,7,0),"0")</f>
        <v>48072</v>
      </c>
      <c r="V1415" s="389">
        <f>+IFERROR(U1415*(S1415*(1+T1415)),0)</f>
        <v>48072</v>
      </c>
      <c r="Y1415" s="393">
        <f>+IFERROR(Y1402*(S1415*(1+T1415)),0)</f>
        <v>10</v>
      </c>
      <c r="Z1415" s="391">
        <f>Y1402*V1415</f>
        <v>480720</v>
      </c>
      <c r="AA1415" s="394"/>
      <c r="AB1415" s="395">
        <f>+Y1415*U1415</f>
        <v>480720</v>
      </c>
      <c r="AC1415" s="93">
        <f>+AB1415-Z1415</f>
        <v>0</v>
      </c>
      <c r="AD1415" s="94"/>
      <c r="AE1415" s="406" t="str">
        <f>+IF(V1415=0,"CERO","NO")</f>
        <v>NO</v>
      </c>
    </row>
    <row r="1416" spans="3:31" s="260" customFormat="1" x14ac:dyDescent="0.25">
      <c r="C1416" s="84"/>
      <c r="D1416" s="85"/>
      <c r="E1416" s="86"/>
      <c r="F1416" s="86"/>
      <c r="G1416" s="86"/>
      <c r="H1416" s="86"/>
      <c r="I1416" s="86"/>
      <c r="J1416" s="87"/>
      <c r="K1416" s="88"/>
      <c r="M1416" s="102">
        <v>699</v>
      </c>
      <c r="N1416" s="533" t="str">
        <f>IFERROR(VLOOKUP(M1416,INSUMOS!$C$8:$K$928,2,0),"-----")</f>
        <v>SOLDADURA PVC LIQUIDA 1/4"</v>
      </c>
      <c r="O1416" s="533"/>
      <c r="P1416" s="533"/>
      <c r="Q1416" s="533"/>
      <c r="R1416" s="78" t="str">
        <f>IFERROR(VLOOKUP(M1416,INSUMOS!$C$8:$K$928,6,0),"-----")</f>
        <v>und</v>
      </c>
      <c r="S1416" s="392">
        <v>0.01</v>
      </c>
      <c r="T1416" s="387">
        <v>0.02</v>
      </c>
      <c r="U1416" s="388">
        <f>IFERROR(VLOOKUP(M1416,INSUMOS!$C$8:$K$928,7,0),"0")</f>
        <v>146569</v>
      </c>
      <c r="V1416" s="389">
        <f>+IFERROR(U1416*(S1416*(1+T1416)),0)</f>
        <v>1495.0038000000002</v>
      </c>
      <c r="Y1416" s="393">
        <f>+IFERROR(Y1402*(S1416*(1+T1416)),0)</f>
        <v>0.10200000000000001</v>
      </c>
      <c r="Z1416" s="391">
        <f>Y1402*V1416</f>
        <v>14950.038000000002</v>
      </c>
      <c r="AA1416" s="394"/>
      <c r="AB1416" s="395">
        <f>+Y1416*U1416</f>
        <v>14950.038</v>
      </c>
      <c r="AC1416" s="93">
        <f>+AB1416-Z1416</f>
        <v>0</v>
      </c>
      <c r="AD1416" s="94"/>
      <c r="AE1416" s="406" t="str">
        <f>+IF(V1416=0,"CERO","NO")</f>
        <v>NO</v>
      </c>
    </row>
    <row r="1417" spans="3:31" s="260" customFormat="1" x14ac:dyDescent="0.25">
      <c r="C1417" s="84"/>
      <c r="D1417" s="85"/>
      <c r="E1417" s="86"/>
      <c r="F1417" s="86"/>
      <c r="G1417" s="86"/>
      <c r="H1417" s="86"/>
      <c r="I1417" s="86"/>
      <c r="J1417" s="87"/>
      <c r="K1417" s="88"/>
      <c r="M1417" s="102">
        <v>700</v>
      </c>
      <c r="N1417" s="533" t="str">
        <f>IFERROR(VLOOKUP(M1417,INSUMOS!$C$8:$K$928,2,0),"-----")</f>
        <v>LIMPIADOR PVC 1/4</v>
      </c>
      <c r="O1417" s="533"/>
      <c r="P1417" s="533"/>
      <c r="Q1417" s="533"/>
      <c r="R1417" s="78" t="str">
        <f>IFERROR(VLOOKUP(M1417,INSUMOS!$C$8:$K$928,6,0),"-----")</f>
        <v>und</v>
      </c>
      <c r="S1417" s="392">
        <v>0.01</v>
      </c>
      <c r="T1417" s="387">
        <v>0.02</v>
      </c>
      <c r="U1417" s="388">
        <f>IFERROR(VLOOKUP(M1417,INSUMOS!$C$8:$K$928,7,0),"0")</f>
        <v>65913</v>
      </c>
      <c r="V1417" s="389">
        <f>+IFERROR(U1417*(S1417*(1+T1417)),0)</f>
        <v>672.31260000000009</v>
      </c>
      <c r="Y1417" s="393">
        <f>+IFERROR(Y1402*(S1417*(1+T1417)),0)</f>
        <v>0.10200000000000001</v>
      </c>
      <c r="Z1417" s="391">
        <f>Y1402*V1417</f>
        <v>6723.1260000000011</v>
      </c>
      <c r="AA1417" s="394"/>
      <c r="AB1417" s="395">
        <f>+Y1417*U1417</f>
        <v>6723.1260000000002</v>
      </c>
      <c r="AC1417" s="93">
        <f>+AB1417-Z1417</f>
        <v>0</v>
      </c>
      <c r="AD1417" s="94"/>
      <c r="AE1417" s="406" t="str">
        <f>+IF(V1417=0,"CERO","NO")</f>
        <v>NO</v>
      </c>
    </row>
    <row r="1418" spans="3:31" s="260" customFormat="1" x14ac:dyDescent="0.25">
      <c r="C1418" s="84"/>
      <c r="D1418" s="85"/>
      <c r="E1418" s="86"/>
      <c r="F1418" s="86"/>
      <c r="G1418" s="86"/>
      <c r="H1418" s="86"/>
      <c r="I1418" s="86"/>
      <c r="J1418" s="87"/>
      <c r="K1418" s="88"/>
      <c r="M1418" s="102">
        <v>0</v>
      </c>
      <c r="N1418" s="533" t="str">
        <f>IFERROR(VLOOKUP(M1418,INSUMOS!$C$8:$K$928,2,0),"-----")</f>
        <v>-----</v>
      </c>
      <c r="O1418" s="533"/>
      <c r="P1418" s="533"/>
      <c r="Q1418" s="533"/>
      <c r="R1418" s="78" t="str">
        <f>IFERROR(VLOOKUP(M1418,INSUMOS!$C$8:$K$928,6,0),"-----")</f>
        <v>-----</v>
      </c>
      <c r="S1418" s="396"/>
      <c r="T1418" s="387"/>
      <c r="U1418" s="388" t="str">
        <f>IFERROR(VLOOKUP(M1418,INSUMOS!$C$8:$K$928,7,0),"0")</f>
        <v>0</v>
      </c>
      <c r="V1418" s="389">
        <f>+IFERROR(U1418*(S1418*(1+T1418)),0)</f>
        <v>0</v>
      </c>
      <c r="Y1418" s="393">
        <f>+IFERROR(Y1402*(S1418*(1+T1418)),0)</f>
        <v>0</v>
      </c>
      <c r="Z1418" s="391">
        <f>Y1402*V1418</f>
        <v>0</v>
      </c>
      <c r="AA1418" s="394"/>
      <c r="AB1418" s="395">
        <f>+Y1418*U1418</f>
        <v>0</v>
      </c>
      <c r="AC1418" s="93">
        <f>+AB1418-Z1418</f>
        <v>0</v>
      </c>
      <c r="AD1418" s="94"/>
      <c r="AE1418" s="406" t="str">
        <f>+IF(V1418=0,"CERO","NO")</f>
        <v>CERO</v>
      </c>
    </row>
    <row r="1419" spans="3:31" s="260" customFormat="1" ht="15.75" thickBot="1" x14ac:dyDescent="0.3">
      <c r="C1419" s="84"/>
      <c r="D1419" s="85"/>
      <c r="E1419" s="86"/>
      <c r="F1419" s="86"/>
      <c r="G1419" s="86"/>
      <c r="H1419" s="86"/>
      <c r="I1419" s="86"/>
      <c r="J1419" s="87"/>
      <c r="K1419" s="88"/>
      <c r="M1419" s="102">
        <v>0</v>
      </c>
      <c r="N1419" s="564"/>
      <c r="O1419" s="564"/>
      <c r="P1419" s="564"/>
      <c r="Q1419" s="564"/>
      <c r="R1419" s="96"/>
      <c r="S1419" s="79"/>
      <c r="T1419" s="97"/>
      <c r="U1419" s="358"/>
      <c r="V1419" s="397"/>
      <c r="Y1419" s="393">
        <f>+IFERROR(Y1402*(S1419*(1+T1419)),0)</f>
        <v>0</v>
      </c>
      <c r="Z1419" s="391">
        <f>Y1402*V1419</f>
        <v>0</v>
      </c>
      <c r="AA1419" s="394"/>
      <c r="AB1419" s="395">
        <f>+Y1419*U1419</f>
        <v>0</v>
      </c>
      <c r="AC1419" s="93">
        <f>+AB1419-Z1419</f>
        <v>0</v>
      </c>
      <c r="AD1419" s="94"/>
      <c r="AE1419" s="406" t="str">
        <f>+IF(V1419=0,"CERO","NO")</f>
        <v>CERO</v>
      </c>
    </row>
    <row r="1420" spans="3:31" s="260" customFormat="1" ht="15.75" thickBot="1" x14ac:dyDescent="0.3">
      <c r="C1420" s="84"/>
      <c r="D1420" s="375" t="s">
        <v>128</v>
      </c>
      <c r="E1420" s="376" t="s">
        <v>129</v>
      </c>
      <c r="F1420" s="376" t="s">
        <v>130</v>
      </c>
      <c r="G1420" s="376" t="s">
        <v>131</v>
      </c>
      <c r="H1420" s="376" t="s">
        <v>132</v>
      </c>
      <c r="I1420" s="376" t="s">
        <v>133</v>
      </c>
      <c r="J1420" s="377" t="s">
        <v>134</v>
      </c>
      <c r="K1420" s="88"/>
      <c r="M1420" s="534"/>
      <c r="N1420" s="536" t="s">
        <v>106</v>
      </c>
      <c r="O1420" s="536"/>
      <c r="P1420" s="536"/>
      <c r="Q1420" s="536"/>
      <c r="R1420" s="536"/>
      <c r="S1420" s="536"/>
      <c r="T1420" s="536"/>
      <c r="U1420" s="536"/>
      <c r="V1420" s="389">
        <f>+SUM(V1415:V1419)</f>
        <v>50239.316399999996</v>
      </c>
      <c r="Y1420" s="398" t="s">
        <v>135</v>
      </c>
      <c r="Z1420" s="397">
        <f>+SUM(Z1415:Z1419)</f>
        <v>502393.16399999999</v>
      </c>
      <c r="AA1420" s="86"/>
      <c r="AB1420" s="384"/>
      <c r="AC1420" s="385"/>
      <c r="AD1420" s="94"/>
      <c r="AE1420" s="399"/>
    </row>
    <row r="1421" spans="3:31" s="260" customFormat="1" ht="15.75" thickBot="1" x14ac:dyDescent="0.3">
      <c r="C1421" s="84"/>
      <c r="D1421" s="375"/>
      <c r="E1421" s="407">
        <f>+D1412</f>
        <v>2.19</v>
      </c>
      <c r="F1421" s="376"/>
      <c r="G1421" s="376"/>
      <c r="H1421" s="376"/>
      <c r="I1421" s="376"/>
      <c r="J1421" s="377"/>
      <c r="K1421" s="88"/>
      <c r="M1421" s="535"/>
      <c r="N1421" s="537" t="s">
        <v>107</v>
      </c>
      <c r="O1421" s="537"/>
      <c r="P1421" s="537"/>
      <c r="Q1421" s="537"/>
      <c r="R1421" s="537"/>
      <c r="S1421" s="537"/>
      <c r="T1421" s="537"/>
      <c r="U1421" s="537"/>
      <c r="V1421" s="408">
        <f>+ROUND(V1420,$AA$5)</f>
        <v>50239.32</v>
      </c>
      <c r="Y1421" s="401" t="s">
        <v>136</v>
      </c>
      <c r="Z1421" s="402">
        <f>+ROUND(Z1420,$AA$5)</f>
        <v>502393.16</v>
      </c>
      <c r="AA1421" s="86"/>
      <c r="AB1421" s="403">
        <f>+V1421*Y1402</f>
        <v>502393.2</v>
      </c>
      <c r="AC1421" s="404">
        <f>+AB1421-Z1421</f>
        <v>4.0000000037252903E-2</v>
      </c>
      <c r="AD1421" s="94"/>
      <c r="AE1421" s="405"/>
    </row>
    <row r="1422" spans="3:31" s="260" customFormat="1" x14ac:dyDescent="0.25">
      <c r="C1422" s="84"/>
      <c r="D1422" s="380"/>
      <c r="E1422" s="381"/>
      <c r="F1422" s="381"/>
      <c r="G1422" s="381"/>
      <c r="H1422" s="381"/>
      <c r="I1422" s="381"/>
      <c r="J1422" s="382"/>
      <c r="K1422" s="88"/>
      <c r="M1422" s="568" t="s">
        <v>108</v>
      </c>
      <c r="N1422" s="569"/>
      <c r="O1422" s="569"/>
      <c r="P1422" s="569"/>
      <c r="Q1422" s="569"/>
      <c r="R1422" s="569"/>
      <c r="S1422" s="569"/>
      <c r="T1422" s="569"/>
      <c r="U1422" s="569"/>
      <c r="V1422" s="570"/>
      <c r="Y1422" s="378"/>
      <c r="Z1422" s="121"/>
      <c r="AA1422" s="86"/>
      <c r="AB1422" s="409"/>
      <c r="AC1422" s="121"/>
      <c r="AD1422" s="94"/>
      <c r="AE1422" s="126"/>
    </row>
    <row r="1423" spans="3:31" s="260" customFormat="1" ht="25.5" x14ac:dyDescent="0.25">
      <c r="C1423" s="84"/>
      <c r="D1423" s="85"/>
      <c r="E1423" s="86"/>
      <c r="F1423" s="86"/>
      <c r="G1423" s="86"/>
      <c r="H1423" s="86"/>
      <c r="I1423" s="86"/>
      <c r="J1423" s="87"/>
      <c r="K1423" s="88"/>
      <c r="M1423" s="99" t="s">
        <v>94</v>
      </c>
      <c r="N1423" s="561" t="s">
        <v>95</v>
      </c>
      <c r="O1423" s="561"/>
      <c r="P1423" s="561"/>
      <c r="Q1423" s="95" t="s">
        <v>109</v>
      </c>
      <c r="R1423" s="95" t="s">
        <v>110</v>
      </c>
      <c r="S1423" s="95" t="s">
        <v>111</v>
      </c>
      <c r="T1423" s="562" t="s">
        <v>112</v>
      </c>
      <c r="U1423" s="562"/>
      <c r="V1423" s="100" t="s">
        <v>98</v>
      </c>
      <c r="Y1423" s="383" t="s">
        <v>104</v>
      </c>
      <c r="Z1423" s="119" t="s">
        <v>9</v>
      </c>
      <c r="AA1423" s="86"/>
      <c r="AB1423" s="384"/>
      <c r="AC1423" s="385"/>
      <c r="AD1423" s="94"/>
      <c r="AE1423" s="410"/>
    </row>
    <row r="1424" spans="3:31" s="260" customFormat="1" x14ac:dyDescent="0.25">
      <c r="C1424" s="84"/>
      <c r="D1424" s="85"/>
      <c r="E1424" s="86"/>
      <c r="F1424" s="86"/>
      <c r="G1424" s="86"/>
      <c r="H1424" s="86"/>
      <c r="I1424" s="86"/>
      <c r="J1424" s="87"/>
      <c r="K1424" s="88"/>
      <c r="M1424" s="102">
        <v>129</v>
      </c>
      <c r="N1424" s="530" t="str">
        <f>IFERROR(VLOOKUP(M1424,INSUMOS!$C$8:$K$928,2,0),"-----")</f>
        <v>transporte materiales en general</v>
      </c>
      <c r="O1424" s="531"/>
      <c r="P1424" s="532"/>
      <c r="Q1424" s="78" t="str">
        <f>IFERROR(VLOOKUP(M1424,INSUMOS!$C$8:$K$928,5,0),"-----")</f>
        <v>Km</v>
      </c>
      <c r="R1424" s="80">
        <v>1</v>
      </c>
      <c r="S1424" s="80">
        <f>IFERROR(VLOOKUP(M1424,INSUMOS!$C$8:$K$928,6,0),"0")</f>
        <v>348</v>
      </c>
      <c r="T1424" s="529">
        <f>IFERROR(VLOOKUP(M1424,INSUMOS!$C$8:$K$928,7,0),"0")</f>
        <v>0.99776362060288992</v>
      </c>
      <c r="U1424" s="529"/>
      <c r="V1424" s="82">
        <f>+T1424*S1424*R1424</f>
        <v>347.2217399698057</v>
      </c>
      <c r="Y1424" s="393">
        <f>+IFERROR((R1424*S1424)*Y1402,0)</f>
        <v>3480</v>
      </c>
      <c r="Z1424" s="391">
        <f>Y1402*V1424</f>
        <v>3472.2173996980569</v>
      </c>
      <c r="AA1424" s="86"/>
      <c r="AB1424" s="92">
        <f>+Y1424*T1424</f>
        <v>3472.2173996980569</v>
      </c>
      <c r="AC1424" s="93">
        <f>+AB1424-Z1424</f>
        <v>0</v>
      </c>
      <c r="AD1424" s="94"/>
      <c r="AE1424" s="406" t="str">
        <f>+IF(V1424=0,"CERO","NO")</f>
        <v>NO</v>
      </c>
    </row>
    <row r="1425" spans="3:31" s="260" customFormat="1" x14ac:dyDescent="0.25">
      <c r="C1425" s="84"/>
      <c r="D1425" s="85"/>
      <c r="E1425" s="86"/>
      <c r="F1425" s="86"/>
      <c r="G1425" s="86"/>
      <c r="H1425" s="86"/>
      <c r="I1425" s="86"/>
      <c r="J1425" s="87"/>
      <c r="K1425" s="88"/>
      <c r="M1425" s="102">
        <v>0</v>
      </c>
      <c r="N1425" s="530" t="str">
        <f>IFERROR(VLOOKUP(M1425,INSUMOS!$C$8:$K$928,2,0),"-----")</f>
        <v>-----</v>
      </c>
      <c r="O1425" s="531"/>
      <c r="P1425" s="532"/>
      <c r="Q1425" s="78" t="str">
        <f>IFERROR(VLOOKUP(M1425,INSUMOS!$C$8:$K$928,5,0),"-----")</f>
        <v>-----</v>
      </c>
      <c r="R1425" s="80"/>
      <c r="S1425" s="80" t="str">
        <f>IFERROR(VLOOKUP(M1425,INSUMOS!$C$8:$K$928,6,0),"0")</f>
        <v>0</v>
      </c>
      <c r="T1425" s="529" t="str">
        <f>IFERROR(VLOOKUP(M1425,INSUMOS!$C$8:$K$928,7,0),"0")</f>
        <v>0</v>
      </c>
      <c r="U1425" s="529"/>
      <c r="V1425" s="82">
        <f>+T1425*S1425*R1425</f>
        <v>0</v>
      </c>
      <c r="Y1425" s="393">
        <f>+IFERROR((R1425*S1425)*Y1402,0)</f>
        <v>0</v>
      </c>
      <c r="Z1425" s="391">
        <f>Y1402*V1425</f>
        <v>0</v>
      </c>
      <c r="AA1425" s="86"/>
      <c r="AB1425" s="92">
        <f>+Y1425*T1425</f>
        <v>0</v>
      </c>
      <c r="AC1425" s="93">
        <f>+AB1425-Z1425</f>
        <v>0</v>
      </c>
      <c r="AD1425" s="94"/>
      <c r="AE1425" s="406" t="str">
        <f>+IF(V1425=0,"CERO","NO")</f>
        <v>CERO</v>
      </c>
    </row>
    <row r="1426" spans="3:31" s="260" customFormat="1" x14ac:dyDescent="0.25">
      <c r="C1426" s="84"/>
      <c r="D1426" s="85"/>
      <c r="E1426" s="86"/>
      <c r="F1426" s="86"/>
      <c r="G1426" s="86"/>
      <c r="H1426" s="86"/>
      <c r="I1426" s="86"/>
      <c r="J1426" s="87"/>
      <c r="K1426" s="88"/>
      <c r="M1426" s="102">
        <v>0</v>
      </c>
      <c r="N1426" s="530" t="str">
        <f>IFERROR(VLOOKUP(M1426,INSUMOS!$C$8:$K$928,2,0),"-----")</f>
        <v>-----</v>
      </c>
      <c r="O1426" s="531"/>
      <c r="P1426" s="532"/>
      <c r="Q1426" s="78" t="str">
        <f>IFERROR(VLOOKUP(M1426,INSUMOS!$C$8:$K$928,5,0),"-----")</f>
        <v>-----</v>
      </c>
      <c r="R1426" s="80"/>
      <c r="S1426" s="80" t="str">
        <f>IFERROR(VLOOKUP(M1426,INSUMOS!$C$8:$K$928,6,0),"0")</f>
        <v>0</v>
      </c>
      <c r="T1426" s="529" t="str">
        <f>IFERROR(VLOOKUP(M1426,INSUMOS!$C$8:$K$928,7,0),"0")</f>
        <v>0</v>
      </c>
      <c r="U1426" s="529"/>
      <c r="V1426" s="82">
        <f>+T1426*S1426*R1426</f>
        <v>0</v>
      </c>
      <c r="Y1426" s="393">
        <f>+IFERROR((R1426*S1426)*Y1402,0)</f>
        <v>0</v>
      </c>
      <c r="Z1426" s="391">
        <f>Y1402*V1426</f>
        <v>0</v>
      </c>
      <c r="AA1426" s="86"/>
      <c r="AB1426" s="92">
        <f>+Y1426*T1426</f>
        <v>0</v>
      </c>
      <c r="AC1426" s="93">
        <f>+AB1426-Z1426</f>
        <v>0</v>
      </c>
      <c r="AD1426" s="94"/>
      <c r="AE1426" s="406" t="str">
        <f>+IF(V1426=0,"CERO","NO")</f>
        <v>CERO</v>
      </c>
    </row>
    <row r="1427" spans="3:31" s="260" customFormat="1" ht="15.75" thickBot="1" x14ac:dyDescent="0.3">
      <c r="C1427" s="84"/>
      <c r="D1427" s="89"/>
      <c r="E1427" s="90"/>
      <c r="F1427" s="90"/>
      <c r="G1427" s="90"/>
      <c r="H1427" s="90"/>
      <c r="I1427" s="90"/>
      <c r="J1427" s="91"/>
      <c r="K1427" s="88"/>
      <c r="M1427" s="102">
        <v>0</v>
      </c>
      <c r="N1427" s="533"/>
      <c r="O1427" s="533"/>
      <c r="P1427" s="533"/>
      <c r="Q1427" s="79"/>
      <c r="R1427" s="78"/>
      <c r="S1427" s="81"/>
      <c r="T1427" s="529"/>
      <c r="U1427" s="529"/>
      <c r="V1427" s="82"/>
      <c r="Y1427" s="393">
        <f>+IFERROR((R1427*S1427)*Y1402,0)</f>
        <v>0</v>
      </c>
      <c r="Z1427" s="391">
        <f>Y1402*V1427</f>
        <v>0</v>
      </c>
      <c r="AA1427" s="86"/>
      <c r="AB1427" s="92">
        <f>+Y1427*T1427</f>
        <v>0</v>
      </c>
      <c r="AC1427" s="93">
        <f>+AB1427-Z1427</f>
        <v>0</v>
      </c>
      <c r="AD1427" s="94"/>
      <c r="AE1427" s="406" t="str">
        <f>+IF(V1427=0,"CERO","NO")</f>
        <v>CERO</v>
      </c>
    </row>
    <row r="1428" spans="3:31" s="260" customFormat="1" ht="15.75" thickBot="1" x14ac:dyDescent="0.3">
      <c r="C1428" s="84"/>
      <c r="D1428" s="375" t="s">
        <v>128</v>
      </c>
      <c r="E1428" s="376" t="s">
        <v>129</v>
      </c>
      <c r="F1428" s="376" t="s">
        <v>130</v>
      </c>
      <c r="G1428" s="376" t="s">
        <v>131</v>
      </c>
      <c r="H1428" s="376" t="s">
        <v>132</v>
      </c>
      <c r="I1428" s="376" t="s">
        <v>133</v>
      </c>
      <c r="J1428" s="377" t="s">
        <v>134</v>
      </c>
      <c r="K1428" s="88"/>
      <c r="M1428" s="534"/>
      <c r="N1428" s="536" t="s">
        <v>113</v>
      </c>
      <c r="O1428" s="536"/>
      <c r="P1428" s="536"/>
      <c r="Q1428" s="536"/>
      <c r="R1428" s="536"/>
      <c r="S1428" s="536"/>
      <c r="T1428" s="536"/>
      <c r="U1428" s="536"/>
      <c r="V1428" s="411">
        <f>+SUM(V1424:V1427)</f>
        <v>347.2217399698057</v>
      </c>
      <c r="Y1428" s="398" t="s">
        <v>135</v>
      </c>
      <c r="Z1428" s="397">
        <f>+SUM(Z1424:Z1427)</f>
        <v>3472.2173996980569</v>
      </c>
      <c r="AA1428" s="86"/>
      <c r="AB1428" s="384"/>
      <c r="AC1428" s="385"/>
      <c r="AD1428" s="94"/>
      <c r="AE1428" s="399"/>
    </row>
    <row r="1429" spans="3:31" s="260" customFormat="1" ht="15.75" thickBot="1" x14ac:dyDescent="0.3">
      <c r="C1429" s="84"/>
      <c r="D1429" s="355"/>
      <c r="E1429" s="367"/>
      <c r="F1429" s="412">
        <f>+E1421</f>
        <v>2.19</v>
      </c>
      <c r="G1429" s="367"/>
      <c r="H1429" s="367"/>
      <c r="I1429" s="367"/>
      <c r="J1429" s="368"/>
      <c r="K1429" s="88"/>
      <c r="M1429" s="535"/>
      <c r="N1429" s="537" t="s">
        <v>114</v>
      </c>
      <c r="O1429" s="537"/>
      <c r="P1429" s="537"/>
      <c r="Q1429" s="537"/>
      <c r="R1429" s="537"/>
      <c r="S1429" s="537"/>
      <c r="T1429" s="537"/>
      <c r="U1429" s="537"/>
      <c r="V1429" s="413">
        <f>+ROUND(V1428,$AA$5)</f>
        <v>347.22</v>
      </c>
      <c r="Y1429" s="401" t="s">
        <v>136</v>
      </c>
      <c r="Z1429" s="402">
        <f>+ROUND(Z1428,$AA$5)</f>
        <v>3472.22</v>
      </c>
      <c r="AA1429" s="86"/>
      <c r="AB1429" s="403">
        <f>+V1429*Y1402</f>
        <v>3472.2000000000003</v>
      </c>
      <c r="AC1429" s="414"/>
      <c r="AD1429" s="94"/>
      <c r="AE1429" s="405"/>
    </row>
    <row r="1430" spans="3:31" s="260" customFormat="1" ht="15.75" thickBot="1" x14ac:dyDescent="0.3">
      <c r="C1430" s="84"/>
      <c r="D1430" s="415"/>
      <c r="E1430" s="416"/>
      <c r="F1430" s="416"/>
      <c r="G1430" s="416"/>
      <c r="H1430" s="416"/>
      <c r="I1430" s="416"/>
      <c r="J1430" s="417"/>
      <c r="K1430" s="88"/>
      <c r="M1430" s="538" t="s">
        <v>115</v>
      </c>
      <c r="N1430" s="539"/>
      <c r="O1430" s="539"/>
      <c r="P1430" s="539"/>
      <c r="Q1430" s="539"/>
      <c r="R1430" s="539"/>
      <c r="S1430" s="539"/>
      <c r="T1430" s="539"/>
      <c r="U1430" s="539"/>
      <c r="V1430" s="540"/>
      <c r="Y1430" s="378"/>
      <c r="Z1430" s="121"/>
      <c r="AA1430" s="86"/>
      <c r="AB1430" s="409"/>
      <c r="AC1430" s="121"/>
      <c r="AD1430" s="94"/>
      <c r="AE1430" s="126"/>
    </row>
    <row r="1431" spans="3:31" s="260" customFormat="1" ht="15.75" thickBot="1" x14ac:dyDescent="0.3">
      <c r="C1431" s="84"/>
      <c r="D1431" s="375" t="s">
        <v>128</v>
      </c>
      <c r="E1431" s="376" t="s">
        <v>129</v>
      </c>
      <c r="F1431" s="376" t="s">
        <v>130</v>
      </c>
      <c r="G1431" s="376" t="s">
        <v>131</v>
      </c>
      <c r="H1431" s="376" t="s">
        <v>132</v>
      </c>
      <c r="I1431" s="376" t="s">
        <v>133</v>
      </c>
      <c r="J1431" s="377" t="s">
        <v>134</v>
      </c>
      <c r="K1431" s="88"/>
      <c r="M1431" s="99" t="s">
        <v>94</v>
      </c>
      <c r="N1431" s="98" t="s">
        <v>95</v>
      </c>
      <c r="O1431" s="95" t="s">
        <v>96</v>
      </c>
      <c r="P1431" s="359" t="s">
        <v>104</v>
      </c>
      <c r="Q1431" s="95" t="s">
        <v>116</v>
      </c>
      <c r="R1431" s="418" t="s">
        <v>117</v>
      </c>
      <c r="S1431" s="95" t="s">
        <v>347</v>
      </c>
      <c r="T1431" s="419" t="s">
        <v>118</v>
      </c>
      <c r="U1431" s="189" t="s">
        <v>119</v>
      </c>
      <c r="V1431" s="100" t="s">
        <v>98</v>
      </c>
      <c r="Y1431" s="383" t="s">
        <v>104</v>
      </c>
      <c r="Z1431" s="119" t="s">
        <v>9</v>
      </c>
      <c r="AA1431" s="86"/>
      <c r="AB1431" s="384"/>
      <c r="AC1431" s="385"/>
      <c r="AD1431" s="94"/>
      <c r="AE1431" s="410"/>
    </row>
    <row r="1432" spans="3:31" s="260" customFormat="1" ht="25.5" x14ac:dyDescent="0.25">
      <c r="C1432" s="84"/>
      <c r="D1432" s="354"/>
      <c r="E1432" s="96"/>
      <c r="F1432" s="96"/>
      <c r="G1432" s="96"/>
      <c r="H1432" s="96"/>
      <c r="I1432" s="96"/>
      <c r="J1432" s="420">
        <f>+F1429</f>
        <v>2.19</v>
      </c>
      <c r="K1432" s="88"/>
      <c r="M1432" s="102">
        <v>207</v>
      </c>
      <c r="N1432" s="347" t="str">
        <f>IFERROR(VLOOKUP(M1432,INSUMOS!$C$8:$K$928,2,0),"-----")</f>
        <v>Oficial Hidrosanitario</v>
      </c>
      <c r="O1432" s="78" t="str">
        <f>IFERROR(VLOOKUP(M1432,INSUMOS!$C$8:$K$928,3,0),"-----")</f>
        <v>JORNAL+PS</v>
      </c>
      <c r="P1432" s="80">
        <v>1</v>
      </c>
      <c r="Q1432" s="79">
        <v>30</v>
      </c>
      <c r="R1432" s="190">
        <f>IFERROR(VLOOKUP(M1432,INSUMOS!$C$8:$K$928,4,0),"-----")</f>
        <v>92983</v>
      </c>
      <c r="S1432" s="190">
        <f>IFERROR(VLOOKUP(M1432,INSUMOS!$C$8:$K$928,6,0),"-----")</f>
        <v>74386</v>
      </c>
      <c r="T1432" s="190">
        <f>IFERROR(VLOOKUP(M1432,INSUMOS!$C$8:$K$928,5,0),"-----")</f>
        <v>0</v>
      </c>
      <c r="U1432" s="388">
        <f>SUM(R1432:T1432)</f>
        <v>167369</v>
      </c>
      <c r="V1432" s="82">
        <f>+IFERROR((P1432/Q1432)*U1432,0)</f>
        <v>5578.9666666666662</v>
      </c>
      <c r="Y1432" s="393">
        <f>+IFERROR((Y1402/Q1432*P1432),0)</f>
        <v>0.33333333333333331</v>
      </c>
      <c r="Z1432" s="391">
        <f>Y1402*V1432</f>
        <v>55789.666666666664</v>
      </c>
      <c r="AA1432" s="86"/>
      <c r="AB1432" s="92">
        <f>+(U1432)*Y1432</f>
        <v>55789.666666666664</v>
      </c>
      <c r="AC1432" s="93">
        <f>+AB1432-Z1432</f>
        <v>0</v>
      </c>
      <c r="AD1432" s="421"/>
      <c r="AE1432" s="410" t="str">
        <f>+IF(V1432=0,"CERO","NO")</f>
        <v>NO</v>
      </c>
    </row>
    <row r="1433" spans="3:31" s="260" customFormat="1" ht="15.75" thickBot="1" x14ac:dyDescent="0.3">
      <c r="C1433" s="84"/>
      <c r="D1433" s="355"/>
      <c r="E1433" s="367"/>
      <c r="F1433" s="367"/>
      <c r="G1433" s="367"/>
      <c r="H1433" s="367"/>
      <c r="I1433" s="367"/>
      <c r="J1433" s="422">
        <f>+J1432</f>
        <v>2.19</v>
      </c>
      <c r="K1433" s="88"/>
      <c r="M1433" s="102"/>
      <c r="N1433" s="347" t="str">
        <f>IFERROR(VLOOKUP(M1433,INSUMOS!$C$8:$K$928,2,0),"-----")</f>
        <v>-----</v>
      </c>
      <c r="O1433" s="78" t="str">
        <f>IFERROR(VLOOKUP(M1433,INSUMOS!$C$8:$K$928,3,0),"-----")</f>
        <v>-----</v>
      </c>
      <c r="P1433" s="80"/>
      <c r="Q1433" s="79"/>
      <c r="R1433" s="190" t="str">
        <f>IFERROR(VLOOKUP(M1433,INSUMOS!$C$8:$K$928,4,0),"-----")</f>
        <v>-----</v>
      </c>
      <c r="S1433" s="190" t="str">
        <f>IFERROR(VLOOKUP(M1433,INSUMOS!$C$8:$K$928,6,0),"-----")</f>
        <v>-----</v>
      </c>
      <c r="T1433" s="190" t="str">
        <f>IFERROR(VLOOKUP(M1433,INSUMOS!$C$8:$K$928,5,0),"-----")</f>
        <v>-----</v>
      </c>
      <c r="U1433" s="388">
        <f>SUM(R1433:T1433)</f>
        <v>0</v>
      </c>
      <c r="V1433" s="82">
        <f>+IFERROR((P1433/Q1433)*U1433,0)</f>
        <v>0</v>
      </c>
      <c r="Y1433" s="393">
        <f>+IFERROR((Y1402/Q1433*P1433),0)</f>
        <v>0</v>
      </c>
      <c r="Z1433" s="391">
        <f>Y1402*V1433</f>
        <v>0</v>
      </c>
      <c r="AA1433" s="86"/>
      <c r="AB1433" s="92">
        <f>+U1433*Y1433</f>
        <v>0</v>
      </c>
      <c r="AC1433" s="93">
        <f>+AB1433-Z1433</f>
        <v>0</v>
      </c>
      <c r="AD1433" s="94"/>
      <c r="AE1433" s="410" t="str">
        <f>+IF(V1433=0,"CERO","NO")</f>
        <v>CERO</v>
      </c>
    </row>
    <row r="1434" spans="3:31" s="260" customFormat="1" ht="15.75" thickBot="1" x14ac:dyDescent="0.3">
      <c r="C1434" s="84"/>
      <c r="D1434" s="380"/>
      <c r="E1434" s="381"/>
      <c r="F1434" s="381"/>
      <c r="G1434" s="381"/>
      <c r="H1434" s="381"/>
      <c r="I1434" s="381"/>
      <c r="J1434" s="382"/>
      <c r="K1434" s="88"/>
      <c r="M1434" s="102">
        <v>0</v>
      </c>
      <c r="N1434" s="347"/>
      <c r="O1434" s="79"/>
      <c r="P1434" s="423"/>
      <c r="Q1434" s="81"/>
      <c r="R1434" s="111"/>
      <c r="S1434" s="357"/>
      <c r="T1434" s="111"/>
      <c r="U1434" s="388"/>
      <c r="V1434" s="426"/>
      <c r="Y1434" s="393">
        <f>+IFERROR((Y1402/Q1434*P1434),0)</f>
        <v>0</v>
      </c>
      <c r="Z1434" s="391">
        <f>Y1402*V1434</f>
        <v>0</v>
      </c>
      <c r="AA1434" s="86"/>
      <c r="AB1434" s="92">
        <f>+(U1434)*Y1434*P1434</f>
        <v>0</v>
      </c>
      <c r="AC1434" s="93">
        <f>+AB1434-Z1434</f>
        <v>0</v>
      </c>
      <c r="AD1434" s="94"/>
      <c r="AE1434" s="410" t="str">
        <f>+IF(V1434=0,"CERO","NO")</f>
        <v>CERO</v>
      </c>
    </row>
    <row r="1435" spans="3:31" s="260" customFormat="1" ht="15.75" thickBot="1" x14ac:dyDescent="0.3">
      <c r="C1435" s="84"/>
      <c r="D1435" s="375" t="s">
        <v>128</v>
      </c>
      <c r="E1435" s="376" t="s">
        <v>129</v>
      </c>
      <c r="F1435" s="376" t="s">
        <v>130</v>
      </c>
      <c r="G1435" s="376" t="s">
        <v>131</v>
      </c>
      <c r="H1435" s="376" t="s">
        <v>132</v>
      </c>
      <c r="I1435" s="376" t="s">
        <v>133</v>
      </c>
      <c r="J1435" s="377" t="s">
        <v>134</v>
      </c>
      <c r="K1435" s="88"/>
      <c r="M1435" s="534"/>
      <c r="N1435" s="536" t="s">
        <v>120</v>
      </c>
      <c r="O1435" s="536"/>
      <c r="P1435" s="536"/>
      <c r="Q1435" s="536"/>
      <c r="R1435" s="536"/>
      <c r="S1435" s="536"/>
      <c r="T1435" s="536"/>
      <c r="U1435" s="536"/>
      <c r="V1435" s="82">
        <f>+SUM(V1432:V1434)</f>
        <v>5578.9666666666662</v>
      </c>
      <c r="Y1435" s="398" t="s">
        <v>135</v>
      </c>
      <c r="Z1435" s="397">
        <f>+SUM(Z1432:Z1434)</f>
        <v>55789.666666666664</v>
      </c>
      <c r="AA1435" s="86"/>
      <c r="AB1435" s="384"/>
      <c r="AC1435" s="385"/>
      <c r="AD1435" s="94"/>
      <c r="AE1435" s="399"/>
    </row>
    <row r="1436" spans="3:31" s="260" customFormat="1" ht="15.75" thickBot="1" x14ac:dyDescent="0.3">
      <c r="C1436" s="84"/>
      <c r="D1436" s="354"/>
      <c r="E1436" s="96"/>
      <c r="F1436" s="96"/>
      <c r="G1436" s="107">
        <f>+F1429</f>
        <v>2.19</v>
      </c>
      <c r="H1436" s="96"/>
      <c r="I1436" s="96"/>
      <c r="J1436" s="427"/>
      <c r="K1436" s="88"/>
      <c r="M1436" s="535"/>
      <c r="N1436" s="537" t="s">
        <v>121</v>
      </c>
      <c r="O1436" s="537"/>
      <c r="P1436" s="537"/>
      <c r="Q1436" s="537"/>
      <c r="R1436" s="537"/>
      <c r="S1436" s="537"/>
      <c r="T1436" s="537"/>
      <c r="U1436" s="537"/>
      <c r="V1436" s="413">
        <f>+ROUND(V1435,$AA$5)</f>
        <v>5578.97</v>
      </c>
      <c r="Y1436" s="401" t="s">
        <v>136</v>
      </c>
      <c r="Z1436" s="402">
        <f>+ROUND(Z1435,$AA$5)</f>
        <v>55789.67</v>
      </c>
      <c r="AA1436" s="86"/>
      <c r="AB1436" s="403">
        <f>+V1436*Y1402</f>
        <v>55789.700000000004</v>
      </c>
      <c r="AC1436" s="404">
        <f>+AB1436-Z1436</f>
        <v>3.0000000006111804E-2</v>
      </c>
      <c r="AD1436" s="94"/>
      <c r="AE1436" s="405"/>
    </row>
    <row r="1437" spans="3:31" s="260" customFormat="1" ht="15.75" thickBot="1" x14ac:dyDescent="0.3">
      <c r="C1437" s="84"/>
      <c r="D1437" s="375" t="s">
        <v>128</v>
      </c>
      <c r="E1437" s="376" t="s">
        <v>129</v>
      </c>
      <c r="F1437" s="376" t="s">
        <v>130</v>
      </c>
      <c r="G1437" s="376" t="s">
        <v>131</v>
      </c>
      <c r="H1437" s="376" t="s">
        <v>132</v>
      </c>
      <c r="I1437" s="376" t="s">
        <v>133</v>
      </c>
      <c r="J1437" s="377" t="s">
        <v>134</v>
      </c>
      <c r="K1437" s="88"/>
      <c r="M1437" s="541"/>
      <c r="N1437" s="542"/>
      <c r="O1437" s="542"/>
      <c r="P1437" s="542"/>
      <c r="Q1437" s="542"/>
      <c r="R1437" s="542"/>
      <c r="S1437" s="542"/>
      <c r="T1437" s="542"/>
      <c r="U1437" s="542"/>
      <c r="V1437" s="543"/>
      <c r="Y1437" s="378"/>
      <c r="Z1437" s="121"/>
      <c r="AA1437" s="86"/>
      <c r="AB1437" s="409"/>
      <c r="AC1437" s="121"/>
      <c r="AD1437" s="94"/>
      <c r="AE1437" s="428"/>
    </row>
    <row r="1438" spans="3:31" s="260" customFormat="1" ht="15.75" thickBot="1" x14ac:dyDescent="0.3">
      <c r="C1438" s="84"/>
      <c r="D1438" s="355"/>
      <c r="E1438" s="367"/>
      <c r="F1438" s="367"/>
      <c r="G1438" s="367"/>
      <c r="H1438" s="412">
        <f>G1436</f>
        <v>2.19</v>
      </c>
      <c r="I1438" s="412"/>
      <c r="J1438" s="422"/>
      <c r="K1438" s="88"/>
      <c r="M1438" s="544" t="s">
        <v>122</v>
      </c>
      <c r="N1438" s="537"/>
      <c r="O1438" s="537"/>
      <c r="P1438" s="537"/>
      <c r="Q1438" s="537"/>
      <c r="R1438" s="537"/>
      <c r="S1438" s="537"/>
      <c r="T1438" s="537"/>
      <c r="U1438" s="545">
        <f>+V1436+V1429+V1421+V1412</f>
        <v>56444.46</v>
      </c>
      <c r="V1438" s="546"/>
      <c r="Y1438" s="429"/>
      <c r="Z1438" s="430">
        <f>+Z1436+Z1429+Z1421+Z1412</f>
        <v>564444.53999999992</v>
      </c>
      <c r="AA1438" s="86"/>
      <c r="AB1438" s="431">
        <f>+AB1436+AB1429+AB1421+AB1412</f>
        <v>564444.6</v>
      </c>
      <c r="AC1438" s="404">
        <f>+AB1438-Z1438</f>
        <v>6.0000000055879354E-2</v>
      </c>
      <c r="AD1438" s="94"/>
      <c r="AE1438" s="432"/>
    </row>
    <row r="1439" spans="3:31" s="260" customFormat="1" ht="15.75" thickBot="1" x14ac:dyDescent="0.3"/>
    <row r="1440" spans="3:31" s="260" customFormat="1" x14ac:dyDescent="0.25">
      <c r="M1440" s="547" t="s">
        <v>348</v>
      </c>
      <c r="N1440" s="548"/>
      <c r="O1440" s="548"/>
      <c r="P1440" s="548"/>
      <c r="Q1440" s="548"/>
      <c r="R1440" s="548"/>
      <c r="S1440" s="548"/>
      <c r="T1440" s="548"/>
      <c r="U1440" s="548"/>
      <c r="V1440" s="549"/>
      <c r="Y1440" s="378"/>
      <c r="Z1440" s="121"/>
      <c r="AA1440" s="86"/>
      <c r="AB1440" s="94"/>
      <c r="AC1440" s="94"/>
      <c r="AD1440" s="94"/>
      <c r="AE1440" s="126" t="s">
        <v>133</v>
      </c>
    </row>
    <row r="1441" spans="3:31" s="260" customFormat="1" x14ac:dyDescent="0.25">
      <c r="M1441" s="515" t="s">
        <v>138</v>
      </c>
      <c r="N1441" s="516"/>
      <c r="O1441" s="516"/>
      <c r="P1441" s="516"/>
      <c r="Q1441" s="516"/>
      <c r="R1441" s="516"/>
      <c r="S1441" s="516"/>
      <c r="T1441" s="437">
        <v>0</v>
      </c>
      <c r="U1441" s="517">
        <f>+ROUND(U1438*T1441,$AA$5)</f>
        <v>0</v>
      </c>
      <c r="V1441" s="518"/>
      <c r="Y1441" s="390"/>
      <c r="Z1441" s="438">
        <f>+Z1438*T1441</f>
        <v>0</v>
      </c>
      <c r="AA1441" s="86"/>
      <c r="AB1441" s="94"/>
      <c r="AC1441" s="94"/>
      <c r="AD1441" s="94"/>
      <c r="AE1441" s="386" t="s">
        <v>133</v>
      </c>
    </row>
    <row r="1442" spans="3:31" s="260" customFormat="1" x14ac:dyDescent="0.25">
      <c r="M1442" s="515" t="s">
        <v>19</v>
      </c>
      <c r="N1442" s="516"/>
      <c r="O1442" s="516"/>
      <c r="P1442" s="516"/>
      <c r="Q1442" s="516"/>
      <c r="R1442" s="516"/>
      <c r="S1442" s="516"/>
      <c r="T1442" s="437">
        <v>0.05</v>
      </c>
      <c r="U1442" s="517">
        <f>+ROUND(U1438*T1442,$AA$5)</f>
        <v>2822.22</v>
      </c>
      <c r="V1442" s="518"/>
      <c r="Y1442" s="390"/>
      <c r="Z1442" s="438">
        <f>+Z1438*T1442</f>
        <v>28222.226999999999</v>
      </c>
      <c r="AA1442" s="86"/>
      <c r="AB1442" s="94"/>
      <c r="AC1442" s="94"/>
      <c r="AD1442" s="94"/>
      <c r="AE1442" s="386" t="s">
        <v>133</v>
      </c>
    </row>
    <row r="1443" spans="3:31" s="260" customFormat="1" x14ac:dyDescent="0.25">
      <c r="M1443" s="515" t="s">
        <v>20</v>
      </c>
      <c r="N1443" s="516"/>
      <c r="O1443" s="516"/>
      <c r="P1443" s="516"/>
      <c r="Q1443" s="516"/>
      <c r="R1443" s="516"/>
      <c r="S1443" s="516"/>
      <c r="T1443" s="437">
        <v>0</v>
      </c>
      <c r="U1443" s="517">
        <f>+ROUND(U1438*T1443,$AA$5)</f>
        <v>0</v>
      </c>
      <c r="V1443" s="518"/>
      <c r="Y1443" s="390"/>
      <c r="Z1443" s="438">
        <f>+Z1438*T1443</f>
        <v>0</v>
      </c>
      <c r="AA1443" s="86"/>
      <c r="AB1443" s="94"/>
      <c r="AC1443" s="94"/>
      <c r="AD1443" s="94"/>
      <c r="AE1443" s="386" t="s">
        <v>133</v>
      </c>
    </row>
    <row r="1444" spans="3:31" s="260" customFormat="1" x14ac:dyDescent="0.25">
      <c r="M1444" s="515" t="s">
        <v>21</v>
      </c>
      <c r="N1444" s="516"/>
      <c r="O1444" s="516"/>
      <c r="P1444" s="516"/>
      <c r="Q1444" s="516"/>
      <c r="R1444" s="516"/>
      <c r="S1444" s="516"/>
      <c r="T1444" s="437">
        <f>$AA$9</f>
        <v>0</v>
      </c>
      <c r="U1444" s="517">
        <f>+ROUND(U1438*T1444,$AA$5)</f>
        <v>0</v>
      </c>
      <c r="V1444" s="518"/>
      <c r="Y1444" s="390"/>
      <c r="Z1444" s="438">
        <f>+Z1443*T1444</f>
        <v>0</v>
      </c>
      <c r="AA1444" s="86"/>
      <c r="AB1444" s="94"/>
      <c r="AC1444" s="94"/>
      <c r="AD1444" s="94"/>
      <c r="AE1444" s="386" t="s">
        <v>133</v>
      </c>
    </row>
    <row r="1445" spans="3:31" s="260" customFormat="1" ht="15.75" thickBot="1" x14ac:dyDescent="0.3">
      <c r="M1445" s="519" t="s">
        <v>349</v>
      </c>
      <c r="N1445" s="520"/>
      <c r="O1445" s="520"/>
      <c r="P1445" s="520"/>
      <c r="Q1445" s="520"/>
      <c r="R1445" s="520"/>
      <c r="S1445" s="520"/>
      <c r="T1445" s="520"/>
      <c r="U1445" s="521">
        <f>+SUM(U1441:V1444)</f>
        <v>2822.22</v>
      </c>
      <c r="V1445" s="522"/>
      <c r="Y1445" s="390"/>
      <c r="Z1445" s="439">
        <f>+SUM(Z1441:Z1444)</f>
        <v>28222.226999999999</v>
      </c>
      <c r="AA1445" s="86"/>
      <c r="AB1445" s="94"/>
      <c r="AC1445" s="94"/>
      <c r="AD1445" s="94"/>
      <c r="AE1445" s="386" t="s">
        <v>133</v>
      </c>
    </row>
    <row r="1446" spans="3:31" s="260" customFormat="1" ht="15.75" thickBot="1" x14ac:dyDescent="0.3">
      <c r="D1446" s="375" t="s">
        <v>128</v>
      </c>
      <c r="E1446" s="376" t="s">
        <v>129</v>
      </c>
      <c r="F1446" s="376" t="s">
        <v>130</v>
      </c>
      <c r="G1446" s="376" t="s">
        <v>131</v>
      </c>
      <c r="H1446" s="376" t="s">
        <v>132</v>
      </c>
      <c r="I1446" s="376" t="s">
        <v>133</v>
      </c>
      <c r="J1446" s="377" t="s">
        <v>134</v>
      </c>
      <c r="M1446" s="86"/>
      <c r="N1446" s="94"/>
      <c r="O1446" s="94"/>
      <c r="P1446" s="94"/>
      <c r="Q1446" s="86"/>
      <c r="R1446" s="86"/>
      <c r="S1446" s="86"/>
      <c r="T1446" s="440"/>
      <c r="U1446" s="523"/>
      <c r="V1446" s="523"/>
      <c r="Y1446" s="390"/>
      <c r="Z1446" s="385"/>
      <c r="AA1446" s="86"/>
      <c r="AB1446" s="94"/>
      <c r="AC1446" s="94"/>
      <c r="AD1446" s="94"/>
      <c r="AE1446" s="386" t="s">
        <v>133</v>
      </c>
    </row>
    <row r="1447" spans="3:31" s="260" customFormat="1" ht="15.75" thickBot="1" x14ac:dyDescent="0.3">
      <c r="D1447" s="355"/>
      <c r="E1447" s="367"/>
      <c r="F1447" s="367"/>
      <c r="G1447" s="367"/>
      <c r="H1447" s="412"/>
      <c r="I1447" s="412">
        <f>H1438</f>
        <v>2.19</v>
      </c>
      <c r="J1447" s="422"/>
      <c r="M1447" s="524" t="s">
        <v>11</v>
      </c>
      <c r="N1447" s="525"/>
      <c r="O1447" s="525"/>
      <c r="P1447" s="525"/>
      <c r="Q1447" s="525"/>
      <c r="R1447" s="525"/>
      <c r="S1447" s="525"/>
      <c r="T1447" s="526"/>
      <c r="U1447" s="527">
        <f>+U1445+U1438</f>
        <v>59266.68</v>
      </c>
      <c r="V1447" s="528"/>
      <c r="Y1447" s="429"/>
      <c r="Z1447" s="441">
        <f>+Z1445+Z1438</f>
        <v>592666.76699999988</v>
      </c>
      <c r="AA1447" s="86"/>
      <c r="AB1447" s="94"/>
      <c r="AC1447" s="94"/>
      <c r="AD1447" s="94"/>
      <c r="AE1447" s="405" t="s">
        <v>133</v>
      </c>
    </row>
    <row r="1448" spans="3:31" s="260" customFormat="1" x14ac:dyDescent="0.25"/>
    <row r="1449" spans="3:31" s="260" customFormat="1" ht="15.75" thickBot="1" x14ac:dyDescent="0.3"/>
    <row r="1450" spans="3:31" s="260" customFormat="1" ht="15.75" thickBot="1" x14ac:dyDescent="0.3">
      <c r="M1450" s="363" t="s">
        <v>88</v>
      </c>
      <c r="N1450" s="436" t="str">
        <f>+N1401</f>
        <v>CAP.2</v>
      </c>
      <c r="O1450" s="550" t="str">
        <f>IFERROR(VLOOKUP(N1450,PPTO!C:H,2,0),"----")</f>
        <v>RED HIDRAULICA</v>
      </c>
      <c r="P1450" s="551"/>
      <c r="Q1450" s="551"/>
      <c r="R1450" s="551"/>
      <c r="S1450" s="551"/>
      <c r="T1450" s="551"/>
      <c r="U1450" s="552"/>
      <c r="V1450" s="74" t="s">
        <v>91</v>
      </c>
      <c r="Y1450" s="365" t="s">
        <v>104</v>
      </c>
      <c r="Z1450" s="94"/>
      <c r="AA1450" s="188"/>
      <c r="AB1450" s="553"/>
      <c r="AC1450" s="553"/>
      <c r="AD1450" s="553"/>
      <c r="AE1450" s="94"/>
    </row>
    <row r="1451" spans="3:31" s="260" customFormat="1" ht="15.75" thickBot="1" x14ac:dyDescent="0.3">
      <c r="C1451" s="369">
        <f>+N1451</f>
        <v>2.2000000000000002</v>
      </c>
      <c r="D1451" s="86"/>
      <c r="E1451" s="86"/>
      <c r="F1451" s="86"/>
      <c r="G1451" s="86"/>
      <c r="H1451" s="86"/>
      <c r="I1451" s="86"/>
      <c r="J1451" s="86"/>
      <c r="K1451" s="370"/>
      <c r="M1451" s="75" t="s">
        <v>92</v>
      </c>
      <c r="N1451" s="371">
        <f>+ROUNDUP(N1402+0.01,2)</f>
        <v>2.2000000000000002</v>
      </c>
      <c r="O1451" s="554" t="str">
        <f>IFERROR(VLOOKUP(N1451,PPTO!C:H,2,0),"----")</f>
        <v>Valvula de corte Ø1/2"</v>
      </c>
      <c r="P1451" s="555"/>
      <c r="Q1451" s="555"/>
      <c r="R1451" s="555"/>
      <c r="S1451" s="555"/>
      <c r="T1451" s="555"/>
      <c r="U1451" s="556"/>
      <c r="V1451" s="76" t="str">
        <f>IFERROR(VLOOKUP(N1451,PPTO!C:H,3,0),"----")</f>
        <v>UND</v>
      </c>
      <c r="Y1451" s="373">
        <f>SUMIFS(PPTO!F:F,PPTO!C:C,APUS!N1451)</f>
        <v>3</v>
      </c>
      <c r="Z1451" s="94"/>
      <c r="AA1451" s="86"/>
      <c r="AB1451" s="94"/>
      <c r="AC1451" s="94"/>
      <c r="AD1451" s="94"/>
      <c r="AE1451" s="94"/>
    </row>
    <row r="1452" spans="3:31" s="260" customFormat="1" ht="15.75" thickBot="1" x14ac:dyDescent="0.3">
      <c r="C1452" s="84"/>
      <c r="D1452" s="86"/>
      <c r="E1452" s="86"/>
      <c r="F1452" s="86"/>
      <c r="G1452" s="86"/>
      <c r="H1452" s="86"/>
      <c r="I1452" s="86"/>
      <c r="J1452" s="86"/>
      <c r="K1452" s="88"/>
      <c r="M1452" s="557"/>
      <c r="N1452" s="557"/>
      <c r="O1452" s="557"/>
      <c r="P1452" s="557"/>
      <c r="Q1452" s="557"/>
      <c r="R1452" s="557"/>
      <c r="S1452" s="557"/>
      <c r="T1452" s="557"/>
      <c r="U1452" s="557"/>
      <c r="V1452" s="557"/>
      <c r="Y1452" s="374"/>
      <c r="Z1452" s="94"/>
      <c r="AA1452" s="86"/>
      <c r="AB1452" s="94"/>
      <c r="AC1452" s="94"/>
      <c r="AD1452" s="94"/>
      <c r="AE1452" s="94"/>
    </row>
    <row r="1453" spans="3:31" s="260" customFormat="1" ht="15.75" thickBot="1" x14ac:dyDescent="0.3">
      <c r="C1453" s="84"/>
      <c r="D1453" s="375" t="s">
        <v>128</v>
      </c>
      <c r="E1453" s="376" t="s">
        <v>129</v>
      </c>
      <c r="F1453" s="376" t="s">
        <v>130</v>
      </c>
      <c r="G1453" s="376" t="s">
        <v>131</v>
      </c>
      <c r="H1453" s="376" t="s">
        <v>132</v>
      </c>
      <c r="I1453" s="376" t="s">
        <v>133</v>
      </c>
      <c r="J1453" s="377" t="s">
        <v>134</v>
      </c>
      <c r="K1453" s="88"/>
      <c r="M1453" s="558" t="s">
        <v>93</v>
      </c>
      <c r="N1453" s="559"/>
      <c r="O1453" s="559"/>
      <c r="P1453" s="559"/>
      <c r="Q1453" s="559"/>
      <c r="R1453" s="559"/>
      <c r="S1453" s="559"/>
      <c r="T1453" s="559"/>
      <c r="U1453" s="559"/>
      <c r="V1453" s="560"/>
      <c r="Y1453" s="378"/>
      <c r="Z1453" s="121"/>
      <c r="AA1453" s="86"/>
      <c r="AB1453" s="513"/>
      <c r="AC1453" s="514"/>
      <c r="AD1453" s="94"/>
      <c r="AE1453" s="379"/>
    </row>
    <row r="1454" spans="3:31" s="260" customFormat="1" x14ac:dyDescent="0.25">
      <c r="C1454" s="84"/>
      <c r="D1454" s="380"/>
      <c r="E1454" s="381"/>
      <c r="F1454" s="381"/>
      <c r="G1454" s="381"/>
      <c r="H1454" s="381"/>
      <c r="I1454" s="381"/>
      <c r="J1454" s="382"/>
      <c r="K1454" s="88"/>
      <c r="M1454" s="99" t="s">
        <v>94</v>
      </c>
      <c r="N1454" s="561" t="s">
        <v>95</v>
      </c>
      <c r="O1454" s="561"/>
      <c r="P1454" s="561"/>
      <c r="Q1454" s="561"/>
      <c r="R1454" s="95" t="s">
        <v>96</v>
      </c>
      <c r="S1454" s="95" t="s">
        <v>97</v>
      </c>
      <c r="T1454" s="562" t="s">
        <v>8</v>
      </c>
      <c r="U1454" s="562"/>
      <c r="V1454" s="100" t="s">
        <v>98</v>
      </c>
      <c r="Y1454" s="383" t="s">
        <v>104</v>
      </c>
      <c r="Z1454" s="119" t="s">
        <v>9</v>
      </c>
      <c r="AA1454" s="86"/>
      <c r="AB1454" s="384"/>
      <c r="AC1454" s="385"/>
      <c r="AD1454" s="94"/>
      <c r="AE1454" s="386"/>
    </row>
    <row r="1455" spans="3:31" s="260" customFormat="1" x14ac:dyDescent="0.25">
      <c r="C1455" s="84"/>
      <c r="D1455" s="85"/>
      <c r="E1455" s="86"/>
      <c r="F1455" s="86"/>
      <c r="G1455" s="86"/>
      <c r="H1455" s="86"/>
      <c r="I1455" s="86"/>
      <c r="J1455" s="87"/>
      <c r="K1455" s="88"/>
      <c r="M1455" s="102"/>
      <c r="N1455" s="533" t="s">
        <v>99</v>
      </c>
      <c r="O1455" s="533"/>
      <c r="P1455" s="533"/>
      <c r="Q1455" s="533"/>
      <c r="R1455" s="78" t="s">
        <v>100</v>
      </c>
      <c r="S1455" s="387">
        <f>+$AA$10</f>
        <v>0.05</v>
      </c>
      <c r="T1455" s="563">
        <f>V1485</f>
        <v>6694.76</v>
      </c>
      <c r="U1455" s="563"/>
      <c r="V1455" s="389">
        <f>+IFERROR(T1455*S1455,0)</f>
        <v>334.73800000000006</v>
      </c>
      <c r="Y1455" s="390"/>
      <c r="Z1455" s="391">
        <f>Y1451*V1455</f>
        <v>1004.2140000000002</v>
      </c>
      <c r="AA1455" s="86"/>
      <c r="AB1455" s="384"/>
      <c r="AC1455" s="385"/>
      <c r="AD1455" s="94"/>
      <c r="AE1455" s="386" t="str">
        <f>+IF(V1455=0,"CERO","NO")</f>
        <v>NO</v>
      </c>
    </row>
    <row r="1456" spans="3:31" s="260" customFormat="1" x14ac:dyDescent="0.25">
      <c r="C1456" s="84"/>
      <c r="D1456" s="85"/>
      <c r="E1456" s="86"/>
      <c r="F1456" s="86"/>
      <c r="G1456" s="86"/>
      <c r="H1456" s="86"/>
      <c r="I1456" s="86"/>
      <c r="J1456" s="87"/>
      <c r="K1456" s="88"/>
      <c r="M1456" s="106"/>
      <c r="N1456" s="533" t="str">
        <f>IFERROR(VLOOKUP(M1456,INSUMOS!$C$8:$K$928,2,0),"-----")</f>
        <v>-----</v>
      </c>
      <c r="O1456" s="533"/>
      <c r="P1456" s="533"/>
      <c r="Q1456" s="533"/>
      <c r="R1456" s="78" t="str">
        <f>IFERROR(VLOOKUP(M1456,INSUMOS!$C$8:$K$928,6,0),"-----")</f>
        <v>-----</v>
      </c>
      <c r="S1456" s="392"/>
      <c r="T1456" s="529" t="str">
        <f>IFERROR(VLOOKUP(M1456,INSUMOS!$C$8:$K$928,7,0),"0")</f>
        <v>0</v>
      </c>
      <c r="U1456" s="529"/>
      <c r="V1456" s="389">
        <f>+IFERROR(T1456*S1456,0)</f>
        <v>0</v>
      </c>
      <c r="Y1456" s="393">
        <f>+IFERROR(Y1451*S1456,0)</f>
        <v>0</v>
      </c>
      <c r="Z1456" s="391">
        <f>Y1451*V1456</f>
        <v>0</v>
      </c>
      <c r="AA1456" s="394"/>
      <c r="AB1456" s="395">
        <f>+Y1456*T1456</f>
        <v>0</v>
      </c>
      <c r="AC1456" s="93">
        <f>+AB1456-Z1456</f>
        <v>0</v>
      </c>
      <c r="AD1456" s="94"/>
      <c r="AE1456" s="386" t="str">
        <f>+IF(V1456=0,"CERO","NO")</f>
        <v>CERO</v>
      </c>
    </row>
    <row r="1457" spans="3:31" s="260" customFormat="1" x14ac:dyDescent="0.25">
      <c r="C1457" s="84"/>
      <c r="D1457" s="85"/>
      <c r="E1457" s="86"/>
      <c r="F1457" s="86"/>
      <c r="G1457" s="86"/>
      <c r="H1457" s="86"/>
      <c r="I1457" s="86"/>
      <c r="J1457" s="87"/>
      <c r="K1457" s="88"/>
      <c r="M1457" s="102">
        <v>0</v>
      </c>
      <c r="N1457" s="533"/>
      <c r="O1457" s="533"/>
      <c r="P1457" s="533"/>
      <c r="Q1457" s="533"/>
      <c r="R1457" s="78"/>
      <c r="S1457" s="396"/>
      <c r="T1457" s="529"/>
      <c r="U1457" s="529"/>
      <c r="V1457" s="397"/>
      <c r="Y1457" s="393">
        <f>+IFERROR(Y1451*S1457,0)</f>
        <v>0</v>
      </c>
      <c r="Z1457" s="391">
        <f>Y1451*V1457</f>
        <v>0</v>
      </c>
      <c r="AA1457" s="394"/>
      <c r="AB1457" s="395">
        <f>+Y1457*T1457</f>
        <v>0</v>
      </c>
      <c r="AC1457" s="93">
        <f>+AB1457-Z1457</f>
        <v>0</v>
      </c>
      <c r="AD1457" s="94"/>
      <c r="AE1457" s="386" t="str">
        <f>+IF(V1457=0,"CERO","NO")</f>
        <v>CERO</v>
      </c>
    </row>
    <row r="1458" spans="3:31" s="260" customFormat="1" x14ac:dyDescent="0.25">
      <c r="C1458" s="84"/>
      <c r="D1458" s="85"/>
      <c r="E1458" s="86"/>
      <c r="F1458" s="86"/>
      <c r="G1458" s="86"/>
      <c r="H1458" s="86"/>
      <c r="I1458" s="86"/>
      <c r="J1458" s="87"/>
      <c r="K1458" s="88"/>
      <c r="M1458" s="102">
        <v>0</v>
      </c>
      <c r="N1458" s="533"/>
      <c r="O1458" s="533"/>
      <c r="P1458" s="533"/>
      <c r="Q1458" s="533"/>
      <c r="R1458" s="78"/>
      <c r="S1458" s="396"/>
      <c r="T1458" s="529"/>
      <c r="U1458" s="529"/>
      <c r="V1458" s="397"/>
      <c r="Y1458" s="393">
        <f>+IFERROR(Y1451*S1458,0)</f>
        <v>0</v>
      </c>
      <c r="Z1458" s="391">
        <f>Y1451*V1458</f>
        <v>0</v>
      </c>
      <c r="AA1458" s="394"/>
      <c r="AB1458" s="395">
        <f>+Y1458*T1458</f>
        <v>0</v>
      </c>
      <c r="AC1458" s="93">
        <f>+AB1458-Z1458</f>
        <v>0</v>
      </c>
      <c r="AD1458" s="94"/>
      <c r="AE1458" s="386" t="str">
        <f>+IF(V1458=0,"CERO","NO")</f>
        <v>CERO</v>
      </c>
    </row>
    <row r="1459" spans="3:31" s="260" customFormat="1" ht="15.75" thickBot="1" x14ac:dyDescent="0.3">
      <c r="C1459" s="84"/>
      <c r="D1459" s="85"/>
      <c r="E1459" s="86"/>
      <c r="F1459" s="86"/>
      <c r="G1459" s="86"/>
      <c r="H1459" s="86"/>
      <c r="I1459" s="86"/>
      <c r="J1459" s="87"/>
      <c r="K1459" s="88"/>
      <c r="M1459" s="102">
        <v>0</v>
      </c>
      <c r="N1459" s="564"/>
      <c r="O1459" s="564"/>
      <c r="P1459" s="564"/>
      <c r="Q1459" s="564"/>
      <c r="R1459" s="96"/>
      <c r="S1459" s="96"/>
      <c r="T1459" s="565"/>
      <c r="U1459" s="565"/>
      <c r="V1459" s="101"/>
      <c r="Y1459" s="393">
        <f>+IFERROR(Y1451*S1459,0)</f>
        <v>0</v>
      </c>
      <c r="Z1459" s="391">
        <f>Y1451*V1459</f>
        <v>0</v>
      </c>
      <c r="AA1459" s="394"/>
      <c r="AB1459" s="395">
        <f>+Y1459*T1459</f>
        <v>0</v>
      </c>
      <c r="AC1459" s="93">
        <f>+AB1459-Z1459</f>
        <v>0</v>
      </c>
      <c r="AD1459" s="94"/>
      <c r="AE1459" s="386" t="str">
        <f>+IF(V1459=0,"CERO","NO")</f>
        <v>CERO</v>
      </c>
    </row>
    <row r="1460" spans="3:31" s="260" customFormat="1" ht="15.75" thickBot="1" x14ac:dyDescent="0.3">
      <c r="C1460" s="84"/>
      <c r="D1460" s="375" t="s">
        <v>128</v>
      </c>
      <c r="E1460" s="376" t="s">
        <v>129</v>
      </c>
      <c r="F1460" s="376" t="s">
        <v>130</v>
      </c>
      <c r="G1460" s="376" t="s">
        <v>131</v>
      </c>
      <c r="H1460" s="376" t="s">
        <v>132</v>
      </c>
      <c r="I1460" s="376" t="s">
        <v>133</v>
      </c>
      <c r="J1460" s="377" t="s">
        <v>134</v>
      </c>
      <c r="K1460" s="88"/>
      <c r="M1460" s="534"/>
      <c r="N1460" s="536" t="s">
        <v>101</v>
      </c>
      <c r="O1460" s="536"/>
      <c r="P1460" s="536"/>
      <c r="Q1460" s="536"/>
      <c r="R1460" s="536"/>
      <c r="S1460" s="536"/>
      <c r="T1460" s="536"/>
      <c r="U1460" s="536"/>
      <c r="V1460" s="389">
        <f>+SUM(V1455:V1459)</f>
        <v>334.73800000000006</v>
      </c>
      <c r="Y1460" s="398" t="s">
        <v>135</v>
      </c>
      <c r="Z1460" s="397">
        <f>+SUM(Z1455:Z1459)</f>
        <v>1004.2140000000002</v>
      </c>
      <c r="AA1460" s="86"/>
      <c r="AB1460" s="384"/>
      <c r="AC1460" s="385"/>
      <c r="AD1460" s="94"/>
      <c r="AE1460" s="399"/>
    </row>
    <row r="1461" spans="3:31" s="260" customFormat="1" ht="15.75" thickBot="1" x14ac:dyDescent="0.3">
      <c r="C1461" s="84"/>
      <c r="D1461" s="375">
        <f>C1451</f>
        <v>2.2000000000000002</v>
      </c>
      <c r="E1461" s="376"/>
      <c r="F1461" s="376"/>
      <c r="G1461" s="376"/>
      <c r="H1461" s="376"/>
      <c r="I1461" s="376"/>
      <c r="J1461" s="377"/>
      <c r="K1461" s="88"/>
      <c r="M1461" s="566"/>
      <c r="N1461" s="567" t="s">
        <v>102</v>
      </c>
      <c r="O1461" s="567"/>
      <c r="P1461" s="567"/>
      <c r="Q1461" s="567"/>
      <c r="R1461" s="567"/>
      <c r="S1461" s="567"/>
      <c r="T1461" s="567"/>
      <c r="U1461" s="567"/>
      <c r="V1461" s="400">
        <f>+ROUND(V1460,$AA$5)</f>
        <v>334.74</v>
      </c>
      <c r="Y1461" s="401" t="s">
        <v>136</v>
      </c>
      <c r="Z1461" s="402">
        <f>+ROUND(Z1460,$AA$5)</f>
        <v>1004.21</v>
      </c>
      <c r="AA1461" s="86"/>
      <c r="AB1461" s="403">
        <f>+V1461*Y1451</f>
        <v>1004.22</v>
      </c>
      <c r="AC1461" s="404">
        <f>+AB1461-Z1461</f>
        <v>9.9999999999909051E-3</v>
      </c>
      <c r="AD1461" s="94"/>
      <c r="AE1461" s="405"/>
    </row>
    <row r="1462" spans="3:31" s="260" customFormat="1" x14ac:dyDescent="0.25">
      <c r="C1462" s="84"/>
      <c r="D1462" s="380"/>
      <c r="E1462" s="381"/>
      <c r="F1462" s="381"/>
      <c r="G1462" s="381"/>
      <c r="H1462" s="381"/>
      <c r="I1462" s="381"/>
      <c r="J1462" s="382"/>
      <c r="K1462" s="88"/>
      <c r="M1462" s="510" t="s">
        <v>103</v>
      </c>
      <c r="N1462" s="511"/>
      <c r="O1462" s="511"/>
      <c r="P1462" s="511"/>
      <c r="Q1462" s="511"/>
      <c r="R1462" s="511"/>
      <c r="S1462" s="511"/>
      <c r="T1462" s="511"/>
      <c r="U1462" s="511"/>
      <c r="V1462" s="512"/>
      <c r="Y1462" s="378"/>
      <c r="Z1462" s="121"/>
      <c r="AA1462" s="86"/>
      <c r="AB1462" s="513"/>
      <c r="AC1462" s="514"/>
      <c r="AD1462" s="94"/>
      <c r="AE1462" s="126"/>
    </row>
    <row r="1463" spans="3:31" s="260" customFormat="1" x14ac:dyDescent="0.25">
      <c r="C1463" s="84"/>
      <c r="D1463" s="85"/>
      <c r="E1463" s="86"/>
      <c r="F1463" s="86"/>
      <c r="G1463" s="86"/>
      <c r="H1463" s="86"/>
      <c r="I1463" s="86"/>
      <c r="J1463" s="87"/>
      <c r="K1463" s="88"/>
      <c r="M1463" s="99" t="s">
        <v>94</v>
      </c>
      <c r="N1463" s="561" t="s">
        <v>95</v>
      </c>
      <c r="O1463" s="561"/>
      <c r="P1463" s="561"/>
      <c r="Q1463" s="561"/>
      <c r="R1463" s="95" t="s">
        <v>96</v>
      </c>
      <c r="S1463" s="95" t="s">
        <v>104</v>
      </c>
      <c r="T1463" s="356" t="s">
        <v>105</v>
      </c>
      <c r="U1463" s="356" t="s">
        <v>8</v>
      </c>
      <c r="V1463" s="100" t="s">
        <v>98</v>
      </c>
      <c r="Y1463" s="383" t="s">
        <v>104</v>
      </c>
      <c r="Z1463" s="119" t="s">
        <v>9</v>
      </c>
      <c r="AA1463" s="86"/>
      <c r="AB1463" s="384"/>
      <c r="AC1463" s="385"/>
      <c r="AD1463" s="94"/>
      <c r="AE1463" s="406"/>
    </row>
    <row r="1464" spans="3:31" s="260" customFormat="1" x14ac:dyDescent="0.25">
      <c r="C1464" s="84"/>
      <c r="D1464" s="85"/>
      <c r="E1464" s="86"/>
      <c r="F1464" s="86"/>
      <c r="G1464" s="86"/>
      <c r="H1464" s="86"/>
      <c r="I1464" s="86"/>
      <c r="J1464" s="87"/>
      <c r="K1464" s="88"/>
      <c r="M1464" s="102">
        <v>734</v>
      </c>
      <c r="N1464" s="533" t="str">
        <f>IFERROR(VLOOKUP(M1464,INSUMOS!$C$8:$K$928,2,0),"-----")</f>
        <v>VALVULA DE CORTE 1/2"</v>
      </c>
      <c r="O1464" s="533"/>
      <c r="P1464" s="533"/>
      <c r="Q1464" s="533"/>
      <c r="R1464" s="78" t="str">
        <f>IFERROR(VLOOKUP(M1464,INSUMOS!$C$8:$K$928,6,0),"-----")</f>
        <v>und</v>
      </c>
      <c r="S1464" s="396">
        <v>1</v>
      </c>
      <c r="T1464" s="387">
        <v>0</v>
      </c>
      <c r="U1464" s="388">
        <f>IFERROR(VLOOKUP(M1464,INSUMOS!$C$8:$K$928,7,0),"0")</f>
        <v>13571</v>
      </c>
      <c r="V1464" s="389">
        <f>+IFERROR(U1464*(S1464*(1+T1464)),0)</f>
        <v>13571</v>
      </c>
      <c r="Y1464" s="393">
        <f>+IFERROR(Y1451*(S1464*(1+T1464)),0)</f>
        <v>3</v>
      </c>
      <c r="Z1464" s="391">
        <f>Y1451*V1464</f>
        <v>40713</v>
      </c>
      <c r="AA1464" s="394"/>
      <c r="AB1464" s="395">
        <f>+Y1464*U1464</f>
        <v>40713</v>
      </c>
      <c r="AC1464" s="93">
        <f>+AB1464-Z1464</f>
        <v>0</v>
      </c>
      <c r="AD1464" s="94"/>
      <c r="AE1464" s="406" t="str">
        <f>+IF(V1464=0,"CERO","NO")</f>
        <v>NO</v>
      </c>
    </row>
    <row r="1465" spans="3:31" s="260" customFormat="1" x14ac:dyDescent="0.25">
      <c r="C1465" s="84"/>
      <c r="D1465" s="85"/>
      <c r="E1465" s="86"/>
      <c r="F1465" s="86"/>
      <c r="G1465" s="86"/>
      <c r="H1465" s="86"/>
      <c r="I1465" s="86"/>
      <c r="J1465" s="87"/>
      <c r="K1465" s="88"/>
      <c r="M1465" s="102">
        <v>699</v>
      </c>
      <c r="N1465" s="533" t="str">
        <f>IFERROR(VLOOKUP(M1465,INSUMOS!$C$8:$K$928,2,0),"-----")</f>
        <v>SOLDADURA PVC LIQUIDA 1/4"</v>
      </c>
      <c r="O1465" s="533"/>
      <c r="P1465" s="533"/>
      <c r="Q1465" s="533"/>
      <c r="R1465" s="78" t="str">
        <f>IFERROR(VLOOKUP(M1465,INSUMOS!$C$8:$K$928,6,0),"-----")</f>
        <v>und</v>
      </c>
      <c r="S1465" s="396">
        <v>0.01</v>
      </c>
      <c r="T1465" s="387">
        <v>0.02</v>
      </c>
      <c r="U1465" s="388">
        <f>IFERROR(VLOOKUP(M1465,INSUMOS!$C$8:$K$928,7,0),"0")</f>
        <v>146569</v>
      </c>
      <c r="V1465" s="389">
        <f>+IFERROR(U1465*(S1465*(1+T1465)),0)</f>
        <v>1495.0038000000002</v>
      </c>
      <c r="Y1465" s="393">
        <f>+IFERROR(Y1451*(S1465*(1+T1465)),0)</f>
        <v>3.0600000000000002E-2</v>
      </c>
      <c r="Z1465" s="391">
        <f>Y1451*V1465</f>
        <v>4485.0114000000003</v>
      </c>
      <c r="AA1465" s="394"/>
      <c r="AB1465" s="395">
        <f>+Y1465*U1465</f>
        <v>4485.0114000000003</v>
      </c>
      <c r="AC1465" s="93">
        <f>+AB1465-Z1465</f>
        <v>0</v>
      </c>
      <c r="AD1465" s="94"/>
      <c r="AE1465" s="406" t="str">
        <f>+IF(V1465=0,"CERO","NO")</f>
        <v>NO</v>
      </c>
    </row>
    <row r="1466" spans="3:31" s="260" customFormat="1" x14ac:dyDescent="0.25">
      <c r="C1466" s="84"/>
      <c r="D1466" s="85"/>
      <c r="E1466" s="86"/>
      <c r="F1466" s="86"/>
      <c r="G1466" s="86"/>
      <c r="H1466" s="86"/>
      <c r="I1466" s="86"/>
      <c r="J1466" s="87"/>
      <c r="K1466" s="88"/>
      <c r="M1466" s="102">
        <v>700</v>
      </c>
      <c r="N1466" s="533" t="str">
        <f>IFERROR(VLOOKUP(M1466,INSUMOS!$C$8:$K$928,2,0),"-----")</f>
        <v>LIMPIADOR PVC 1/4</v>
      </c>
      <c r="O1466" s="533"/>
      <c r="P1466" s="533"/>
      <c r="Q1466" s="533"/>
      <c r="R1466" s="78" t="str">
        <f>IFERROR(VLOOKUP(M1466,INSUMOS!$C$8:$K$928,6,0),"-----")</f>
        <v>und</v>
      </c>
      <c r="S1466" s="396">
        <v>0.01</v>
      </c>
      <c r="T1466" s="387">
        <v>0.02</v>
      </c>
      <c r="U1466" s="388">
        <f>IFERROR(VLOOKUP(M1466,INSUMOS!$C$8:$K$928,7,0),"0")</f>
        <v>65913</v>
      </c>
      <c r="V1466" s="389">
        <f>+IFERROR(U1466*(S1466*(1+T1466)),0)</f>
        <v>672.31260000000009</v>
      </c>
      <c r="Y1466" s="393">
        <f>+IFERROR(Y1451*(S1466*(1+T1466)),0)</f>
        <v>3.0600000000000002E-2</v>
      </c>
      <c r="Z1466" s="391">
        <f>Y1451*V1466</f>
        <v>2016.9378000000002</v>
      </c>
      <c r="AA1466" s="394"/>
      <c r="AB1466" s="395">
        <f>+Y1466*U1466</f>
        <v>2016.9378000000002</v>
      </c>
      <c r="AC1466" s="93">
        <f>+AB1466-Z1466</f>
        <v>0</v>
      </c>
      <c r="AD1466" s="94"/>
      <c r="AE1466" s="406" t="str">
        <f>+IF(V1466=0,"CERO","NO")</f>
        <v>NO</v>
      </c>
    </row>
    <row r="1467" spans="3:31" s="260" customFormat="1" x14ac:dyDescent="0.25">
      <c r="C1467" s="84"/>
      <c r="D1467" s="85"/>
      <c r="E1467" s="86"/>
      <c r="F1467" s="86"/>
      <c r="G1467" s="86"/>
      <c r="H1467" s="86"/>
      <c r="I1467" s="86"/>
      <c r="J1467" s="87"/>
      <c r="K1467" s="88"/>
      <c r="M1467" s="102">
        <v>0</v>
      </c>
      <c r="N1467" s="533" t="str">
        <f>IFERROR(VLOOKUP(M1467,INSUMOS!$C$8:$K$928,2,0),"-----")</f>
        <v>-----</v>
      </c>
      <c r="O1467" s="533"/>
      <c r="P1467" s="533"/>
      <c r="Q1467" s="533"/>
      <c r="R1467" s="78" t="str">
        <f>IFERROR(VLOOKUP(M1467,INSUMOS!$C$8:$K$928,6,0),"-----")</f>
        <v>-----</v>
      </c>
      <c r="S1467" s="396"/>
      <c r="T1467" s="387"/>
      <c r="U1467" s="388" t="str">
        <f>IFERROR(VLOOKUP(M1467,INSUMOS!$C$8:$K$928,7,0),"0")</f>
        <v>0</v>
      </c>
      <c r="V1467" s="389">
        <f>+IFERROR(U1467*(S1467*(1+T1467)),0)</f>
        <v>0</v>
      </c>
      <c r="Y1467" s="393">
        <f>+IFERROR(Y1451*(S1467*(1+T1467)),0)</f>
        <v>0</v>
      </c>
      <c r="Z1467" s="391">
        <f>Y1451*V1467</f>
        <v>0</v>
      </c>
      <c r="AA1467" s="394"/>
      <c r="AB1467" s="395">
        <f>+Y1467*U1467</f>
        <v>0</v>
      </c>
      <c r="AC1467" s="93">
        <f>+AB1467-Z1467</f>
        <v>0</v>
      </c>
      <c r="AD1467" s="94"/>
      <c r="AE1467" s="406" t="str">
        <f>+IF(V1467=0,"CERO","NO")</f>
        <v>CERO</v>
      </c>
    </row>
    <row r="1468" spans="3:31" s="260" customFormat="1" ht="15.75" thickBot="1" x14ac:dyDescent="0.3">
      <c r="C1468" s="84"/>
      <c r="D1468" s="85"/>
      <c r="E1468" s="86"/>
      <c r="F1468" s="86"/>
      <c r="G1468" s="86"/>
      <c r="H1468" s="86"/>
      <c r="I1468" s="86"/>
      <c r="J1468" s="87"/>
      <c r="K1468" s="88"/>
      <c r="M1468" s="102">
        <v>0</v>
      </c>
      <c r="N1468" s="564"/>
      <c r="O1468" s="564"/>
      <c r="P1468" s="564"/>
      <c r="Q1468" s="564"/>
      <c r="R1468" s="96"/>
      <c r="S1468" s="79"/>
      <c r="T1468" s="97"/>
      <c r="U1468" s="358"/>
      <c r="V1468" s="397"/>
      <c r="Y1468" s="393">
        <f>+IFERROR(Y1451*(S1468*(1+T1468)),0)</f>
        <v>0</v>
      </c>
      <c r="Z1468" s="391">
        <f>Y1451*V1468</f>
        <v>0</v>
      </c>
      <c r="AA1468" s="394"/>
      <c r="AB1468" s="395">
        <f>+Y1468*U1468</f>
        <v>0</v>
      </c>
      <c r="AC1468" s="93">
        <f>+AB1468-Z1468</f>
        <v>0</v>
      </c>
      <c r="AD1468" s="94"/>
      <c r="AE1468" s="406" t="str">
        <f>+IF(V1468=0,"CERO","NO")</f>
        <v>CERO</v>
      </c>
    </row>
    <row r="1469" spans="3:31" s="260" customFormat="1" ht="15.75" thickBot="1" x14ac:dyDescent="0.3">
      <c r="C1469" s="84"/>
      <c r="D1469" s="375" t="s">
        <v>128</v>
      </c>
      <c r="E1469" s="376" t="s">
        <v>129</v>
      </c>
      <c r="F1469" s="376" t="s">
        <v>130</v>
      </c>
      <c r="G1469" s="376" t="s">
        <v>131</v>
      </c>
      <c r="H1469" s="376" t="s">
        <v>132</v>
      </c>
      <c r="I1469" s="376" t="s">
        <v>133</v>
      </c>
      <c r="J1469" s="377" t="s">
        <v>134</v>
      </c>
      <c r="K1469" s="88"/>
      <c r="M1469" s="534"/>
      <c r="N1469" s="536" t="s">
        <v>106</v>
      </c>
      <c r="O1469" s="536"/>
      <c r="P1469" s="536"/>
      <c r="Q1469" s="536"/>
      <c r="R1469" s="536"/>
      <c r="S1469" s="536"/>
      <c r="T1469" s="536"/>
      <c r="U1469" s="536"/>
      <c r="V1469" s="389">
        <f>+SUM(V1464:V1468)</f>
        <v>15738.3164</v>
      </c>
      <c r="Y1469" s="398" t="s">
        <v>135</v>
      </c>
      <c r="Z1469" s="397">
        <f>+SUM(Z1464:Z1468)</f>
        <v>47214.949200000003</v>
      </c>
      <c r="AA1469" s="86"/>
      <c r="AB1469" s="384"/>
      <c r="AC1469" s="385"/>
      <c r="AD1469" s="94"/>
      <c r="AE1469" s="399"/>
    </row>
    <row r="1470" spans="3:31" s="260" customFormat="1" ht="15.75" thickBot="1" x14ac:dyDescent="0.3">
      <c r="C1470" s="84"/>
      <c r="D1470" s="375"/>
      <c r="E1470" s="407">
        <f>+D1461</f>
        <v>2.2000000000000002</v>
      </c>
      <c r="F1470" s="376"/>
      <c r="G1470" s="376"/>
      <c r="H1470" s="376"/>
      <c r="I1470" s="376"/>
      <c r="J1470" s="377"/>
      <c r="K1470" s="88"/>
      <c r="M1470" s="535"/>
      <c r="N1470" s="537" t="s">
        <v>107</v>
      </c>
      <c r="O1470" s="537"/>
      <c r="P1470" s="537"/>
      <c r="Q1470" s="537"/>
      <c r="R1470" s="537"/>
      <c r="S1470" s="537"/>
      <c r="T1470" s="537"/>
      <c r="U1470" s="537"/>
      <c r="V1470" s="408">
        <f>+ROUND(V1469,$AA$5)</f>
        <v>15738.32</v>
      </c>
      <c r="Y1470" s="401" t="s">
        <v>136</v>
      </c>
      <c r="Z1470" s="402">
        <f>+ROUND(Z1469,$AA$5)</f>
        <v>47214.95</v>
      </c>
      <c r="AA1470" s="86"/>
      <c r="AB1470" s="403">
        <f>+V1470*Y1451</f>
        <v>47214.96</v>
      </c>
      <c r="AC1470" s="404">
        <f>+AB1470-Z1470</f>
        <v>1.0000000002037268E-2</v>
      </c>
      <c r="AD1470" s="94"/>
      <c r="AE1470" s="405"/>
    </row>
    <row r="1471" spans="3:31" s="260" customFormat="1" x14ac:dyDescent="0.25">
      <c r="C1471" s="84"/>
      <c r="D1471" s="380"/>
      <c r="E1471" s="381"/>
      <c r="F1471" s="381"/>
      <c r="G1471" s="381"/>
      <c r="H1471" s="381"/>
      <c r="I1471" s="381"/>
      <c r="J1471" s="382"/>
      <c r="K1471" s="88"/>
      <c r="M1471" s="568" t="s">
        <v>108</v>
      </c>
      <c r="N1471" s="569"/>
      <c r="O1471" s="569"/>
      <c r="P1471" s="569"/>
      <c r="Q1471" s="569"/>
      <c r="R1471" s="569"/>
      <c r="S1471" s="569"/>
      <c r="T1471" s="569"/>
      <c r="U1471" s="569"/>
      <c r="V1471" s="570"/>
      <c r="Y1471" s="378"/>
      <c r="Z1471" s="121"/>
      <c r="AA1471" s="86"/>
      <c r="AB1471" s="409"/>
      <c r="AC1471" s="121"/>
      <c r="AD1471" s="94"/>
      <c r="AE1471" s="126"/>
    </row>
    <row r="1472" spans="3:31" s="260" customFormat="1" ht="25.5" x14ac:dyDescent="0.25">
      <c r="C1472" s="84"/>
      <c r="D1472" s="85"/>
      <c r="E1472" s="86"/>
      <c r="F1472" s="86"/>
      <c r="G1472" s="86"/>
      <c r="H1472" s="86"/>
      <c r="I1472" s="86"/>
      <c r="J1472" s="87"/>
      <c r="K1472" s="88"/>
      <c r="M1472" s="99" t="s">
        <v>94</v>
      </c>
      <c r="N1472" s="561" t="s">
        <v>95</v>
      </c>
      <c r="O1472" s="561"/>
      <c r="P1472" s="561"/>
      <c r="Q1472" s="95" t="s">
        <v>109</v>
      </c>
      <c r="R1472" s="95" t="s">
        <v>110</v>
      </c>
      <c r="S1472" s="95" t="s">
        <v>111</v>
      </c>
      <c r="T1472" s="562" t="s">
        <v>112</v>
      </c>
      <c r="U1472" s="562"/>
      <c r="V1472" s="100" t="s">
        <v>98</v>
      </c>
      <c r="Y1472" s="383" t="s">
        <v>104</v>
      </c>
      <c r="Z1472" s="119" t="s">
        <v>9</v>
      </c>
      <c r="AA1472" s="86"/>
      <c r="AB1472" s="384"/>
      <c r="AC1472" s="385"/>
      <c r="AD1472" s="94"/>
      <c r="AE1472" s="410"/>
    </row>
    <row r="1473" spans="3:31" s="260" customFormat="1" x14ac:dyDescent="0.25">
      <c r="C1473" s="84"/>
      <c r="D1473" s="85"/>
      <c r="E1473" s="86"/>
      <c r="F1473" s="86"/>
      <c r="G1473" s="86"/>
      <c r="H1473" s="86"/>
      <c r="I1473" s="86"/>
      <c r="J1473" s="87"/>
      <c r="K1473" s="88"/>
      <c r="M1473" s="102">
        <v>129</v>
      </c>
      <c r="N1473" s="530" t="str">
        <f>IFERROR(VLOOKUP(M1473,INSUMOS!$C$8:$K$928,2,0),"-----")</f>
        <v>transporte materiales en general</v>
      </c>
      <c r="O1473" s="531"/>
      <c r="P1473" s="532"/>
      <c r="Q1473" s="78" t="str">
        <f>IFERROR(VLOOKUP(M1473,INSUMOS!$C$8:$K$928,5,0),"-----")</f>
        <v>Km</v>
      </c>
      <c r="R1473" s="80">
        <v>1</v>
      </c>
      <c r="S1473" s="80">
        <f>IFERROR(VLOOKUP(M1473,INSUMOS!$C$8:$K$928,6,0),"0")</f>
        <v>348</v>
      </c>
      <c r="T1473" s="529">
        <f>IFERROR(VLOOKUP(M1473,INSUMOS!$C$8:$K$928,7,0),"0")</f>
        <v>0.99776362060288992</v>
      </c>
      <c r="U1473" s="529"/>
      <c r="V1473" s="82">
        <f>+T1473*S1473*R1473</f>
        <v>347.2217399698057</v>
      </c>
      <c r="Y1473" s="393">
        <f>+IFERROR((R1473*S1473)*Y1451,0)</f>
        <v>1044</v>
      </c>
      <c r="Z1473" s="391">
        <f>Y1451*V1473</f>
        <v>1041.6652199094171</v>
      </c>
      <c r="AA1473" s="86"/>
      <c r="AB1473" s="92">
        <f>+Y1473*T1473</f>
        <v>1041.6652199094171</v>
      </c>
      <c r="AC1473" s="93">
        <f>+AB1473-Z1473</f>
        <v>0</v>
      </c>
      <c r="AD1473" s="94"/>
      <c r="AE1473" s="406" t="str">
        <f>+IF(V1473=0,"CERO","NO")</f>
        <v>NO</v>
      </c>
    </row>
    <row r="1474" spans="3:31" s="260" customFormat="1" x14ac:dyDescent="0.25">
      <c r="C1474" s="84"/>
      <c r="D1474" s="85"/>
      <c r="E1474" s="86"/>
      <c r="F1474" s="86"/>
      <c r="G1474" s="86"/>
      <c r="H1474" s="86"/>
      <c r="I1474" s="86"/>
      <c r="J1474" s="87"/>
      <c r="K1474" s="88"/>
      <c r="M1474" s="102">
        <v>0</v>
      </c>
      <c r="N1474" s="530" t="str">
        <f>IFERROR(VLOOKUP(M1474,INSUMOS!$C$8:$K$928,2,0),"-----")</f>
        <v>-----</v>
      </c>
      <c r="O1474" s="531"/>
      <c r="P1474" s="532"/>
      <c r="Q1474" s="78" t="str">
        <f>IFERROR(VLOOKUP(M1474,INSUMOS!$C$8:$K$928,5,0),"-----")</f>
        <v>-----</v>
      </c>
      <c r="R1474" s="80"/>
      <c r="S1474" s="80" t="str">
        <f>IFERROR(VLOOKUP(M1474,INSUMOS!$C$8:$K$928,6,0),"0")</f>
        <v>0</v>
      </c>
      <c r="T1474" s="529" t="str">
        <f>IFERROR(VLOOKUP(M1474,INSUMOS!$C$8:$K$928,7,0),"0")</f>
        <v>0</v>
      </c>
      <c r="U1474" s="529"/>
      <c r="V1474" s="82">
        <f>+T1474*S1474*R1474</f>
        <v>0</v>
      </c>
      <c r="Y1474" s="393">
        <f>+IFERROR((R1474*S1474)*Y1451,0)</f>
        <v>0</v>
      </c>
      <c r="Z1474" s="391">
        <f>Y1451*V1474</f>
        <v>0</v>
      </c>
      <c r="AA1474" s="86"/>
      <c r="AB1474" s="92">
        <f>+Y1474*T1474</f>
        <v>0</v>
      </c>
      <c r="AC1474" s="93">
        <f>+AB1474-Z1474</f>
        <v>0</v>
      </c>
      <c r="AD1474" s="94"/>
      <c r="AE1474" s="406" t="str">
        <f>+IF(V1474=0,"CERO","NO")</f>
        <v>CERO</v>
      </c>
    </row>
    <row r="1475" spans="3:31" s="260" customFormat="1" x14ac:dyDescent="0.25">
      <c r="C1475" s="84"/>
      <c r="D1475" s="85"/>
      <c r="E1475" s="86"/>
      <c r="F1475" s="86"/>
      <c r="G1475" s="86"/>
      <c r="H1475" s="86"/>
      <c r="I1475" s="86"/>
      <c r="J1475" s="87"/>
      <c r="K1475" s="88"/>
      <c r="M1475" s="102">
        <v>0</v>
      </c>
      <c r="N1475" s="530" t="str">
        <f>IFERROR(VLOOKUP(M1475,INSUMOS!$C$8:$K$928,2,0),"-----")</f>
        <v>-----</v>
      </c>
      <c r="O1475" s="531"/>
      <c r="P1475" s="532"/>
      <c r="Q1475" s="78" t="str">
        <f>IFERROR(VLOOKUP(M1475,INSUMOS!$C$8:$K$928,5,0),"-----")</f>
        <v>-----</v>
      </c>
      <c r="R1475" s="80"/>
      <c r="S1475" s="80" t="str">
        <f>IFERROR(VLOOKUP(M1475,INSUMOS!$C$8:$K$928,6,0),"0")</f>
        <v>0</v>
      </c>
      <c r="T1475" s="529" t="str">
        <f>IFERROR(VLOOKUP(M1475,INSUMOS!$C$8:$K$928,7,0),"0")</f>
        <v>0</v>
      </c>
      <c r="U1475" s="529"/>
      <c r="V1475" s="82">
        <f>+T1475*S1475*R1475</f>
        <v>0</v>
      </c>
      <c r="Y1475" s="393">
        <f>+IFERROR((R1475*S1475)*Y1451,0)</f>
        <v>0</v>
      </c>
      <c r="Z1475" s="391">
        <f>Y1451*V1475</f>
        <v>0</v>
      </c>
      <c r="AA1475" s="86"/>
      <c r="AB1475" s="92">
        <f>+Y1475*T1475</f>
        <v>0</v>
      </c>
      <c r="AC1475" s="93">
        <f>+AB1475-Z1475</f>
        <v>0</v>
      </c>
      <c r="AD1475" s="94"/>
      <c r="AE1475" s="406" t="str">
        <f>+IF(V1475=0,"CERO","NO")</f>
        <v>CERO</v>
      </c>
    </row>
    <row r="1476" spans="3:31" s="260" customFormat="1" ht="15.75" thickBot="1" x14ac:dyDescent="0.3">
      <c r="C1476" s="84"/>
      <c r="D1476" s="89"/>
      <c r="E1476" s="90"/>
      <c r="F1476" s="90"/>
      <c r="G1476" s="90"/>
      <c r="H1476" s="90"/>
      <c r="I1476" s="90"/>
      <c r="J1476" s="91"/>
      <c r="K1476" s="88"/>
      <c r="M1476" s="102">
        <v>0</v>
      </c>
      <c r="N1476" s="533"/>
      <c r="O1476" s="533"/>
      <c r="P1476" s="533"/>
      <c r="Q1476" s="79"/>
      <c r="R1476" s="78"/>
      <c r="S1476" s="81"/>
      <c r="T1476" s="529"/>
      <c r="U1476" s="529"/>
      <c r="V1476" s="82"/>
      <c r="Y1476" s="393">
        <f>+IFERROR((R1476*S1476)*Y1451,0)</f>
        <v>0</v>
      </c>
      <c r="Z1476" s="391">
        <f>Y1451*V1476</f>
        <v>0</v>
      </c>
      <c r="AA1476" s="86"/>
      <c r="AB1476" s="92">
        <f>+Y1476*T1476</f>
        <v>0</v>
      </c>
      <c r="AC1476" s="93">
        <f>+AB1476-Z1476</f>
        <v>0</v>
      </c>
      <c r="AD1476" s="94"/>
      <c r="AE1476" s="406" t="str">
        <f>+IF(V1476=0,"CERO","NO")</f>
        <v>CERO</v>
      </c>
    </row>
    <row r="1477" spans="3:31" s="260" customFormat="1" ht="15.75" thickBot="1" x14ac:dyDescent="0.3">
      <c r="C1477" s="84"/>
      <c r="D1477" s="375" t="s">
        <v>128</v>
      </c>
      <c r="E1477" s="376" t="s">
        <v>129</v>
      </c>
      <c r="F1477" s="376" t="s">
        <v>130</v>
      </c>
      <c r="G1477" s="376" t="s">
        <v>131</v>
      </c>
      <c r="H1477" s="376" t="s">
        <v>132</v>
      </c>
      <c r="I1477" s="376" t="s">
        <v>133</v>
      </c>
      <c r="J1477" s="377" t="s">
        <v>134</v>
      </c>
      <c r="K1477" s="88"/>
      <c r="M1477" s="534"/>
      <c r="N1477" s="536" t="s">
        <v>113</v>
      </c>
      <c r="O1477" s="536"/>
      <c r="P1477" s="536"/>
      <c r="Q1477" s="536"/>
      <c r="R1477" s="536"/>
      <c r="S1477" s="536"/>
      <c r="T1477" s="536"/>
      <c r="U1477" s="536"/>
      <c r="V1477" s="411">
        <f>+SUM(V1473:V1476)</f>
        <v>347.2217399698057</v>
      </c>
      <c r="Y1477" s="398" t="s">
        <v>135</v>
      </c>
      <c r="Z1477" s="397">
        <f>+SUM(Z1473:Z1476)</f>
        <v>1041.6652199094171</v>
      </c>
      <c r="AA1477" s="86"/>
      <c r="AB1477" s="384"/>
      <c r="AC1477" s="385"/>
      <c r="AD1477" s="94"/>
      <c r="AE1477" s="399"/>
    </row>
    <row r="1478" spans="3:31" s="260" customFormat="1" ht="15.75" thickBot="1" x14ac:dyDescent="0.3">
      <c r="C1478" s="84"/>
      <c r="D1478" s="355"/>
      <c r="E1478" s="367"/>
      <c r="F1478" s="412">
        <f>+E1470</f>
        <v>2.2000000000000002</v>
      </c>
      <c r="G1478" s="367"/>
      <c r="H1478" s="367"/>
      <c r="I1478" s="367"/>
      <c r="J1478" s="368"/>
      <c r="K1478" s="88"/>
      <c r="M1478" s="535"/>
      <c r="N1478" s="537" t="s">
        <v>114</v>
      </c>
      <c r="O1478" s="537"/>
      <c r="P1478" s="537"/>
      <c r="Q1478" s="537"/>
      <c r="R1478" s="537"/>
      <c r="S1478" s="537"/>
      <c r="T1478" s="537"/>
      <c r="U1478" s="537"/>
      <c r="V1478" s="413">
        <f>+ROUND(V1477,$AA$5)</f>
        <v>347.22</v>
      </c>
      <c r="Y1478" s="401" t="s">
        <v>136</v>
      </c>
      <c r="Z1478" s="402">
        <f>+ROUND(Z1477,$AA$5)</f>
        <v>1041.67</v>
      </c>
      <c r="AA1478" s="86"/>
      <c r="AB1478" s="403">
        <f>+V1478*Y1451</f>
        <v>1041.6600000000001</v>
      </c>
      <c r="AC1478" s="414"/>
      <c r="AD1478" s="94"/>
      <c r="AE1478" s="405"/>
    </row>
    <row r="1479" spans="3:31" s="260" customFormat="1" ht="15.75" thickBot="1" x14ac:dyDescent="0.3">
      <c r="C1479" s="84"/>
      <c r="D1479" s="415"/>
      <c r="E1479" s="416"/>
      <c r="F1479" s="416"/>
      <c r="G1479" s="416"/>
      <c r="H1479" s="416"/>
      <c r="I1479" s="416"/>
      <c r="J1479" s="417"/>
      <c r="K1479" s="88"/>
      <c r="M1479" s="538" t="s">
        <v>115</v>
      </c>
      <c r="N1479" s="539"/>
      <c r="O1479" s="539"/>
      <c r="P1479" s="539"/>
      <c r="Q1479" s="539"/>
      <c r="R1479" s="539"/>
      <c r="S1479" s="539"/>
      <c r="T1479" s="539"/>
      <c r="U1479" s="539"/>
      <c r="V1479" s="540"/>
      <c r="Y1479" s="378"/>
      <c r="Z1479" s="121"/>
      <c r="AA1479" s="86"/>
      <c r="AB1479" s="409"/>
      <c r="AC1479" s="121"/>
      <c r="AD1479" s="94"/>
      <c r="AE1479" s="126"/>
    </row>
    <row r="1480" spans="3:31" s="260" customFormat="1" ht="15.75" thickBot="1" x14ac:dyDescent="0.3">
      <c r="C1480" s="84"/>
      <c r="D1480" s="375" t="s">
        <v>128</v>
      </c>
      <c r="E1480" s="376" t="s">
        <v>129</v>
      </c>
      <c r="F1480" s="376" t="s">
        <v>130</v>
      </c>
      <c r="G1480" s="376" t="s">
        <v>131</v>
      </c>
      <c r="H1480" s="376" t="s">
        <v>132</v>
      </c>
      <c r="I1480" s="376" t="s">
        <v>133</v>
      </c>
      <c r="J1480" s="377" t="s">
        <v>134</v>
      </c>
      <c r="K1480" s="88"/>
      <c r="M1480" s="99" t="s">
        <v>94</v>
      </c>
      <c r="N1480" s="98" t="s">
        <v>95</v>
      </c>
      <c r="O1480" s="95" t="s">
        <v>96</v>
      </c>
      <c r="P1480" s="359" t="s">
        <v>104</v>
      </c>
      <c r="Q1480" s="95" t="s">
        <v>116</v>
      </c>
      <c r="R1480" s="418" t="s">
        <v>117</v>
      </c>
      <c r="S1480" s="95" t="s">
        <v>347</v>
      </c>
      <c r="T1480" s="419" t="s">
        <v>118</v>
      </c>
      <c r="U1480" s="189" t="s">
        <v>119</v>
      </c>
      <c r="V1480" s="100" t="s">
        <v>98</v>
      </c>
      <c r="Y1480" s="383" t="s">
        <v>104</v>
      </c>
      <c r="Z1480" s="119" t="s">
        <v>9</v>
      </c>
      <c r="AA1480" s="86"/>
      <c r="AB1480" s="384"/>
      <c r="AC1480" s="385"/>
      <c r="AD1480" s="94"/>
      <c r="AE1480" s="410"/>
    </row>
    <row r="1481" spans="3:31" s="260" customFormat="1" ht="25.5" x14ac:dyDescent="0.25">
      <c r="C1481" s="84"/>
      <c r="D1481" s="354"/>
      <c r="E1481" s="96"/>
      <c r="F1481" s="96"/>
      <c r="G1481" s="96"/>
      <c r="H1481" s="96"/>
      <c r="I1481" s="96"/>
      <c r="J1481" s="420">
        <f>+F1478</f>
        <v>2.2000000000000002</v>
      </c>
      <c r="K1481" s="88"/>
      <c r="M1481" s="102">
        <v>207</v>
      </c>
      <c r="N1481" s="347" t="str">
        <f>IFERROR(VLOOKUP(M1481,INSUMOS!$C$8:$K$928,2,0),"-----")</f>
        <v>Oficial Hidrosanitario</v>
      </c>
      <c r="O1481" s="78" t="str">
        <f>IFERROR(VLOOKUP(M1481,INSUMOS!$C$8:$K$928,3,0),"-----")</f>
        <v>JORNAL+PS</v>
      </c>
      <c r="P1481" s="80">
        <v>1</v>
      </c>
      <c r="Q1481" s="79">
        <v>25</v>
      </c>
      <c r="R1481" s="190">
        <f>IFERROR(VLOOKUP(M1481,INSUMOS!$C$8:$K$928,4,0),"-----")</f>
        <v>92983</v>
      </c>
      <c r="S1481" s="190">
        <f>IFERROR(VLOOKUP(M1481,INSUMOS!$C$8:$K$928,6,0),"-----")</f>
        <v>74386</v>
      </c>
      <c r="T1481" s="190">
        <f>IFERROR(VLOOKUP(M1481,INSUMOS!$C$8:$K$928,5,0),"-----")</f>
        <v>0</v>
      </c>
      <c r="U1481" s="388">
        <f>SUM(R1481:T1481)</f>
        <v>167369</v>
      </c>
      <c r="V1481" s="82">
        <f>+IFERROR((P1481/Q1481)*U1481,0)</f>
        <v>6694.76</v>
      </c>
      <c r="Y1481" s="393">
        <f>+IFERROR((Y1451/Q1481*P1481),0)</f>
        <v>0.12</v>
      </c>
      <c r="Z1481" s="391">
        <f>Y1451*V1481</f>
        <v>20084.28</v>
      </c>
      <c r="AA1481" s="86"/>
      <c r="AB1481" s="92">
        <f>+(U1481)*Y1481</f>
        <v>20084.28</v>
      </c>
      <c r="AC1481" s="93">
        <f>+AB1481-Z1481</f>
        <v>0</v>
      </c>
      <c r="AD1481" s="421"/>
      <c r="AE1481" s="410" t="str">
        <f>+IF(V1481=0,"CERO","NO")</f>
        <v>NO</v>
      </c>
    </row>
    <row r="1482" spans="3:31" s="260" customFormat="1" ht="15.75" thickBot="1" x14ac:dyDescent="0.3">
      <c r="C1482" s="84"/>
      <c r="D1482" s="355"/>
      <c r="E1482" s="367"/>
      <c r="F1482" s="367"/>
      <c r="G1482" s="367"/>
      <c r="H1482" s="367"/>
      <c r="I1482" s="367"/>
      <c r="J1482" s="422">
        <f>+J1481</f>
        <v>2.2000000000000002</v>
      </c>
      <c r="K1482" s="88"/>
      <c r="M1482" s="102"/>
      <c r="N1482" s="347" t="str">
        <f>IFERROR(VLOOKUP(M1482,INSUMOS!$C$8:$K$928,2,0),"-----")</f>
        <v>-----</v>
      </c>
      <c r="O1482" s="78" t="str">
        <f>IFERROR(VLOOKUP(M1482,INSUMOS!$C$8:$K$928,3,0),"-----")</f>
        <v>-----</v>
      </c>
      <c r="P1482" s="80"/>
      <c r="Q1482" s="79"/>
      <c r="R1482" s="190" t="str">
        <f>IFERROR(VLOOKUP(M1482,INSUMOS!$C$8:$K$928,4,0),"-----")</f>
        <v>-----</v>
      </c>
      <c r="S1482" s="190" t="str">
        <f>IFERROR(VLOOKUP(M1482,INSUMOS!$C$8:$K$928,6,0),"-----")</f>
        <v>-----</v>
      </c>
      <c r="T1482" s="190" t="str">
        <f>IFERROR(VLOOKUP(M1482,INSUMOS!$C$8:$K$928,5,0),"-----")</f>
        <v>-----</v>
      </c>
      <c r="U1482" s="388">
        <f>SUM(R1482:T1482)</f>
        <v>0</v>
      </c>
      <c r="V1482" s="82">
        <f>+IFERROR((P1482/Q1482)*U1482,0)</f>
        <v>0</v>
      </c>
      <c r="Y1482" s="393">
        <f>+IFERROR((Y1451/Q1482*P1482),0)</f>
        <v>0</v>
      </c>
      <c r="Z1482" s="391">
        <f>Y1451*V1482</f>
        <v>0</v>
      </c>
      <c r="AA1482" s="86"/>
      <c r="AB1482" s="92">
        <f>+U1482*Y1482</f>
        <v>0</v>
      </c>
      <c r="AC1482" s="93">
        <f>+AB1482-Z1482</f>
        <v>0</v>
      </c>
      <c r="AD1482" s="94"/>
      <c r="AE1482" s="410" t="str">
        <f>+IF(V1482=0,"CERO","NO")</f>
        <v>CERO</v>
      </c>
    </row>
    <row r="1483" spans="3:31" s="260" customFormat="1" ht="15.75" thickBot="1" x14ac:dyDescent="0.3">
      <c r="C1483" s="84"/>
      <c r="D1483" s="380"/>
      <c r="E1483" s="381"/>
      <c r="F1483" s="381"/>
      <c r="G1483" s="381"/>
      <c r="H1483" s="381"/>
      <c r="I1483" s="381"/>
      <c r="J1483" s="382"/>
      <c r="K1483" s="88"/>
      <c r="M1483" s="102">
        <v>0</v>
      </c>
      <c r="N1483" s="347"/>
      <c r="O1483" s="79"/>
      <c r="P1483" s="423"/>
      <c r="Q1483" s="81"/>
      <c r="R1483" s="111"/>
      <c r="S1483" s="357"/>
      <c r="T1483" s="111"/>
      <c r="U1483" s="388"/>
      <c r="V1483" s="426"/>
      <c r="Y1483" s="393">
        <f>+IFERROR((Y1451/Q1483*P1483),0)</f>
        <v>0</v>
      </c>
      <c r="Z1483" s="391">
        <f>Y1451*V1483</f>
        <v>0</v>
      </c>
      <c r="AA1483" s="86"/>
      <c r="AB1483" s="92">
        <f>+(U1483)*Y1483*P1483</f>
        <v>0</v>
      </c>
      <c r="AC1483" s="93">
        <f>+AB1483-Z1483</f>
        <v>0</v>
      </c>
      <c r="AD1483" s="94"/>
      <c r="AE1483" s="410" t="str">
        <f>+IF(V1483=0,"CERO","NO")</f>
        <v>CERO</v>
      </c>
    </row>
    <row r="1484" spans="3:31" s="260" customFormat="1" ht="15.75" thickBot="1" x14ac:dyDescent="0.3">
      <c r="C1484" s="84"/>
      <c r="D1484" s="375" t="s">
        <v>128</v>
      </c>
      <c r="E1484" s="376" t="s">
        <v>129</v>
      </c>
      <c r="F1484" s="376" t="s">
        <v>130</v>
      </c>
      <c r="G1484" s="376" t="s">
        <v>131</v>
      </c>
      <c r="H1484" s="376" t="s">
        <v>132</v>
      </c>
      <c r="I1484" s="376" t="s">
        <v>133</v>
      </c>
      <c r="J1484" s="377" t="s">
        <v>134</v>
      </c>
      <c r="K1484" s="88"/>
      <c r="M1484" s="534"/>
      <c r="N1484" s="536" t="s">
        <v>120</v>
      </c>
      <c r="O1484" s="536"/>
      <c r="P1484" s="536"/>
      <c r="Q1484" s="536"/>
      <c r="R1484" s="536"/>
      <c r="S1484" s="536"/>
      <c r="T1484" s="536"/>
      <c r="U1484" s="536"/>
      <c r="V1484" s="82">
        <f>+SUM(V1481:V1483)</f>
        <v>6694.76</v>
      </c>
      <c r="Y1484" s="398" t="s">
        <v>135</v>
      </c>
      <c r="Z1484" s="397">
        <f>+SUM(Z1481:Z1483)</f>
        <v>20084.28</v>
      </c>
      <c r="AA1484" s="86"/>
      <c r="AB1484" s="384"/>
      <c r="AC1484" s="385"/>
      <c r="AD1484" s="94"/>
      <c r="AE1484" s="399"/>
    </row>
    <row r="1485" spans="3:31" s="260" customFormat="1" ht="15.75" thickBot="1" x14ac:dyDescent="0.3">
      <c r="C1485" s="84"/>
      <c r="D1485" s="354"/>
      <c r="E1485" s="96"/>
      <c r="F1485" s="96"/>
      <c r="G1485" s="107">
        <f>+F1478</f>
        <v>2.2000000000000002</v>
      </c>
      <c r="H1485" s="96"/>
      <c r="I1485" s="96"/>
      <c r="J1485" s="427"/>
      <c r="K1485" s="88"/>
      <c r="M1485" s="535"/>
      <c r="N1485" s="537" t="s">
        <v>121</v>
      </c>
      <c r="O1485" s="537"/>
      <c r="P1485" s="537"/>
      <c r="Q1485" s="537"/>
      <c r="R1485" s="537"/>
      <c r="S1485" s="537"/>
      <c r="T1485" s="537"/>
      <c r="U1485" s="537"/>
      <c r="V1485" s="413">
        <f>+ROUND(V1484,$AA$5)</f>
        <v>6694.76</v>
      </c>
      <c r="Y1485" s="401" t="s">
        <v>136</v>
      </c>
      <c r="Z1485" s="402">
        <f>+ROUND(Z1484,$AA$5)</f>
        <v>20084.28</v>
      </c>
      <c r="AA1485" s="86"/>
      <c r="AB1485" s="403">
        <f>+V1485*Y1451</f>
        <v>20084.28</v>
      </c>
      <c r="AC1485" s="404">
        <f>+AB1485-Z1485</f>
        <v>0</v>
      </c>
      <c r="AD1485" s="94"/>
      <c r="AE1485" s="405"/>
    </row>
    <row r="1486" spans="3:31" s="260" customFormat="1" ht="15.75" thickBot="1" x14ac:dyDescent="0.3">
      <c r="C1486" s="84"/>
      <c r="D1486" s="375" t="s">
        <v>128</v>
      </c>
      <c r="E1486" s="376" t="s">
        <v>129</v>
      </c>
      <c r="F1486" s="376" t="s">
        <v>130</v>
      </c>
      <c r="G1486" s="376" t="s">
        <v>131</v>
      </c>
      <c r="H1486" s="376" t="s">
        <v>132</v>
      </c>
      <c r="I1486" s="376" t="s">
        <v>133</v>
      </c>
      <c r="J1486" s="377" t="s">
        <v>134</v>
      </c>
      <c r="K1486" s="88"/>
      <c r="M1486" s="541"/>
      <c r="N1486" s="542"/>
      <c r="O1486" s="542"/>
      <c r="P1486" s="542"/>
      <c r="Q1486" s="542"/>
      <c r="R1486" s="542"/>
      <c r="S1486" s="542"/>
      <c r="T1486" s="542"/>
      <c r="U1486" s="542"/>
      <c r="V1486" s="543"/>
      <c r="Y1486" s="378"/>
      <c r="Z1486" s="121"/>
      <c r="AA1486" s="86"/>
      <c r="AB1486" s="409"/>
      <c r="AC1486" s="121"/>
      <c r="AD1486" s="94"/>
      <c r="AE1486" s="428"/>
    </row>
    <row r="1487" spans="3:31" s="260" customFormat="1" ht="15.75" thickBot="1" x14ac:dyDescent="0.3">
      <c r="C1487" s="84"/>
      <c r="D1487" s="355"/>
      <c r="E1487" s="367"/>
      <c r="F1487" s="367"/>
      <c r="G1487" s="367"/>
      <c r="H1487" s="412">
        <f>G1485</f>
        <v>2.2000000000000002</v>
      </c>
      <c r="I1487" s="412"/>
      <c r="J1487" s="422"/>
      <c r="K1487" s="88"/>
      <c r="M1487" s="544" t="s">
        <v>122</v>
      </c>
      <c r="N1487" s="537"/>
      <c r="O1487" s="537"/>
      <c r="P1487" s="537"/>
      <c r="Q1487" s="537"/>
      <c r="R1487" s="537"/>
      <c r="S1487" s="537"/>
      <c r="T1487" s="537"/>
      <c r="U1487" s="545">
        <f>+V1485+V1478+V1470+V1461</f>
        <v>23115.040000000001</v>
      </c>
      <c r="V1487" s="546"/>
      <c r="Y1487" s="429"/>
      <c r="Z1487" s="430">
        <f>+Z1485+Z1478+Z1470+Z1461</f>
        <v>69345.11</v>
      </c>
      <c r="AA1487" s="86"/>
      <c r="AB1487" s="431">
        <f>+AB1485+AB1478+AB1470+AB1461</f>
        <v>69345.119999999995</v>
      </c>
      <c r="AC1487" s="404">
        <f>+AB1487-Z1487</f>
        <v>9.9999999947613105E-3</v>
      </c>
      <c r="AD1487" s="94"/>
      <c r="AE1487" s="432"/>
    </row>
    <row r="1488" spans="3:31" s="260" customFormat="1" ht="15.75" thickBot="1" x14ac:dyDescent="0.3"/>
    <row r="1489" spans="3:31" s="260" customFormat="1" x14ac:dyDescent="0.25">
      <c r="M1489" s="547" t="s">
        <v>348</v>
      </c>
      <c r="N1489" s="548"/>
      <c r="O1489" s="548"/>
      <c r="P1489" s="548"/>
      <c r="Q1489" s="548"/>
      <c r="R1489" s="548"/>
      <c r="S1489" s="548"/>
      <c r="T1489" s="548"/>
      <c r="U1489" s="548"/>
      <c r="V1489" s="549"/>
      <c r="Y1489" s="378"/>
      <c r="Z1489" s="121"/>
      <c r="AA1489" s="86"/>
      <c r="AB1489" s="94"/>
      <c r="AC1489" s="94"/>
      <c r="AD1489" s="94"/>
      <c r="AE1489" s="126" t="s">
        <v>133</v>
      </c>
    </row>
    <row r="1490" spans="3:31" s="260" customFormat="1" x14ac:dyDescent="0.25">
      <c r="M1490" s="515" t="s">
        <v>138</v>
      </c>
      <c r="N1490" s="516"/>
      <c r="O1490" s="516"/>
      <c r="P1490" s="516"/>
      <c r="Q1490" s="516"/>
      <c r="R1490" s="516"/>
      <c r="S1490" s="516"/>
      <c r="T1490" s="437">
        <v>0</v>
      </c>
      <c r="U1490" s="517">
        <f>+ROUND(U1487*T1490,$AA$5)</f>
        <v>0</v>
      </c>
      <c r="V1490" s="518"/>
      <c r="Y1490" s="390"/>
      <c r="Z1490" s="438">
        <f>+Z1487*T1490</f>
        <v>0</v>
      </c>
      <c r="AA1490" s="86"/>
      <c r="AB1490" s="94"/>
      <c r="AC1490" s="94"/>
      <c r="AD1490" s="94"/>
      <c r="AE1490" s="386" t="s">
        <v>133</v>
      </c>
    </row>
    <row r="1491" spans="3:31" s="260" customFormat="1" x14ac:dyDescent="0.25">
      <c r="M1491" s="515" t="s">
        <v>19</v>
      </c>
      <c r="N1491" s="516"/>
      <c r="O1491" s="516"/>
      <c r="P1491" s="516"/>
      <c r="Q1491" s="516"/>
      <c r="R1491" s="516"/>
      <c r="S1491" s="516"/>
      <c r="T1491" s="437">
        <v>0.05</v>
      </c>
      <c r="U1491" s="517">
        <f>+ROUND(U1487*T1491,$AA$5)</f>
        <v>1155.75</v>
      </c>
      <c r="V1491" s="518"/>
      <c r="Y1491" s="390"/>
      <c r="Z1491" s="438">
        <f>+Z1487*T1491</f>
        <v>3467.2555000000002</v>
      </c>
      <c r="AA1491" s="86"/>
      <c r="AB1491" s="94"/>
      <c r="AC1491" s="94"/>
      <c r="AD1491" s="94"/>
      <c r="AE1491" s="386" t="s">
        <v>133</v>
      </c>
    </row>
    <row r="1492" spans="3:31" s="260" customFormat="1" x14ac:dyDescent="0.25">
      <c r="M1492" s="515" t="s">
        <v>20</v>
      </c>
      <c r="N1492" s="516"/>
      <c r="O1492" s="516"/>
      <c r="P1492" s="516"/>
      <c r="Q1492" s="516"/>
      <c r="R1492" s="516"/>
      <c r="S1492" s="516"/>
      <c r="T1492" s="437">
        <v>0</v>
      </c>
      <c r="U1492" s="517">
        <f>+ROUND(U1487*T1492,$AA$5)</f>
        <v>0</v>
      </c>
      <c r="V1492" s="518"/>
      <c r="Y1492" s="390"/>
      <c r="Z1492" s="438">
        <f>+Z1487*T1492</f>
        <v>0</v>
      </c>
      <c r="AA1492" s="86"/>
      <c r="AB1492" s="94"/>
      <c r="AC1492" s="94"/>
      <c r="AD1492" s="94"/>
      <c r="AE1492" s="386" t="s">
        <v>133</v>
      </c>
    </row>
    <row r="1493" spans="3:31" s="260" customFormat="1" x14ac:dyDescent="0.25">
      <c r="M1493" s="515" t="s">
        <v>21</v>
      </c>
      <c r="N1493" s="516"/>
      <c r="O1493" s="516"/>
      <c r="P1493" s="516"/>
      <c r="Q1493" s="516"/>
      <c r="R1493" s="516"/>
      <c r="S1493" s="516"/>
      <c r="T1493" s="437">
        <f>$AA$9</f>
        <v>0</v>
      </c>
      <c r="U1493" s="517">
        <f>+ROUND(U1487*T1493,$AA$5)</f>
        <v>0</v>
      </c>
      <c r="V1493" s="518"/>
      <c r="Y1493" s="390"/>
      <c r="Z1493" s="438">
        <f>+Z1492*T1493</f>
        <v>0</v>
      </c>
      <c r="AA1493" s="86"/>
      <c r="AB1493" s="94"/>
      <c r="AC1493" s="94"/>
      <c r="AD1493" s="94"/>
      <c r="AE1493" s="386" t="s">
        <v>133</v>
      </c>
    </row>
    <row r="1494" spans="3:31" s="260" customFormat="1" ht="15.75" thickBot="1" x14ac:dyDescent="0.3">
      <c r="M1494" s="519" t="s">
        <v>349</v>
      </c>
      <c r="N1494" s="520"/>
      <c r="O1494" s="520"/>
      <c r="P1494" s="520"/>
      <c r="Q1494" s="520"/>
      <c r="R1494" s="520"/>
      <c r="S1494" s="520"/>
      <c r="T1494" s="520"/>
      <c r="U1494" s="521">
        <f>+SUM(U1490:V1493)</f>
        <v>1155.75</v>
      </c>
      <c r="V1494" s="522"/>
      <c r="Y1494" s="390"/>
      <c r="Z1494" s="439">
        <f>+SUM(Z1490:Z1493)</f>
        <v>3467.2555000000002</v>
      </c>
      <c r="AA1494" s="86"/>
      <c r="AB1494" s="94"/>
      <c r="AC1494" s="94"/>
      <c r="AD1494" s="94"/>
      <c r="AE1494" s="386" t="s">
        <v>133</v>
      </c>
    </row>
    <row r="1495" spans="3:31" s="260" customFormat="1" ht="15.75" thickBot="1" x14ac:dyDescent="0.3">
      <c r="D1495" s="375" t="s">
        <v>128</v>
      </c>
      <c r="E1495" s="376" t="s">
        <v>129</v>
      </c>
      <c r="F1495" s="376" t="s">
        <v>130</v>
      </c>
      <c r="G1495" s="376" t="s">
        <v>131</v>
      </c>
      <c r="H1495" s="376" t="s">
        <v>132</v>
      </c>
      <c r="I1495" s="376" t="s">
        <v>133</v>
      </c>
      <c r="J1495" s="377" t="s">
        <v>134</v>
      </c>
      <c r="M1495" s="86"/>
      <c r="N1495" s="94"/>
      <c r="O1495" s="94"/>
      <c r="P1495" s="94"/>
      <c r="Q1495" s="86"/>
      <c r="R1495" s="86"/>
      <c r="S1495" s="86"/>
      <c r="T1495" s="440"/>
      <c r="U1495" s="523"/>
      <c r="V1495" s="523"/>
      <c r="Y1495" s="390"/>
      <c r="Z1495" s="385"/>
      <c r="AA1495" s="86"/>
      <c r="AB1495" s="94"/>
      <c r="AC1495" s="94"/>
      <c r="AD1495" s="94"/>
      <c r="AE1495" s="386" t="s">
        <v>133</v>
      </c>
    </row>
    <row r="1496" spans="3:31" s="260" customFormat="1" ht="15.75" thickBot="1" x14ac:dyDescent="0.3">
      <c r="D1496" s="355"/>
      <c r="E1496" s="367"/>
      <c r="F1496" s="367"/>
      <c r="G1496" s="367"/>
      <c r="H1496" s="412"/>
      <c r="I1496" s="412">
        <f>H1487</f>
        <v>2.2000000000000002</v>
      </c>
      <c r="J1496" s="422"/>
      <c r="M1496" s="524" t="s">
        <v>11</v>
      </c>
      <c r="N1496" s="525"/>
      <c r="O1496" s="525"/>
      <c r="P1496" s="525"/>
      <c r="Q1496" s="525"/>
      <c r="R1496" s="525"/>
      <c r="S1496" s="525"/>
      <c r="T1496" s="526"/>
      <c r="U1496" s="527">
        <f>+U1494+U1487</f>
        <v>24270.79</v>
      </c>
      <c r="V1496" s="528"/>
      <c r="Y1496" s="429"/>
      <c r="Z1496" s="441">
        <f>+Z1494+Z1487</f>
        <v>72812.3655</v>
      </c>
      <c r="AA1496" s="86"/>
      <c r="AB1496" s="94"/>
      <c r="AC1496" s="94"/>
      <c r="AD1496" s="94"/>
      <c r="AE1496" s="405" t="s">
        <v>133</v>
      </c>
    </row>
    <row r="1497" spans="3:31" s="260" customFormat="1" x14ac:dyDescent="0.25"/>
    <row r="1498" spans="3:31" s="260" customFormat="1" ht="15.75" thickBot="1" x14ac:dyDescent="0.3"/>
    <row r="1499" spans="3:31" s="260" customFormat="1" ht="15.75" thickBot="1" x14ac:dyDescent="0.3">
      <c r="M1499" s="363" t="s">
        <v>88</v>
      </c>
      <c r="N1499" s="436" t="str">
        <f>+N1450</f>
        <v>CAP.2</v>
      </c>
      <c r="O1499" s="550" t="str">
        <f>IFERROR(VLOOKUP(N1499,PPTO!C:H,2,0),"----")</f>
        <v>RED HIDRAULICA</v>
      </c>
      <c r="P1499" s="551"/>
      <c r="Q1499" s="551"/>
      <c r="R1499" s="551"/>
      <c r="S1499" s="551"/>
      <c r="T1499" s="551"/>
      <c r="U1499" s="552"/>
      <c r="V1499" s="74" t="s">
        <v>91</v>
      </c>
      <c r="Y1499" s="365" t="s">
        <v>104</v>
      </c>
      <c r="Z1499" s="94"/>
      <c r="AA1499" s="188"/>
      <c r="AB1499" s="553"/>
      <c r="AC1499" s="553"/>
      <c r="AD1499" s="553"/>
      <c r="AE1499" s="94"/>
    </row>
    <row r="1500" spans="3:31" s="260" customFormat="1" ht="15.75" thickBot="1" x14ac:dyDescent="0.3">
      <c r="C1500" s="369">
        <f>+N1500</f>
        <v>2.21</v>
      </c>
      <c r="D1500" s="86"/>
      <c r="E1500" s="86"/>
      <c r="F1500" s="86"/>
      <c r="G1500" s="86"/>
      <c r="H1500" s="86"/>
      <c r="I1500" s="86"/>
      <c r="J1500" s="86"/>
      <c r="K1500" s="370"/>
      <c r="M1500" s="75" t="s">
        <v>92</v>
      </c>
      <c r="N1500" s="371">
        <f>+ROUNDUP(N1451+0.01,2)</f>
        <v>2.21</v>
      </c>
      <c r="O1500" s="554" t="str">
        <f>IFERROR(VLOOKUP(N1500,PPTO!C:H,2,0),"----")</f>
        <v>Valvula de corte Ø3/4"</v>
      </c>
      <c r="P1500" s="555"/>
      <c r="Q1500" s="555"/>
      <c r="R1500" s="555"/>
      <c r="S1500" s="555"/>
      <c r="T1500" s="555"/>
      <c r="U1500" s="556"/>
      <c r="V1500" s="76" t="str">
        <f>IFERROR(VLOOKUP(N1500,PPTO!C:H,3,0),"----")</f>
        <v>UND</v>
      </c>
      <c r="Y1500" s="373">
        <f>SUMIFS(PPTO!F:F,PPTO!C:C,APUS!N1500)</f>
        <v>4</v>
      </c>
      <c r="Z1500" s="94"/>
      <c r="AA1500" s="86"/>
      <c r="AB1500" s="94"/>
      <c r="AC1500" s="94"/>
      <c r="AD1500" s="94"/>
      <c r="AE1500" s="94"/>
    </row>
    <row r="1501" spans="3:31" s="260" customFormat="1" ht="15.75" thickBot="1" x14ac:dyDescent="0.3">
      <c r="C1501" s="84"/>
      <c r="D1501" s="86"/>
      <c r="E1501" s="86"/>
      <c r="F1501" s="86"/>
      <c r="G1501" s="86"/>
      <c r="H1501" s="86"/>
      <c r="I1501" s="86"/>
      <c r="J1501" s="86"/>
      <c r="K1501" s="88"/>
      <c r="M1501" s="557"/>
      <c r="N1501" s="557"/>
      <c r="O1501" s="557"/>
      <c r="P1501" s="557"/>
      <c r="Q1501" s="557"/>
      <c r="R1501" s="557"/>
      <c r="S1501" s="557"/>
      <c r="T1501" s="557"/>
      <c r="U1501" s="557"/>
      <c r="V1501" s="557"/>
      <c r="Y1501" s="374"/>
      <c r="Z1501" s="94"/>
      <c r="AA1501" s="86"/>
      <c r="AB1501" s="94"/>
      <c r="AC1501" s="94"/>
      <c r="AD1501" s="94"/>
      <c r="AE1501" s="94"/>
    </row>
    <row r="1502" spans="3:31" s="260" customFormat="1" ht="15.75" thickBot="1" x14ac:dyDescent="0.3">
      <c r="C1502" s="84"/>
      <c r="D1502" s="375" t="s">
        <v>128</v>
      </c>
      <c r="E1502" s="376" t="s">
        <v>129</v>
      </c>
      <c r="F1502" s="376" t="s">
        <v>130</v>
      </c>
      <c r="G1502" s="376" t="s">
        <v>131</v>
      </c>
      <c r="H1502" s="376" t="s">
        <v>132</v>
      </c>
      <c r="I1502" s="376" t="s">
        <v>133</v>
      </c>
      <c r="J1502" s="377" t="s">
        <v>134</v>
      </c>
      <c r="K1502" s="88"/>
      <c r="M1502" s="558" t="s">
        <v>93</v>
      </c>
      <c r="N1502" s="559"/>
      <c r="O1502" s="559"/>
      <c r="P1502" s="559"/>
      <c r="Q1502" s="559"/>
      <c r="R1502" s="559"/>
      <c r="S1502" s="559"/>
      <c r="T1502" s="559"/>
      <c r="U1502" s="559"/>
      <c r="V1502" s="560"/>
      <c r="Y1502" s="378"/>
      <c r="Z1502" s="121"/>
      <c r="AA1502" s="86"/>
      <c r="AB1502" s="513"/>
      <c r="AC1502" s="514"/>
      <c r="AD1502" s="94"/>
      <c r="AE1502" s="379"/>
    </row>
    <row r="1503" spans="3:31" s="260" customFormat="1" x14ac:dyDescent="0.25">
      <c r="C1503" s="84"/>
      <c r="D1503" s="380"/>
      <c r="E1503" s="381"/>
      <c r="F1503" s="381"/>
      <c r="G1503" s="381"/>
      <c r="H1503" s="381"/>
      <c r="I1503" s="381"/>
      <c r="J1503" s="382"/>
      <c r="K1503" s="88"/>
      <c r="M1503" s="99" t="s">
        <v>94</v>
      </c>
      <c r="N1503" s="561" t="s">
        <v>95</v>
      </c>
      <c r="O1503" s="561"/>
      <c r="P1503" s="561"/>
      <c r="Q1503" s="561"/>
      <c r="R1503" s="95" t="s">
        <v>96</v>
      </c>
      <c r="S1503" s="95" t="s">
        <v>97</v>
      </c>
      <c r="T1503" s="562" t="s">
        <v>8</v>
      </c>
      <c r="U1503" s="562"/>
      <c r="V1503" s="100" t="s">
        <v>98</v>
      </c>
      <c r="Y1503" s="383" t="s">
        <v>104</v>
      </c>
      <c r="Z1503" s="119" t="s">
        <v>9</v>
      </c>
      <c r="AA1503" s="86"/>
      <c r="AB1503" s="384"/>
      <c r="AC1503" s="385"/>
      <c r="AD1503" s="94"/>
      <c r="AE1503" s="386"/>
    </row>
    <row r="1504" spans="3:31" s="260" customFormat="1" x14ac:dyDescent="0.25">
      <c r="C1504" s="84"/>
      <c r="D1504" s="85"/>
      <c r="E1504" s="86"/>
      <c r="F1504" s="86"/>
      <c r="G1504" s="86"/>
      <c r="H1504" s="86"/>
      <c r="I1504" s="86"/>
      <c r="J1504" s="87"/>
      <c r="K1504" s="88"/>
      <c r="M1504" s="102"/>
      <c r="N1504" s="533" t="s">
        <v>99</v>
      </c>
      <c r="O1504" s="533"/>
      <c r="P1504" s="533"/>
      <c r="Q1504" s="533"/>
      <c r="R1504" s="78" t="s">
        <v>100</v>
      </c>
      <c r="S1504" s="387">
        <f>+$AA$10</f>
        <v>0.05</v>
      </c>
      <c r="T1504" s="563">
        <f>V1534</f>
        <v>6694.76</v>
      </c>
      <c r="U1504" s="563"/>
      <c r="V1504" s="389">
        <f>+IFERROR(T1504*S1504,0)</f>
        <v>334.73800000000006</v>
      </c>
      <c r="Y1504" s="390"/>
      <c r="Z1504" s="391">
        <f>Y1500*V1504</f>
        <v>1338.9520000000002</v>
      </c>
      <c r="AA1504" s="86"/>
      <c r="AB1504" s="384"/>
      <c r="AC1504" s="385"/>
      <c r="AD1504" s="94"/>
      <c r="AE1504" s="386" t="str">
        <f>+IF(V1504=0,"CERO","NO")</f>
        <v>NO</v>
      </c>
    </row>
    <row r="1505" spans="3:31" s="260" customFormat="1" x14ac:dyDescent="0.25">
      <c r="C1505" s="84"/>
      <c r="D1505" s="85"/>
      <c r="E1505" s="86"/>
      <c r="F1505" s="86"/>
      <c r="G1505" s="86"/>
      <c r="H1505" s="86"/>
      <c r="I1505" s="86"/>
      <c r="J1505" s="87"/>
      <c r="K1505" s="88"/>
      <c r="M1505" s="106"/>
      <c r="N1505" s="533" t="str">
        <f>IFERROR(VLOOKUP(M1505,INSUMOS!$C$8:$K$928,2,0),"-----")</f>
        <v>-----</v>
      </c>
      <c r="O1505" s="533"/>
      <c r="P1505" s="533"/>
      <c r="Q1505" s="533"/>
      <c r="R1505" s="78" t="str">
        <f>IFERROR(VLOOKUP(M1505,INSUMOS!$C$8:$K$928,6,0),"-----")</f>
        <v>-----</v>
      </c>
      <c r="S1505" s="392"/>
      <c r="T1505" s="529" t="str">
        <f>IFERROR(VLOOKUP(M1505,INSUMOS!$C$8:$K$928,7,0),"0")</f>
        <v>0</v>
      </c>
      <c r="U1505" s="529"/>
      <c r="V1505" s="389">
        <f>+IFERROR(T1505*S1505,0)</f>
        <v>0</v>
      </c>
      <c r="Y1505" s="393">
        <f>+IFERROR(Y1500*S1505,0)</f>
        <v>0</v>
      </c>
      <c r="Z1505" s="391">
        <f>Y1500*V1505</f>
        <v>0</v>
      </c>
      <c r="AA1505" s="394"/>
      <c r="AB1505" s="395">
        <f>+Y1505*T1505</f>
        <v>0</v>
      </c>
      <c r="AC1505" s="93">
        <f>+AB1505-Z1505</f>
        <v>0</v>
      </c>
      <c r="AD1505" s="94"/>
      <c r="AE1505" s="386" t="str">
        <f>+IF(V1505=0,"CERO","NO")</f>
        <v>CERO</v>
      </c>
    </row>
    <row r="1506" spans="3:31" s="260" customFormat="1" x14ac:dyDescent="0.25">
      <c r="C1506" s="84"/>
      <c r="D1506" s="85"/>
      <c r="E1506" s="86"/>
      <c r="F1506" s="86"/>
      <c r="G1506" s="86"/>
      <c r="H1506" s="86"/>
      <c r="I1506" s="86"/>
      <c r="J1506" s="87"/>
      <c r="K1506" s="88"/>
      <c r="M1506" s="102">
        <v>0</v>
      </c>
      <c r="N1506" s="533"/>
      <c r="O1506" s="533"/>
      <c r="P1506" s="533"/>
      <c r="Q1506" s="533"/>
      <c r="R1506" s="78"/>
      <c r="S1506" s="396"/>
      <c r="T1506" s="529"/>
      <c r="U1506" s="529"/>
      <c r="V1506" s="397"/>
      <c r="Y1506" s="393">
        <f>+IFERROR(Y1500*S1506,0)</f>
        <v>0</v>
      </c>
      <c r="Z1506" s="391">
        <f>Y1500*V1506</f>
        <v>0</v>
      </c>
      <c r="AA1506" s="394"/>
      <c r="AB1506" s="395">
        <f>+Y1506*T1506</f>
        <v>0</v>
      </c>
      <c r="AC1506" s="93">
        <f>+AB1506-Z1506</f>
        <v>0</v>
      </c>
      <c r="AD1506" s="94"/>
      <c r="AE1506" s="386" t="str">
        <f>+IF(V1506=0,"CERO","NO")</f>
        <v>CERO</v>
      </c>
    </row>
    <row r="1507" spans="3:31" s="260" customFormat="1" x14ac:dyDescent="0.25">
      <c r="C1507" s="84"/>
      <c r="D1507" s="85"/>
      <c r="E1507" s="86"/>
      <c r="F1507" s="86"/>
      <c r="G1507" s="86"/>
      <c r="H1507" s="86"/>
      <c r="I1507" s="86"/>
      <c r="J1507" s="87"/>
      <c r="K1507" s="88"/>
      <c r="M1507" s="102">
        <v>0</v>
      </c>
      <c r="N1507" s="533"/>
      <c r="O1507" s="533"/>
      <c r="P1507" s="533"/>
      <c r="Q1507" s="533"/>
      <c r="R1507" s="78"/>
      <c r="S1507" s="396"/>
      <c r="T1507" s="529"/>
      <c r="U1507" s="529"/>
      <c r="V1507" s="397"/>
      <c r="Y1507" s="393">
        <f>+IFERROR(Y1500*S1507,0)</f>
        <v>0</v>
      </c>
      <c r="Z1507" s="391">
        <f>Y1500*V1507</f>
        <v>0</v>
      </c>
      <c r="AA1507" s="394"/>
      <c r="AB1507" s="395">
        <f>+Y1507*T1507</f>
        <v>0</v>
      </c>
      <c r="AC1507" s="93">
        <f>+AB1507-Z1507</f>
        <v>0</v>
      </c>
      <c r="AD1507" s="94"/>
      <c r="AE1507" s="386" t="str">
        <f>+IF(V1507=0,"CERO","NO")</f>
        <v>CERO</v>
      </c>
    </row>
    <row r="1508" spans="3:31" s="260" customFormat="1" ht="15.75" thickBot="1" x14ac:dyDescent="0.3">
      <c r="C1508" s="84"/>
      <c r="D1508" s="85"/>
      <c r="E1508" s="86"/>
      <c r="F1508" s="86"/>
      <c r="G1508" s="86"/>
      <c r="H1508" s="86"/>
      <c r="I1508" s="86"/>
      <c r="J1508" s="87"/>
      <c r="K1508" s="88"/>
      <c r="M1508" s="102">
        <v>0</v>
      </c>
      <c r="N1508" s="564"/>
      <c r="O1508" s="564"/>
      <c r="P1508" s="564"/>
      <c r="Q1508" s="564"/>
      <c r="R1508" s="96"/>
      <c r="S1508" s="96"/>
      <c r="T1508" s="565"/>
      <c r="U1508" s="565"/>
      <c r="V1508" s="101"/>
      <c r="Y1508" s="393">
        <f>+IFERROR(Y1500*S1508,0)</f>
        <v>0</v>
      </c>
      <c r="Z1508" s="391">
        <f>Y1500*V1508</f>
        <v>0</v>
      </c>
      <c r="AA1508" s="394"/>
      <c r="AB1508" s="395">
        <f>+Y1508*T1508</f>
        <v>0</v>
      </c>
      <c r="AC1508" s="93">
        <f>+AB1508-Z1508</f>
        <v>0</v>
      </c>
      <c r="AD1508" s="94"/>
      <c r="AE1508" s="386" t="str">
        <f>+IF(V1508=0,"CERO","NO")</f>
        <v>CERO</v>
      </c>
    </row>
    <row r="1509" spans="3:31" s="260" customFormat="1" ht="15.75" thickBot="1" x14ac:dyDescent="0.3">
      <c r="C1509" s="84"/>
      <c r="D1509" s="375" t="s">
        <v>128</v>
      </c>
      <c r="E1509" s="376" t="s">
        <v>129</v>
      </c>
      <c r="F1509" s="376" t="s">
        <v>130</v>
      </c>
      <c r="G1509" s="376" t="s">
        <v>131</v>
      </c>
      <c r="H1509" s="376" t="s">
        <v>132</v>
      </c>
      <c r="I1509" s="376" t="s">
        <v>133</v>
      </c>
      <c r="J1509" s="377" t="s">
        <v>134</v>
      </c>
      <c r="K1509" s="88"/>
      <c r="M1509" s="534"/>
      <c r="N1509" s="536" t="s">
        <v>101</v>
      </c>
      <c r="O1509" s="536"/>
      <c r="P1509" s="536"/>
      <c r="Q1509" s="536"/>
      <c r="R1509" s="536"/>
      <c r="S1509" s="536"/>
      <c r="T1509" s="536"/>
      <c r="U1509" s="536"/>
      <c r="V1509" s="389">
        <f>+SUM(V1504:V1508)</f>
        <v>334.73800000000006</v>
      </c>
      <c r="Y1509" s="398" t="s">
        <v>135</v>
      </c>
      <c r="Z1509" s="397">
        <f>+SUM(Z1504:Z1508)</f>
        <v>1338.9520000000002</v>
      </c>
      <c r="AA1509" s="86"/>
      <c r="AB1509" s="384"/>
      <c r="AC1509" s="385"/>
      <c r="AD1509" s="94"/>
      <c r="AE1509" s="399"/>
    </row>
    <row r="1510" spans="3:31" s="260" customFormat="1" ht="15.75" thickBot="1" x14ac:dyDescent="0.3">
      <c r="C1510" s="84"/>
      <c r="D1510" s="375">
        <f>C1500</f>
        <v>2.21</v>
      </c>
      <c r="E1510" s="376"/>
      <c r="F1510" s="376"/>
      <c r="G1510" s="376"/>
      <c r="H1510" s="376"/>
      <c r="I1510" s="376"/>
      <c r="J1510" s="377"/>
      <c r="K1510" s="88"/>
      <c r="M1510" s="566"/>
      <c r="N1510" s="567" t="s">
        <v>102</v>
      </c>
      <c r="O1510" s="567"/>
      <c r="P1510" s="567"/>
      <c r="Q1510" s="567"/>
      <c r="R1510" s="567"/>
      <c r="S1510" s="567"/>
      <c r="T1510" s="567"/>
      <c r="U1510" s="567"/>
      <c r="V1510" s="400">
        <f>+ROUND(V1509,$AA$5)</f>
        <v>334.74</v>
      </c>
      <c r="Y1510" s="401" t="s">
        <v>136</v>
      </c>
      <c r="Z1510" s="402">
        <f>+ROUND(Z1509,$AA$5)</f>
        <v>1338.95</v>
      </c>
      <c r="AA1510" s="86"/>
      <c r="AB1510" s="403">
        <f>+V1510*Y1500</f>
        <v>1338.96</v>
      </c>
      <c r="AC1510" s="404">
        <f>+AB1510-Z1510</f>
        <v>9.9999999999909051E-3</v>
      </c>
      <c r="AD1510" s="94"/>
      <c r="AE1510" s="405"/>
    </row>
    <row r="1511" spans="3:31" s="260" customFormat="1" x14ac:dyDescent="0.25">
      <c r="C1511" s="84"/>
      <c r="D1511" s="380"/>
      <c r="E1511" s="381"/>
      <c r="F1511" s="381"/>
      <c r="G1511" s="381"/>
      <c r="H1511" s="381"/>
      <c r="I1511" s="381"/>
      <c r="J1511" s="382"/>
      <c r="K1511" s="88"/>
      <c r="M1511" s="510" t="s">
        <v>103</v>
      </c>
      <c r="N1511" s="511"/>
      <c r="O1511" s="511"/>
      <c r="P1511" s="511"/>
      <c r="Q1511" s="511"/>
      <c r="R1511" s="511"/>
      <c r="S1511" s="511"/>
      <c r="T1511" s="511"/>
      <c r="U1511" s="511"/>
      <c r="V1511" s="512"/>
      <c r="Y1511" s="378"/>
      <c r="Z1511" s="121"/>
      <c r="AA1511" s="86"/>
      <c r="AB1511" s="513"/>
      <c r="AC1511" s="514"/>
      <c r="AD1511" s="94"/>
      <c r="AE1511" s="126"/>
    </row>
    <row r="1512" spans="3:31" s="260" customFormat="1" x14ac:dyDescent="0.25">
      <c r="C1512" s="84"/>
      <c r="D1512" s="85"/>
      <c r="E1512" s="86"/>
      <c r="F1512" s="86"/>
      <c r="G1512" s="86"/>
      <c r="H1512" s="86"/>
      <c r="I1512" s="86"/>
      <c r="J1512" s="87"/>
      <c r="K1512" s="88"/>
      <c r="M1512" s="99" t="s">
        <v>94</v>
      </c>
      <c r="N1512" s="561" t="s">
        <v>95</v>
      </c>
      <c r="O1512" s="561"/>
      <c r="P1512" s="561"/>
      <c r="Q1512" s="561"/>
      <c r="R1512" s="95" t="s">
        <v>96</v>
      </c>
      <c r="S1512" s="95" t="s">
        <v>104</v>
      </c>
      <c r="T1512" s="356" t="s">
        <v>105</v>
      </c>
      <c r="U1512" s="356" t="s">
        <v>8</v>
      </c>
      <c r="V1512" s="100" t="s">
        <v>98</v>
      </c>
      <c r="Y1512" s="383" t="s">
        <v>104</v>
      </c>
      <c r="Z1512" s="119" t="s">
        <v>9</v>
      </c>
      <c r="AA1512" s="86"/>
      <c r="AB1512" s="384"/>
      <c r="AC1512" s="385"/>
      <c r="AD1512" s="94"/>
      <c r="AE1512" s="406"/>
    </row>
    <row r="1513" spans="3:31" s="260" customFormat="1" x14ac:dyDescent="0.25">
      <c r="C1513" s="84"/>
      <c r="D1513" s="85"/>
      <c r="E1513" s="86"/>
      <c r="F1513" s="86"/>
      <c r="G1513" s="86"/>
      <c r="H1513" s="86"/>
      <c r="I1513" s="86"/>
      <c r="J1513" s="87"/>
      <c r="K1513" s="88"/>
      <c r="M1513" s="102">
        <v>724</v>
      </c>
      <c r="N1513" s="533" t="str">
        <f>IFERROR(VLOOKUP(M1513,INSUMOS!$C$8:$K$928,2,0),"-----")</f>
        <v>VALVULA DE CORTE 3/4"</v>
      </c>
      <c r="O1513" s="533"/>
      <c r="P1513" s="533"/>
      <c r="Q1513" s="533"/>
      <c r="R1513" s="78" t="str">
        <f>IFERROR(VLOOKUP(M1513,INSUMOS!$C$8:$K$928,6,0),"-----")</f>
        <v>und</v>
      </c>
      <c r="S1513" s="396">
        <v>1</v>
      </c>
      <c r="T1513" s="387">
        <v>0</v>
      </c>
      <c r="U1513" s="388">
        <f>IFERROR(VLOOKUP(M1513,INSUMOS!$C$8:$K$928,7,0),"0")</f>
        <v>18236</v>
      </c>
      <c r="V1513" s="389">
        <f>+IFERROR(U1513*(S1513*(1+T1513)),0)</f>
        <v>18236</v>
      </c>
      <c r="Y1513" s="393">
        <f>+IFERROR(Y1500*(S1513*(1+T1513)),0)</f>
        <v>4</v>
      </c>
      <c r="Z1513" s="391">
        <f>Y1500*V1513</f>
        <v>72944</v>
      </c>
      <c r="AA1513" s="394"/>
      <c r="AB1513" s="395">
        <f>+Y1513*U1513</f>
        <v>72944</v>
      </c>
      <c r="AC1513" s="93">
        <f>+AB1513-Z1513</f>
        <v>0</v>
      </c>
      <c r="AD1513" s="94"/>
      <c r="AE1513" s="406" t="str">
        <f>+IF(V1513=0,"CERO","NO")</f>
        <v>NO</v>
      </c>
    </row>
    <row r="1514" spans="3:31" s="260" customFormat="1" x14ac:dyDescent="0.25">
      <c r="C1514" s="84"/>
      <c r="D1514" s="85"/>
      <c r="E1514" s="86"/>
      <c r="F1514" s="86"/>
      <c r="G1514" s="86"/>
      <c r="H1514" s="86"/>
      <c r="I1514" s="86"/>
      <c r="J1514" s="87"/>
      <c r="K1514" s="88"/>
      <c r="M1514" s="102">
        <v>699</v>
      </c>
      <c r="N1514" s="533" t="str">
        <f>IFERROR(VLOOKUP(M1514,INSUMOS!$C$8:$K$928,2,0),"-----")</f>
        <v>SOLDADURA PVC LIQUIDA 1/4"</v>
      </c>
      <c r="O1514" s="533"/>
      <c r="P1514" s="533"/>
      <c r="Q1514" s="533"/>
      <c r="R1514" s="78" t="str">
        <f>IFERROR(VLOOKUP(M1514,INSUMOS!$C$8:$K$928,6,0),"-----")</f>
        <v>und</v>
      </c>
      <c r="S1514" s="396">
        <v>0.01</v>
      </c>
      <c r="T1514" s="387">
        <v>0.02</v>
      </c>
      <c r="U1514" s="388">
        <f>IFERROR(VLOOKUP(M1514,INSUMOS!$C$8:$K$928,7,0),"0")</f>
        <v>146569</v>
      </c>
      <c r="V1514" s="389">
        <f>+IFERROR(U1514*(S1514*(1+T1514)),0)</f>
        <v>1495.0038000000002</v>
      </c>
      <c r="Y1514" s="393">
        <f>+IFERROR(Y1500*(S1514*(1+T1514)),0)</f>
        <v>4.0800000000000003E-2</v>
      </c>
      <c r="Z1514" s="391">
        <f>Y1500*V1514</f>
        <v>5980.0152000000007</v>
      </c>
      <c r="AA1514" s="394"/>
      <c r="AB1514" s="395">
        <f>+Y1514*U1514</f>
        <v>5980.0152000000007</v>
      </c>
      <c r="AC1514" s="93">
        <f>+AB1514-Z1514</f>
        <v>0</v>
      </c>
      <c r="AD1514" s="94"/>
      <c r="AE1514" s="406" t="str">
        <f>+IF(V1514=0,"CERO","NO")</f>
        <v>NO</v>
      </c>
    </row>
    <row r="1515" spans="3:31" s="260" customFormat="1" x14ac:dyDescent="0.25">
      <c r="C1515" s="84"/>
      <c r="D1515" s="85"/>
      <c r="E1515" s="86"/>
      <c r="F1515" s="86"/>
      <c r="G1515" s="86"/>
      <c r="H1515" s="86"/>
      <c r="I1515" s="86"/>
      <c r="J1515" s="87"/>
      <c r="K1515" s="88"/>
      <c r="M1515" s="102">
        <v>700</v>
      </c>
      <c r="N1515" s="533" t="str">
        <f>IFERROR(VLOOKUP(M1515,INSUMOS!$C$8:$K$928,2,0),"-----")</f>
        <v>LIMPIADOR PVC 1/4</v>
      </c>
      <c r="O1515" s="533"/>
      <c r="P1515" s="533"/>
      <c r="Q1515" s="533"/>
      <c r="R1515" s="78" t="str">
        <f>IFERROR(VLOOKUP(M1515,INSUMOS!$C$8:$K$928,6,0),"-----")</f>
        <v>und</v>
      </c>
      <c r="S1515" s="396">
        <v>0.01</v>
      </c>
      <c r="T1515" s="387">
        <v>0.02</v>
      </c>
      <c r="U1515" s="388">
        <f>IFERROR(VLOOKUP(M1515,INSUMOS!$C$8:$K$928,7,0),"0")</f>
        <v>65913</v>
      </c>
      <c r="V1515" s="389">
        <f>+IFERROR(U1515*(S1515*(1+T1515)),0)</f>
        <v>672.31260000000009</v>
      </c>
      <c r="Y1515" s="393">
        <f>+IFERROR(Y1500*(S1515*(1+T1515)),0)</f>
        <v>4.0800000000000003E-2</v>
      </c>
      <c r="Z1515" s="391">
        <f>Y1500*V1515</f>
        <v>2689.2504000000004</v>
      </c>
      <c r="AA1515" s="394"/>
      <c r="AB1515" s="395">
        <f>+Y1515*U1515</f>
        <v>2689.2504000000004</v>
      </c>
      <c r="AC1515" s="93">
        <f>+AB1515-Z1515</f>
        <v>0</v>
      </c>
      <c r="AD1515" s="94"/>
      <c r="AE1515" s="406" t="str">
        <f>+IF(V1515=0,"CERO","NO")</f>
        <v>NO</v>
      </c>
    </row>
    <row r="1516" spans="3:31" s="260" customFormat="1" x14ac:dyDescent="0.25">
      <c r="C1516" s="84"/>
      <c r="D1516" s="85"/>
      <c r="E1516" s="86"/>
      <c r="F1516" s="86"/>
      <c r="G1516" s="86"/>
      <c r="H1516" s="86"/>
      <c r="I1516" s="86"/>
      <c r="J1516" s="87"/>
      <c r="K1516" s="88"/>
      <c r="M1516" s="102">
        <v>0</v>
      </c>
      <c r="N1516" s="533" t="str">
        <f>IFERROR(VLOOKUP(M1516,INSUMOS!$C$8:$K$928,2,0),"-----")</f>
        <v>-----</v>
      </c>
      <c r="O1516" s="533"/>
      <c r="P1516" s="533"/>
      <c r="Q1516" s="533"/>
      <c r="R1516" s="78" t="str">
        <f>IFERROR(VLOOKUP(M1516,INSUMOS!$C$8:$K$928,6,0),"-----")</f>
        <v>-----</v>
      </c>
      <c r="S1516" s="396"/>
      <c r="T1516" s="387"/>
      <c r="U1516" s="388" t="str">
        <f>IFERROR(VLOOKUP(M1516,INSUMOS!$C$8:$K$928,7,0),"0")</f>
        <v>0</v>
      </c>
      <c r="V1516" s="389">
        <f>+IFERROR(U1516*(S1516*(1+T1516)),0)</f>
        <v>0</v>
      </c>
      <c r="Y1516" s="393">
        <f>+IFERROR(Y1500*(S1516*(1+T1516)),0)</f>
        <v>0</v>
      </c>
      <c r="Z1516" s="391">
        <f>Y1500*V1516</f>
        <v>0</v>
      </c>
      <c r="AA1516" s="394"/>
      <c r="AB1516" s="395">
        <f>+Y1516*U1516</f>
        <v>0</v>
      </c>
      <c r="AC1516" s="93">
        <f>+AB1516-Z1516</f>
        <v>0</v>
      </c>
      <c r="AD1516" s="94"/>
      <c r="AE1516" s="406" t="str">
        <f>+IF(V1516=0,"CERO","NO")</f>
        <v>CERO</v>
      </c>
    </row>
    <row r="1517" spans="3:31" s="260" customFormat="1" ht="15.75" thickBot="1" x14ac:dyDescent="0.3">
      <c r="C1517" s="84"/>
      <c r="D1517" s="85"/>
      <c r="E1517" s="86"/>
      <c r="F1517" s="86"/>
      <c r="G1517" s="86"/>
      <c r="H1517" s="86"/>
      <c r="I1517" s="86"/>
      <c r="J1517" s="87"/>
      <c r="K1517" s="88"/>
      <c r="M1517" s="102">
        <v>0</v>
      </c>
      <c r="N1517" s="564"/>
      <c r="O1517" s="564"/>
      <c r="P1517" s="564"/>
      <c r="Q1517" s="564"/>
      <c r="R1517" s="96"/>
      <c r="S1517" s="79"/>
      <c r="T1517" s="97"/>
      <c r="U1517" s="358"/>
      <c r="V1517" s="397"/>
      <c r="Y1517" s="393">
        <f>+IFERROR(Y1500*(S1517*(1+T1517)),0)</f>
        <v>0</v>
      </c>
      <c r="Z1517" s="391">
        <f>Y1500*V1517</f>
        <v>0</v>
      </c>
      <c r="AA1517" s="394"/>
      <c r="AB1517" s="395">
        <f>+Y1517*U1517</f>
        <v>0</v>
      </c>
      <c r="AC1517" s="93">
        <f>+AB1517-Z1517</f>
        <v>0</v>
      </c>
      <c r="AD1517" s="94"/>
      <c r="AE1517" s="406" t="str">
        <f>+IF(V1517=0,"CERO","NO")</f>
        <v>CERO</v>
      </c>
    </row>
    <row r="1518" spans="3:31" s="260" customFormat="1" ht="15.75" thickBot="1" x14ac:dyDescent="0.3">
      <c r="C1518" s="84"/>
      <c r="D1518" s="375" t="s">
        <v>128</v>
      </c>
      <c r="E1518" s="376" t="s">
        <v>129</v>
      </c>
      <c r="F1518" s="376" t="s">
        <v>130</v>
      </c>
      <c r="G1518" s="376" t="s">
        <v>131</v>
      </c>
      <c r="H1518" s="376" t="s">
        <v>132</v>
      </c>
      <c r="I1518" s="376" t="s">
        <v>133</v>
      </c>
      <c r="J1518" s="377" t="s">
        <v>134</v>
      </c>
      <c r="K1518" s="88"/>
      <c r="M1518" s="534"/>
      <c r="N1518" s="536" t="s">
        <v>106</v>
      </c>
      <c r="O1518" s="536"/>
      <c r="P1518" s="536"/>
      <c r="Q1518" s="536"/>
      <c r="R1518" s="536"/>
      <c r="S1518" s="536"/>
      <c r="T1518" s="536"/>
      <c r="U1518" s="536"/>
      <c r="V1518" s="389">
        <f>+SUM(V1513:V1517)</f>
        <v>20403.3164</v>
      </c>
      <c r="Y1518" s="398" t="s">
        <v>135</v>
      </c>
      <c r="Z1518" s="397">
        <f>+SUM(Z1513:Z1517)</f>
        <v>81613.265599999999</v>
      </c>
      <c r="AA1518" s="86"/>
      <c r="AB1518" s="384"/>
      <c r="AC1518" s="385"/>
      <c r="AD1518" s="94"/>
      <c r="AE1518" s="399"/>
    </row>
    <row r="1519" spans="3:31" s="260" customFormat="1" ht="15.75" thickBot="1" x14ac:dyDescent="0.3">
      <c r="C1519" s="84"/>
      <c r="D1519" s="375"/>
      <c r="E1519" s="407">
        <f>+D1510</f>
        <v>2.21</v>
      </c>
      <c r="F1519" s="376"/>
      <c r="G1519" s="376"/>
      <c r="H1519" s="376"/>
      <c r="I1519" s="376"/>
      <c r="J1519" s="377"/>
      <c r="K1519" s="88"/>
      <c r="M1519" s="535"/>
      <c r="N1519" s="537" t="s">
        <v>107</v>
      </c>
      <c r="O1519" s="537"/>
      <c r="P1519" s="537"/>
      <c r="Q1519" s="537"/>
      <c r="R1519" s="537"/>
      <c r="S1519" s="537"/>
      <c r="T1519" s="537"/>
      <c r="U1519" s="537"/>
      <c r="V1519" s="408">
        <f>+ROUND(V1518,$AA$5)</f>
        <v>20403.32</v>
      </c>
      <c r="Y1519" s="401" t="s">
        <v>136</v>
      </c>
      <c r="Z1519" s="402">
        <f>+ROUND(Z1518,$AA$5)</f>
        <v>81613.27</v>
      </c>
      <c r="AA1519" s="86"/>
      <c r="AB1519" s="403">
        <f>+V1519*Y1500</f>
        <v>81613.279999999999</v>
      </c>
      <c r="AC1519" s="404">
        <f>+AB1519-Z1519</f>
        <v>9.9999999947613105E-3</v>
      </c>
      <c r="AD1519" s="94"/>
      <c r="AE1519" s="405"/>
    </row>
    <row r="1520" spans="3:31" s="260" customFormat="1" x14ac:dyDescent="0.25">
      <c r="C1520" s="84"/>
      <c r="D1520" s="380"/>
      <c r="E1520" s="381"/>
      <c r="F1520" s="381"/>
      <c r="G1520" s="381"/>
      <c r="H1520" s="381"/>
      <c r="I1520" s="381"/>
      <c r="J1520" s="382"/>
      <c r="K1520" s="88"/>
      <c r="M1520" s="568" t="s">
        <v>108</v>
      </c>
      <c r="N1520" s="569"/>
      <c r="O1520" s="569"/>
      <c r="P1520" s="569"/>
      <c r="Q1520" s="569"/>
      <c r="R1520" s="569"/>
      <c r="S1520" s="569"/>
      <c r="T1520" s="569"/>
      <c r="U1520" s="569"/>
      <c r="V1520" s="570"/>
      <c r="Y1520" s="378"/>
      <c r="Z1520" s="121"/>
      <c r="AA1520" s="86"/>
      <c r="AB1520" s="409"/>
      <c r="AC1520" s="121"/>
      <c r="AD1520" s="94"/>
      <c r="AE1520" s="126"/>
    </row>
    <row r="1521" spans="3:31" s="260" customFormat="1" ht="25.5" x14ac:dyDescent="0.25">
      <c r="C1521" s="84"/>
      <c r="D1521" s="85"/>
      <c r="E1521" s="86"/>
      <c r="F1521" s="86"/>
      <c r="G1521" s="86"/>
      <c r="H1521" s="86"/>
      <c r="I1521" s="86"/>
      <c r="J1521" s="87"/>
      <c r="K1521" s="88"/>
      <c r="M1521" s="99" t="s">
        <v>94</v>
      </c>
      <c r="N1521" s="561" t="s">
        <v>95</v>
      </c>
      <c r="O1521" s="561"/>
      <c r="P1521" s="561"/>
      <c r="Q1521" s="95" t="s">
        <v>109</v>
      </c>
      <c r="R1521" s="95" t="s">
        <v>110</v>
      </c>
      <c r="S1521" s="95" t="s">
        <v>111</v>
      </c>
      <c r="T1521" s="562" t="s">
        <v>112</v>
      </c>
      <c r="U1521" s="562"/>
      <c r="V1521" s="100" t="s">
        <v>98</v>
      </c>
      <c r="Y1521" s="383" t="s">
        <v>104</v>
      </c>
      <c r="Z1521" s="119" t="s">
        <v>9</v>
      </c>
      <c r="AA1521" s="86"/>
      <c r="AB1521" s="384"/>
      <c r="AC1521" s="385"/>
      <c r="AD1521" s="94"/>
      <c r="AE1521" s="410"/>
    </row>
    <row r="1522" spans="3:31" s="260" customFormat="1" x14ac:dyDescent="0.25">
      <c r="C1522" s="84"/>
      <c r="D1522" s="85"/>
      <c r="E1522" s="86"/>
      <c r="F1522" s="86"/>
      <c r="G1522" s="86"/>
      <c r="H1522" s="86"/>
      <c r="I1522" s="86"/>
      <c r="J1522" s="87"/>
      <c r="K1522" s="88"/>
      <c r="M1522" s="102">
        <v>129</v>
      </c>
      <c r="N1522" s="530" t="str">
        <f>IFERROR(VLOOKUP(M1522,INSUMOS!$C$8:$K$928,2,0),"-----")</f>
        <v>transporte materiales en general</v>
      </c>
      <c r="O1522" s="531"/>
      <c r="P1522" s="532"/>
      <c r="Q1522" s="78" t="str">
        <f>IFERROR(VLOOKUP(M1522,INSUMOS!$C$8:$K$928,5,0),"-----")</f>
        <v>Km</v>
      </c>
      <c r="R1522" s="80">
        <v>1</v>
      </c>
      <c r="S1522" s="80">
        <f>IFERROR(VLOOKUP(M1522,INSUMOS!$C$8:$K$928,6,0),"0")</f>
        <v>348</v>
      </c>
      <c r="T1522" s="529">
        <f>IFERROR(VLOOKUP(M1522,INSUMOS!$C$8:$K$928,7,0),"0")</f>
        <v>0.99776362060288992</v>
      </c>
      <c r="U1522" s="529"/>
      <c r="V1522" s="82">
        <f>+T1522*S1522*R1522</f>
        <v>347.2217399698057</v>
      </c>
      <c r="Y1522" s="393">
        <f>+IFERROR((R1522*S1522)*Y1500,0)</f>
        <v>1392</v>
      </c>
      <c r="Z1522" s="391">
        <f>Y1500*V1522</f>
        <v>1388.8869598792228</v>
      </c>
      <c r="AA1522" s="86"/>
      <c r="AB1522" s="92">
        <f>+Y1522*T1522</f>
        <v>1388.8869598792228</v>
      </c>
      <c r="AC1522" s="93">
        <f>+AB1522-Z1522</f>
        <v>0</v>
      </c>
      <c r="AD1522" s="94"/>
      <c r="AE1522" s="406" t="str">
        <f>+IF(V1522=0,"CERO","NO")</f>
        <v>NO</v>
      </c>
    </row>
    <row r="1523" spans="3:31" s="260" customFormat="1" x14ac:dyDescent="0.25">
      <c r="C1523" s="84"/>
      <c r="D1523" s="85"/>
      <c r="E1523" s="86"/>
      <c r="F1523" s="86"/>
      <c r="G1523" s="86"/>
      <c r="H1523" s="86"/>
      <c r="I1523" s="86"/>
      <c r="J1523" s="87"/>
      <c r="K1523" s="88"/>
      <c r="M1523" s="102">
        <v>0</v>
      </c>
      <c r="N1523" s="530" t="str">
        <f>IFERROR(VLOOKUP(M1523,INSUMOS!$C$8:$K$928,2,0),"-----")</f>
        <v>-----</v>
      </c>
      <c r="O1523" s="531"/>
      <c r="P1523" s="532"/>
      <c r="Q1523" s="78" t="str">
        <f>IFERROR(VLOOKUP(M1523,INSUMOS!$C$8:$K$928,5,0),"-----")</f>
        <v>-----</v>
      </c>
      <c r="R1523" s="80"/>
      <c r="S1523" s="80" t="str">
        <f>IFERROR(VLOOKUP(M1523,INSUMOS!$C$8:$K$928,6,0),"0")</f>
        <v>0</v>
      </c>
      <c r="T1523" s="529" t="str">
        <f>IFERROR(VLOOKUP(M1523,INSUMOS!$C$8:$K$928,7,0),"0")</f>
        <v>0</v>
      </c>
      <c r="U1523" s="529"/>
      <c r="V1523" s="82">
        <f>+T1523*S1523*R1523</f>
        <v>0</v>
      </c>
      <c r="Y1523" s="393">
        <f>+IFERROR((R1523*S1523)*Y1500,0)</f>
        <v>0</v>
      </c>
      <c r="Z1523" s="391">
        <f>Y1500*V1523</f>
        <v>0</v>
      </c>
      <c r="AA1523" s="86"/>
      <c r="AB1523" s="92">
        <f>+Y1523*T1523</f>
        <v>0</v>
      </c>
      <c r="AC1523" s="93">
        <f>+AB1523-Z1523</f>
        <v>0</v>
      </c>
      <c r="AD1523" s="94"/>
      <c r="AE1523" s="406" t="str">
        <f>+IF(V1523=0,"CERO","NO")</f>
        <v>CERO</v>
      </c>
    </row>
    <row r="1524" spans="3:31" s="260" customFormat="1" x14ac:dyDescent="0.25">
      <c r="C1524" s="84"/>
      <c r="D1524" s="85"/>
      <c r="E1524" s="86"/>
      <c r="F1524" s="86"/>
      <c r="G1524" s="86"/>
      <c r="H1524" s="86"/>
      <c r="I1524" s="86"/>
      <c r="J1524" s="87"/>
      <c r="K1524" s="88"/>
      <c r="M1524" s="102">
        <v>0</v>
      </c>
      <c r="N1524" s="530" t="str">
        <f>IFERROR(VLOOKUP(M1524,INSUMOS!$C$8:$K$928,2,0),"-----")</f>
        <v>-----</v>
      </c>
      <c r="O1524" s="531"/>
      <c r="P1524" s="532"/>
      <c r="Q1524" s="78" t="str">
        <f>IFERROR(VLOOKUP(M1524,INSUMOS!$C$8:$K$928,5,0),"-----")</f>
        <v>-----</v>
      </c>
      <c r="R1524" s="80"/>
      <c r="S1524" s="80" t="str">
        <f>IFERROR(VLOOKUP(M1524,INSUMOS!$C$8:$K$928,6,0),"0")</f>
        <v>0</v>
      </c>
      <c r="T1524" s="529" t="str">
        <f>IFERROR(VLOOKUP(M1524,INSUMOS!$C$8:$K$928,7,0),"0")</f>
        <v>0</v>
      </c>
      <c r="U1524" s="529"/>
      <c r="V1524" s="82">
        <f>+T1524*S1524*R1524</f>
        <v>0</v>
      </c>
      <c r="Y1524" s="393">
        <f>+IFERROR((R1524*S1524)*Y1500,0)</f>
        <v>0</v>
      </c>
      <c r="Z1524" s="391">
        <f>Y1500*V1524</f>
        <v>0</v>
      </c>
      <c r="AA1524" s="86"/>
      <c r="AB1524" s="92">
        <f>+Y1524*T1524</f>
        <v>0</v>
      </c>
      <c r="AC1524" s="93">
        <f>+AB1524-Z1524</f>
        <v>0</v>
      </c>
      <c r="AD1524" s="94"/>
      <c r="AE1524" s="406" t="str">
        <f>+IF(V1524=0,"CERO","NO")</f>
        <v>CERO</v>
      </c>
    </row>
    <row r="1525" spans="3:31" s="260" customFormat="1" ht="15.75" thickBot="1" x14ac:dyDescent="0.3">
      <c r="C1525" s="84"/>
      <c r="D1525" s="89"/>
      <c r="E1525" s="90"/>
      <c r="F1525" s="90"/>
      <c r="G1525" s="90"/>
      <c r="H1525" s="90"/>
      <c r="I1525" s="90"/>
      <c r="J1525" s="91"/>
      <c r="K1525" s="88"/>
      <c r="M1525" s="102">
        <v>0</v>
      </c>
      <c r="N1525" s="533"/>
      <c r="O1525" s="533"/>
      <c r="P1525" s="533"/>
      <c r="Q1525" s="79"/>
      <c r="R1525" s="78"/>
      <c r="S1525" s="81"/>
      <c r="T1525" s="529"/>
      <c r="U1525" s="529"/>
      <c r="V1525" s="82"/>
      <c r="Y1525" s="393">
        <f>+IFERROR((R1525*S1525)*Y1500,0)</f>
        <v>0</v>
      </c>
      <c r="Z1525" s="391">
        <f>Y1500*V1525</f>
        <v>0</v>
      </c>
      <c r="AA1525" s="86"/>
      <c r="AB1525" s="92">
        <f>+Y1525*T1525</f>
        <v>0</v>
      </c>
      <c r="AC1525" s="93">
        <f>+AB1525-Z1525</f>
        <v>0</v>
      </c>
      <c r="AD1525" s="94"/>
      <c r="AE1525" s="406" t="str">
        <f>+IF(V1525=0,"CERO","NO")</f>
        <v>CERO</v>
      </c>
    </row>
    <row r="1526" spans="3:31" s="260" customFormat="1" ht="15.75" thickBot="1" x14ac:dyDescent="0.3">
      <c r="C1526" s="84"/>
      <c r="D1526" s="375" t="s">
        <v>128</v>
      </c>
      <c r="E1526" s="376" t="s">
        <v>129</v>
      </c>
      <c r="F1526" s="376" t="s">
        <v>130</v>
      </c>
      <c r="G1526" s="376" t="s">
        <v>131</v>
      </c>
      <c r="H1526" s="376" t="s">
        <v>132</v>
      </c>
      <c r="I1526" s="376" t="s">
        <v>133</v>
      </c>
      <c r="J1526" s="377" t="s">
        <v>134</v>
      </c>
      <c r="K1526" s="88"/>
      <c r="M1526" s="534"/>
      <c r="N1526" s="536" t="s">
        <v>113</v>
      </c>
      <c r="O1526" s="536"/>
      <c r="P1526" s="536"/>
      <c r="Q1526" s="536"/>
      <c r="R1526" s="536"/>
      <c r="S1526" s="536"/>
      <c r="T1526" s="536"/>
      <c r="U1526" s="536"/>
      <c r="V1526" s="411">
        <f>+SUM(V1522:V1525)</f>
        <v>347.2217399698057</v>
      </c>
      <c r="Y1526" s="398" t="s">
        <v>135</v>
      </c>
      <c r="Z1526" s="397">
        <f>+SUM(Z1522:Z1525)</f>
        <v>1388.8869598792228</v>
      </c>
      <c r="AA1526" s="86"/>
      <c r="AB1526" s="384"/>
      <c r="AC1526" s="385"/>
      <c r="AD1526" s="94"/>
      <c r="AE1526" s="399"/>
    </row>
    <row r="1527" spans="3:31" s="260" customFormat="1" ht="15.75" thickBot="1" x14ac:dyDescent="0.3">
      <c r="C1527" s="84"/>
      <c r="D1527" s="355"/>
      <c r="E1527" s="367"/>
      <c r="F1527" s="412">
        <f>+E1519</f>
        <v>2.21</v>
      </c>
      <c r="G1527" s="367"/>
      <c r="H1527" s="367"/>
      <c r="I1527" s="367"/>
      <c r="J1527" s="368"/>
      <c r="K1527" s="88"/>
      <c r="M1527" s="535"/>
      <c r="N1527" s="537" t="s">
        <v>114</v>
      </c>
      <c r="O1527" s="537"/>
      <c r="P1527" s="537"/>
      <c r="Q1527" s="537"/>
      <c r="R1527" s="537"/>
      <c r="S1527" s="537"/>
      <c r="T1527" s="537"/>
      <c r="U1527" s="537"/>
      <c r="V1527" s="413">
        <f>+ROUND(V1526,$AA$5)</f>
        <v>347.22</v>
      </c>
      <c r="Y1527" s="401" t="s">
        <v>136</v>
      </c>
      <c r="Z1527" s="402">
        <f>+ROUND(Z1526,$AA$5)</f>
        <v>1388.89</v>
      </c>
      <c r="AA1527" s="86"/>
      <c r="AB1527" s="403">
        <f>+V1527*Y1500</f>
        <v>1388.88</v>
      </c>
      <c r="AC1527" s="414"/>
      <c r="AD1527" s="94"/>
      <c r="AE1527" s="405"/>
    </row>
    <row r="1528" spans="3:31" s="260" customFormat="1" ht="15.75" thickBot="1" x14ac:dyDescent="0.3">
      <c r="C1528" s="84"/>
      <c r="D1528" s="415"/>
      <c r="E1528" s="416"/>
      <c r="F1528" s="416"/>
      <c r="G1528" s="416"/>
      <c r="H1528" s="416"/>
      <c r="I1528" s="416"/>
      <c r="J1528" s="417"/>
      <c r="K1528" s="88"/>
      <c r="M1528" s="538" t="s">
        <v>115</v>
      </c>
      <c r="N1528" s="539"/>
      <c r="O1528" s="539"/>
      <c r="P1528" s="539"/>
      <c r="Q1528" s="539"/>
      <c r="R1528" s="539"/>
      <c r="S1528" s="539"/>
      <c r="T1528" s="539"/>
      <c r="U1528" s="539"/>
      <c r="V1528" s="540"/>
      <c r="Y1528" s="378"/>
      <c r="Z1528" s="121"/>
      <c r="AA1528" s="86"/>
      <c r="AB1528" s="409"/>
      <c r="AC1528" s="121"/>
      <c r="AD1528" s="94"/>
      <c r="AE1528" s="126"/>
    </row>
    <row r="1529" spans="3:31" s="260" customFormat="1" ht="15.75" thickBot="1" x14ac:dyDescent="0.3">
      <c r="C1529" s="84"/>
      <c r="D1529" s="375" t="s">
        <v>128</v>
      </c>
      <c r="E1529" s="376" t="s">
        <v>129</v>
      </c>
      <c r="F1529" s="376" t="s">
        <v>130</v>
      </c>
      <c r="G1529" s="376" t="s">
        <v>131</v>
      </c>
      <c r="H1529" s="376" t="s">
        <v>132</v>
      </c>
      <c r="I1529" s="376" t="s">
        <v>133</v>
      </c>
      <c r="J1529" s="377" t="s">
        <v>134</v>
      </c>
      <c r="K1529" s="88"/>
      <c r="M1529" s="99" t="s">
        <v>94</v>
      </c>
      <c r="N1529" s="98" t="s">
        <v>95</v>
      </c>
      <c r="O1529" s="95" t="s">
        <v>96</v>
      </c>
      <c r="P1529" s="359" t="s">
        <v>104</v>
      </c>
      <c r="Q1529" s="95" t="s">
        <v>116</v>
      </c>
      <c r="R1529" s="418" t="s">
        <v>117</v>
      </c>
      <c r="S1529" s="95" t="s">
        <v>347</v>
      </c>
      <c r="T1529" s="419" t="s">
        <v>118</v>
      </c>
      <c r="U1529" s="189" t="s">
        <v>119</v>
      </c>
      <c r="V1529" s="100" t="s">
        <v>98</v>
      </c>
      <c r="Y1529" s="383" t="s">
        <v>104</v>
      </c>
      <c r="Z1529" s="119" t="s">
        <v>9</v>
      </c>
      <c r="AA1529" s="86"/>
      <c r="AB1529" s="384"/>
      <c r="AC1529" s="385"/>
      <c r="AD1529" s="94"/>
      <c r="AE1529" s="410"/>
    </row>
    <row r="1530" spans="3:31" s="260" customFormat="1" ht="25.5" x14ac:dyDescent="0.25">
      <c r="C1530" s="84"/>
      <c r="D1530" s="354"/>
      <c r="E1530" s="96"/>
      <c r="F1530" s="96"/>
      <c r="G1530" s="96"/>
      <c r="H1530" s="96"/>
      <c r="I1530" s="96"/>
      <c r="J1530" s="420">
        <f>+F1527</f>
        <v>2.21</v>
      </c>
      <c r="K1530" s="88"/>
      <c r="M1530" s="102">
        <v>207</v>
      </c>
      <c r="N1530" s="347" t="str">
        <f>IFERROR(VLOOKUP(M1530,INSUMOS!$C$8:$K$928,2,0),"-----")</f>
        <v>Oficial Hidrosanitario</v>
      </c>
      <c r="O1530" s="78" t="str">
        <f>IFERROR(VLOOKUP(M1530,INSUMOS!$C$8:$K$928,3,0),"-----")</f>
        <v>JORNAL+PS</v>
      </c>
      <c r="P1530" s="80">
        <v>1</v>
      </c>
      <c r="Q1530" s="79">
        <v>25</v>
      </c>
      <c r="R1530" s="190">
        <f>IFERROR(VLOOKUP(M1530,INSUMOS!$C$8:$K$928,4,0),"-----")</f>
        <v>92983</v>
      </c>
      <c r="S1530" s="190">
        <f>IFERROR(VLOOKUP(M1530,INSUMOS!$C$8:$K$928,6,0),"-----")</f>
        <v>74386</v>
      </c>
      <c r="T1530" s="190">
        <f>IFERROR(VLOOKUP(M1530,INSUMOS!$C$8:$K$928,5,0),"-----")</f>
        <v>0</v>
      </c>
      <c r="U1530" s="388">
        <f>SUM(R1530:T1530)</f>
        <v>167369</v>
      </c>
      <c r="V1530" s="82">
        <f>+IFERROR((P1530/Q1530)*U1530,0)</f>
        <v>6694.76</v>
      </c>
      <c r="Y1530" s="393">
        <f>+IFERROR((Y1500/Q1530*P1530),0)</f>
        <v>0.16</v>
      </c>
      <c r="Z1530" s="391">
        <f>Y1500*V1530</f>
        <v>26779.040000000001</v>
      </c>
      <c r="AA1530" s="86"/>
      <c r="AB1530" s="92">
        <f>+(U1530)*Y1530</f>
        <v>26779.040000000001</v>
      </c>
      <c r="AC1530" s="93">
        <f>+AB1530-Z1530</f>
        <v>0</v>
      </c>
      <c r="AD1530" s="421"/>
      <c r="AE1530" s="410" t="str">
        <f>+IF(V1530=0,"CERO","NO")</f>
        <v>NO</v>
      </c>
    </row>
    <row r="1531" spans="3:31" s="260" customFormat="1" ht="15.75" thickBot="1" x14ac:dyDescent="0.3">
      <c r="C1531" s="84"/>
      <c r="D1531" s="355"/>
      <c r="E1531" s="367"/>
      <c r="F1531" s="367"/>
      <c r="G1531" s="367"/>
      <c r="H1531" s="367"/>
      <c r="I1531" s="367"/>
      <c r="J1531" s="422">
        <f>+J1530</f>
        <v>2.21</v>
      </c>
      <c r="K1531" s="88"/>
      <c r="M1531" s="102"/>
      <c r="N1531" s="347" t="str">
        <f>IFERROR(VLOOKUP(M1531,INSUMOS!$C$8:$K$928,2,0),"-----")</f>
        <v>-----</v>
      </c>
      <c r="O1531" s="78" t="str">
        <f>IFERROR(VLOOKUP(M1531,INSUMOS!$C$8:$K$928,3,0),"-----")</f>
        <v>-----</v>
      </c>
      <c r="P1531" s="80"/>
      <c r="Q1531" s="79"/>
      <c r="R1531" s="190" t="str">
        <f>IFERROR(VLOOKUP(M1531,INSUMOS!$C$8:$K$928,4,0),"-----")</f>
        <v>-----</v>
      </c>
      <c r="S1531" s="190" t="str">
        <f>IFERROR(VLOOKUP(M1531,INSUMOS!$C$8:$K$928,6,0),"-----")</f>
        <v>-----</v>
      </c>
      <c r="T1531" s="190" t="str">
        <f>IFERROR(VLOOKUP(M1531,INSUMOS!$C$8:$K$928,5,0),"-----")</f>
        <v>-----</v>
      </c>
      <c r="U1531" s="388">
        <f>SUM(R1531:T1531)</f>
        <v>0</v>
      </c>
      <c r="V1531" s="82">
        <f>+IFERROR((P1531/Q1531)*U1531,0)</f>
        <v>0</v>
      </c>
      <c r="Y1531" s="393">
        <f>+IFERROR((Y1500/Q1531*P1531),0)</f>
        <v>0</v>
      </c>
      <c r="Z1531" s="391">
        <f>Y1500*V1531</f>
        <v>0</v>
      </c>
      <c r="AA1531" s="86"/>
      <c r="AB1531" s="92">
        <f>+U1531*Y1531</f>
        <v>0</v>
      </c>
      <c r="AC1531" s="93">
        <f>+AB1531-Z1531</f>
        <v>0</v>
      </c>
      <c r="AD1531" s="94"/>
      <c r="AE1531" s="410" t="str">
        <f>+IF(V1531=0,"CERO","NO")</f>
        <v>CERO</v>
      </c>
    </row>
    <row r="1532" spans="3:31" s="260" customFormat="1" ht="15.75" thickBot="1" x14ac:dyDescent="0.3">
      <c r="C1532" s="84"/>
      <c r="D1532" s="380"/>
      <c r="E1532" s="381"/>
      <c r="F1532" s="381"/>
      <c r="G1532" s="381"/>
      <c r="H1532" s="381"/>
      <c r="I1532" s="381"/>
      <c r="J1532" s="382"/>
      <c r="K1532" s="88"/>
      <c r="M1532" s="102">
        <v>0</v>
      </c>
      <c r="N1532" s="347"/>
      <c r="O1532" s="79"/>
      <c r="P1532" s="423"/>
      <c r="Q1532" s="81"/>
      <c r="R1532" s="111"/>
      <c r="S1532" s="357"/>
      <c r="T1532" s="111"/>
      <c r="U1532" s="388"/>
      <c r="V1532" s="426"/>
      <c r="Y1532" s="393">
        <f>+IFERROR((Y1500/Q1532*P1532),0)</f>
        <v>0</v>
      </c>
      <c r="Z1532" s="391">
        <f>Y1500*V1532</f>
        <v>0</v>
      </c>
      <c r="AA1532" s="86"/>
      <c r="AB1532" s="92">
        <f>+(U1532)*Y1532*P1532</f>
        <v>0</v>
      </c>
      <c r="AC1532" s="93">
        <f>+AB1532-Z1532</f>
        <v>0</v>
      </c>
      <c r="AD1532" s="94"/>
      <c r="AE1532" s="410" t="str">
        <f>+IF(V1532=0,"CERO","NO")</f>
        <v>CERO</v>
      </c>
    </row>
    <row r="1533" spans="3:31" s="260" customFormat="1" ht="15.75" thickBot="1" x14ac:dyDescent="0.3">
      <c r="C1533" s="84"/>
      <c r="D1533" s="375" t="s">
        <v>128</v>
      </c>
      <c r="E1533" s="376" t="s">
        <v>129</v>
      </c>
      <c r="F1533" s="376" t="s">
        <v>130</v>
      </c>
      <c r="G1533" s="376" t="s">
        <v>131</v>
      </c>
      <c r="H1533" s="376" t="s">
        <v>132</v>
      </c>
      <c r="I1533" s="376" t="s">
        <v>133</v>
      </c>
      <c r="J1533" s="377" t="s">
        <v>134</v>
      </c>
      <c r="K1533" s="88"/>
      <c r="M1533" s="534"/>
      <c r="N1533" s="536" t="s">
        <v>120</v>
      </c>
      <c r="O1533" s="536"/>
      <c r="P1533" s="536"/>
      <c r="Q1533" s="536"/>
      <c r="R1533" s="536"/>
      <c r="S1533" s="536"/>
      <c r="T1533" s="536"/>
      <c r="U1533" s="536"/>
      <c r="V1533" s="82">
        <f>+SUM(V1530:V1532)</f>
        <v>6694.76</v>
      </c>
      <c r="Y1533" s="398" t="s">
        <v>135</v>
      </c>
      <c r="Z1533" s="397">
        <f>+SUM(Z1530:Z1532)</f>
        <v>26779.040000000001</v>
      </c>
      <c r="AA1533" s="86"/>
      <c r="AB1533" s="384"/>
      <c r="AC1533" s="385"/>
      <c r="AD1533" s="94"/>
      <c r="AE1533" s="399"/>
    </row>
    <row r="1534" spans="3:31" s="260" customFormat="1" ht="15.75" thickBot="1" x14ac:dyDescent="0.3">
      <c r="C1534" s="84"/>
      <c r="D1534" s="354"/>
      <c r="E1534" s="96"/>
      <c r="F1534" s="96"/>
      <c r="G1534" s="107">
        <f>+F1527</f>
        <v>2.21</v>
      </c>
      <c r="H1534" s="96"/>
      <c r="I1534" s="96"/>
      <c r="J1534" s="427"/>
      <c r="K1534" s="88"/>
      <c r="M1534" s="535"/>
      <c r="N1534" s="537" t="s">
        <v>121</v>
      </c>
      <c r="O1534" s="537"/>
      <c r="P1534" s="537"/>
      <c r="Q1534" s="537"/>
      <c r="R1534" s="537"/>
      <c r="S1534" s="537"/>
      <c r="T1534" s="537"/>
      <c r="U1534" s="537"/>
      <c r="V1534" s="413">
        <f>+ROUND(V1533,$AA$5)</f>
        <v>6694.76</v>
      </c>
      <c r="Y1534" s="401" t="s">
        <v>136</v>
      </c>
      <c r="Z1534" s="402">
        <f>+ROUND(Z1533,$AA$5)</f>
        <v>26779.040000000001</v>
      </c>
      <c r="AA1534" s="86"/>
      <c r="AB1534" s="403">
        <f>+V1534*Y1500</f>
        <v>26779.040000000001</v>
      </c>
      <c r="AC1534" s="404">
        <f>+AB1534-Z1534</f>
        <v>0</v>
      </c>
      <c r="AD1534" s="94"/>
      <c r="AE1534" s="405"/>
    </row>
    <row r="1535" spans="3:31" s="260" customFormat="1" ht="15.75" thickBot="1" x14ac:dyDescent="0.3">
      <c r="C1535" s="84"/>
      <c r="D1535" s="375" t="s">
        <v>128</v>
      </c>
      <c r="E1535" s="376" t="s">
        <v>129</v>
      </c>
      <c r="F1535" s="376" t="s">
        <v>130</v>
      </c>
      <c r="G1535" s="376" t="s">
        <v>131</v>
      </c>
      <c r="H1535" s="376" t="s">
        <v>132</v>
      </c>
      <c r="I1535" s="376" t="s">
        <v>133</v>
      </c>
      <c r="J1535" s="377" t="s">
        <v>134</v>
      </c>
      <c r="K1535" s="88"/>
      <c r="M1535" s="541"/>
      <c r="N1535" s="542"/>
      <c r="O1535" s="542"/>
      <c r="P1535" s="542"/>
      <c r="Q1535" s="542"/>
      <c r="R1535" s="542"/>
      <c r="S1535" s="542"/>
      <c r="T1535" s="542"/>
      <c r="U1535" s="542"/>
      <c r="V1535" s="543"/>
      <c r="Y1535" s="378"/>
      <c r="Z1535" s="121"/>
      <c r="AA1535" s="86"/>
      <c r="AB1535" s="409"/>
      <c r="AC1535" s="121"/>
      <c r="AD1535" s="94"/>
      <c r="AE1535" s="428"/>
    </row>
    <row r="1536" spans="3:31" s="260" customFormat="1" ht="15.75" thickBot="1" x14ac:dyDescent="0.3">
      <c r="C1536" s="84"/>
      <c r="D1536" s="355"/>
      <c r="E1536" s="367"/>
      <c r="F1536" s="367"/>
      <c r="G1536" s="367"/>
      <c r="H1536" s="412">
        <f>G1534</f>
        <v>2.21</v>
      </c>
      <c r="I1536" s="412"/>
      <c r="J1536" s="422"/>
      <c r="K1536" s="88"/>
      <c r="M1536" s="544" t="s">
        <v>122</v>
      </c>
      <c r="N1536" s="537"/>
      <c r="O1536" s="537"/>
      <c r="P1536" s="537"/>
      <c r="Q1536" s="537"/>
      <c r="R1536" s="537"/>
      <c r="S1536" s="537"/>
      <c r="T1536" s="537"/>
      <c r="U1536" s="545">
        <f>+V1534+V1527+V1519+V1510</f>
        <v>27780.04</v>
      </c>
      <c r="V1536" s="546"/>
      <c r="Y1536" s="429"/>
      <c r="Z1536" s="430">
        <f>+Z1534+Z1527+Z1519+Z1510</f>
        <v>111120.15000000001</v>
      </c>
      <c r="AA1536" s="86"/>
      <c r="AB1536" s="431">
        <f>+AB1534+AB1527+AB1519+AB1510</f>
        <v>111120.16</v>
      </c>
      <c r="AC1536" s="404">
        <f>+AB1536-Z1536</f>
        <v>9.9999999947613105E-3</v>
      </c>
      <c r="AD1536" s="94"/>
      <c r="AE1536" s="432"/>
    </row>
    <row r="1537" spans="3:31" s="260" customFormat="1" ht="15.75" thickBot="1" x14ac:dyDescent="0.3"/>
    <row r="1538" spans="3:31" s="260" customFormat="1" x14ac:dyDescent="0.25">
      <c r="M1538" s="547" t="s">
        <v>348</v>
      </c>
      <c r="N1538" s="548"/>
      <c r="O1538" s="548"/>
      <c r="P1538" s="548"/>
      <c r="Q1538" s="548"/>
      <c r="R1538" s="548"/>
      <c r="S1538" s="548"/>
      <c r="T1538" s="548"/>
      <c r="U1538" s="548"/>
      <c r="V1538" s="549"/>
      <c r="Y1538" s="378"/>
      <c r="Z1538" s="121"/>
      <c r="AA1538" s="86"/>
      <c r="AB1538" s="94"/>
      <c r="AC1538" s="94"/>
      <c r="AD1538" s="94"/>
      <c r="AE1538" s="126" t="s">
        <v>133</v>
      </c>
    </row>
    <row r="1539" spans="3:31" s="260" customFormat="1" x14ac:dyDescent="0.25">
      <c r="M1539" s="515" t="s">
        <v>138</v>
      </c>
      <c r="N1539" s="516"/>
      <c r="O1539" s="516"/>
      <c r="P1539" s="516"/>
      <c r="Q1539" s="516"/>
      <c r="R1539" s="516"/>
      <c r="S1539" s="516"/>
      <c r="T1539" s="437">
        <v>0</v>
      </c>
      <c r="U1539" s="517">
        <f>+ROUND(U1536*T1539,$AA$5)</f>
        <v>0</v>
      </c>
      <c r="V1539" s="518"/>
      <c r="Y1539" s="390"/>
      <c r="Z1539" s="438">
        <f>+Z1536*T1539</f>
        <v>0</v>
      </c>
      <c r="AA1539" s="86"/>
      <c r="AB1539" s="94"/>
      <c r="AC1539" s="94"/>
      <c r="AD1539" s="94"/>
      <c r="AE1539" s="386" t="s">
        <v>133</v>
      </c>
    </row>
    <row r="1540" spans="3:31" s="260" customFormat="1" x14ac:dyDescent="0.25">
      <c r="M1540" s="515" t="s">
        <v>19</v>
      </c>
      <c r="N1540" s="516"/>
      <c r="O1540" s="516"/>
      <c r="P1540" s="516"/>
      <c r="Q1540" s="516"/>
      <c r="R1540" s="516"/>
      <c r="S1540" s="516"/>
      <c r="T1540" s="437">
        <v>0.05</v>
      </c>
      <c r="U1540" s="517">
        <f>+ROUND(U1536*T1540,$AA$5)</f>
        <v>1389</v>
      </c>
      <c r="V1540" s="518"/>
      <c r="Y1540" s="390"/>
      <c r="Z1540" s="438">
        <f>+Z1536*T1540</f>
        <v>5556.0075000000006</v>
      </c>
      <c r="AA1540" s="86"/>
      <c r="AB1540" s="94"/>
      <c r="AC1540" s="94"/>
      <c r="AD1540" s="94"/>
      <c r="AE1540" s="386" t="s">
        <v>133</v>
      </c>
    </row>
    <row r="1541" spans="3:31" s="260" customFormat="1" x14ac:dyDescent="0.25">
      <c r="M1541" s="515" t="s">
        <v>20</v>
      </c>
      <c r="N1541" s="516"/>
      <c r="O1541" s="516"/>
      <c r="P1541" s="516"/>
      <c r="Q1541" s="516"/>
      <c r="R1541" s="516"/>
      <c r="S1541" s="516"/>
      <c r="T1541" s="437">
        <v>0</v>
      </c>
      <c r="U1541" s="517">
        <f>+ROUND(U1536*T1541,$AA$5)</f>
        <v>0</v>
      </c>
      <c r="V1541" s="518"/>
      <c r="Y1541" s="390"/>
      <c r="Z1541" s="438">
        <f>+Z1536*T1541</f>
        <v>0</v>
      </c>
      <c r="AA1541" s="86"/>
      <c r="AB1541" s="94"/>
      <c r="AC1541" s="94"/>
      <c r="AD1541" s="94"/>
      <c r="AE1541" s="386" t="s">
        <v>133</v>
      </c>
    </row>
    <row r="1542" spans="3:31" s="260" customFormat="1" x14ac:dyDescent="0.25">
      <c r="M1542" s="515" t="s">
        <v>21</v>
      </c>
      <c r="N1542" s="516"/>
      <c r="O1542" s="516"/>
      <c r="P1542" s="516"/>
      <c r="Q1542" s="516"/>
      <c r="R1542" s="516"/>
      <c r="S1542" s="516"/>
      <c r="T1542" s="437">
        <f>$AA$9</f>
        <v>0</v>
      </c>
      <c r="U1542" s="517">
        <f>+ROUND(U1536*T1542,$AA$5)</f>
        <v>0</v>
      </c>
      <c r="V1542" s="518"/>
      <c r="Y1542" s="390"/>
      <c r="Z1542" s="438">
        <f>+Z1541*T1542</f>
        <v>0</v>
      </c>
      <c r="AA1542" s="86"/>
      <c r="AB1542" s="94"/>
      <c r="AC1542" s="94"/>
      <c r="AD1542" s="94"/>
      <c r="AE1542" s="386" t="s">
        <v>133</v>
      </c>
    </row>
    <row r="1543" spans="3:31" s="260" customFormat="1" ht="15.75" thickBot="1" x14ac:dyDescent="0.3">
      <c r="M1543" s="519" t="s">
        <v>349</v>
      </c>
      <c r="N1543" s="520"/>
      <c r="O1543" s="520"/>
      <c r="P1543" s="520"/>
      <c r="Q1543" s="520"/>
      <c r="R1543" s="520"/>
      <c r="S1543" s="520"/>
      <c r="T1543" s="520"/>
      <c r="U1543" s="521">
        <f>+SUM(U1539:V1542)</f>
        <v>1389</v>
      </c>
      <c r="V1543" s="522"/>
      <c r="Y1543" s="390"/>
      <c r="Z1543" s="439">
        <f>+SUM(Z1539:Z1542)</f>
        <v>5556.0075000000006</v>
      </c>
      <c r="AA1543" s="86"/>
      <c r="AB1543" s="94"/>
      <c r="AC1543" s="94"/>
      <c r="AD1543" s="94"/>
      <c r="AE1543" s="386" t="s">
        <v>133</v>
      </c>
    </row>
    <row r="1544" spans="3:31" s="260" customFormat="1" ht="15.75" thickBot="1" x14ac:dyDescent="0.3">
      <c r="D1544" s="375" t="s">
        <v>128</v>
      </c>
      <c r="E1544" s="376" t="s">
        <v>129</v>
      </c>
      <c r="F1544" s="376" t="s">
        <v>130</v>
      </c>
      <c r="G1544" s="376" t="s">
        <v>131</v>
      </c>
      <c r="H1544" s="376" t="s">
        <v>132</v>
      </c>
      <c r="I1544" s="376" t="s">
        <v>133</v>
      </c>
      <c r="J1544" s="377" t="s">
        <v>134</v>
      </c>
      <c r="M1544" s="86"/>
      <c r="N1544" s="94"/>
      <c r="O1544" s="94"/>
      <c r="P1544" s="94"/>
      <c r="Q1544" s="86"/>
      <c r="R1544" s="86"/>
      <c r="S1544" s="86"/>
      <c r="T1544" s="440"/>
      <c r="U1544" s="523"/>
      <c r="V1544" s="523"/>
      <c r="Y1544" s="390"/>
      <c r="Z1544" s="385"/>
      <c r="AA1544" s="86"/>
      <c r="AB1544" s="94"/>
      <c r="AC1544" s="94"/>
      <c r="AD1544" s="94"/>
      <c r="AE1544" s="386" t="s">
        <v>133</v>
      </c>
    </row>
    <row r="1545" spans="3:31" s="260" customFormat="1" ht="15.75" thickBot="1" x14ac:dyDescent="0.3">
      <c r="D1545" s="355"/>
      <c r="E1545" s="367"/>
      <c r="F1545" s="367"/>
      <c r="G1545" s="367"/>
      <c r="H1545" s="412"/>
      <c r="I1545" s="412">
        <f>H1536</f>
        <v>2.21</v>
      </c>
      <c r="J1545" s="422"/>
      <c r="M1545" s="524" t="s">
        <v>11</v>
      </c>
      <c r="N1545" s="525"/>
      <c r="O1545" s="525"/>
      <c r="P1545" s="525"/>
      <c r="Q1545" s="525"/>
      <c r="R1545" s="525"/>
      <c r="S1545" s="525"/>
      <c r="T1545" s="526"/>
      <c r="U1545" s="527">
        <f>+U1543+U1536</f>
        <v>29169.040000000001</v>
      </c>
      <c r="V1545" s="528"/>
      <c r="Y1545" s="429"/>
      <c r="Z1545" s="441">
        <f>+Z1543+Z1536</f>
        <v>116676.15750000002</v>
      </c>
      <c r="AA1545" s="86"/>
      <c r="AB1545" s="94"/>
      <c r="AC1545" s="94"/>
      <c r="AD1545" s="94"/>
      <c r="AE1545" s="405" t="s">
        <v>133</v>
      </c>
    </row>
    <row r="1546" spans="3:31" s="260" customFormat="1" x14ac:dyDescent="0.25"/>
    <row r="1547" spans="3:31" s="260" customFormat="1" ht="15.75" thickBot="1" x14ac:dyDescent="0.3"/>
    <row r="1548" spans="3:31" s="260" customFormat="1" ht="15.75" thickBot="1" x14ac:dyDescent="0.3">
      <c r="M1548" s="363" t="s">
        <v>88</v>
      </c>
      <c r="N1548" s="436" t="str">
        <f>+N1499</f>
        <v>CAP.2</v>
      </c>
      <c r="O1548" s="550" t="str">
        <f>IFERROR(VLOOKUP(N1548,PPTO!C:H,2,0),"----")</f>
        <v>RED HIDRAULICA</v>
      </c>
      <c r="P1548" s="551"/>
      <c r="Q1548" s="551"/>
      <c r="R1548" s="551"/>
      <c r="S1548" s="551"/>
      <c r="T1548" s="551"/>
      <c r="U1548" s="552"/>
      <c r="V1548" s="74" t="s">
        <v>91</v>
      </c>
      <c r="Y1548" s="365" t="s">
        <v>104</v>
      </c>
      <c r="Z1548" s="94"/>
      <c r="AA1548" s="188"/>
      <c r="AB1548" s="553"/>
      <c r="AC1548" s="553"/>
      <c r="AD1548" s="553"/>
      <c r="AE1548" s="94"/>
    </row>
    <row r="1549" spans="3:31" s="260" customFormat="1" ht="15.75" thickBot="1" x14ac:dyDescent="0.3">
      <c r="C1549" s="369">
        <f>+N1549</f>
        <v>2.2200000000000002</v>
      </c>
      <c r="D1549" s="86"/>
      <c r="E1549" s="86"/>
      <c r="F1549" s="86"/>
      <c r="G1549" s="86"/>
      <c r="H1549" s="86"/>
      <c r="I1549" s="86"/>
      <c r="J1549" s="86"/>
      <c r="K1549" s="370"/>
      <c r="M1549" s="75" t="s">
        <v>92</v>
      </c>
      <c r="N1549" s="371">
        <f>+ROUNDUP(N1500+0.01,2)</f>
        <v>2.2200000000000002</v>
      </c>
      <c r="O1549" s="554" t="str">
        <f>IFERROR(VLOOKUP(N1549,PPTO!C:H,2,0),"----")</f>
        <v>Valvula de corte Ø1_1/4"</v>
      </c>
      <c r="P1549" s="555"/>
      <c r="Q1549" s="555"/>
      <c r="R1549" s="555"/>
      <c r="S1549" s="555"/>
      <c r="T1549" s="555"/>
      <c r="U1549" s="556"/>
      <c r="V1549" s="76" t="str">
        <f>IFERROR(VLOOKUP(N1549,PPTO!C:H,3,0),"----")</f>
        <v>UND</v>
      </c>
      <c r="Y1549" s="373">
        <f>SUMIFS(PPTO!F:F,PPTO!C:C,APUS!N1549)</f>
        <v>7</v>
      </c>
      <c r="Z1549" s="94"/>
      <c r="AA1549" s="86"/>
      <c r="AB1549" s="94"/>
      <c r="AC1549" s="94"/>
      <c r="AD1549" s="94"/>
      <c r="AE1549" s="94"/>
    </row>
    <row r="1550" spans="3:31" s="260" customFormat="1" ht="15.75" thickBot="1" x14ac:dyDescent="0.3">
      <c r="C1550" s="84"/>
      <c r="D1550" s="86"/>
      <c r="E1550" s="86"/>
      <c r="F1550" s="86"/>
      <c r="G1550" s="86"/>
      <c r="H1550" s="86"/>
      <c r="I1550" s="86"/>
      <c r="J1550" s="86"/>
      <c r="K1550" s="88"/>
      <c r="M1550" s="557"/>
      <c r="N1550" s="557"/>
      <c r="O1550" s="557"/>
      <c r="P1550" s="557"/>
      <c r="Q1550" s="557"/>
      <c r="R1550" s="557"/>
      <c r="S1550" s="557"/>
      <c r="T1550" s="557"/>
      <c r="U1550" s="557"/>
      <c r="V1550" s="557"/>
      <c r="Y1550" s="374"/>
      <c r="Z1550" s="94"/>
      <c r="AA1550" s="86"/>
      <c r="AB1550" s="94"/>
      <c r="AC1550" s="94"/>
      <c r="AD1550" s="94"/>
      <c r="AE1550" s="94"/>
    </row>
    <row r="1551" spans="3:31" s="260" customFormat="1" ht="15.75" thickBot="1" x14ac:dyDescent="0.3">
      <c r="C1551" s="84"/>
      <c r="D1551" s="375" t="s">
        <v>128</v>
      </c>
      <c r="E1551" s="376" t="s">
        <v>129</v>
      </c>
      <c r="F1551" s="376" t="s">
        <v>130</v>
      </c>
      <c r="G1551" s="376" t="s">
        <v>131</v>
      </c>
      <c r="H1551" s="376" t="s">
        <v>132</v>
      </c>
      <c r="I1551" s="376" t="s">
        <v>133</v>
      </c>
      <c r="J1551" s="377" t="s">
        <v>134</v>
      </c>
      <c r="K1551" s="88"/>
      <c r="M1551" s="558" t="s">
        <v>93</v>
      </c>
      <c r="N1551" s="559"/>
      <c r="O1551" s="559"/>
      <c r="P1551" s="559"/>
      <c r="Q1551" s="559"/>
      <c r="R1551" s="559"/>
      <c r="S1551" s="559"/>
      <c r="T1551" s="559"/>
      <c r="U1551" s="559"/>
      <c r="V1551" s="560"/>
      <c r="Y1551" s="378"/>
      <c r="Z1551" s="121"/>
      <c r="AA1551" s="86"/>
      <c r="AB1551" s="513"/>
      <c r="AC1551" s="514"/>
      <c r="AD1551" s="94"/>
      <c r="AE1551" s="379"/>
    </row>
    <row r="1552" spans="3:31" s="260" customFormat="1" x14ac:dyDescent="0.25">
      <c r="C1552" s="84"/>
      <c r="D1552" s="380"/>
      <c r="E1552" s="381"/>
      <c r="F1552" s="381"/>
      <c r="G1552" s="381"/>
      <c r="H1552" s="381"/>
      <c r="I1552" s="381"/>
      <c r="J1552" s="382"/>
      <c r="K1552" s="88"/>
      <c r="M1552" s="99" t="s">
        <v>94</v>
      </c>
      <c r="N1552" s="561" t="s">
        <v>95</v>
      </c>
      <c r="O1552" s="561"/>
      <c r="P1552" s="561"/>
      <c r="Q1552" s="561"/>
      <c r="R1552" s="95" t="s">
        <v>96</v>
      </c>
      <c r="S1552" s="95" t="s">
        <v>97</v>
      </c>
      <c r="T1552" s="562" t="s">
        <v>8</v>
      </c>
      <c r="U1552" s="562"/>
      <c r="V1552" s="100" t="s">
        <v>98</v>
      </c>
      <c r="Y1552" s="383" t="s">
        <v>104</v>
      </c>
      <c r="Z1552" s="119" t="s">
        <v>9</v>
      </c>
      <c r="AA1552" s="86"/>
      <c r="AB1552" s="384"/>
      <c r="AC1552" s="385"/>
      <c r="AD1552" s="94"/>
      <c r="AE1552" s="386"/>
    </row>
    <row r="1553" spans="3:31" s="260" customFormat="1" x14ac:dyDescent="0.25">
      <c r="C1553" s="84"/>
      <c r="D1553" s="85"/>
      <c r="E1553" s="86"/>
      <c r="F1553" s="86"/>
      <c r="G1553" s="86"/>
      <c r="H1553" s="86"/>
      <c r="I1553" s="86"/>
      <c r="J1553" s="87"/>
      <c r="K1553" s="88"/>
      <c r="M1553" s="102"/>
      <c r="N1553" s="533" t="s">
        <v>99</v>
      </c>
      <c r="O1553" s="533"/>
      <c r="P1553" s="533"/>
      <c r="Q1553" s="533"/>
      <c r="R1553" s="78" t="s">
        <v>100</v>
      </c>
      <c r="S1553" s="387">
        <f>+$AA$10</f>
        <v>0.05</v>
      </c>
      <c r="T1553" s="563">
        <f>V1583</f>
        <v>6694.76</v>
      </c>
      <c r="U1553" s="563"/>
      <c r="V1553" s="389">
        <f>+IFERROR(T1553*S1553,0)</f>
        <v>334.73800000000006</v>
      </c>
      <c r="Y1553" s="390"/>
      <c r="Z1553" s="391">
        <f>Y1549*V1553</f>
        <v>2343.1660000000002</v>
      </c>
      <c r="AA1553" s="86"/>
      <c r="AB1553" s="384"/>
      <c r="AC1553" s="385"/>
      <c r="AD1553" s="94"/>
      <c r="AE1553" s="386" t="str">
        <f>+IF(V1553=0,"CERO","NO")</f>
        <v>NO</v>
      </c>
    </row>
    <row r="1554" spans="3:31" s="260" customFormat="1" x14ac:dyDescent="0.25">
      <c r="C1554" s="84"/>
      <c r="D1554" s="85"/>
      <c r="E1554" s="86"/>
      <c r="F1554" s="86"/>
      <c r="G1554" s="86"/>
      <c r="H1554" s="86"/>
      <c r="I1554" s="86"/>
      <c r="J1554" s="87"/>
      <c r="K1554" s="88"/>
      <c r="M1554" s="106"/>
      <c r="N1554" s="533" t="str">
        <f>IFERROR(VLOOKUP(M1554,INSUMOS!$C$8:$K$928,2,0),"-----")</f>
        <v>-----</v>
      </c>
      <c r="O1554" s="533"/>
      <c r="P1554" s="533"/>
      <c r="Q1554" s="533"/>
      <c r="R1554" s="78" t="str">
        <f>IFERROR(VLOOKUP(M1554,INSUMOS!$C$8:$K$928,6,0),"-----")</f>
        <v>-----</v>
      </c>
      <c r="S1554" s="392"/>
      <c r="T1554" s="529" t="str">
        <f>IFERROR(VLOOKUP(M1554,INSUMOS!$C$8:$K$928,7,0),"0")</f>
        <v>0</v>
      </c>
      <c r="U1554" s="529"/>
      <c r="V1554" s="389">
        <f>+IFERROR(T1554*S1554,0)</f>
        <v>0</v>
      </c>
      <c r="Y1554" s="393">
        <f>+IFERROR(Y1549*S1554,0)</f>
        <v>0</v>
      </c>
      <c r="Z1554" s="391">
        <f>Y1549*V1554</f>
        <v>0</v>
      </c>
      <c r="AA1554" s="394"/>
      <c r="AB1554" s="395">
        <f>+Y1554*T1554</f>
        <v>0</v>
      </c>
      <c r="AC1554" s="93">
        <f>+AB1554-Z1554</f>
        <v>0</v>
      </c>
      <c r="AD1554" s="94"/>
      <c r="AE1554" s="386" t="str">
        <f>+IF(V1554=0,"CERO","NO")</f>
        <v>CERO</v>
      </c>
    </row>
    <row r="1555" spans="3:31" s="260" customFormat="1" x14ac:dyDescent="0.25">
      <c r="C1555" s="84"/>
      <c r="D1555" s="85"/>
      <c r="E1555" s="86"/>
      <c r="F1555" s="86"/>
      <c r="G1555" s="86"/>
      <c r="H1555" s="86"/>
      <c r="I1555" s="86"/>
      <c r="J1555" s="87"/>
      <c r="K1555" s="88"/>
      <c r="M1555" s="102">
        <v>0</v>
      </c>
      <c r="N1555" s="533"/>
      <c r="O1555" s="533"/>
      <c r="P1555" s="533"/>
      <c r="Q1555" s="533"/>
      <c r="R1555" s="78"/>
      <c r="S1555" s="396"/>
      <c r="T1555" s="529"/>
      <c r="U1555" s="529"/>
      <c r="V1555" s="397"/>
      <c r="Y1555" s="393">
        <f>+IFERROR(Y1549*S1555,0)</f>
        <v>0</v>
      </c>
      <c r="Z1555" s="391">
        <f>Y1549*V1555</f>
        <v>0</v>
      </c>
      <c r="AA1555" s="394"/>
      <c r="AB1555" s="395">
        <f>+Y1555*T1555</f>
        <v>0</v>
      </c>
      <c r="AC1555" s="93">
        <f>+AB1555-Z1555</f>
        <v>0</v>
      </c>
      <c r="AD1555" s="94"/>
      <c r="AE1555" s="386" t="str">
        <f>+IF(V1555=0,"CERO","NO")</f>
        <v>CERO</v>
      </c>
    </row>
    <row r="1556" spans="3:31" s="260" customFormat="1" x14ac:dyDescent="0.25">
      <c r="C1556" s="84"/>
      <c r="D1556" s="85"/>
      <c r="E1556" s="86"/>
      <c r="F1556" s="86"/>
      <c r="G1556" s="86"/>
      <c r="H1556" s="86"/>
      <c r="I1556" s="86"/>
      <c r="J1556" s="87"/>
      <c r="K1556" s="88"/>
      <c r="M1556" s="102">
        <v>0</v>
      </c>
      <c r="N1556" s="533"/>
      <c r="O1556" s="533"/>
      <c r="P1556" s="533"/>
      <c r="Q1556" s="533"/>
      <c r="R1556" s="78"/>
      <c r="S1556" s="396"/>
      <c r="T1556" s="529"/>
      <c r="U1556" s="529"/>
      <c r="V1556" s="397"/>
      <c r="Y1556" s="393">
        <f>+IFERROR(Y1549*S1556,0)</f>
        <v>0</v>
      </c>
      <c r="Z1556" s="391">
        <f>Y1549*V1556</f>
        <v>0</v>
      </c>
      <c r="AA1556" s="394"/>
      <c r="AB1556" s="395">
        <f>+Y1556*T1556</f>
        <v>0</v>
      </c>
      <c r="AC1556" s="93">
        <f>+AB1556-Z1556</f>
        <v>0</v>
      </c>
      <c r="AD1556" s="94"/>
      <c r="AE1556" s="386" t="str">
        <f>+IF(V1556=0,"CERO","NO")</f>
        <v>CERO</v>
      </c>
    </row>
    <row r="1557" spans="3:31" s="260" customFormat="1" ht="15.75" thickBot="1" x14ac:dyDescent="0.3">
      <c r="C1557" s="84"/>
      <c r="D1557" s="85"/>
      <c r="E1557" s="86"/>
      <c r="F1557" s="86"/>
      <c r="G1557" s="86"/>
      <c r="H1557" s="86"/>
      <c r="I1557" s="86"/>
      <c r="J1557" s="87"/>
      <c r="K1557" s="88"/>
      <c r="M1557" s="102">
        <v>0</v>
      </c>
      <c r="N1557" s="564"/>
      <c r="O1557" s="564"/>
      <c r="P1557" s="564"/>
      <c r="Q1557" s="564"/>
      <c r="R1557" s="96"/>
      <c r="S1557" s="96"/>
      <c r="T1557" s="565"/>
      <c r="U1557" s="565"/>
      <c r="V1557" s="101"/>
      <c r="Y1557" s="393">
        <f>+IFERROR(Y1549*S1557,0)</f>
        <v>0</v>
      </c>
      <c r="Z1557" s="391">
        <f>Y1549*V1557</f>
        <v>0</v>
      </c>
      <c r="AA1557" s="394"/>
      <c r="AB1557" s="395">
        <f>+Y1557*T1557</f>
        <v>0</v>
      </c>
      <c r="AC1557" s="93">
        <f>+AB1557-Z1557</f>
        <v>0</v>
      </c>
      <c r="AD1557" s="94"/>
      <c r="AE1557" s="386" t="str">
        <f>+IF(V1557=0,"CERO","NO")</f>
        <v>CERO</v>
      </c>
    </row>
    <row r="1558" spans="3:31" s="260" customFormat="1" ht="15.75" thickBot="1" x14ac:dyDescent="0.3">
      <c r="C1558" s="84"/>
      <c r="D1558" s="375" t="s">
        <v>128</v>
      </c>
      <c r="E1558" s="376" t="s">
        <v>129</v>
      </c>
      <c r="F1558" s="376" t="s">
        <v>130</v>
      </c>
      <c r="G1558" s="376" t="s">
        <v>131</v>
      </c>
      <c r="H1558" s="376" t="s">
        <v>132</v>
      </c>
      <c r="I1558" s="376" t="s">
        <v>133</v>
      </c>
      <c r="J1558" s="377" t="s">
        <v>134</v>
      </c>
      <c r="K1558" s="88"/>
      <c r="M1558" s="534"/>
      <c r="N1558" s="536" t="s">
        <v>101</v>
      </c>
      <c r="O1558" s="536"/>
      <c r="P1558" s="536"/>
      <c r="Q1558" s="536"/>
      <c r="R1558" s="536"/>
      <c r="S1558" s="536"/>
      <c r="T1558" s="536"/>
      <c r="U1558" s="536"/>
      <c r="V1558" s="389">
        <f>+SUM(V1553:V1557)</f>
        <v>334.73800000000006</v>
      </c>
      <c r="Y1558" s="398" t="s">
        <v>135</v>
      </c>
      <c r="Z1558" s="397">
        <f>+SUM(Z1553:Z1557)</f>
        <v>2343.1660000000002</v>
      </c>
      <c r="AA1558" s="86"/>
      <c r="AB1558" s="384"/>
      <c r="AC1558" s="385"/>
      <c r="AD1558" s="94"/>
      <c r="AE1558" s="399"/>
    </row>
    <row r="1559" spans="3:31" s="260" customFormat="1" ht="15.75" thickBot="1" x14ac:dyDescent="0.3">
      <c r="C1559" s="84"/>
      <c r="D1559" s="375">
        <f>C1549</f>
        <v>2.2200000000000002</v>
      </c>
      <c r="E1559" s="376"/>
      <c r="F1559" s="376"/>
      <c r="G1559" s="376"/>
      <c r="H1559" s="376"/>
      <c r="I1559" s="376"/>
      <c r="J1559" s="377"/>
      <c r="K1559" s="88"/>
      <c r="M1559" s="566"/>
      <c r="N1559" s="567" t="s">
        <v>102</v>
      </c>
      <c r="O1559" s="567"/>
      <c r="P1559" s="567"/>
      <c r="Q1559" s="567"/>
      <c r="R1559" s="567"/>
      <c r="S1559" s="567"/>
      <c r="T1559" s="567"/>
      <c r="U1559" s="567"/>
      <c r="V1559" s="400">
        <f>+ROUND(V1558,$AA$5)</f>
        <v>334.74</v>
      </c>
      <c r="Y1559" s="401" t="s">
        <v>136</v>
      </c>
      <c r="Z1559" s="402">
        <f>+ROUND(Z1558,$AA$5)</f>
        <v>2343.17</v>
      </c>
      <c r="AA1559" s="86"/>
      <c r="AB1559" s="403">
        <f>+V1559*Y1549</f>
        <v>2343.1800000000003</v>
      </c>
      <c r="AC1559" s="404">
        <f>+AB1559-Z1559</f>
        <v>1.0000000000218279E-2</v>
      </c>
      <c r="AD1559" s="94"/>
      <c r="AE1559" s="405"/>
    </row>
    <row r="1560" spans="3:31" s="260" customFormat="1" x14ac:dyDescent="0.25">
      <c r="C1560" s="84"/>
      <c r="D1560" s="380"/>
      <c r="E1560" s="381"/>
      <c r="F1560" s="381"/>
      <c r="G1560" s="381"/>
      <c r="H1560" s="381"/>
      <c r="I1560" s="381"/>
      <c r="J1560" s="382"/>
      <c r="K1560" s="88"/>
      <c r="M1560" s="510" t="s">
        <v>103</v>
      </c>
      <c r="N1560" s="511"/>
      <c r="O1560" s="511"/>
      <c r="P1560" s="511"/>
      <c r="Q1560" s="511"/>
      <c r="R1560" s="511"/>
      <c r="S1560" s="511"/>
      <c r="T1560" s="511"/>
      <c r="U1560" s="511"/>
      <c r="V1560" s="512"/>
      <c r="Y1560" s="378"/>
      <c r="Z1560" s="121"/>
      <c r="AA1560" s="86"/>
      <c r="AB1560" s="513"/>
      <c r="AC1560" s="514"/>
      <c r="AD1560" s="94"/>
      <c r="AE1560" s="126"/>
    </row>
    <row r="1561" spans="3:31" s="260" customFormat="1" x14ac:dyDescent="0.25">
      <c r="C1561" s="84"/>
      <c r="D1561" s="85"/>
      <c r="E1561" s="86"/>
      <c r="F1561" s="86"/>
      <c r="G1561" s="86"/>
      <c r="H1561" s="86"/>
      <c r="I1561" s="86"/>
      <c r="J1561" s="87"/>
      <c r="K1561" s="88"/>
      <c r="M1561" s="99" t="s">
        <v>94</v>
      </c>
      <c r="N1561" s="561" t="s">
        <v>95</v>
      </c>
      <c r="O1561" s="561"/>
      <c r="P1561" s="561"/>
      <c r="Q1561" s="561"/>
      <c r="R1561" s="95" t="s">
        <v>96</v>
      </c>
      <c r="S1561" s="95" t="s">
        <v>104</v>
      </c>
      <c r="T1561" s="356" t="s">
        <v>105</v>
      </c>
      <c r="U1561" s="356" t="s">
        <v>8</v>
      </c>
      <c r="V1561" s="100" t="s">
        <v>98</v>
      </c>
      <c r="Y1561" s="383" t="s">
        <v>104</v>
      </c>
      <c r="Z1561" s="119" t="s">
        <v>9</v>
      </c>
      <c r="AA1561" s="86"/>
      <c r="AB1561" s="384"/>
      <c r="AC1561" s="385"/>
      <c r="AD1561" s="94"/>
      <c r="AE1561" s="406"/>
    </row>
    <row r="1562" spans="3:31" s="260" customFormat="1" x14ac:dyDescent="0.25">
      <c r="C1562" s="84"/>
      <c r="D1562" s="85"/>
      <c r="E1562" s="86"/>
      <c r="F1562" s="86"/>
      <c r="G1562" s="86"/>
      <c r="H1562" s="86"/>
      <c r="I1562" s="86"/>
      <c r="J1562" s="87"/>
      <c r="K1562" s="88"/>
      <c r="M1562" s="102">
        <v>752</v>
      </c>
      <c r="N1562" s="533" t="str">
        <f>IFERROR(VLOOKUP(M1562,INSUMOS!$C$8:$K$928,2,0),"-----")</f>
        <v>VALVULA DE CORTE 1 1/4"</v>
      </c>
      <c r="O1562" s="533"/>
      <c r="P1562" s="533"/>
      <c r="Q1562" s="533"/>
      <c r="R1562" s="78" t="str">
        <f>IFERROR(VLOOKUP(M1562,INSUMOS!$C$8:$K$928,6,0),"-----")</f>
        <v>und</v>
      </c>
      <c r="S1562" s="396">
        <v>1</v>
      </c>
      <c r="T1562" s="387">
        <v>0</v>
      </c>
      <c r="U1562" s="388">
        <f>IFERROR(VLOOKUP(M1562,INSUMOS!$C$8:$K$928,7,0),"0")</f>
        <v>33601</v>
      </c>
      <c r="V1562" s="389">
        <f>+IFERROR(U1562*(S1562*(1+T1562)),0)</f>
        <v>33601</v>
      </c>
      <c r="Y1562" s="393">
        <f>+IFERROR(Y1549*(S1562*(1+T1562)),0)</f>
        <v>7</v>
      </c>
      <c r="Z1562" s="391">
        <f>Y1549*V1562</f>
        <v>235207</v>
      </c>
      <c r="AA1562" s="394"/>
      <c r="AB1562" s="395">
        <f>+Y1562*U1562</f>
        <v>235207</v>
      </c>
      <c r="AC1562" s="93">
        <f>+AB1562-Z1562</f>
        <v>0</v>
      </c>
      <c r="AD1562" s="94"/>
      <c r="AE1562" s="406" t="str">
        <f>+IF(V1562=0,"CERO","NO")</f>
        <v>NO</v>
      </c>
    </row>
    <row r="1563" spans="3:31" s="260" customFormat="1" x14ac:dyDescent="0.25">
      <c r="C1563" s="84"/>
      <c r="D1563" s="85"/>
      <c r="E1563" s="86"/>
      <c r="F1563" s="86"/>
      <c r="G1563" s="86"/>
      <c r="H1563" s="86"/>
      <c r="I1563" s="86"/>
      <c r="J1563" s="87"/>
      <c r="K1563" s="88"/>
      <c r="M1563" s="102">
        <v>699</v>
      </c>
      <c r="N1563" s="533" t="str">
        <f>IFERROR(VLOOKUP(M1563,INSUMOS!$C$8:$K$928,2,0),"-----")</f>
        <v>SOLDADURA PVC LIQUIDA 1/4"</v>
      </c>
      <c r="O1563" s="533"/>
      <c r="P1563" s="533"/>
      <c r="Q1563" s="533"/>
      <c r="R1563" s="78" t="str">
        <f>IFERROR(VLOOKUP(M1563,INSUMOS!$C$8:$K$928,6,0),"-----")</f>
        <v>und</v>
      </c>
      <c r="S1563" s="396">
        <v>0.01</v>
      </c>
      <c r="T1563" s="387">
        <v>0.02</v>
      </c>
      <c r="U1563" s="388">
        <f>IFERROR(VLOOKUP(M1563,INSUMOS!$C$8:$K$928,7,0),"0")</f>
        <v>146569</v>
      </c>
      <c r="V1563" s="389">
        <f>+IFERROR(U1563*(S1563*(1+T1563)),0)</f>
        <v>1495.0038000000002</v>
      </c>
      <c r="Y1563" s="393">
        <f>+IFERROR(Y1549*(S1563*(1+T1563)),0)</f>
        <v>7.1400000000000005E-2</v>
      </c>
      <c r="Z1563" s="391">
        <f>Y1549*V1563</f>
        <v>10465.026600000001</v>
      </c>
      <c r="AA1563" s="394"/>
      <c r="AB1563" s="395">
        <f>+Y1563*U1563</f>
        <v>10465.026600000001</v>
      </c>
      <c r="AC1563" s="93">
        <f>+AB1563-Z1563</f>
        <v>0</v>
      </c>
      <c r="AD1563" s="94"/>
      <c r="AE1563" s="406" t="str">
        <f>+IF(V1563=0,"CERO","NO")</f>
        <v>NO</v>
      </c>
    </row>
    <row r="1564" spans="3:31" s="260" customFormat="1" x14ac:dyDescent="0.25">
      <c r="C1564" s="84"/>
      <c r="D1564" s="85"/>
      <c r="E1564" s="86"/>
      <c r="F1564" s="86"/>
      <c r="G1564" s="86"/>
      <c r="H1564" s="86"/>
      <c r="I1564" s="86"/>
      <c r="J1564" s="87"/>
      <c r="K1564" s="88"/>
      <c r="M1564" s="102">
        <v>700</v>
      </c>
      <c r="N1564" s="533" t="str">
        <f>IFERROR(VLOOKUP(M1564,INSUMOS!$C$8:$K$928,2,0),"-----")</f>
        <v>LIMPIADOR PVC 1/4</v>
      </c>
      <c r="O1564" s="533"/>
      <c r="P1564" s="533"/>
      <c r="Q1564" s="533"/>
      <c r="R1564" s="78" t="str">
        <f>IFERROR(VLOOKUP(M1564,INSUMOS!$C$8:$K$928,6,0),"-----")</f>
        <v>und</v>
      </c>
      <c r="S1564" s="396">
        <v>0.01</v>
      </c>
      <c r="T1564" s="387">
        <v>0.02</v>
      </c>
      <c r="U1564" s="388">
        <f>IFERROR(VLOOKUP(M1564,INSUMOS!$C$8:$K$928,7,0),"0")</f>
        <v>65913</v>
      </c>
      <c r="V1564" s="389">
        <f>+IFERROR(U1564*(S1564*(1+T1564)),0)</f>
        <v>672.31260000000009</v>
      </c>
      <c r="Y1564" s="393">
        <f>+IFERROR(Y1549*(S1564*(1+T1564)),0)</f>
        <v>7.1400000000000005E-2</v>
      </c>
      <c r="Z1564" s="391">
        <f>Y1549*V1564</f>
        <v>4706.1882000000005</v>
      </c>
      <c r="AA1564" s="394"/>
      <c r="AB1564" s="395">
        <f>+Y1564*U1564</f>
        <v>4706.1882000000005</v>
      </c>
      <c r="AC1564" s="93">
        <f>+AB1564-Z1564</f>
        <v>0</v>
      </c>
      <c r="AD1564" s="94"/>
      <c r="AE1564" s="406" t="str">
        <f>+IF(V1564=0,"CERO","NO")</f>
        <v>NO</v>
      </c>
    </row>
    <row r="1565" spans="3:31" s="260" customFormat="1" x14ac:dyDescent="0.25">
      <c r="C1565" s="84"/>
      <c r="D1565" s="85"/>
      <c r="E1565" s="86"/>
      <c r="F1565" s="86"/>
      <c r="G1565" s="86"/>
      <c r="H1565" s="86"/>
      <c r="I1565" s="86"/>
      <c r="J1565" s="87"/>
      <c r="K1565" s="88"/>
      <c r="M1565" s="102">
        <v>0</v>
      </c>
      <c r="N1565" s="533" t="str">
        <f>IFERROR(VLOOKUP(M1565,INSUMOS!$C$8:$K$928,2,0),"-----")</f>
        <v>-----</v>
      </c>
      <c r="O1565" s="533"/>
      <c r="P1565" s="533"/>
      <c r="Q1565" s="533"/>
      <c r="R1565" s="78" t="str">
        <f>IFERROR(VLOOKUP(M1565,INSUMOS!$C$8:$K$928,6,0),"-----")</f>
        <v>-----</v>
      </c>
      <c r="S1565" s="396"/>
      <c r="T1565" s="387"/>
      <c r="U1565" s="388" t="str">
        <f>IFERROR(VLOOKUP(M1565,INSUMOS!$C$8:$K$928,7,0),"0")</f>
        <v>0</v>
      </c>
      <c r="V1565" s="389">
        <f>+IFERROR(U1565*(S1565*(1+T1565)),0)</f>
        <v>0</v>
      </c>
      <c r="Y1565" s="393">
        <f>+IFERROR(Y1549*(S1565*(1+T1565)),0)</f>
        <v>0</v>
      </c>
      <c r="Z1565" s="391">
        <f>Y1549*V1565</f>
        <v>0</v>
      </c>
      <c r="AA1565" s="394"/>
      <c r="AB1565" s="395">
        <f>+Y1565*U1565</f>
        <v>0</v>
      </c>
      <c r="AC1565" s="93">
        <f>+AB1565-Z1565</f>
        <v>0</v>
      </c>
      <c r="AD1565" s="94"/>
      <c r="AE1565" s="406" t="str">
        <f>+IF(V1565=0,"CERO","NO")</f>
        <v>CERO</v>
      </c>
    </row>
    <row r="1566" spans="3:31" s="260" customFormat="1" ht="15.75" thickBot="1" x14ac:dyDescent="0.3">
      <c r="C1566" s="84"/>
      <c r="D1566" s="85"/>
      <c r="E1566" s="86"/>
      <c r="F1566" s="86"/>
      <c r="G1566" s="86"/>
      <c r="H1566" s="86"/>
      <c r="I1566" s="86"/>
      <c r="J1566" s="87"/>
      <c r="K1566" s="88"/>
      <c r="M1566" s="102">
        <v>0</v>
      </c>
      <c r="N1566" s="564"/>
      <c r="O1566" s="564"/>
      <c r="P1566" s="564"/>
      <c r="Q1566" s="564"/>
      <c r="R1566" s="96"/>
      <c r="S1566" s="79"/>
      <c r="T1566" s="97"/>
      <c r="U1566" s="358"/>
      <c r="V1566" s="397"/>
      <c r="Y1566" s="393">
        <f>+IFERROR(Y1549*(S1566*(1+T1566)),0)</f>
        <v>0</v>
      </c>
      <c r="Z1566" s="391">
        <f>Y1549*V1566</f>
        <v>0</v>
      </c>
      <c r="AA1566" s="394"/>
      <c r="AB1566" s="395">
        <f>+Y1566*U1566</f>
        <v>0</v>
      </c>
      <c r="AC1566" s="93">
        <f>+AB1566-Z1566</f>
        <v>0</v>
      </c>
      <c r="AD1566" s="94"/>
      <c r="AE1566" s="406" t="str">
        <f>+IF(V1566=0,"CERO","NO")</f>
        <v>CERO</v>
      </c>
    </row>
    <row r="1567" spans="3:31" s="260" customFormat="1" ht="15.75" thickBot="1" x14ac:dyDescent="0.3">
      <c r="C1567" s="84"/>
      <c r="D1567" s="375" t="s">
        <v>128</v>
      </c>
      <c r="E1567" s="376" t="s">
        <v>129</v>
      </c>
      <c r="F1567" s="376" t="s">
        <v>130</v>
      </c>
      <c r="G1567" s="376" t="s">
        <v>131</v>
      </c>
      <c r="H1567" s="376" t="s">
        <v>132</v>
      </c>
      <c r="I1567" s="376" t="s">
        <v>133</v>
      </c>
      <c r="J1567" s="377" t="s">
        <v>134</v>
      </c>
      <c r="K1567" s="88"/>
      <c r="M1567" s="534"/>
      <c r="N1567" s="536" t="s">
        <v>106</v>
      </c>
      <c r="O1567" s="536"/>
      <c r="P1567" s="536"/>
      <c r="Q1567" s="536"/>
      <c r="R1567" s="536"/>
      <c r="S1567" s="536"/>
      <c r="T1567" s="536"/>
      <c r="U1567" s="536"/>
      <c r="V1567" s="389">
        <f>+SUM(V1562:V1566)</f>
        <v>35768.316399999996</v>
      </c>
      <c r="Y1567" s="398" t="s">
        <v>135</v>
      </c>
      <c r="Z1567" s="397">
        <f>+SUM(Z1562:Z1566)</f>
        <v>250378.21480000002</v>
      </c>
      <c r="AA1567" s="86"/>
      <c r="AB1567" s="384"/>
      <c r="AC1567" s="385"/>
      <c r="AD1567" s="94"/>
      <c r="AE1567" s="399"/>
    </row>
    <row r="1568" spans="3:31" s="260" customFormat="1" ht="15.75" thickBot="1" x14ac:dyDescent="0.3">
      <c r="C1568" s="84"/>
      <c r="D1568" s="375"/>
      <c r="E1568" s="407">
        <f>+D1559</f>
        <v>2.2200000000000002</v>
      </c>
      <c r="F1568" s="376"/>
      <c r="G1568" s="376"/>
      <c r="H1568" s="376"/>
      <c r="I1568" s="376"/>
      <c r="J1568" s="377"/>
      <c r="K1568" s="88"/>
      <c r="M1568" s="535"/>
      <c r="N1568" s="537" t="s">
        <v>107</v>
      </c>
      <c r="O1568" s="537"/>
      <c r="P1568" s="537"/>
      <c r="Q1568" s="537"/>
      <c r="R1568" s="537"/>
      <c r="S1568" s="537"/>
      <c r="T1568" s="537"/>
      <c r="U1568" s="537"/>
      <c r="V1568" s="408">
        <f>+ROUND(V1567,$AA$5)</f>
        <v>35768.32</v>
      </c>
      <c r="Y1568" s="401" t="s">
        <v>136</v>
      </c>
      <c r="Z1568" s="402">
        <f>+ROUND(Z1567,$AA$5)</f>
        <v>250378.21</v>
      </c>
      <c r="AA1568" s="86"/>
      <c r="AB1568" s="403">
        <f>+V1568*Y1549</f>
        <v>250378.23999999999</v>
      </c>
      <c r="AC1568" s="404">
        <f>+AB1568-Z1568</f>
        <v>2.9999999998835847E-2</v>
      </c>
      <c r="AD1568" s="94"/>
      <c r="AE1568" s="405"/>
    </row>
    <row r="1569" spans="3:31" s="260" customFormat="1" x14ac:dyDescent="0.25">
      <c r="C1569" s="84"/>
      <c r="D1569" s="380"/>
      <c r="E1569" s="381"/>
      <c r="F1569" s="381"/>
      <c r="G1569" s="381"/>
      <c r="H1569" s="381"/>
      <c r="I1569" s="381"/>
      <c r="J1569" s="382"/>
      <c r="K1569" s="88"/>
      <c r="M1569" s="568" t="s">
        <v>108</v>
      </c>
      <c r="N1569" s="569"/>
      <c r="O1569" s="569"/>
      <c r="P1569" s="569"/>
      <c r="Q1569" s="569"/>
      <c r="R1569" s="569"/>
      <c r="S1569" s="569"/>
      <c r="T1569" s="569"/>
      <c r="U1569" s="569"/>
      <c r="V1569" s="570"/>
      <c r="Y1569" s="378"/>
      <c r="Z1569" s="121"/>
      <c r="AA1569" s="86"/>
      <c r="AB1569" s="409"/>
      <c r="AC1569" s="121"/>
      <c r="AD1569" s="94"/>
      <c r="AE1569" s="126"/>
    </row>
    <row r="1570" spans="3:31" s="260" customFormat="1" ht="25.5" x14ac:dyDescent="0.25">
      <c r="C1570" s="84"/>
      <c r="D1570" s="85"/>
      <c r="E1570" s="86"/>
      <c r="F1570" s="86"/>
      <c r="G1570" s="86"/>
      <c r="H1570" s="86"/>
      <c r="I1570" s="86"/>
      <c r="J1570" s="87"/>
      <c r="K1570" s="88"/>
      <c r="M1570" s="99" t="s">
        <v>94</v>
      </c>
      <c r="N1570" s="561" t="s">
        <v>95</v>
      </c>
      <c r="O1570" s="561"/>
      <c r="P1570" s="561"/>
      <c r="Q1570" s="95" t="s">
        <v>109</v>
      </c>
      <c r="R1570" s="95" t="s">
        <v>110</v>
      </c>
      <c r="S1570" s="95" t="s">
        <v>111</v>
      </c>
      <c r="T1570" s="562" t="s">
        <v>112</v>
      </c>
      <c r="U1570" s="562"/>
      <c r="V1570" s="100" t="s">
        <v>98</v>
      </c>
      <c r="Y1570" s="383" t="s">
        <v>104</v>
      </c>
      <c r="Z1570" s="119" t="s">
        <v>9</v>
      </c>
      <c r="AA1570" s="86"/>
      <c r="AB1570" s="384"/>
      <c r="AC1570" s="385"/>
      <c r="AD1570" s="94"/>
      <c r="AE1570" s="410"/>
    </row>
    <row r="1571" spans="3:31" s="260" customFormat="1" x14ac:dyDescent="0.25">
      <c r="C1571" s="84"/>
      <c r="D1571" s="85"/>
      <c r="E1571" s="86"/>
      <c r="F1571" s="86"/>
      <c r="G1571" s="86"/>
      <c r="H1571" s="86"/>
      <c r="I1571" s="86"/>
      <c r="J1571" s="87"/>
      <c r="K1571" s="88"/>
      <c r="M1571" s="102">
        <v>129</v>
      </c>
      <c r="N1571" s="530" t="str">
        <f>IFERROR(VLOOKUP(M1571,INSUMOS!$C$8:$K$928,2,0),"-----")</f>
        <v>transporte materiales en general</v>
      </c>
      <c r="O1571" s="531"/>
      <c r="P1571" s="532"/>
      <c r="Q1571" s="78" t="str">
        <f>IFERROR(VLOOKUP(M1571,INSUMOS!$C$8:$K$928,5,0),"-----")</f>
        <v>Km</v>
      </c>
      <c r="R1571" s="80">
        <v>1</v>
      </c>
      <c r="S1571" s="80">
        <f>IFERROR(VLOOKUP(M1571,INSUMOS!$C$8:$K$928,6,0),"0")</f>
        <v>348</v>
      </c>
      <c r="T1571" s="529">
        <f>IFERROR(VLOOKUP(M1571,INSUMOS!$C$8:$K$928,7,0),"0")</f>
        <v>0.99776362060288992</v>
      </c>
      <c r="U1571" s="529"/>
      <c r="V1571" s="82">
        <f>+T1571*S1571*R1571</f>
        <v>347.2217399698057</v>
      </c>
      <c r="Y1571" s="393">
        <f>+IFERROR((R1571*S1571)*Y1549,0)</f>
        <v>2436</v>
      </c>
      <c r="Z1571" s="391">
        <f>Y1549*V1571</f>
        <v>2430.5521797886399</v>
      </c>
      <c r="AA1571" s="86"/>
      <c r="AB1571" s="92">
        <f>+Y1571*T1571</f>
        <v>2430.5521797886399</v>
      </c>
      <c r="AC1571" s="93">
        <f>+AB1571-Z1571</f>
        <v>0</v>
      </c>
      <c r="AD1571" s="94"/>
      <c r="AE1571" s="406" t="str">
        <f>+IF(V1571=0,"CERO","NO")</f>
        <v>NO</v>
      </c>
    </row>
    <row r="1572" spans="3:31" s="260" customFormat="1" x14ac:dyDescent="0.25">
      <c r="C1572" s="84"/>
      <c r="D1572" s="85"/>
      <c r="E1572" s="86"/>
      <c r="F1572" s="86"/>
      <c r="G1572" s="86"/>
      <c r="H1572" s="86"/>
      <c r="I1572" s="86"/>
      <c r="J1572" s="87"/>
      <c r="K1572" s="88"/>
      <c r="M1572" s="102">
        <v>0</v>
      </c>
      <c r="N1572" s="530" t="str">
        <f>IFERROR(VLOOKUP(M1572,INSUMOS!$C$8:$K$928,2,0),"-----")</f>
        <v>-----</v>
      </c>
      <c r="O1572" s="531"/>
      <c r="P1572" s="532"/>
      <c r="Q1572" s="78" t="str">
        <f>IFERROR(VLOOKUP(M1572,INSUMOS!$C$8:$K$928,5,0),"-----")</f>
        <v>-----</v>
      </c>
      <c r="R1572" s="80"/>
      <c r="S1572" s="80" t="str">
        <f>IFERROR(VLOOKUP(M1572,INSUMOS!$C$8:$K$928,6,0),"0")</f>
        <v>0</v>
      </c>
      <c r="T1572" s="529" t="str">
        <f>IFERROR(VLOOKUP(M1572,INSUMOS!$C$8:$K$928,7,0),"0")</f>
        <v>0</v>
      </c>
      <c r="U1572" s="529"/>
      <c r="V1572" s="82">
        <f>+T1572*S1572*R1572</f>
        <v>0</v>
      </c>
      <c r="Y1572" s="393">
        <f>+IFERROR((R1572*S1572)*Y1549,0)</f>
        <v>0</v>
      </c>
      <c r="Z1572" s="391">
        <f>Y1549*V1572</f>
        <v>0</v>
      </c>
      <c r="AA1572" s="86"/>
      <c r="AB1572" s="92">
        <f>+Y1572*T1572</f>
        <v>0</v>
      </c>
      <c r="AC1572" s="93">
        <f>+AB1572-Z1572</f>
        <v>0</v>
      </c>
      <c r="AD1572" s="94"/>
      <c r="AE1572" s="406" t="str">
        <f>+IF(V1572=0,"CERO","NO")</f>
        <v>CERO</v>
      </c>
    </row>
    <row r="1573" spans="3:31" s="260" customFormat="1" x14ac:dyDescent="0.25">
      <c r="C1573" s="84"/>
      <c r="D1573" s="85"/>
      <c r="E1573" s="86"/>
      <c r="F1573" s="86"/>
      <c r="G1573" s="86"/>
      <c r="H1573" s="86"/>
      <c r="I1573" s="86"/>
      <c r="J1573" s="87"/>
      <c r="K1573" s="88"/>
      <c r="M1573" s="102">
        <v>0</v>
      </c>
      <c r="N1573" s="530" t="str">
        <f>IFERROR(VLOOKUP(M1573,INSUMOS!$C$8:$K$928,2,0),"-----")</f>
        <v>-----</v>
      </c>
      <c r="O1573" s="531"/>
      <c r="P1573" s="532"/>
      <c r="Q1573" s="78" t="str">
        <f>IFERROR(VLOOKUP(M1573,INSUMOS!$C$8:$K$928,5,0),"-----")</f>
        <v>-----</v>
      </c>
      <c r="R1573" s="80"/>
      <c r="S1573" s="80" t="str">
        <f>IFERROR(VLOOKUP(M1573,INSUMOS!$C$8:$K$928,6,0),"0")</f>
        <v>0</v>
      </c>
      <c r="T1573" s="529" t="str">
        <f>IFERROR(VLOOKUP(M1573,INSUMOS!$C$8:$K$928,7,0),"0")</f>
        <v>0</v>
      </c>
      <c r="U1573" s="529"/>
      <c r="V1573" s="82">
        <f>+T1573*S1573*R1573</f>
        <v>0</v>
      </c>
      <c r="Y1573" s="393">
        <f>+IFERROR((R1573*S1573)*Y1549,0)</f>
        <v>0</v>
      </c>
      <c r="Z1573" s="391">
        <f>Y1549*V1573</f>
        <v>0</v>
      </c>
      <c r="AA1573" s="86"/>
      <c r="AB1573" s="92">
        <f>+Y1573*T1573</f>
        <v>0</v>
      </c>
      <c r="AC1573" s="93">
        <f>+AB1573-Z1573</f>
        <v>0</v>
      </c>
      <c r="AD1573" s="94"/>
      <c r="AE1573" s="406" t="str">
        <f>+IF(V1573=0,"CERO","NO")</f>
        <v>CERO</v>
      </c>
    </row>
    <row r="1574" spans="3:31" s="260" customFormat="1" ht="15.75" thickBot="1" x14ac:dyDescent="0.3">
      <c r="C1574" s="84"/>
      <c r="D1574" s="89"/>
      <c r="E1574" s="90"/>
      <c r="F1574" s="90"/>
      <c r="G1574" s="90"/>
      <c r="H1574" s="90"/>
      <c r="I1574" s="90"/>
      <c r="J1574" s="91"/>
      <c r="K1574" s="88"/>
      <c r="M1574" s="102">
        <v>0</v>
      </c>
      <c r="N1574" s="533"/>
      <c r="O1574" s="533"/>
      <c r="P1574" s="533"/>
      <c r="Q1574" s="79"/>
      <c r="R1574" s="78"/>
      <c r="S1574" s="81"/>
      <c r="T1574" s="529"/>
      <c r="U1574" s="529"/>
      <c r="V1574" s="82"/>
      <c r="Y1574" s="393">
        <f>+IFERROR((R1574*S1574)*Y1549,0)</f>
        <v>0</v>
      </c>
      <c r="Z1574" s="391">
        <f>Y1549*V1574</f>
        <v>0</v>
      </c>
      <c r="AA1574" s="86"/>
      <c r="AB1574" s="92">
        <f>+Y1574*T1574</f>
        <v>0</v>
      </c>
      <c r="AC1574" s="93">
        <f>+AB1574-Z1574</f>
        <v>0</v>
      </c>
      <c r="AD1574" s="94"/>
      <c r="AE1574" s="406" t="str">
        <f>+IF(V1574=0,"CERO","NO")</f>
        <v>CERO</v>
      </c>
    </row>
    <row r="1575" spans="3:31" s="260" customFormat="1" ht="15.75" thickBot="1" x14ac:dyDescent="0.3">
      <c r="C1575" s="84"/>
      <c r="D1575" s="375" t="s">
        <v>128</v>
      </c>
      <c r="E1575" s="376" t="s">
        <v>129</v>
      </c>
      <c r="F1575" s="376" t="s">
        <v>130</v>
      </c>
      <c r="G1575" s="376" t="s">
        <v>131</v>
      </c>
      <c r="H1575" s="376" t="s">
        <v>132</v>
      </c>
      <c r="I1575" s="376" t="s">
        <v>133</v>
      </c>
      <c r="J1575" s="377" t="s">
        <v>134</v>
      </c>
      <c r="K1575" s="88"/>
      <c r="M1575" s="534"/>
      <c r="N1575" s="536" t="s">
        <v>113</v>
      </c>
      <c r="O1575" s="536"/>
      <c r="P1575" s="536"/>
      <c r="Q1575" s="536"/>
      <c r="R1575" s="536"/>
      <c r="S1575" s="536"/>
      <c r="T1575" s="536"/>
      <c r="U1575" s="536"/>
      <c r="V1575" s="411">
        <f>+SUM(V1571:V1574)</f>
        <v>347.2217399698057</v>
      </c>
      <c r="Y1575" s="398" t="s">
        <v>135</v>
      </c>
      <c r="Z1575" s="397">
        <f>+SUM(Z1571:Z1574)</f>
        <v>2430.5521797886399</v>
      </c>
      <c r="AA1575" s="86"/>
      <c r="AB1575" s="384"/>
      <c r="AC1575" s="385"/>
      <c r="AD1575" s="94"/>
      <c r="AE1575" s="399"/>
    </row>
    <row r="1576" spans="3:31" s="260" customFormat="1" ht="15.75" thickBot="1" x14ac:dyDescent="0.3">
      <c r="C1576" s="84"/>
      <c r="D1576" s="355"/>
      <c r="E1576" s="367"/>
      <c r="F1576" s="412">
        <f>+E1568</f>
        <v>2.2200000000000002</v>
      </c>
      <c r="G1576" s="367"/>
      <c r="H1576" s="367"/>
      <c r="I1576" s="367"/>
      <c r="J1576" s="368"/>
      <c r="K1576" s="88"/>
      <c r="M1576" s="535"/>
      <c r="N1576" s="537" t="s">
        <v>114</v>
      </c>
      <c r="O1576" s="537"/>
      <c r="P1576" s="537"/>
      <c r="Q1576" s="537"/>
      <c r="R1576" s="537"/>
      <c r="S1576" s="537"/>
      <c r="T1576" s="537"/>
      <c r="U1576" s="537"/>
      <c r="V1576" s="413">
        <f>+ROUND(V1575,$AA$5)</f>
        <v>347.22</v>
      </c>
      <c r="Y1576" s="401" t="s">
        <v>136</v>
      </c>
      <c r="Z1576" s="402">
        <f>+ROUND(Z1575,$AA$5)</f>
        <v>2430.5500000000002</v>
      </c>
      <c r="AA1576" s="86"/>
      <c r="AB1576" s="403">
        <f>+V1576*Y1549</f>
        <v>2430.54</v>
      </c>
      <c r="AC1576" s="414"/>
      <c r="AD1576" s="94"/>
      <c r="AE1576" s="405"/>
    </row>
    <row r="1577" spans="3:31" s="260" customFormat="1" ht="15.75" thickBot="1" x14ac:dyDescent="0.3">
      <c r="C1577" s="84"/>
      <c r="D1577" s="415"/>
      <c r="E1577" s="416"/>
      <c r="F1577" s="416"/>
      <c r="G1577" s="416"/>
      <c r="H1577" s="416"/>
      <c r="I1577" s="416"/>
      <c r="J1577" s="417"/>
      <c r="K1577" s="88"/>
      <c r="M1577" s="538" t="s">
        <v>115</v>
      </c>
      <c r="N1577" s="539"/>
      <c r="O1577" s="539"/>
      <c r="P1577" s="539"/>
      <c r="Q1577" s="539"/>
      <c r="R1577" s="539"/>
      <c r="S1577" s="539"/>
      <c r="T1577" s="539"/>
      <c r="U1577" s="539"/>
      <c r="V1577" s="540"/>
      <c r="Y1577" s="378"/>
      <c r="Z1577" s="121"/>
      <c r="AA1577" s="86"/>
      <c r="AB1577" s="409"/>
      <c r="AC1577" s="121"/>
      <c r="AD1577" s="94"/>
      <c r="AE1577" s="126"/>
    </row>
    <row r="1578" spans="3:31" s="260" customFormat="1" ht="15.75" thickBot="1" x14ac:dyDescent="0.3">
      <c r="C1578" s="84"/>
      <c r="D1578" s="375" t="s">
        <v>128</v>
      </c>
      <c r="E1578" s="376" t="s">
        <v>129</v>
      </c>
      <c r="F1578" s="376" t="s">
        <v>130</v>
      </c>
      <c r="G1578" s="376" t="s">
        <v>131</v>
      </c>
      <c r="H1578" s="376" t="s">
        <v>132</v>
      </c>
      <c r="I1578" s="376" t="s">
        <v>133</v>
      </c>
      <c r="J1578" s="377" t="s">
        <v>134</v>
      </c>
      <c r="K1578" s="88"/>
      <c r="M1578" s="99" t="s">
        <v>94</v>
      </c>
      <c r="N1578" s="98" t="s">
        <v>95</v>
      </c>
      <c r="O1578" s="95" t="s">
        <v>96</v>
      </c>
      <c r="P1578" s="359" t="s">
        <v>104</v>
      </c>
      <c r="Q1578" s="95" t="s">
        <v>116</v>
      </c>
      <c r="R1578" s="418" t="s">
        <v>117</v>
      </c>
      <c r="S1578" s="95" t="s">
        <v>347</v>
      </c>
      <c r="T1578" s="419" t="s">
        <v>118</v>
      </c>
      <c r="U1578" s="189" t="s">
        <v>119</v>
      </c>
      <c r="V1578" s="100" t="s">
        <v>98</v>
      </c>
      <c r="Y1578" s="383" t="s">
        <v>104</v>
      </c>
      <c r="Z1578" s="119" t="s">
        <v>9</v>
      </c>
      <c r="AA1578" s="86"/>
      <c r="AB1578" s="384"/>
      <c r="AC1578" s="385"/>
      <c r="AD1578" s="94"/>
      <c r="AE1578" s="410"/>
    </row>
    <row r="1579" spans="3:31" s="260" customFormat="1" ht="25.5" x14ac:dyDescent="0.25">
      <c r="C1579" s="84"/>
      <c r="D1579" s="354"/>
      <c r="E1579" s="96"/>
      <c r="F1579" s="96"/>
      <c r="G1579" s="96"/>
      <c r="H1579" s="96"/>
      <c r="I1579" s="96"/>
      <c r="J1579" s="420">
        <f>+F1576</f>
        <v>2.2200000000000002</v>
      </c>
      <c r="K1579" s="88"/>
      <c r="M1579" s="102">
        <v>207</v>
      </c>
      <c r="N1579" s="347" t="str">
        <f>IFERROR(VLOOKUP(M1579,INSUMOS!$C$8:$K$928,2,0),"-----")</f>
        <v>Oficial Hidrosanitario</v>
      </c>
      <c r="O1579" s="78" t="str">
        <f>IFERROR(VLOOKUP(M1579,INSUMOS!$C$8:$K$928,3,0),"-----")</f>
        <v>JORNAL+PS</v>
      </c>
      <c r="P1579" s="80">
        <v>1</v>
      </c>
      <c r="Q1579" s="79">
        <v>25</v>
      </c>
      <c r="R1579" s="190">
        <f>IFERROR(VLOOKUP(M1579,INSUMOS!$C$8:$K$928,4,0),"-----")</f>
        <v>92983</v>
      </c>
      <c r="S1579" s="190">
        <f>IFERROR(VLOOKUP(M1579,INSUMOS!$C$8:$K$928,6,0),"-----")</f>
        <v>74386</v>
      </c>
      <c r="T1579" s="190">
        <f>IFERROR(VLOOKUP(M1579,INSUMOS!$C$8:$K$928,5,0),"-----")</f>
        <v>0</v>
      </c>
      <c r="U1579" s="388">
        <f>SUM(R1579:T1579)</f>
        <v>167369</v>
      </c>
      <c r="V1579" s="82">
        <f>+IFERROR((P1579/Q1579)*U1579,0)</f>
        <v>6694.76</v>
      </c>
      <c r="Y1579" s="393">
        <f>+IFERROR((Y1549/Q1579*P1579),0)</f>
        <v>0.28000000000000003</v>
      </c>
      <c r="Z1579" s="391">
        <f>Y1549*V1579</f>
        <v>46863.32</v>
      </c>
      <c r="AA1579" s="86"/>
      <c r="AB1579" s="92">
        <f>+(U1579)*Y1579</f>
        <v>46863.320000000007</v>
      </c>
      <c r="AC1579" s="93">
        <f>+AB1579-Z1579</f>
        <v>0</v>
      </c>
      <c r="AD1579" s="421"/>
      <c r="AE1579" s="410" t="str">
        <f>+IF(V1579=0,"CERO","NO")</f>
        <v>NO</v>
      </c>
    </row>
    <row r="1580" spans="3:31" s="260" customFormat="1" ht="15.75" thickBot="1" x14ac:dyDescent="0.3">
      <c r="C1580" s="84"/>
      <c r="D1580" s="355"/>
      <c r="E1580" s="367"/>
      <c r="F1580" s="367"/>
      <c r="G1580" s="367"/>
      <c r="H1580" s="367"/>
      <c r="I1580" s="367"/>
      <c r="J1580" s="422">
        <f>+J1579</f>
        <v>2.2200000000000002</v>
      </c>
      <c r="K1580" s="88"/>
      <c r="M1580" s="102"/>
      <c r="N1580" s="347" t="str">
        <f>IFERROR(VLOOKUP(M1580,INSUMOS!$C$8:$K$928,2,0),"-----")</f>
        <v>-----</v>
      </c>
      <c r="O1580" s="78" t="str">
        <f>IFERROR(VLOOKUP(M1580,INSUMOS!$C$8:$K$928,3,0),"-----")</f>
        <v>-----</v>
      </c>
      <c r="P1580" s="80"/>
      <c r="Q1580" s="79"/>
      <c r="R1580" s="190" t="str">
        <f>IFERROR(VLOOKUP(M1580,INSUMOS!$C$8:$K$928,4,0),"-----")</f>
        <v>-----</v>
      </c>
      <c r="S1580" s="190" t="str">
        <f>IFERROR(VLOOKUP(M1580,INSUMOS!$C$8:$K$928,6,0),"-----")</f>
        <v>-----</v>
      </c>
      <c r="T1580" s="190" t="str">
        <f>IFERROR(VLOOKUP(M1580,INSUMOS!$C$8:$K$928,5,0),"-----")</f>
        <v>-----</v>
      </c>
      <c r="U1580" s="388">
        <f>SUM(R1580:T1580)</f>
        <v>0</v>
      </c>
      <c r="V1580" s="82">
        <f>+IFERROR((P1580/Q1580)*U1580,0)</f>
        <v>0</v>
      </c>
      <c r="Y1580" s="393">
        <f>+IFERROR((Y1549/Q1580*P1580),0)</f>
        <v>0</v>
      </c>
      <c r="Z1580" s="391">
        <f>Y1549*V1580</f>
        <v>0</v>
      </c>
      <c r="AA1580" s="86"/>
      <c r="AB1580" s="92">
        <f>+U1580*Y1580</f>
        <v>0</v>
      </c>
      <c r="AC1580" s="93">
        <f>+AB1580-Z1580</f>
        <v>0</v>
      </c>
      <c r="AD1580" s="94"/>
      <c r="AE1580" s="410" t="str">
        <f>+IF(V1580=0,"CERO","NO")</f>
        <v>CERO</v>
      </c>
    </row>
    <row r="1581" spans="3:31" s="260" customFormat="1" ht="15.75" thickBot="1" x14ac:dyDescent="0.3">
      <c r="C1581" s="84"/>
      <c r="D1581" s="380"/>
      <c r="E1581" s="381"/>
      <c r="F1581" s="381"/>
      <c r="G1581" s="381"/>
      <c r="H1581" s="381"/>
      <c r="I1581" s="381"/>
      <c r="J1581" s="382"/>
      <c r="K1581" s="88"/>
      <c r="M1581" s="102">
        <v>0</v>
      </c>
      <c r="N1581" s="347"/>
      <c r="O1581" s="79"/>
      <c r="P1581" s="423"/>
      <c r="Q1581" s="81"/>
      <c r="R1581" s="111"/>
      <c r="S1581" s="357"/>
      <c r="T1581" s="111"/>
      <c r="U1581" s="388"/>
      <c r="V1581" s="426"/>
      <c r="Y1581" s="393">
        <f>+IFERROR((Y1549/Q1581*P1581),0)</f>
        <v>0</v>
      </c>
      <c r="Z1581" s="391">
        <f>Y1549*V1581</f>
        <v>0</v>
      </c>
      <c r="AA1581" s="86"/>
      <c r="AB1581" s="92">
        <f>+(U1581)*Y1581*P1581</f>
        <v>0</v>
      </c>
      <c r="AC1581" s="93">
        <f>+AB1581-Z1581</f>
        <v>0</v>
      </c>
      <c r="AD1581" s="94"/>
      <c r="AE1581" s="410" t="str">
        <f>+IF(V1581=0,"CERO","NO")</f>
        <v>CERO</v>
      </c>
    </row>
    <row r="1582" spans="3:31" s="260" customFormat="1" ht="15.75" thickBot="1" x14ac:dyDescent="0.3">
      <c r="C1582" s="84"/>
      <c r="D1582" s="375" t="s">
        <v>128</v>
      </c>
      <c r="E1582" s="376" t="s">
        <v>129</v>
      </c>
      <c r="F1582" s="376" t="s">
        <v>130</v>
      </c>
      <c r="G1582" s="376" t="s">
        <v>131</v>
      </c>
      <c r="H1582" s="376" t="s">
        <v>132</v>
      </c>
      <c r="I1582" s="376" t="s">
        <v>133</v>
      </c>
      <c r="J1582" s="377" t="s">
        <v>134</v>
      </c>
      <c r="K1582" s="88"/>
      <c r="M1582" s="534"/>
      <c r="N1582" s="536" t="s">
        <v>120</v>
      </c>
      <c r="O1582" s="536"/>
      <c r="P1582" s="536"/>
      <c r="Q1582" s="536"/>
      <c r="R1582" s="536"/>
      <c r="S1582" s="536"/>
      <c r="T1582" s="536"/>
      <c r="U1582" s="536"/>
      <c r="V1582" s="82">
        <f>+SUM(V1579:V1581)</f>
        <v>6694.76</v>
      </c>
      <c r="Y1582" s="398" t="s">
        <v>135</v>
      </c>
      <c r="Z1582" s="397">
        <f>+SUM(Z1579:Z1581)</f>
        <v>46863.32</v>
      </c>
      <c r="AA1582" s="86"/>
      <c r="AB1582" s="384"/>
      <c r="AC1582" s="385"/>
      <c r="AD1582" s="94"/>
      <c r="AE1582" s="399"/>
    </row>
    <row r="1583" spans="3:31" s="260" customFormat="1" ht="15.75" thickBot="1" x14ac:dyDescent="0.3">
      <c r="C1583" s="84"/>
      <c r="D1583" s="354"/>
      <c r="E1583" s="96"/>
      <c r="F1583" s="96"/>
      <c r="G1583" s="107">
        <f>+F1576</f>
        <v>2.2200000000000002</v>
      </c>
      <c r="H1583" s="96"/>
      <c r="I1583" s="96"/>
      <c r="J1583" s="427"/>
      <c r="K1583" s="88"/>
      <c r="M1583" s="535"/>
      <c r="N1583" s="537" t="s">
        <v>121</v>
      </c>
      <c r="O1583" s="537"/>
      <c r="P1583" s="537"/>
      <c r="Q1583" s="537"/>
      <c r="R1583" s="537"/>
      <c r="S1583" s="537"/>
      <c r="T1583" s="537"/>
      <c r="U1583" s="537"/>
      <c r="V1583" s="413">
        <f>+ROUND(V1582,$AA$5)</f>
        <v>6694.76</v>
      </c>
      <c r="Y1583" s="401" t="s">
        <v>136</v>
      </c>
      <c r="Z1583" s="402">
        <f>+ROUND(Z1582,$AA$5)</f>
        <v>46863.32</v>
      </c>
      <c r="AA1583" s="86"/>
      <c r="AB1583" s="403">
        <f>+V1583*Y1549</f>
        <v>46863.32</v>
      </c>
      <c r="AC1583" s="404">
        <f>+AB1583-Z1583</f>
        <v>0</v>
      </c>
      <c r="AD1583" s="94"/>
      <c r="AE1583" s="405"/>
    </row>
    <row r="1584" spans="3:31" s="260" customFormat="1" ht="15.75" thickBot="1" x14ac:dyDescent="0.3">
      <c r="C1584" s="84"/>
      <c r="D1584" s="375" t="s">
        <v>128</v>
      </c>
      <c r="E1584" s="376" t="s">
        <v>129</v>
      </c>
      <c r="F1584" s="376" t="s">
        <v>130</v>
      </c>
      <c r="G1584" s="376" t="s">
        <v>131</v>
      </c>
      <c r="H1584" s="376" t="s">
        <v>132</v>
      </c>
      <c r="I1584" s="376" t="s">
        <v>133</v>
      </c>
      <c r="J1584" s="377" t="s">
        <v>134</v>
      </c>
      <c r="K1584" s="88"/>
      <c r="M1584" s="541"/>
      <c r="N1584" s="542"/>
      <c r="O1584" s="542"/>
      <c r="P1584" s="542"/>
      <c r="Q1584" s="542"/>
      <c r="R1584" s="542"/>
      <c r="S1584" s="542"/>
      <c r="T1584" s="542"/>
      <c r="U1584" s="542"/>
      <c r="V1584" s="543"/>
      <c r="Y1584" s="378"/>
      <c r="Z1584" s="121"/>
      <c r="AA1584" s="86"/>
      <c r="AB1584" s="409"/>
      <c r="AC1584" s="121"/>
      <c r="AD1584" s="94"/>
      <c r="AE1584" s="428"/>
    </row>
    <row r="1585" spans="3:31" s="260" customFormat="1" ht="15.75" thickBot="1" x14ac:dyDescent="0.3">
      <c r="C1585" s="84"/>
      <c r="D1585" s="355"/>
      <c r="E1585" s="367"/>
      <c r="F1585" s="367"/>
      <c r="G1585" s="367"/>
      <c r="H1585" s="412">
        <f>G1583</f>
        <v>2.2200000000000002</v>
      </c>
      <c r="I1585" s="412"/>
      <c r="J1585" s="422"/>
      <c r="K1585" s="88"/>
      <c r="M1585" s="544" t="s">
        <v>122</v>
      </c>
      <c r="N1585" s="537"/>
      <c r="O1585" s="537"/>
      <c r="P1585" s="537"/>
      <c r="Q1585" s="537"/>
      <c r="R1585" s="537"/>
      <c r="S1585" s="537"/>
      <c r="T1585" s="537"/>
      <c r="U1585" s="545">
        <f>+V1583+V1576+V1568+V1559</f>
        <v>43145.04</v>
      </c>
      <c r="V1585" s="546"/>
      <c r="Y1585" s="429"/>
      <c r="Z1585" s="430">
        <f>+Z1583+Z1576+Z1568+Z1559</f>
        <v>302015.25</v>
      </c>
      <c r="AA1585" s="86"/>
      <c r="AB1585" s="431">
        <f>+AB1583+AB1576+AB1568+AB1559</f>
        <v>302015.27999999997</v>
      </c>
      <c r="AC1585" s="404">
        <f>+AB1585-Z1585</f>
        <v>2.9999999969732016E-2</v>
      </c>
      <c r="AD1585" s="94"/>
      <c r="AE1585" s="432"/>
    </row>
    <row r="1586" spans="3:31" s="260" customFormat="1" ht="15.75" thickBot="1" x14ac:dyDescent="0.3"/>
    <row r="1587" spans="3:31" s="260" customFormat="1" x14ac:dyDescent="0.25">
      <c r="M1587" s="547" t="s">
        <v>348</v>
      </c>
      <c r="N1587" s="548"/>
      <c r="O1587" s="548"/>
      <c r="P1587" s="548"/>
      <c r="Q1587" s="548"/>
      <c r="R1587" s="548"/>
      <c r="S1587" s="548"/>
      <c r="T1587" s="548"/>
      <c r="U1587" s="548"/>
      <c r="V1587" s="549"/>
      <c r="Y1587" s="378"/>
      <c r="Z1587" s="121"/>
      <c r="AA1587" s="86"/>
      <c r="AB1587" s="94"/>
      <c r="AC1587" s="94"/>
      <c r="AD1587" s="94"/>
      <c r="AE1587" s="126" t="s">
        <v>133</v>
      </c>
    </row>
    <row r="1588" spans="3:31" s="260" customFormat="1" x14ac:dyDescent="0.25">
      <c r="M1588" s="515" t="s">
        <v>138</v>
      </c>
      <c r="N1588" s="516"/>
      <c r="O1588" s="516"/>
      <c r="P1588" s="516"/>
      <c r="Q1588" s="516"/>
      <c r="R1588" s="516"/>
      <c r="S1588" s="516"/>
      <c r="T1588" s="437">
        <v>0</v>
      </c>
      <c r="U1588" s="517">
        <f>+ROUND(U1585*T1588,$AA$5)</f>
        <v>0</v>
      </c>
      <c r="V1588" s="518"/>
      <c r="Y1588" s="390"/>
      <c r="Z1588" s="438">
        <f>+Z1585*T1588</f>
        <v>0</v>
      </c>
      <c r="AA1588" s="86"/>
      <c r="AB1588" s="94"/>
      <c r="AC1588" s="94"/>
      <c r="AD1588" s="94"/>
      <c r="AE1588" s="386" t="s">
        <v>133</v>
      </c>
    </row>
    <row r="1589" spans="3:31" s="260" customFormat="1" x14ac:dyDescent="0.25">
      <c r="M1589" s="515" t="s">
        <v>19</v>
      </c>
      <c r="N1589" s="516"/>
      <c r="O1589" s="516"/>
      <c r="P1589" s="516"/>
      <c r="Q1589" s="516"/>
      <c r="R1589" s="516"/>
      <c r="S1589" s="516"/>
      <c r="T1589" s="437">
        <v>0.05</v>
      </c>
      <c r="U1589" s="517">
        <f>+ROUND(U1585*T1589,$AA$5)</f>
        <v>2157.25</v>
      </c>
      <c r="V1589" s="518"/>
      <c r="Y1589" s="390"/>
      <c r="Z1589" s="438">
        <f>+Z1585*T1589</f>
        <v>15100.762500000001</v>
      </c>
      <c r="AA1589" s="86"/>
      <c r="AB1589" s="94"/>
      <c r="AC1589" s="94"/>
      <c r="AD1589" s="94"/>
      <c r="AE1589" s="386" t="s">
        <v>133</v>
      </c>
    </row>
    <row r="1590" spans="3:31" s="260" customFormat="1" x14ac:dyDescent="0.25">
      <c r="M1590" s="515" t="s">
        <v>20</v>
      </c>
      <c r="N1590" s="516"/>
      <c r="O1590" s="516"/>
      <c r="P1590" s="516"/>
      <c r="Q1590" s="516"/>
      <c r="R1590" s="516"/>
      <c r="S1590" s="516"/>
      <c r="T1590" s="437">
        <v>0</v>
      </c>
      <c r="U1590" s="517">
        <f>+ROUND(U1585*T1590,$AA$5)</f>
        <v>0</v>
      </c>
      <c r="V1590" s="518"/>
      <c r="Y1590" s="390"/>
      <c r="Z1590" s="438">
        <f>+Z1585*T1590</f>
        <v>0</v>
      </c>
      <c r="AA1590" s="86"/>
      <c r="AB1590" s="94"/>
      <c r="AC1590" s="94"/>
      <c r="AD1590" s="94"/>
      <c r="AE1590" s="386" t="s">
        <v>133</v>
      </c>
    </row>
    <row r="1591" spans="3:31" s="260" customFormat="1" x14ac:dyDescent="0.25">
      <c r="M1591" s="515" t="s">
        <v>21</v>
      </c>
      <c r="N1591" s="516"/>
      <c r="O1591" s="516"/>
      <c r="P1591" s="516"/>
      <c r="Q1591" s="516"/>
      <c r="R1591" s="516"/>
      <c r="S1591" s="516"/>
      <c r="T1591" s="437">
        <f>$AA$9</f>
        <v>0</v>
      </c>
      <c r="U1591" s="517">
        <f>+ROUND(U1585*T1591,$AA$5)</f>
        <v>0</v>
      </c>
      <c r="V1591" s="518"/>
      <c r="Y1591" s="390"/>
      <c r="Z1591" s="438">
        <f>+Z1590*T1591</f>
        <v>0</v>
      </c>
      <c r="AA1591" s="86"/>
      <c r="AB1591" s="94"/>
      <c r="AC1591" s="94"/>
      <c r="AD1591" s="94"/>
      <c r="AE1591" s="386" t="s">
        <v>133</v>
      </c>
    </row>
    <row r="1592" spans="3:31" s="260" customFormat="1" ht="15.75" thickBot="1" x14ac:dyDescent="0.3">
      <c r="M1592" s="519" t="s">
        <v>349</v>
      </c>
      <c r="N1592" s="520"/>
      <c r="O1592" s="520"/>
      <c r="P1592" s="520"/>
      <c r="Q1592" s="520"/>
      <c r="R1592" s="520"/>
      <c r="S1592" s="520"/>
      <c r="T1592" s="520"/>
      <c r="U1592" s="521">
        <f>+SUM(U1588:V1591)</f>
        <v>2157.25</v>
      </c>
      <c r="V1592" s="522"/>
      <c r="Y1592" s="390"/>
      <c r="Z1592" s="439">
        <f>+SUM(Z1588:Z1591)</f>
        <v>15100.762500000001</v>
      </c>
      <c r="AA1592" s="86"/>
      <c r="AB1592" s="94"/>
      <c r="AC1592" s="94"/>
      <c r="AD1592" s="94"/>
      <c r="AE1592" s="386" t="s">
        <v>133</v>
      </c>
    </row>
    <row r="1593" spans="3:31" s="260" customFormat="1" ht="15.75" thickBot="1" x14ac:dyDescent="0.3">
      <c r="D1593" s="375" t="s">
        <v>128</v>
      </c>
      <c r="E1593" s="376" t="s">
        <v>129</v>
      </c>
      <c r="F1593" s="376" t="s">
        <v>130</v>
      </c>
      <c r="G1593" s="376" t="s">
        <v>131</v>
      </c>
      <c r="H1593" s="376" t="s">
        <v>132</v>
      </c>
      <c r="I1593" s="376" t="s">
        <v>133</v>
      </c>
      <c r="J1593" s="377" t="s">
        <v>134</v>
      </c>
      <c r="M1593" s="86"/>
      <c r="N1593" s="94"/>
      <c r="O1593" s="94"/>
      <c r="P1593" s="94"/>
      <c r="Q1593" s="86"/>
      <c r="R1593" s="86"/>
      <c r="S1593" s="86"/>
      <c r="T1593" s="440"/>
      <c r="U1593" s="523"/>
      <c r="V1593" s="523"/>
      <c r="Y1593" s="390"/>
      <c r="Z1593" s="385"/>
      <c r="AA1593" s="86"/>
      <c r="AB1593" s="94"/>
      <c r="AC1593" s="94"/>
      <c r="AD1593" s="94"/>
      <c r="AE1593" s="386" t="s">
        <v>133</v>
      </c>
    </row>
    <row r="1594" spans="3:31" s="260" customFormat="1" ht="15.75" thickBot="1" x14ac:dyDescent="0.3">
      <c r="D1594" s="355"/>
      <c r="E1594" s="367"/>
      <c r="F1594" s="367"/>
      <c r="G1594" s="367"/>
      <c r="H1594" s="412"/>
      <c r="I1594" s="412">
        <f>H1585</f>
        <v>2.2200000000000002</v>
      </c>
      <c r="J1594" s="422"/>
      <c r="M1594" s="524" t="s">
        <v>11</v>
      </c>
      <c r="N1594" s="525"/>
      <c r="O1594" s="525"/>
      <c r="P1594" s="525"/>
      <c r="Q1594" s="525"/>
      <c r="R1594" s="525"/>
      <c r="S1594" s="525"/>
      <c r="T1594" s="526"/>
      <c r="U1594" s="527">
        <f>+U1592+U1585</f>
        <v>45302.29</v>
      </c>
      <c r="V1594" s="528"/>
      <c r="Y1594" s="429"/>
      <c r="Z1594" s="441">
        <f>+Z1592+Z1585</f>
        <v>317116.01250000001</v>
      </c>
      <c r="AA1594" s="86"/>
      <c r="AB1594" s="94"/>
      <c r="AC1594" s="94"/>
      <c r="AD1594" s="94"/>
      <c r="AE1594" s="405" t="s">
        <v>133</v>
      </c>
    </row>
    <row r="1595" spans="3:31" s="260" customFormat="1" x14ac:dyDescent="0.25"/>
    <row r="1596" spans="3:31" s="260" customFormat="1" ht="15.75" thickBot="1" x14ac:dyDescent="0.3"/>
    <row r="1597" spans="3:31" s="260" customFormat="1" ht="15.75" thickBot="1" x14ac:dyDescent="0.3">
      <c r="M1597" s="363" t="s">
        <v>88</v>
      </c>
      <c r="N1597" s="436" t="str">
        <f>+N1548</f>
        <v>CAP.2</v>
      </c>
      <c r="O1597" s="550" t="str">
        <f>IFERROR(VLOOKUP(N1597,PPTO!C:H,2,0),"----")</f>
        <v>RED HIDRAULICA</v>
      </c>
      <c r="P1597" s="551"/>
      <c r="Q1597" s="551"/>
      <c r="R1597" s="551"/>
      <c r="S1597" s="551"/>
      <c r="T1597" s="551"/>
      <c r="U1597" s="552"/>
      <c r="V1597" s="74" t="s">
        <v>91</v>
      </c>
      <c r="Y1597" s="365" t="s">
        <v>104</v>
      </c>
      <c r="Z1597" s="94"/>
      <c r="AA1597" s="188"/>
      <c r="AB1597" s="553"/>
      <c r="AC1597" s="553"/>
      <c r="AD1597" s="553"/>
      <c r="AE1597" s="94"/>
    </row>
    <row r="1598" spans="3:31" s="260" customFormat="1" ht="15.75" thickBot="1" x14ac:dyDescent="0.3">
      <c r="C1598" s="369">
        <f>+N1598</f>
        <v>2.23</v>
      </c>
      <c r="D1598" s="86"/>
      <c r="E1598" s="86"/>
      <c r="F1598" s="86"/>
      <c r="G1598" s="86"/>
      <c r="H1598" s="86"/>
      <c r="I1598" s="86"/>
      <c r="J1598" s="86"/>
      <c r="K1598" s="370"/>
      <c r="M1598" s="75" t="s">
        <v>92</v>
      </c>
      <c r="N1598" s="371">
        <f>+ROUNDUP(N1549+0.01,2)</f>
        <v>2.23</v>
      </c>
      <c r="O1598" s="554" t="str">
        <f>IFERROR(VLOOKUP(N1598,PPTO!C:H,2,0),"----")</f>
        <v>Valvula de corte Ø1_1/2"</v>
      </c>
      <c r="P1598" s="555"/>
      <c r="Q1598" s="555"/>
      <c r="R1598" s="555"/>
      <c r="S1598" s="555"/>
      <c r="T1598" s="555"/>
      <c r="U1598" s="556"/>
      <c r="V1598" s="76" t="str">
        <f>IFERROR(VLOOKUP(N1598,PPTO!C:H,3,0),"----")</f>
        <v>UND</v>
      </c>
      <c r="Y1598" s="373">
        <f>SUMIFS(PPTO!F:F,PPTO!C:C,APUS!N1598)</f>
        <v>8</v>
      </c>
      <c r="Z1598" s="94"/>
      <c r="AA1598" s="86"/>
      <c r="AB1598" s="94"/>
      <c r="AC1598" s="94"/>
      <c r="AD1598" s="94"/>
      <c r="AE1598" s="94"/>
    </row>
    <row r="1599" spans="3:31" s="260" customFormat="1" ht="15.75" thickBot="1" x14ac:dyDescent="0.3">
      <c r="C1599" s="84"/>
      <c r="D1599" s="86"/>
      <c r="E1599" s="86"/>
      <c r="F1599" s="86"/>
      <c r="G1599" s="86"/>
      <c r="H1599" s="86"/>
      <c r="I1599" s="86"/>
      <c r="J1599" s="86"/>
      <c r="K1599" s="88"/>
      <c r="M1599" s="557"/>
      <c r="N1599" s="557"/>
      <c r="O1599" s="557"/>
      <c r="P1599" s="557"/>
      <c r="Q1599" s="557"/>
      <c r="R1599" s="557"/>
      <c r="S1599" s="557"/>
      <c r="T1599" s="557"/>
      <c r="U1599" s="557"/>
      <c r="V1599" s="557"/>
      <c r="Y1599" s="374"/>
      <c r="Z1599" s="94"/>
      <c r="AA1599" s="86"/>
      <c r="AB1599" s="94"/>
      <c r="AC1599" s="94"/>
      <c r="AD1599" s="94"/>
      <c r="AE1599" s="94"/>
    </row>
    <row r="1600" spans="3:31" s="260" customFormat="1" ht="15.75" thickBot="1" x14ac:dyDescent="0.3">
      <c r="C1600" s="84"/>
      <c r="D1600" s="375" t="s">
        <v>128</v>
      </c>
      <c r="E1600" s="376" t="s">
        <v>129</v>
      </c>
      <c r="F1600" s="376" t="s">
        <v>130</v>
      </c>
      <c r="G1600" s="376" t="s">
        <v>131</v>
      </c>
      <c r="H1600" s="376" t="s">
        <v>132</v>
      </c>
      <c r="I1600" s="376" t="s">
        <v>133</v>
      </c>
      <c r="J1600" s="377" t="s">
        <v>134</v>
      </c>
      <c r="K1600" s="88"/>
      <c r="M1600" s="558" t="s">
        <v>93</v>
      </c>
      <c r="N1600" s="559"/>
      <c r="O1600" s="559"/>
      <c r="P1600" s="559"/>
      <c r="Q1600" s="559"/>
      <c r="R1600" s="559"/>
      <c r="S1600" s="559"/>
      <c r="T1600" s="559"/>
      <c r="U1600" s="559"/>
      <c r="V1600" s="560"/>
      <c r="Y1600" s="378"/>
      <c r="Z1600" s="121"/>
      <c r="AA1600" s="86"/>
      <c r="AB1600" s="513"/>
      <c r="AC1600" s="514"/>
      <c r="AD1600" s="94"/>
      <c r="AE1600" s="379"/>
    </row>
    <row r="1601" spans="3:31" s="260" customFormat="1" x14ac:dyDescent="0.25">
      <c r="C1601" s="84"/>
      <c r="D1601" s="380"/>
      <c r="E1601" s="381"/>
      <c r="F1601" s="381"/>
      <c r="G1601" s="381"/>
      <c r="H1601" s="381"/>
      <c r="I1601" s="381"/>
      <c r="J1601" s="382"/>
      <c r="K1601" s="88"/>
      <c r="M1601" s="99" t="s">
        <v>94</v>
      </c>
      <c r="N1601" s="561" t="s">
        <v>95</v>
      </c>
      <c r="O1601" s="561"/>
      <c r="P1601" s="561"/>
      <c r="Q1601" s="561"/>
      <c r="R1601" s="95" t="s">
        <v>96</v>
      </c>
      <c r="S1601" s="95" t="s">
        <v>97</v>
      </c>
      <c r="T1601" s="562" t="s">
        <v>8</v>
      </c>
      <c r="U1601" s="562"/>
      <c r="V1601" s="100" t="s">
        <v>98</v>
      </c>
      <c r="Y1601" s="383" t="s">
        <v>104</v>
      </c>
      <c r="Z1601" s="119" t="s">
        <v>9</v>
      </c>
      <c r="AA1601" s="86"/>
      <c r="AB1601" s="384"/>
      <c r="AC1601" s="385"/>
      <c r="AD1601" s="94"/>
      <c r="AE1601" s="386"/>
    </row>
    <row r="1602" spans="3:31" s="260" customFormat="1" x14ac:dyDescent="0.25">
      <c r="C1602" s="84"/>
      <c r="D1602" s="85"/>
      <c r="E1602" s="86"/>
      <c r="F1602" s="86"/>
      <c r="G1602" s="86"/>
      <c r="H1602" s="86"/>
      <c r="I1602" s="86"/>
      <c r="J1602" s="87"/>
      <c r="K1602" s="88"/>
      <c r="M1602" s="102"/>
      <c r="N1602" s="533" t="s">
        <v>99</v>
      </c>
      <c r="O1602" s="533"/>
      <c r="P1602" s="533"/>
      <c r="Q1602" s="533"/>
      <c r="R1602" s="78" t="s">
        <v>100</v>
      </c>
      <c r="S1602" s="387">
        <f>+$AA$10</f>
        <v>0.05</v>
      </c>
      <c r="T1602" s="563">
        <f>V1632</f>
        <v>6694.76</v>
      </c>
      <c r="U1602" s="563"/>
      <c r="V1602" s="389">
        <f>+IFERROR(T1602*S1602,0)</f>
        <v>334.73800000000006</v>
      </c>
      <c r="Y1602" s="390"/>
      <c r="Z1602" s="391">
        <f>Y1598*V1602</f>
        <v>2677.9040000000005</v>
      </c>
      <c r="AA1602" s="86"/>
      <c r="AB1602" s="384"/>
      <c r="AC1602" s="385"/>
      <c r="AD1602" s="94"/>
      <c r="AE1602" s="386" t="str">
        <f>+IF(V1602=0,"CERO","NO")</f>
        <v>NO</v>
      </c>
    </row>
    <row r="1603" spans="3:31" s="260" customFormat="1" x14ac:dyDescent="0.25">
      <c r="C1603" s="84"/>
      <c r="D1603" s="85"/>
      <c r="E1603" s="86"/>
      <c r="F1603" s="86"/>
      <c r="G1603" s="86"/>
      <c r="H1603" s="86"/>
      <c r="I1603" s="86"/>
      <c r="J1603" s="87"/>
      <c r="K1603" s="88"/>
      <c r="M1603" s="106"/>
      <c r="N1603" s="533" t="str">
        <f>IFERROR(VLOOKUP(M1603,INSUMOS!$C$8:$K$928,2,0),"-----")</f>
        <v>-----</v>
      </c>
      <c r="O1603" s="533"/>
      <c r="P1603" s="533"/>
      <c r="Q1603" s="533"/>
      <c r="R1603" s="78" t="str">
        <f>IFERROR(VLOOKUP(M1603,INSUMOS!$C$8:$K$928,6,0),"-----")</f>
        <v>-----</v>
      </c>
      <c r="S1603" s="392"/>
      <c r="T1603" s="529" t="str">
        <f>IFERROR(VLOOKUP(M1603,INSUMOS!$C$8:$K$928,7,0),"0")</f>
        <v>0</v>
      </c>
      <c r="U1603" s="529"/>
      <c r="V1603" s="389">
        <f>+IFERROR(T1603*S1603,0)</f>
        <v>0</v>
      </c>
      <c r="Y1603" s="393">
        <f>+IFERROR(Y1598*S1603,0)</f>
        <v>0</v>
      </c>
      <c r="Z1603" s="391">
        <f>Y1598*V1603</f>
        <v>0</v>
      </c>
      <c r="AA1603" s="394"/>
      <c r="AB1603" s="395">
        <f>+Y1603*T1603</f>
        <v>0</v>
      </c>
      <c r="AC1603" s="93">
        <f>+AB1603-Z1603</f>
        <v>0</v>
      </c>
      <c r="AD1603" s="94"/>
      <c r="AE1603" s="386" t="str">
        <f>+IF(V1603=0,"CERO","NO")</f>
        <v>CERO</v>
      </c>
    </row>
    <row r="1604" spans="3:31" s="260" customFormat="1" x14ac:dyDescent="0.25">
      <c r="C1604" s="84"/>
      <c r="D1604" s="85"/>
      <c r="E1604" s="86"/>
      <c r="F1604" s="86"/>
      <c r="G1604" s="86"/>
      <c r="H1604" s="86"/>
      <c r="I1604" s="86"/>
      <c r="J1604" s="87"/>
      <c r="K1604" s="88"/>
      <c r="M1604" s="102">
        <v>0</v>
      </c>
      <c r="N1604" s="533"/>
      <c r="O1604" s="533"/>
      <c r="P1604" s="533"/>
      <c r="Q1604" s="533"/>
      <c r="R1604" s="78"/>
      <c r="S1604" s="396"/>
      <c r="T1604" s="529"/>
      <c r="U1604" s="529"/>
      <c r="V1604" s="397"/>
      <c r="Y1604" s="393">
        <f>+IFERROR(Y1598*S1604,0)</f>
        <v>0</v>
      </c>
      <c r="Z1604" s="391">
        <f>Y1598*V1604</f>
        <v>0</v>
      </c>
      <c r="AA1604" s="394"/>
      <c r="AB1604" s="395">
        <f>+Y1604*T1604</f>
        <v>0</v>
      </c>
      <c r="AC1604" s="93">
        <f>+AB1604-Z1604</f>
        <v>0</v>
      </c>
      <c r="AD1604" s="94"/>
      <c r="AE1604" s="386" t="str">
        <f>+IF(V1604=0,"CERO","NO")</f>
        <v>CERO</v>
      </c>
    </row>
    <row r="1605" spans="3:31" s="260" customFormat="1" x14ac:dyDescent="0.25">
      <c r="C1605" s="84"/>
      <c r="D1605" s="85"/>
      <c r="E1605" s="86"/>
      <c r="F1605" s="86"/>
      <c r="G1605" s="86"/>
      <c r="H1605" s="86"/>
      <c r="I1605" s="86"/>
      <c r="J1605" s="87"/>
      <c r="K1605" s="88"/>
      <c r="M1605" s="102">
        <v>0</v>
      </c>
      <c r="N1605" s="533"/>
      <c r="O1605" s="533"/>
      <c r="P1605" s="533"/>
      <c r="Q1605" s="533"/>
      <c r="R1605" s="78"/>
      <c r="S1605" s="396"/>
      <c r="T1605" s="529"/>
      <c r="U1605" s="529"/>
      <c r="V1605" s="397"/>
      <c r="Y1605" s="393">
        <f>+IFERROR(Y1598*S1605,0)</f>
        <v>0</v>
      </c>
      <c r="Z1605" s="391">
        <f>Y1598*V1605</f>
        <v>0</v>
      </c>
      <c r="AA1605" s="394"/>
      <c r="AB1605" s="395">
        <f>+Y1605*T1605</f>
        <v>0</v>
      </c>
      <c r="AC1605" s="93">
        <f>+AB1605-Z1605</f>
        <v>0</v>
      </c>
      <c r="AD1605" s="94"/>
      <c r="AE1605" s="386" t="str">
        <f>+IF(V1605=0,"CERO","NO")</f>
        <v>CERO</v>
      </c>
    </row>
    <row r="1606" spans="3:31" s="260" customFormat="1" ht="15.75" thickBot="1" x14ac:dyDescent="0.3">
      <c r="C1606" s="84"/>
      <c r="D1606" s="85"/>
      <c r="E1606" s="86"/>
      <c r="F1606" s="86"/>
      <c r="G1606" s="86"/>
      <c r="H1606" s="86"/>
      <c r="I1606" s="86"/>
      <c r="J1606" s="87"/>
      <c r="K1606" s="88"/>
      <c r="M1606" s="102">
        <v>0</v>
      </c>
      <c r="N1606" s="564"/>
      <c r="O1606" s="564"/>
      <c r="P1606" s="564"/>
      <c r="Q1606" s="564"/>
      <c r="R1606" s="96"/>
      <c r="S1606" s="96"/>
      <c r="T1606" s="565"/>
      <c r="U1606" s="565"/>
      <c r="V1606" s="101"/>
      <c r="Y1606" s="393">
        <f>+IFERROR(Y1598*S1606,0)</f>
        <v>0</v>
      </c>
      <c r="Z1606" s="391">
        <f>Y1598*V1606</f>
        <v>0</v>
      </c>
      <c r="AA1606" s="394"/>
      <c r="AB1606" s="395">
        <f>+Y1606*T1606</f>
        <v>0</v>
      </c>
      <c r="AC1606" s="93">
        <f>+AB1606-Z1606</f>
        <v>0</v>
      </c>
      <c r="AD1606" s="94"/>
      <c r="AE1606" s="386" t="str">
        <f>+IF(V1606=0,"CERO","NO")</f>
        <v>CERO</v>
      </c>
    </row>
    <row r="1607" spans="3:31" s="260" customFormat="1" ht="15.75" thickBot="1" x14ac:dyDescent="0.3">
      <c r="C1607" s="84"/>
      <c r="D1607" s="375" t="s">
        <v>128</v>
      </c>
      <c r="E1607" s="376" t="s">
        <v>129</v>
      </c>
      <c r="F1607" s="376" t="s">
        <v>130</v>
      </c>
      <c r="G1607" s="376" t="s">
        <v>131</v>
      </c>
      <c r="H1607" s="376" t="s">
        <v>132</v>
      </c>
      <c r="I1607" s="376" t="s">
        <v>133</v>
      </c>
      <c r="J1607" s="377" t="s">
        <v>134</v>
      </c>
      <c r="K1607" s="88"/>
      <c r="M1607" s="534"/>
      <c r="N1607" s="536" t="s">
        <v>101</v>
      </c>
      <c r="O1607" s="536"/>
      <c r="P1607" s="536"/>
      <c r="Q1607" s="536"/>
      <c r="R1607" s="536"/>
      <c r="S1607" s="536"/>
      <c r="T1607" s="536"/>
      <c r="U1607" s="536"/>
      <c r="V1607" s="389">
        <f>+SUM(V1602:V1606)</f>
        <v>334.73800000000006</v>
      </c>
      <c r="Y1607" s="398" t="s">
        <v>135</v>
      </c>
      <c r="Z1607" s="397">
        <f>+SUM(Z1602:Z1606)</f>
        <v>2677.9040000000005</v>
      </c>
      <c r="AA1607" s="86"/>
      <c r="AB1607" s="384"/>
      <c r="AC1607" s="385"/>
      <c r="AD1607" s="94"/>
      <c r="AE1607" s="399"/>
    </row>
    <row r="1608" spans="3:31" s="260" customFormat="1" ht="15.75" thickBot="1" x14ac:dyDescent="0.3">
      <c r="C1608" s="84"/>
      <c r="D1608" s="375">
        <f>C1598</f>
        <v>2.23</v>
      </c>
      <c r="E1608" s="376"/>
      <c r="F1608" s="376"/>
      <c r="G1608" s="376"/>
      <c r="H1608" s="376"/>
      <c r="I1608" s="376"/>
      <c r="J1608" s="377"/>
      <c r="K1608" s="88"/>
      <c r="M1608" s="566"/>
      <c r="N1608" s="567" t="s">
        <v>102</v>
      </c>
      <c r="O1608" s="567"/>
      <c r="P1608" s="567"/>
      <c r="Q1608" s="567"/>
      <c r="R1608" s="567"/>
      <c r="S1608" s="567"/>
      <c r="T1608" s="567"/>
      <c r="U1608" s="567"/>
      <c r="V1608" s="400">
        <f>+ROUND(V1607,$AA$5)</f>
        <v>334.74</v>
      </c>
      <c r="Y1608" s="401" t="s">
        <v>136</v>
      </c>
      <c r="Z1608" s="402">
        <f>+ROUND(Z1607,$AA$5)</f>
        <v>2677.9</v>
      </c>
      <c r="AA1608" s="86"/>
      <c r="AB1608" s="403">
        <f>+V1608*Y1598</f>
        <v>2677.92</v>
      </c>
      <c r="AC1608" s="404">
        <f>+AB1608-Z1608</f>
        <v>1.999999999998181E-2</v>
      </c>
      <c r="AD1608" s="94"/>
      <c r="AE1608" s="405"/>
    </row>
    <row r="1609" spans="3:31" s="260" customFormat="1" x14ac:dyDescent="0.25">
      <c r="C1609" s="84"/>
      <c r="D1609" s="380"/>
      <c r="E1609" s="381"/>
      <c r="F1609" s="381"/>
      <c r="G1609" s="381"/>
      <c r="H1609" s="381"/>
      <c r="I1609" s="381"/>
      <c r="J1609" s="382"/>
      <c r="K1609" s="88"/>
      <c r="M1609" s="510" t="s">
        <v>103</v>
      </c>
      <c r="N1609" s="511"/>
      <c r="O1609" s="511"/>
      <c r="P1609" s="511"/>
      <c r="Q1609" s="511"/>
      <c r="R1609" s="511"/>
      <c r="S1609" s="511"/>
      <c r="T1609" s="511"/>
      <c r="U1609" s="511"/>
      <c r="V1609" s="512"/>
      <c r="Y1609" s="378"/>
      <c r="Z1609" s="121"/>
      <c r="AA1609" s="86"/>
      <c r="AB1609" s="513"/>
      <c r="AC1609" s="514"/>
      <c r="AD1609" s="94"/>
      <c r="AE1609" s="126"/>
    </row>
    <row r="1610" spans="3:31" s="260" customFormat="1" x14ac:dyDescent="0.25">
      <c r="C1610" s="84"/>
      <c r="D1610" s="85"/>
      <c r="E1610" s="86"/>
      <c r="F1610" s="86"/>
      <c r="G1610" s="86"/>
      <c r="H1610" s="86"/>
      <c r="I1610" s="86"/>
      <c r="J1610" s="87"/>
      <c r="K1610" s="88"/>
      <c r="M1610" s="99" t="s">
        <v>94</v>
      </c>
      <c r="N1610" s="561" t="s">
        <v>95</v>
      </c>
      <c r="O1610" s="561"/>
      <c r="P1610" s="561"/>
      <c r="Q1610" s="561"/>
      <c r="R1610" s="95" t="s">
        <v>96</v>
      </c>
      <c r="S1610" s="95" t="s">
        <v>104</v>
      </c>
      <c r="T1610" s="356" t="s">
        <v>105</v>
      </c>
      <c r="U1610" s="356" t="s">
        <v>8</v>
      </c>
      <c r="V1610" s="100" t="s">
        <v>98</v>
      </c>
      <c r="Y1610" s="383" t="s">
        <v>104</v>
      </c>
      <c r="Z1610" s="119" t="s">
        <v>9</v>
      </c>
      <c r="AA1610" s="86"/>
      <c r="AB1610" s="384"/>
      <c r="AC1610" s="385"/>
      <c r="AD1610" s="94"/>
      <c r="AE1610" s="406"/>
    </row>
    <row r="1611" spans="3:31" s="260" customFormat="1" x14ac:dyDescent="0.25">
      <c r="C1611" s="84"/>
      <c r="D1611" s="85"/>
      <c r="E1611" s="86"/>
      <c r="F1611" s="86"/>
      <c r="G1611" s="86"/>
      <c r="H1611" s="86"/>
      <c r="I1611" s="86"/>
      <c r="J1611" s="87"/>
      <c r="K1611" s="88"/>
      <c r="M1611" s="102">
        <v>726</v>
      </c>
      <c r="N1611" s="533" t="str">
        <f>IFERROR(VLOOKUP(M1611,INSUMOS!$C$8:$K$928,2,0),"-----")</f>
        <v>VALVULA DE CORTE 1 1/2"</v>
      </c>
      <c r="O1611" s="533"/>
      <c r="P1611" s="533"/>
      <c r="Q1611" s="533"/>
      <c r="R1611" s="78" t="str">
        <f>IFERROR(VLOOKUP(M1611,INSUMOS!$C$8:$K$928,6,0),"-----")</f>
        <v>und</v>
      </c>
      <c r="S1611" s="396">
        <v>1</v>
      </c>
      <c r="T1611" s="387">
        <v>0</v>
      </c>
      <c r="U1611" s="388">
        <f>IFERROR(VLOOKUP(M1611,INSUMOS!$C$8:$K$928,7,0),"0")</f>
        <v>44083</v>
      </c>
      <c r="V1611" s="389">
        <f>+IFERROR(U1611*(S1611*(1+T1611)),0)</f>
        <v>44083</v>
      </c>
      <c r="Y1611" s="393">
        <f>+IFERROR(Y1598*(S1611*(1+T1611)),0)</f>
        <v>8</v>
      </c>
      <c r="Z1611" s="391">
        <f>Y1598*V1611</f>
        <v>352664</v>
      </c>
      <c r="AA1611" s="394"/>
      <c r="AB1611" s="395">
        <f>+Y1611*U1611</f>
        <v>352664</v>
      </c>
      <c r="AC1611" s="93">
        <f>+AB1611-Z1611</f>
        <v>0</v>
      </c>
      <c r="AD1611" s="94"/>
      <c r="AE1611" s="406" t="str">
        <f>+IF(V1611=0,"CERO","NO")</f>
        <v>NO</v>
      </c>
    </row>
    <row r="1612" spans="3:31" s="260" customFormat="1" x14ac:dyDescent="0.25">
      <c r="C1612" s="84"/>
      <c r="D1612" s="85"/>
      <c r="E1612" s="86"/>
      <c r="F1612" s="86"/>
      <c r="G1612" s="86"/>
      <c r="H1612" s="86"/>
      <c r="I1612" s="86"/>
      <c r="J1612" s="87"/>
      <c r="K1612" s="88"/>
      <c r="M1612" s="102">
        <v>699</v>
      </c>
      <c r="N1612" s="533" t="str">
        <f>IFERROR(VLOOKUP(M1612,INSUMOS!$C$8:$K$928,2,0),"-----")</f>
        <v>SOLDADURA PVC LIQUIDA 1/4"</v>
      </c>
      <c r="O1612" s="533"/>
      <c r="P1612" s="533"/>
      <c r="Q1612" s="533"/>
      <c r="R1612" s="78" t="str">
        <f>IFERROR(VLOOKUP(M1612,INSUMOS!$C$8:$K$928,6,0),"-----")</f>
        <v>und</v>
      </c>
      <c r="S1612" s="396">
        <v>0.01</v>
      </c>
      <c r="T1612" s="387">
        <v>0.02</v>
      </c>
      <c r="U1612" s="388">
        <f>IFERROR(VLOOKUP(M1612,INSUMOS!$C$8:$K$928,7,0),"0")</f>
        <v>146569</v>
      </c>
      <c r="V1612" s="389">
        <f>+IFERROR(U1612*(S1612*(1+T1612)),0)</f>
        <v>1495.0038000000002</v>
      </c>
      <c r="Y1612" s="393">
        <f>+IFERROR(Y1598*(S1612*(1+T1612)),0)</f>
        <v>8.1600000000000006E-2</v>
      </c>
      <c r="Z1612" s="391">
        <f>Y1598*V1612</f>
        <v>11960.030400000001</v>
      </c>
      <c r="AA1612" s="394"/>
      <c r="AB1612" s="395">
        <f>+Y1612*U1612</f>
        <v>11960.030400000001</v>
      </c>
      <c r="AC1612" s="93">
        <f>+AB1612-Z1612</f>
        <v>0</v>
      </c>
      <c r="AD1612" s="94"/>
      <c r="AE1612" s="406" t="str">
        <f>+IF(V1612=0,"CERO","NO")</f>
        <v>NO</v>
      </c>
    </row>
    <row r="1613" spans="3:31" s="260" customFormat="1" x14ac:dyDescent="0.25">
      <c r="C1613" s="84"/>
      <c r="D1613" s="85"/>
      <c r="E1613" s="86"/>
      <c r="F1613" s="86"/>
      <c r="G1613" s="86"/>
      <c r="H1613" s="86"/>
      <c r="I1613" s="86"/>
      <c r="J1613" s="87"/>
      <c r="K1613" s="88"/>
      <c r="M1613" s="102">
        <v>700</v>
      </c>
      <c r="N1613" s="533" t="str">
        <f>IFERROR(VLOOKUP(M1613,INSUMOS!$C$8:$K$928,2,0),"-----")</f>
        <v>LIMPIADOR PVC 1/4</v>
      </c>
      <c r="O1613" s="533"/>
      <c r="P1613" s="533"/>
      <c r="Q1613" s="533"/>
      <c r="R1613" s="78" t="str">
        <f>IFERROR(VLOOKUP(M1613,INSUMOS!$C$8:$K$928,6,0),"-----")</f>
        <v>und</v>
      </c>
      <c r="S1613" s="396">
        <v>0.01</v>
      </c>
      <c r="T1613" s="387">
        <v>0.02</v>
      </c>
      <c r="U1613" s="388">
        <f>IFERROR(VLOOKUP(M1613,INSUMOS!$C$8:$K$928,7,0),"0")</f>
        <v>65913</v>
      </c>
      <c r="V1613" s="389">
        <f>+IFERROR(U1613*(S1613*(1+T1613)),0)</f>
        <v>672.31260000000009</v>
      </c>
      <c r="Y1613" s="393">
        <f>+IFERROR(Y1598*(S1613*(1+T1613)),0)</f>
        <v>8.1600000000000006E-2</v>
      </c>
      <c r="Z1613" s="391">
        <f>Y1598*V1613</f>
        <v>5378.5008000000007</v>
      </c>
      <c r="AA1613" s="394"/>
      <c r="AB1613" s="395">
        <f>+Y1613*U1613</f>
        <v>5378.5008000000007</v>
      </c>
      <c r="AC1613" s="93">
        <f>+AB1613-Z1613</f>
        <v>0</v>
      </c>
      <c r="AD1613" s="94"/>
      <c r="AE1613" s="406" t="str">
        <f>+IF(V1613=0,"CERO","NO")</f>
        <v>NO</v>
      </c>
    </row>
    <row r="1614" spans="3:31" s="260" customFormat="1" x14ac:dyDescent="0.25">
      <c r="C1614" s="84"/>
      <c r="D1614" s="85"/>
      <c r="E1614" s="86"/>
      <c r="F1614" s="86"/>
      <c r="G1614" s="86"/>
      <c r="H1614" s="86"/>
      <c r="I1614" s="86"/>
      <c r="J1614" s="87"/>
      <c r="K1614" s="88"/>
      <c r="M1614" s="102">
        <v>0</v>
      </c>
      <c r="N1614" s="533" t="str">
        <f>IFERROR(VLOOKUP(M1614,INSUMOS!$C$8:$K$928,2,0),"-----")</f>
        <v>-----</v>
      </c>
      <c r="O1614" s="533"/>
      <c r="P1614" s="533"/>
      <c r="Q1614" s="533"/>
      <c r="R1614" s="78" t="str">
        <f>IFERROR(VLOOKUP(M1614,INSUMOS!$C$8:$K$928,6,0),"-----")</f>
        <v>-----</v>
      </c>
      <c r="S1614" s="396"/>
      <c r="T1614" s="387"/>
      <c r="U1614" s="388" t="str">
        <f>IFERROR(VLOOKUP(M1614,INSUMOS!$C$8:$K$928,7,0),"0")</f>
        <v>0</v>
      </c>
      <c r="V1614" s="389">
        <f>+IFERROR(U1614*(S1614*(1+T1614)),0)</f>
        <v>0</v>
      </c>
      <c r="Y1614" s="393">
        <f>+IFERROR(Y1598*(S1614*(1+T1614)),0)</f>
        <v>0</v>
      </c>
      <c r="Z1614" s="391">
        <f>Y1598*V1614</f>
        <v>0</v>
      </c>
      <c r="AA1614" s="394"/>
      <c r="AB1614" s="395">
        <f>+Y1614*U1614</f>
        <v>0</v>
      </c>
      <c r="AC1614" s="93">
        <f>+AB1614-Z1614</f>
        <v>0</v>
      </c>
      <c r="AD1614" s="94"/>
      <c r="AE1614" s="406" t="str">
        <f>+IF(V1614=0,"CERO","NO")</f>
        <v>CERO</v>
      </c>
    </row>
    <row r="1615" spans="3:31" s="260" customFormat="1" ht="15.75" thickBot="1" x14ac:dyDescent="0.3">
      <c r="C1615" s="84"/>
      <c r="D1615" s="85"/>
      <c r="E1615" s="86"/>
      <c r="F1615" s="86"/>
      <c r="G1615" s="86"/>
      <c r="H1615" s="86"/>
      <c r="I1615" s="86"/>
      <c r="J1615" s="87"/>
      <c r="K1615" s="88"/>
      <c r="M1615" s="102">
        <v>0</v>
      </c>
      <c r="N1615" s="564"/>
      <c r="O1615" s="564"/>
      <c r="P1615" s="564"/>
      <c r="Q1615" s="564"/>
      <c r="R1615" s="96"/>
      <c r="S1615" s="79"/>
      <c r="T1615" s="97"/>
      <c r="U1615" s="358"/>
      <c r="V1615" s="397"/>
      <c r="Y1615" s="393">
        <f>+IFERROR(Y1598*(S1615*(1+T1615)),0)</f>
        <v>0</v>
      </c>
      <c r="Z1615" s="391">
        <f>Y1598*V1615</f>
        <v>0</v>
      </c>
      <c r="AA1615" s="394"/>
      <c r="AB1615" s="395">
        <f>+Y1615*U1615</f>
        <v>0</v>
      </c>
      <c r="AC1615" s="93">
        <f>+AB1615-Z1615</f>
        <v>0</v>
      </c>
      <c r="AD1615" s="94"/>
      <c r="AE1615" s="406" t="str">
        <f>+IF(V1615=0,"CERO","NO")</f>
        <v>CERO</v>
      </c>
    </row>
    <row r="1616" spans="3:31" s="260" customFormat="1" ht="15.75" thickBot="1" x14ac:dyDescent="0.3">
      <c r="C1616" s="84"/>
      <c r="D1616" s="375" t="s">
        <v>128</v>
      </c>
      <c r="E1616" s="376" t="s">
        <v>129</v>
      </c>
      <c r="F1616" s="376" t="s">
        <v>130</v>
      </c>
      <c r="G1616" s="376" t="s">
        <v>131</v>
      </c>
      <c r="H1616" s="376" t="s">
        <v>132</v>
      </c>
      <c r="I1616" s="376" t="s">
        <v>133</v>
      </c>
      <c r="J1616" s="377" t="s">
        <v>134</v>
      </c>
      <c r="K1616" s="88"/>
      <c r="M1616" s="534"/>
      <c r="N1616" s="536" t="s">
        <v>106</v>
      </c>
      <c r="O1616" s="536"/>
      <c r="P1616" s="536"/>
      <c r="Q1616" s="536"/>
      <c r="R1616" s="536"/>
      <c r="S1616" s="536"/>
      <c r="T1616" s="536"/>
      <c r="U1616" s="536"/>
      <c r="V1616" s="389">
        <f>+SUM(V1611:V1615)</f>
        <v>46250.316399999996</v>
      </c>
      <c r="Y1616" s="398" t="s">
        <v>135</v>
      </c>
      <c r="Z1616" s="397">
        <f>+SUM(Z1611:Z1615)</f>
        <v>370002.53119999997</v>
      </c>
      <c r="AA1616" s="86"/>
      <c r="AB1616" s="384"/>
      <c r="AC1616" s="385"/>
      <c r="AD1616" s="94"/>
      <c r="AE1616" s="399"/>
    </row>
    <row r="1617" spans="3:31" s="260" customFormat="1" ht="15.75" thickBot="1" x14ac:dyDescent="0.3">
      <c r="C1617" s="84"/>
      <c r="D1617" s="375"/>
      <c r="E1617" s="407">
        <f>+D1608</f>
        <v>2.23</v>
      </c>
      <c r="F1617" s="376"/>
      <c r="G1617" s="376"/>
      <c r="H1617" s="376"/>
      <c r="I1617" s="376"/>
      <c r="J1617" s="377"/>
      <c r="K1617" s="88"/>
      <c r="M1617" s="535"/>
      <c r="N1617" s="537" t="s">
        <v>107</v>
      </c>
      <c r="O1617" s="537"/>
      <c r="P1617" s="537"/>
      <c r="Q1617" s="537"/>
      <c r="R1617" s="537"/>
      <c r="S1617" s="537"/>
      <c r="T1617" s="537"/>
      <c r="U1617" s="537"/>
      <c r="V1617" s="408">
        <f>+ROUND(V1616,$AA$5)</f>
        <v>46250.32</v>
      </c>
      <c r="Y1617" s="401" t="s">
        <v>136</v>
      </c>
      <c r="Z1617" s="402">
        <f>+ROUND(Z1616,$AA$5)</f>
        <v>370002.53</v>
      </c>
      <c r="AA1617" s="86"/>
      <c r="AB1617" s="403">
        <f>+V1617*Y1598</f>
        <v>370002.56</v>
      </c>
      <c r="AC1617" s="404">
        <f>+AB1617-Z1617</f>
        <v>2.9999999969732016E-2</v>
      </c>
      <c r="AD1617" s="94"/>
      <c r="AE1617" s="405"/>
    </row>
    <row r="1618" spans="3:31" s="260" customFormat="1" x14ac:dyDescent="0.25">
      <c r="C1618" s="84"/>
      <c r="D1618" s="380"/>
      <c r="E1618" s="381"/>
      <c r="F1618" s="381"/>
      <c r="G1618" s="381"/>
      <c r="H1618" s="381"/>
      <c r="I1618" s="381"/>
      <c r="J1618" s="382"/>
      <c r="K1618" s="88"/>
      <c r="M1618" s="568" t="s">
        <v>108</v>
      </c>
      <c r="N1618" s="569"/>
      <c r="O1618" s="569"/>
      <c r="P1618" s="569"/>
      <c r="Q1618" s="569"/>
      <c r="R1618" s="569"/>
      <c r="S1618" s="569"/>
      <c r="T1618" s="569"/>
      <c r="U1618" s="569"/>
      <c r="V1618" s="570"/>
      <c r="Y1618" s="378"/>
      <c r="Z1618" s="121"/>
      <c r="AA1618" s="86"/>
      <c r="AB1618" s="409"/>
      <c r="AC1618" s="121"/>
      <c r="AD1618" s="94"/>
      <c r="AE1618" s="126"/>
    </row>
    <row r="1619" spans="3:31" s="260" customFormat="1" ht="25.5" x14ac:dyDescent="0.25">
      <c r="C1619" s="84"/>
      <c r="D1619" s="85"/>
      <c r="E1619" s="86"/>
      <c r="F1619" s="86"/>
      <c r="G1619" s="86"/>
      <c r="H1619" s="86"/>
      <c r="I1619" s="86"/>
      <c r="J1619" s="87"/>
      <c r="K1619" s="88"/>
      <c r="M1619" s="99" t="s">
        <v>94</v>
      </c>
      <c r="N1619" s="561" t="s">
        <v>95</v>
      </c>
      <c r="O1619" s="561"/>
      <c r="P1619" s="561"/>
      <c r="Q1619" s="95" t="s">
        <v>109</v>
      </c>
      <c r="R1619" s="95" t="s">
        <v>110</v>
      </c>
      <c r="S1619" s="95" t="s">
        <v>111</v>
      </c>
      <c r="T1619" s="562" t="s">
        <v>112</v>
      </c>
      <c r="U1619" s="562"/>
      <c r="V1619" s="100" t="s">
        <v>98</v>
      </c>
      <c r="Y1619" s="383" t="s">
        <v>104</v>
      </c>
      <c r="Z1619" s="119" t="s">
        <v>9</v>
      </c>
      <c r="AA1619" s="86"/>
      <c r="AB1619" s="384"/>
      <c r="AC1619" s="385"/>
      <c r="AD1619" s="94"/>
      <c r="AE1619" s="410"/>
    </row>
    <row r="1620" spans="3:31" s="260" customFormat="1" x14ac:dyDescent="0.25">
      <c r="C1620" s="84"/>
      <c r="D1620" s="85"/>
      <c r="E1620" s="86"/>
      <c r="F1620" s="86"/>
      <c r="G1620" s="86"/>
      <c r="H1620" s="86"/>
      <c r="I1620" s="86"/>
      <c r="J1620" s="87"/>
      <c r="K1620" s="88"/>
      <c r="M1620" s="102">
        <v>129</v>
      </c>
      <c r="N1620" s="530" t="str">
        <f>IFERROR(VLOOKUP(M1620,INSUMOS!$C$8:$K$928,2,0),"-----")</f>
        <v>transporte materiales en general</v>
      </c>
      <c r="O1620" s="531"/>
      <c r="P1620" s="532"/>
      <c r="Q1620" s="78" t="str">
        <f>IFERROR(VLOOKUP(M1620,INSUMOS!$C$8:$K$928,5,0),"-----")</f>
        <v>Km</v>
      </c>
      <c r="R1620" s="80">
        <v>1</v>
      </c>
      <c r="S1620" s="80">
        <f>IFERROR(VLOOKUP(M1620,INSUMOS!$C$8:$K$928,6,0),"0")</f>
        <v>348</v>
      </c>
      <c r="T1620" s="529">
        <f>IFERROR(VLOOKUP(M1620,INSUMOS!$C$8:$K$928,7,0),"0")</f>
        <v>0.99776362060288992</v>
      </c>
      <c r="U1620" s="529"/>
      <c r="V1620" s="82">
        <f>+T1620*S1620*R1620</f>
        <v>347.2217399698057</v>
      </c>
      <c r="Y1620" s="393">
        <f>+IFERROR((R1620*S1620)*Y1598,0)</f>
        <v>2784</v>
      </c>
      <c r="Z1620" s="391">
        <f>Y1598*V1620</f>
        <v>2777.7739197584456</v>
      </c>
      <c r="AA1620" s="86"/>
      <c r="AB1620" s="92">
        <f>+Y1620*T1620</f>
        <v>2777.7739197584456</v>
      </c>
      <c r="AC1620" s="93">
        <f>+AB1620-Z1620</f>
        <v>0</v>
      </c>
      <c r="AD1620" s="94"/>
      <c r="AE1620" s="406" t="str">
        <f>+IF(V1620=0,"CERO","NO")</f>
        <v>NO</v>
      </c>
    </row>
    <row r="1621" spans="3:31" s="260" customFormat="1" x14ac:dyDescent="0.25">
      <c r="C1621" s="84"/>
      <c r="D1621" s="85"/>
      <c r="E1621" s="86"/>
      <c r="F1621" s="86"/>
      <c r="G1621" s="86"/>
      <c r="H1621" s="86"/>
      <c r="I1621" s="86"/>
      <c r="J1621" s="87"/>
      <c r="K1621" s="88"/>
      <c r="M1621" s="102">
        <v>0</v>
      </c>
      <c r="N1621" s="530" t="str">
        <f>IFERROR(VLOOKUP(M1621,INSUMOS!$C$8:$K$928,2,0),"-----")</f>
        <v>-----</v>
      </c>
      <c r="O1621" s="531"/>
      <c r="P1621" s="532"/>
      <c r="Q1621" s="78" t="str">
        <f>IFERROR(VLOOKUP(M1621,INSUMOS!$C$8:$K$928,5,0),"-----")</f>
        <v>-----</v>
      </c>
      <c r="R1621" s="80"/>
      <c r="S1621" s="80" t="str">
        <f>IFERROR(VLOOKUP(M1621,INSUMOS!$C$8:$K$928,6,0),"0")</f>
        <v>0</v>
      </c>
      <c r="T1621" s="529" t="str">
        <f>IFERROR(VLOOKUP(M1621,INSUMOS!$C$8:$K$928,7,0),"0")</f>
        <v>0</v>
      </c>
      <c r="U1621" s="529"/>
      <c r="V1621" s="82">
        <f>+T1621*S1621*R1621</f>
        <v>0</v>
      </c>
      <c r="Y1621" s="393">
        <f>+IFERROR((R1621*S1621)*Y1598,0)</f>
        <v>0</v>
      </c>
      <c r="Z1621" s="391">
        <f>Y1598*V1621</f>
        <v>0</v>
      </c>
      <c r="AA1621" s="86"/>
      <c r="AB1621" s="92">
        <f>+Y1621*T1621</f>
        <v>0</v>
      </c>
      <c r="AC1621" s="93">
        <f>+AB1621-Z1621</f>
        <v>0</v>
      </c>
      <c r="AD1621" s="94"/>
      <c r="AE1621" s="406" t="str">
        <f>+IF(V1621=0,"CERO","NO")</f>
        <v>CERO</v>
      </c>
    </row>
    <row r="1622" spans="3:31" s="260" customFormat="1" x14ac:dyDescent="0.25">
      <c r="C1622" s="84"/>
      <c r="D1622" s="85"/>
      <c r="E1622" s="86"/>
      <c r="F1622" s="86"/>
      <c r="G1622" s="86"/>
      <c r="H1622" s="86"/>
      <c r="I1622" s="86"/>
      <c r="J1622" s="87"/>
      <c r="K1622" s="88"/>
      <c r="M1622" s="102">
        <v>0</v>
      </c>
      <c r="N1622" s="530" t="str">
        <f>IFERROR(VLOOKUP(M1622,INSUMOS!$C$8:$K$928,2,0),"-----")</f>
        <v>-----</v>
      </c>
      <c r="O1622" s="531"/>
      <c r="P1622" s="532"/>
      <c r="Q1622" s="78" t="str">
        <f>IFERROR(VLOOKUP(M1622,INSUMOS!$C$8:$K$928,5,0),"-----")</f>
        <v>-----</v>
      </c>
      <c r="R1622" s="80"/>
      <c r="S1622" s="80" t="str">
        <f>IFERROR(VLOOKUP(M1622,INSUMOS!$C$8:$K$928,6,0),"0")</f>
        <v>0</v>
      </c>
      <c r="T1622" s="529" t="str">
        <f>IFERROR(VLOOKUP(M1622,INSUMOS!$C$8:$K$928,7,0),"0")</f>
        <v>0</v>
      </c>
      <c r="U1622" s="529"/>
      <c r="V1622" s="82">
        <f>+T1622*S1622*R1622</f>
        <v>0</v>
      </c>
      <c r="Y1622" s="393">
        <f>+IFERROR((R1622*S1622)*Y1598,0)</f>
        <v>0</v>
      </c>
      <c r="Z1622" s="391">
        <f>Y1598*V1622</f>
        <v>0</v>
      </c>
      <c r="AA1622" s="86"/>
      <c r="AB1622" s="92">
        <f>+Y1622*T1622</f>
        <v>0</v>
      </c>
      <c r="AC1622" s="93">
        <f>+AB1622-Z1622</f>
        <v>0</v>
      </c>
      <c r="AD1622" s="94"/>
      <c r="AE1622" s="406" t="str">
        <f>+IF(V1622=0,"CERO","NO")</f>
        <v>CERO</v>
      </c>
    </row>
    <row r="1623" spans="3:31" s="260" customFormat="1" ht="15.75" thickBot="1" x14ac:dyDescent="0.3">
      <c r="C1623" s="84"/>
      <c r="D1623" s="89"/>
      <c r="E1623" s="90"/>
      <c r="F1623" s="90"/>
      <c r="G1623" s="90"/>
      <c r="H1623" s="90"/>
      <c r="I1623" s="90"/>
      <c r="J1623" s="91"/>
      <c r="K1623" s="88"/>
      <c r="M1623" s="102">
        <v>0</v>
      </c>
      <c r="N1623" s="533"/>
      <c r="O1623" s="533"/>
      <c r="P1623" s="533"/>
      <c r="Q1623" s="79"/>
      <c r="R1623" s="78"/>
      <c r="S1623" s="81"/>
      <c r="T1623" s="529"/>
      <c r="U1623" s="529"/>
      <c r="V1623" s="82"/>
      <c r="Y1623" s="393">
        <f>+IFERROR((R1623*S1623)*Y1598,0)</f>
        <v>0</v>
      </c>
      <c r="Z1623" s="391">
        <f>Y1598*V1623</f>
        <v>0</v>
      </c>
      <c r="AA1623" s="86"/>
      <c r="AB1623" s="92">
        <f>+Y1623*T1623</f>
        <v>0</v>
      </c>
      <c r="AC1623" s="93">
        <f>+AB1623-Z1623</f>
        <v>0</v>
      </c>
      <c r="AD1623" s="94"/>
      <c r="AE1623" s="406" t="str">
        <f>+IF(V1623=0,"CERO","NO")</f>
        <v>CERO</v>
      </c>
    </row>
    <row r="1624" spans="3:31" s="260" customFormat="1" ht="15.75" thickBot="1" x14ac:dyDescent="0.3">
      <c r="C1624" s="84"/>
      <c r="D1624" s="375" t="s">
        <v>128</v>
      </c>
      <c r="E1624" s="376" t="s">
        <v>129</v>
      </c>
      <c r="F1624" s="376" t="s">
        <v>130</v>
      </c>
      <c r="G1624" s="376" t="s">
        <v>131</v>
      </c>
      <c r="H1624" s="376" t="s">
        <v>132</v>
      </c>
      <c r="I1624" s="376" t="s">
        <v>133</v>
      </c>
      <c r="J1624" s="377" t="s">
        <v>134</v>
      </c>
      <c r="K1624" s="88"/>
      <c r="M1624" s="534"/>
      <c r="N1624" s="536" t="s">
        <v>113</v>
      </c>
      <c r="O1624" s="536"/>
      <c r="P1624" s="536"/>
      <c r="Q1624" s="536"/>
      <c r="R1624" s="536"/>
      <c r="S1624" s="536"/>
      <c r="T1624" s="536"/>
      <c r="U1624" s="536"/>
      <c r="V1624" s="411">
        <f>+SUM(V1620:V1623)</f>
        <v>347.2217399698057</v>
      </c>
      <c r="Y1624" s="398" t="s">
        <v>135</v>
      </c>
      <c r="Z1624" s="397">
        <f>+SUM(Z1620:Z1623)</f>
        <v>2777.7739197584456</v>
      </c>
      <c r="AA1624" s="86"/>
      <c r="AB1624" s="384"/>
      <c r="AC1624" s="385"/>
      <c r="AD1624" s="94"/>
      <c r="AE1624" s="399"/>
    </row>
    <row r="1625" spans="3:31" s="260" customFormat="1" ht="15.75" thickBot="1" x14ac:dyDescent="0.3">
      <c r="C1625" s="84"/>
      <c r="D1625" s="355"/>
      <c r="E1625" s="367"/>
      <c r="F1625" s="412">
        <f>+E1617</f>
        <v>2.23</v>
      </c>
      <c r="G1625" s="367"/>
      <c r="H1625" s="367"/>
      <c r="I1625" s="367"/>
      <c r="J1625" s="368"/>
      <c r="K1625" s="88"/>
      <c r="M1625" s="535"/>
      <c r="N1625" s="537" t="s">
        <v>114</v>
      </c>
      <c r="O1625" s="537"/>
      <c r="P1625" s="537"/>
      <c r="Q1625" s="537"/>
      <c r="R1625" s="537"/>
      <c r="S1625" s="537"/>
      <c r="T1625" s="537"/>
      <c r="U1625" s="537"/>
      <c r="V1625" s="413">
        <f>+ROUND(V1624,$AA$5)</f>
        <v>347.22</v>
      </c>
      <c r="Y1625" s="401" t="s">
        <v>136</v>
      </c>
      <c r="Z1625" s="402">
        <f>+ROUND(Z1624,$AA$5)</f>
        <v>2777.77</v>
      </c>
      <c r="AA1625" s="86"/>
      <c r="AB1625" s="403">
        <f>+V1625*Y1598</f>
        <v>2777.76</v>
      </c>
      <c r="AC1625" s="414"/>
      <c r="AD1625" s="94"/>
      <c r="AE1625" s="405"/>
    </row>
    <row r="1626" spans="3:31" s="260" customFormat="1" ht="15.75" thickBot="1" x14ac:dyDescent="0.3">
      <c r="C1626" s="84"/>
      <c r="D1626" s="415"/>
      <c r="E1626" s="416"/>
      <c r="F1626" s="416"/>
      <c r="G1626" s="416"/>
      <c r="H1626" s="416"/>
      <c r="I1626" s="416"/>
      <c r="J1626" s="417"/>
      <c r="K1626" s="88"/>
      <c r="M1626" s="538" t="s">
        <v>115</v>
      </c>
      <c r="N1626" s="539"/>
      <c r="O1626" s="539"/>
      <c r="P1626" s="539"/>
      <c r="Q1626" s="539"/>
      <c r="R1626" s="539"/>
      <c r="S1626" s="539"/>
      <c r="T1626" s="539"/>
      <c r="U1626" s="539"/>
      <c r="V1626" s="540"/>
      <c r="Y1626" s="378"/>
      <c r="Z1626" s="121"/>
      <c r="AA1626" s="86"/>
      <c r="AB1626" s="409"/>
      <c r="AC1626" s="121"/>
      <c r="AD1626" s="94"/>
      <c r="AE1626" s="126"/>
    </row>
    <row r="1627" spans="3:31" s="260" customFormat="1" ht="15.75" thickBot="1" x14ac:dyDescent="0.3">
      <c r="C1627" s="84"/>
      <c r="D1627" s="375" t="s">
        <v>128</v>
      </c>
      <c r="E1627" s="376" t="s">
        <v>129</v>
      </c>
      <c r="F1627" s="376" t="s">
        <v>130</v>
      </c>
      <c r="G1627" s="376" t="s">
        <v>131</v>
      </c>
      <c r="H1627" s="376" t="s">
        <v>132</v>
      </c>
      <c r="I1627" s="376" t="s">
        <v>133</v>
      </c>
      <c r="J1627" s="377" t="s">
        <v>134</v>
      </c>
      <c r="K1627" s="88"/>
      <c r="M1627" s="99" t="s">
        <v>94</v>
      </c>
      <c r="N1627" s="98" t="s">
        <v>95</v>
      </c>
      <c r="O1627" s="95" t="s">
        <v>96</v>
      </c>
      <c r="P1627" s="359" t="s">
        <v>104</v>
      </c>
      <c r="Q1627" s="95" t="s">
        <v>116</v>
      </c>
      <c r="R1627" s="418" t="s">
        <v>117</v>
      </c>
      <c r="S1627" s="95" t="s">
        <v>347</v>
      </c>
      <c r="T1627" s="419" t="s">
        <v>118</v>
      </c>
      <c r="U1627" s="189" t="s">
        <v>119</v>
      </c>
      <c r="V1627" s="100" t="s">
        <v>98</v>
      </c>
      <c r="Y1627" s="383" t="s">
        <v>104</v>
      </c>
      <c r="Z1627" s="119" t="s">
        <v>9</v>
      </c>
      <c r="AA1627" s="86"/>
      <c r="AB1627" s="384"/>
      <c r="AC1627" s="385"/>
      <c r="AD1627" s="94"/>
      <c r="AE1627" s="410"/>
    </row>
    <row r="1628" spans="3:31" s="260" customFormat="1" ht="25.5" x14ac:dyDescent="0.25">
      <c r="C1628" s="84"/>
      <c r="D1628" s="354"/>
      <c r="E1628" s="96"/>
      <c r="F1628" s="96"/>
      <c r="G1628" s="96"/>
      <c r="H1628" s="96"/>
      <c r="I1628" s="96"/>
      <c r="J1628" s="420">
        <f>+F1625</f>
        <v>2.23</v>
      </c>
      <c r="K1628" s="88"/>
      <c r="M1628" s="102">
        <v>207</v>
      </c>
      <c r="N1628" s="347" t="str">
        <f>IFERROR(VLOOKUP(M1628,INSUMOS!$C$8:$K$928,2,0),"-----")</f>
        <v>Oficial Hidrosanitario</v>
      </c>
      <c r="O1628" s="78" t="str">
        <f>IFERROR(VLOOKUP(M1628,INSUMOS!$C$8:$K$928,3,0),"-----")</f>
        <v>JORNAL+PS</v>
      </c>
      <c r="P1628" s="80">
        <v>1</v>
      </c>
      <c r="Q1628" s="79">
        <v>25</v>
      </c>
      <c r="R1628" s="190">
        <f>IFERROR(VLOOKUP(M1628,INSUMOS!$C$8:$K$928,4,0),"-----")</f>
        <v>92983</v>
      </c>
      <c r="S1628" s="190">
        <f>IFERROR(VLOOKUP(M1628,INSUMOS!$C$8:$K$928,6,0),"-----")</f>
        <v>74386</v>
      </c>
      <c r="T1628" s="190">
        <f>IFERROR(VLOOKUP(M1628,INSUMOS!$C$8:$K$928,5,0),"-----")</f>
        <v>0</v>
      </c>
      <c r="U1628" s="388">
        <f>SUM(R1628:T1628)</f>
        <v>167369</v>
      </c>
      <c r="V1628" s="82">
        <f>+IFERROR((P1628/Q1628)*U1628,0)</f>
        <v>6694.76</v>
      </c>
      <c r="Y1628" s="393">
        <f>+IFERROR((Y1598/Q1628*P1628),0)</f>
        <v>0.32</v>
      </c>
      <c r="Z1628" s="391">
        <f>Y1598*V1628</f>
        <v>53558.080000000002</v>
      </c>
      <c r="AA1628" s="86"/>
      <c r="AB1628" s="92">
        <f>+(U1628)*Y1628</f>
        <v>53558.080000000002</v>
      </c>
      <c r="AC1628" s="93">
        <f>+AB1628-Z1628</f>
        <v>0</v>
      </c>
      <c r="AD1628" s="421"/>
      <c r="AE1628" s="410" t="str">
        <f>+IF(V1628=0,"CERO","NO")</f>
        <v>NO</v>
      </c>
    </row>
    <row r="1629" spans="3:31" s="260" customFormat="1" ht="15.75" thickBot="1" x14ac:dyDescent="0.3">
      <c r="C1629" s="84"/>
      <c r="D1629" s="355"/>
      <c r="E1629" s="367"/>
      <c r="F1629" s="367"/>
      <c r="G1629" s="367"/>
      <c r="H1629" s="367"/>
      <c r="I1629" s="367"/>
      <c r="J1629" s="422">
        <f>+J1628</f>
        <v>2.23</v>
      </c>
      <c r="K1629" s="88"/>
      <c r="M1629" s="102"/>
      <c r="N1629" s="347" t="str">
        <f>IFERROR(VLOOKUP(M1629,INSUMOS!$C$8:$K$928,2,0),"-----")</f>
        <v>-----</v>
      </c>
      <c r="O1629" s="78" t="str">
        <f>IFERROR(VLOOKUP(M1629,INSUMOS!$C$8:$K$928,3,0),"-----")</f>
        <v>-----</v>
      </c>
      <c r="P1629" s="80"/>
      <c r="Q1629" s="79"/>
      <c r="R1629" s="190" t="str">
        <f>IFERROR(VLOOKUP(M1629,INSUMOS!$C$8:$K$928,4,0),"-----")</f>
        <v>-----</v>
      </c>
      <c r="S1629" s="190" t="str">
        <f>IFERROR(VLOOKUP(M1629,INSUMOS!$C$8:$K$928,6,0),"-----")</f>
        <v>-----</v>
      </c>
      <c r="T1629" s="190" t="str">
        <f>IFERROR(VLOOKUP(M1629,INSUMOS!$C$8:$K$928,5,0),"-----")</f>
        <v>-----</v>
      </c>
      <c r="U1629" s="388">
        <f>SUM(R1629:T1629)</f>
        <v>0</v>
      </c>
      <c r="V1629" s="82">
        <f>+IFERROR((P1629/Q1629)*U1629,0)</f>
        <v>0</v>
      </c>
      <c r="Y1629" s="393">
        <f>+IFERROR((Y1598/Q1629*P1629),0)</f>
        <v>0</v>
      </c>
      <c r="Z1629" s="391">
        <f>Y1598*V1629</f>
        <v>0</v>
      </c>
      <c r="AA1629" s="86"/>
      <c r="AB1629" s="92">
        <f>+U1629*Y1629</f>
        <v>0</v>
      </c>
      <c r="AC1629" s="93">
        <f>+AB1629-Z1629</f>
        <v>0</v>
      </c>
      <c r="AD1629" s="94"/>
      <c r="AE1629" s="410" t="str">
        <f>+IF(V1629=0,"CERO","NO")</f>
        <v>CERO</v>
      </c>
    </row>
    <row r="1630" spans="3:31" s="260" customFormat="1" ht="15.75" thickBot="1" x14ac:dyDescent="0.3">
      <c r="C1630" s="84"/>
      <c r="D1630" s="380"/>
      <c r="E1630" s="381"/>
      <c r="F1630" s="381"/>
      <c r="G1630" s="381"/>
      <c r="H1630" s="381"/>
      <c r="I1630" s="381"/>
      <c r="J1630" s="382"/>
      <c r="K1630" s="88"/>
      <c r="M1630" s="102">
        <v>0</v>
      </c>
      <c r="N1630" s="347"/>
      <c r="O1630" s="79"/>
      <c r="P1630" s="423"/>
      <c r="Q1630" s="81"/>
      <c r="R1630" s="111"/>
      <c r="S1630" s="357"/>
      <c r="T1630" s="111"/>
      <c r="U1630" s="388"/>
      <c r="V1630" s="426"/>
      <c r="Y1630" s="393">
        <f>+IFERROR((Y1598/Q1630*P1630),0)</f>
        <v>0</v>
      </c>
      <c r="Z1630" s="391">
        <f>Y1598*V1630</f>
        <v>0</v>
      </c>
      <c r="AA1630" s="86"/>
      <c r="AB1630" s="92">
        <f>+(U1630)*Y1630*P1630</f>
        <v>0</v>
      </c>
      <c r="AC1630" s="93">
        <f>+AB1630-Z1630</f>
        <v>0</v>
      </c>
      <c r="AD1630" s="94"/>
      <c r="AE1630" s="410" t="str">
        <f>+IF(V1630=0,"CERO","NO")</f>
        <v>CERO</v>
      </c>
    </row>
    <row r="1631" spans="3:31" s="260" customFormat="1" ht="15.75" thickBot="1" x14ac:dyDescent="0.3">
      <c r="C1631" s="84"/>
      <c r="D1631" s="375" t="s">
        <v>128</v>
      </c>
      <c r="E1631" s="376" t="s">
        <v>129</v>
      </c>
      <c r="F1631" s="376" t="s">
        <v>130</v>
      </c>
      <c r="G1631" s="376" t="s">
        <v>131</v>
      </c>
      <c r="H1631" s="376" t="s">
        <v>132</v>
      </c>
      <c r="I1631" s="376" t="s">
        <v>133</v>
      </c>
      <c r="J1631" s="377" t="s">
        <v>134</v>
      </c>
      <c r="K1631" s="88"/>
      <c r="M1631" s="534"/>
      <c r="N1631" s="536" t="s">
        <v>120</v>
      </c>
      <c r="O1631" s="536"/>
      <c r="P1631" s="536"/>
      <c r="Q1631" s="536"/>
      <c r="R1631" s="536"/>
      <c r="S1631" s="536"/>
      <c r="T1631" s="536"/>
      <c r="U1631" s="536"/>
      <c r="V1631" s="82">
        <f>+SUM(V1628:V1630)</f>
        <v>6694.76</v>
      </c>
      <c r="Y1631" s="398" t="s">
        <v>135</v>
      </c>
      <c r="Z1631" s="397">
        <f>+SUM(Z1628:Z1630)</f>
        <v>53558.080000000002</v>
      </c>
      <c r="AA1631" s="86"/>
      <c r="AB1631" s="384"/>
      <c r="AC1631" s="385"/>
      <c r="AD1631" s="94"/>
      <c r="AE1631" s="399"/>
    </row>
    <row r="1632" spans="3:31" s="260" customFormat="1" ht="15.75" thickBot="1" x14ac:dyDescent="0.3">
      <c r="C1632" s="84"/>
      <c r="D1632" s="354"/>
      <c r="E1632" s="96"/>
      <c r="F1632" s="96"/>
      <c r="G1632" s="107">
        <f>+F1625</f>
        <v>2.23</v>
      </c>
      <c r="H1632" s="96"/>
      <c r="I1632" s="96"/>
      <c r="J1632" s="427"/>
      <c r="K1632" s="88"/>
      <c r="M1632" s="535"/>
      <c r="N1632" s="537" t="s">
        <v>121</v>
      </c>
      <c r="O1632" s="537"/>
      <c r="P1632" s="537"/>
      <c r="Q1632" s="537"/>
      <c r="R1632" s="537"/>
      <c r="S1632" s="537"/>
      <c r="T1632" s="537"/>
      <c r="U1632" s="537"/>
      <c r="V1632" s="413">
        <f>+ROUND(V1631,$AA$5)</f>
        <v>6694.76</v>
      </c>
      <c r="Y1632" s="401" t="s">
        <v>136</v>
      </c>
      <c r="Z1632" s="402">
        <f>+ROUND(Z1631,$AA$5)</f>
        <v>53558.080000000002</v>
      </c>
      <c r="AA1632" s="86"/>
      <c r="AB1632" s="403">
        <f>+V1632*Y1598</f>
        <v>53558.080000000002</v>
      </c>
      <c r="AC1632" s="404">
        <f>+AB1632-Z1632</f>
        <v>0</v>
      </c>
      <c r="AD1632" s="94"/>
      <c r="AE1632" s="405"/>
    </row>
    <row r="1633" spans="3:31" s="260" customFormat="1" ht="15.75" thickBot="1" x14ac:dyDescent="0.3">
      <c r="C1633" s="84"/>
      <c r="D1633" s="375" t="s">
        <v>128</v>
      </c>
      <c r="E1633" s="376" t="s">
        <v>129</v>
      </c>
      <c r="F1633" s="376" t="s">
        <v>130</v>
      </c>
      <c r="G1633" s="376" t="s">
        <v>131</v>
      </c>
      <c r="H1633" s="376" t="s">
        <v>132</v>
      </c>
      <c r="I1633" s="376" t="s">
        <v>133</v>
      </c>
      <c r="J1633" s="377" t="s">
        <v>134</v>
      </c>
      <c r="K1633" s="88"/>
      <c r="M1633" s="541"/>
      <c r="N1633" s="542"/>
      <c r="O1633" s="542"/>
      <c r="P1633" s="542"/>
      <c r="Q1633" s="542"/>
      <c r="R1633" s="542"/>
      <c r="S1633" s="542"/>
      <c r="T1633" s="542"/>
      <c r="U1633" s="542"/>
      <c r="V1633" s="543"/>
      <c r="Y1633" s="378"/>
      <c r="Z1633" s="121"/>
      <c r="AA1633" s="86"/>
      <c r="AB1633" s="409"/>
      <c r="AC1633" s="121"/>
      <c r="AD1633" s="94"/>
      <c r="AE1633" s="428"/>
    </row>
    <row r="1634" spans="3:31" s="260" customFormat="1" ht="15.75" thickBot="1" x14ac:dyDescent="0.3">
      <c r="C1634" s="84"/>
      <c r="D1634" s="355"/>
      <c r="E1634" s="367"/>
      <c r="F1634" s="367"/>
      <c r="G1634" s="367"/>
      <c r="H1634" s="412">
        <f>G1632</f>
        <v>2.23</v>
      </c>
      <c r="I1634" s="412"/>
      <c r="J1634" s="422"/>
      <c r="K1634" s="88"/>
      <c r="M1634" s="544" t="s">
        <v>122</v>
      </c>
      <c r="N1634" s="537"/>
      <c r="O1634" s="537"/>
      <c r="P1634" s="537"/>
      <c r="Q1634" s="537"/>
      <c r="R1634" s="537"/>
      <c r="S1634" s="537"/>
      <c r="T1634" s="537"/>
      <c r="U1634" s="545">
        <f>+V1632+V1625+V1617+V1608</f>
        <v>53627.040000000001</v>
      </c>
      <c r="V1634" s="546"/>
      <c r="Y1634" s="429"/>
      <c r="Z1634" s="430">
        <f>+Z1632+Z1625+Z1617+Z1608</f>
        <v>429016.28</v>
      </c>
      <c r="AA1634" s="86"/>
      <c r="AB1634" s="431">
        <f>+AB1632+AB1625+AB1617+AB1608</f>
        <v>429016.32000000001</v>
      </c>
      <c r="AC1634" s="404">
        <f>+AB1634-Z1634</f>
        <v>3.9999999979045242E-2</v>
      </c>
      <c r="AD1634" s="94"/>
      <c r="AE1634" s="432"/>
    </row>
    <row r="1635" spans="3:31" s="260" customFormat="1" ht="15.75" thickBot="1" x14ac:dyDescent="0.3"/>
    <row r="1636" spans="3:31" s="260" customFormat="1" x14ac:dyDescent="0.25">
      <c r="M1636" s="547" t="s">
        <v>348</v>
      </c>
      <c r="N1636" s="548"/>
      <c r="O1636" s="548"/>
      <c r="P1636" s="548"/>
      <c r="Q1636" s="548"/>
      <c r="R1636" s="548"/>
      <c r="S1636" s="548"/>
      <c r="T1636" s="548"/>
      <c r="U1636" s="548"/>
      <c r="V1636" s="549"/>
      <c r="Y1636" s="378"/>
      <c r="Z1636" s="121"/>
      <c r="AA1636" s="86"/>
      <c r="AB1636" s="94"/>
      <c r="AC1636" s="94"/>
      <c r="AD1636" s="94"/>
      <c r="AE1636" s="126" t="s">
        <v>133</v>
      </c>
    </row>
    <row r="1637" spans="3:31" s="260" customFormat="1" x14ac:dyDescent="0.25">
      <c r="M1637" s="515" t="s">
        <v>138</v>
      </c>
      <c r="N1637" s="516"/>
      <c r="O1637" s="516"/>
      <c r="P1637" s="516"/>
      <c r="Q1637" s="516"/>
      <c r="R1637" s="516"/>
      <c r="S1637" s="516"/>
      <c r="T1637" s="437">
        <v>0</v>
      </c>
      <c r="U1637" s="517">
        <f>+ROUND(U1634*T1637,$AA$5)</f>
        <v>0</v>
      </c>
      <c r="V1637" s="518"/>
      <c r="Y1637" s="390"/>
      <c r="Z1637" s="438">
        <f>+Z1634*T1637</f>
        <v>0</v>
      </c>
      <c r="AA1637" s="86"/>
      <c r="AB1637" s="94"/>
      <c r="AC1637" s="94"/>
      <c r="AD1637" s="94"/>
      <c r="AE1637" s="386" t="s">
        <v>133</v>
      </c>
    </row>
    <row r="1638" spans="3:31" s="260" customFormat="1" x14ac:dyDescent="0.25">
      <c r="M1638" s="515" t="s">
        <v>19</v>
      </c>
      <c r="N1638" s="516"/>
      <c r="O1638" s="516"/>
      <c r="P1638" s="516"/>
      <c r="Q1638" s="516"/>
      <c r="R1638" s="516"/>
      <c r="S1638" s="516"/>
      <c r="T1638" s="437">
        <v>0.05</v>
      </c>
      <c r="U1638" s="517">
        <f>+ROUND(U1634*T1638,$AA$5)</f>
        <v>2681.35</v>
      </c>
      <c r="V1638" s="518"/>
      <c r="Y1638" s="390"/>
      <c r="Z1638" s="438">
        <f>+Z1634*T1638</f>
        <v>21450.814000000002</v>
      </c>
      <c r="AA1638" s="86"/>
      <c r="AB1638" s="94"/>
      <c r="AC1638" s="94"/>
      <c r="AD1638" s="94"/>
      <c r="AE1638" s="386" t="s">
        <v>133</v>
      </c>
    </row>
    <row r="1639" spans="3:31" s="260" customFormat="1" x14ac:dyDescent="0.25">
      <c r="M1639" s="515" t="s">
        <v>20</v>
      </c>
      <c r="N1639" s="516"/>
      <c r="O1639" s="516"/>
      <c r="P1639" s="516"/>
      <c r="Q1639" s="516"/>
      <c r="R1639" s="516"/>
      <c r="S1639" s="516"/>
      <c r="T1639" s="437">
        <v>0</v>
      </c>
      <c r="U1639" s="517">
        <f>+ROUND(U1634*T1639,$AA$5)</f>
        <v>0</v>
      </c>
      <c r="V1639" s="518"/>
      <c r="Y1639" s="390"/>
      <c r="Z1639" s="438">
        <f>+Z1634*T1639</f>
        <v>0</v>
      </c>
      <c r="AA1639" s="86"/>
      <c r="AB1639" s="94"/>
      <c r="AC1639" s="94"/>
      <c r="AD1639" s="94"/>
      <c r="AE1639" s="386" t="s">
        <v>133</v>
      </c>
    </row>
    <row r="1640" spans="3:31" s="260" customFormat="1" x14ac:dyDescent="0.25">
      <c r="M1640" s="515" t="s">
        <v>21</v>
      </c>
      <c r="N1640" s="516"/>
      <c r="O1640" s="516"/>
      <c r="P1640" s="516"/>
      <c r="Q1640" s="516"/>
      <c r="R1640" s="516"/>
      <c r="S1640" s="516"/>
      <c r="T1640" s="437">
        <f>$AA$9</f>
        <v>0</v>
      </c>
      <c r="U1640" s="517">
        <f>+ROUND(U1634*T1640,$AA$5)</f>
        <v>0</v>
      </c>
      <c r="V1640" s="518"/>
      <c r="Y1640" s="390"/>
      <c r="Z1640" s="438">
        <f>+Z1639*T1640</f>
        <v>0</v>
      </c>
      <c r="AA1640" s="86"/>
      <c r="AB1640" s="94"/>
      <c r="AC1640" s="94"/>
      <c r="AD1640" s="94"/>
      <c r="AE1640" s="386" t="s">
        <v>133</v>
      </c>
    </row>
    <row r="1641" spans="3:31" s="260" customFormat="1" ht="15.75" thickBot="1" x14ac:dyDescent="0.3">
      <c r="M1641" s="519" t="s">
        <v>349</v>
      </c>
      <c r="N1641" s="520"/>
      <c r="O1641" s="520"/>
      <c r="P1641" s="520"/>
      <c r="Q1641" s="520"/>
      <c r="R1641" s="520"/>
      <c r="S1641" s="520"/>
      <c r="T1641" s="520"/>
      <c r="U1641" s="521">
        <f>+SUM(U1637:V1640)</f>
        <v>2681.35</v>
      </c>
      <c r="V1641" s="522"/>
      <c r="Y1641" s="390"/>
      <c r="Z1641" s="439">
        <f>+SUM(Z1637:Z1640)</f>
        <v>21450.814000000002</v>
      </c>
      <c r="AA1641" s="86"/>
      <c r="AB1641" s="94"/>
      <c r="AC1641" s="94"/>
      <c r="AD1641" s="94"/>
      <c r="AE1641" s="386" t="s">
        <v>133</v>
      </c>
    </row>
    <row r="1642" spans="3:31" s="260" customFormat="1" ht="15.75" thickBot="1" x14ac:dyDescent="0.3">
      <c r="D1642" s="375" t="s">
        <v>128</v>
      </c>
      <c r="E1642" s="376" t="s">
        <v>129</v>
      </c>
      <c r="F1642" s="376" t="s">
        <v>130</v>
      </c>
      <c r="G1642" s="376" t="s">
        <v>131</v>
      </c>
      <c r="H1642" s="376" t="s">
        <v>132</v>
      </c>
      <c r="I1642" s="376" t="s">
        <v>133</v>
      </c>
      <c r="J1642" s="377" t="s">
        <v>134</v>
      </c>
      <c r="M1642" s="86"/>
      <c r="N1642" s="94"/>
      <c r="O1642" s="94"/>
      <c r="P1642" s="94"/>
      <c r="Q1642" s="86"/>
      <c r="R1642" s="86"/>
      <c r="S1642" s="86"/>
      <c r="T1642" s="440"/>
      <c r="U1642" s="523"/>
      <c r="V1642" s="523"/>
      <c r="Y1642" s="390"/>
      <c r="Z1642" s="385"/>
      <c r="AA1642" s="86"/>
      <c r="AB1642" s="94"/>
      <c r="AC1642" s="94"/>
      <c r="AD1642" s="94"/>
      <c r="AE1642" s="386" t="s">
        <v>133</v>
      </c>
    </row>
    <row r="1643" spans="3:31" s="260" customFormat="1" ht="15.75" thickBot="1" x14ac:dyDescent="0.3">
      <c r="D1643" s="355"/>
      <c r="E1643" s="367"/>
      <c r="F1643" s="367"/>
      <c r="G1643" s="367"/>
      <c r="H1643" s="412"/>
      <c r="I1643" s="412">
        <f>H1634</f>
        <v>2.23</v>
      </c>
      <c r="J1643" s="422"/>
      <c r="M1643" s="524" t="s">
        <v>11</v>
      </c>
      <c r="N1643" s="525"/>
      <c r="O1643" s="525"/>
      <c r="P1643" s="525"/>
      <c r="Q1643" s="525"/>
      <c r="R1643" s="525"/>
      <c r="S1643" s="525"/>
      <c r="T1643" s="526"/>
      <c r="U1643" s="527">
        <f>+U1641+U1634</f>
        <v>56308.39</v>
      </c>
      <c r="V1643" s="528"/>
      <c r="Y1643" s="429"/>
      <c r="Z1643" s="441">
        <f>+Z1641+Z1634</f>
        <v>450467.09400000004</v>
      </c>
      <c r="AA1643" s="86"/>
      <c r="AB1643" s="94"/>
      <c r="AC1643" s="94"/>
      <c r="AD1643" s="94"/>
      <c r="AE1643" s="405" t="s">
        <v>133</v>
      </c>
    </row>
    <row r="1644" spans="3:31" s="260" customFormat="1" x14ac:dyDescent="0.25"/>
    <row r="1645" spans="3:31" s="260" customFormat="1" ht="15.75" thickBot="1" x14ac:dyDescent="0.3"/>
    <row r="1646" spans="3:31" s="260" customFormat="1" ht="15.75" thickBot="1" x14ac:dyDescent="0.3">
      <c r="M1646" s="363" t="s">
        <v>88</v>
      </c>
      <c r="N1646" s="436" t="str">
        <f>+N1597</f>
        <v>CAP.2</v>
      </c>
      <c r="O1646" s="550" t="str">
        <f>IFERROR(VLOOKUP(N1646,PPTO!C:H,2,0),"----")</f>
        <v>RED HIDRAULICA</v>
      </c>
      <c r="P1646" s="551"/>
      <c r="Q1646" s="551"/>
      <c r="R1646" s="551"/>
      <c r="S1646" s="551"/>
      <c r="T1646" s="551"/>
      <c r="U1646" s="552"/>
      <c r="V1646" s="74" t="s">
        <v>91</v>
      </c>
      <c r="Y1646" s="365" t="s">
        <v>104</v>
      </c>
      <c r="Z1646" s="94"/>
      <c r="AA1646" s="188"/>
      <c r="AB1646" s="553"/>
      <c r="AC1646" s="553"/>
      <c r="AD1646" s="553"/>
      <c r="AE1646" s="94"/>
    </row>
    <row r="1647" spans="3:31" s="260" customFormat="1" ht="15.75" thickBot="1" x14ac:dyDescent="0.3">
      <c r="C1647" s="369">
        <f>+N1647</f>
        <v>2.2400000000000002</v>
      </c>
      <c r="D1647" s="86"/>
      <c r="E1647" s="86"/>
      <c r="F1647" s="86"/>
      <c r="G1647" s="86"/>
      <c r="H1647" s="86"/>
      <c r="I1647" s="86"/>
      <c r="J1647" s="86"/>
      <c r="K1647" s="370"/>
      <c r="M1647" s="75" t="s">
        <v>92</v>
      </c>
      <c r="N1647" s="371">
        <f>+ROUNDUP(N1598+0.01,2)</f>
        <v>2.2400000000000002</v>
      </c>
      <c r="O1647" s="554" t="str">
        <f>IFERROR(VLOOKUP(N1647,PPTO!C:H,2,0),"----")</f>
        <v>Valvula antirretorno Ø2"</v>
      </c>
      <c r="P1647" s="555"/>
      <c r="Q1647" s="555"/>
      <c r="R1647" s="555"/>
      <c r="S1647" s="555"/>
      <c r="T1647" s="555"/>
      <c r="U1647" s="556"/>
      <c r="V1647" s="76" t="str">
        <f>IFERROR(VLOOKUP(N1647,PPTO!C:H,3,0),"----")</f>
        <v>UND</v>
      </c>
      <c r="Y1647" s="373">
        <f>SUMIFS(PPTO!F:F,PPTO!C:C,APUS!N1647)</f>
        <v>3</v>
      </c>
      <c r="Z1647" s="94"/>
      <c r="AA1647" s="86"/>
      <c r="AB1647" s="94"/>
      <c r="AC1647" s="94"/>
      <c r="AD1647" s="94"/>
      <c r="AE1647" s="94"/>
    </row>
    <row r="1648" spans="3:31" s="260" customFormat="1" ht="15.75" thickBot="1" x14ac:dyDescent="0.3">
      <c r="C1648" s="84"/>
      <c r="D1648" s="86"/>
      <c r="E1648" s="86"/>
      <c r="F1648" s="86"/>
      <c r="G1648" s="86"/>
      <c r="H1648" s="86"/>
      <c r="I1648" s="86"/>
      <c r="J1648" s="86"/>
      <c r="K1648" s="88"/>
      <c r="M1648" s="557"/>
      <c r="N1648" s="557"/>
      <c r="O1648" s="557"/>
      <c r="P1648" s="557"/>
      <c r="Q1648" s="557"/>
      <c r="R1648" s="557"/>
      <c r="S1648" s="557"/>
      <c r="T1648" s="557"/>
      <c r="U1648" s="557"/>
      <c r="V1648" s="557"/>
      <c r="Y1648" s="374"/>
      <c r="Z1648" s="94"/>
      <c r="AA1648" s="86"/>
      <c r="AB1648" s="94"/>
      <c r="AC1648" s="94"/>
      <c r="AD1648" s="94"/>
      <c r="AE1648" s="94"/>
    </row>
    <row r="1649" spans="3:31" s="260" customFormat="1" ht="15.75" thickBot="1" x14ac:dyDescent="0.3">
      <c r="C1649" s="84"/>
      <c r="D1649" s="375" t="s">
        <v>128</v>
      </c>
      <c r="E1649" s="376" t="s">
        <v>129</v>
      </c>
      <c r="F1649" s="376" t="s">
        <v>130</v>
      </c>
      <c r="G1649" s="376" t="s">
        <v>131</v>
      </c>
      <c r="H1649" s="376" t="s">
        <v>132</v>
      </c>
      <c r="I1649" s="376" t="s">
        <v>133</v>
      </c>
      <c r="J1649" s="377" t="s">
        <v>134</v>
      </c>
      <c r="K1649" s="88"/>
      <c r="M1649" s="558" t="s">
        <v>93</v>
      </c>
      <c r="N1649" s="559"/>
      <c r="O1649" s="559"/>
      <c r="P1649" s="559"/>
      <c r="Q1649" s="559"/>
      <c r="R1649" s="559"/>
      <c r="S1649" s="559"/>
      <c r="T1649" s="559"/>
      <c r="U1649" s="559"/>
      <c r="V1649" s="560"/>
      <c r="Y1649" s="378"/>
      <c r="Z1649" s="121"/>
      <c r="AA1649" s="86"/>
      <c r="AB1649" s="513"/>
      <c r="AC1649" s="514"/>
      <c r="AD1649" s="94"/>
      <c r="AE1649" s="379"/>
    </row>
    <row r="1650" spans="3:31" s="260" customFormat="1" x14ac:dyDescent="0.25">
      <c r="C1650" s="84"/>
      <c r="D1650" s="380"/>
      <c r="E1650" s="381"/>
      <c r="F1650" s="381"/>
      <c r="G1650" s="381"/>
      <c r="H1650" s="381"/>
      <c r="I1650" s="381"/>
      <c r="J1650" s="382"/>
      <c r="K1650" s="88"/>
      <c r="M1650" s="99" t="s">
        <v>94</v>
      </c>
      <c r="N1650" s="561" t="s">
        <v>95</v>
      </c>
      <c r="O1650" s="561"/>
      <c r="P1650" s="561"/>
      <c r="Q1650" s="561"/>
      <c r="R1650" s="95" t="s">
        <v>96</v>
      </c>
      <c r="S1650" s="95" t="s">
        <v>97</v>
      </c>
      <c r="T1650" s="562" t="s">
        <v>8</v>
      </c>
      <c r="U1650" s="562"/>
      <c r="V1650" s="100" t="s">
        <v>98</v>
      </c>
      <c r="Y1650" s="383" t="s">
        <v>104</v>
      </c>
      <c r="Z1650" s="119" t="s">
        <v>9</v>
      </c>
      <c r="AA1650" s="86"/>
      <c r="AB1650" s="384"/>
      <c r="AC1650" s="385"/>
      <c r="AD1650" s="94"/>
      <c r="AE1650" s="386"/>
    </row>
    <row r="1651" spans="3:31" s="260" customFormat="1" x14ac:dyDescent="0.25">
      <c r="C1651" s="84"/>
      <c r="D1651" s="85"/>
      <c r="E1651" s="86"/>
      <c r="F1651" s="86"/>
      <c r="G1651" s="86"/>
      <c r="H1651" s="86"/>
      <c r="I1651" s="86"/>
      <c r="J1651" s="87"/>
      <c r="K1651" s="88"/>
      <c r="M1651" s="102"/>
      <c r="N1651" s="533" t="s">
        <v>99</v>
      </c>
      <c r="O1651" s="533"/>
      <c r="P1651" s="533"/>
      <c r="Q1651" s="533"/>
      <c r="R1651" s="78" t="s">
        <v>100</v>
      </c>
      <c r="S1651" s="387">
        <f>+$AA$10</f>
        <v>0.05</v>
      </c>
      <c r="T1651" s="563">
        <f>V1681</f>
        <v>8368.4500000000007</v>
      </c>
      <c r="U1651" s="563"/>
      <c r="V1651" s="389">
        <f>+IFERROR(T1651*S1651,0)</f>
        <v>418.42250000000007</v>
      </c>
      <c r="Y1651" s="390"/>
      <c r="Z1651" s="391">
        <f>Y1647*V1651</f>
        <v>1255.2675000000002</v>
      </c>
      <c r="AA1651" s="86"/>
      <c r="AB1651" s="384"/>
      <c r="AC1651" s="385"/>
      <c r="AD1651" s="94"/>
      <c r="AE1651" s="386" t="str">
        <f>+IF(V1651=0,"CERO","NO")</f>
        <v>NO</v>
      </c>
    </row>
    <row r="1652" spans="3:31" s="260" customFormat="1" x14ac:dyDescent="0.25">
      <c r="C1652" s="84"/>
      <c r="D1652" s="85"/>
      <c r="E1652" s="86"/>
      <c r="F1652" s="86"/>
      <c r="G1652" s="86"/>
      <c r="H1652" s="86"/>
      <c r="I1652" s="86"/>
      <c r="J1652" s="87"/>
      <c r="K1652" s="88"/>
      <c r="M1652" s="106"/>
      <c r="N1652" s="533" t="str">
        <f>IFERROR(VLOOKUP(M1652,INSUMOS!$C$8:$K$928,2,0),"-----")</f>
        <v>-----</v>
      </c>
      <c r="O1652" s="533"/>
      <c r="P1652" s="533"/>
      <c r="Q1652" s="533"/>
      <c r="R1652" s="78" t="str">
        <f>IFERROR(VLOOKUP(M1652,INSUMOS!$C$8:$K$928,6,0),"-----")</f>
        <v>-----</v>
      </c>
      <c r="S1652" s="392"/>
      <c r="T1652" s="529" t="str">
        <f>IFERROR(VLOOKUP(M1652,INSUMOS!$C$8:$K$928,7,0),"0")</f>
        <v>0</v>
      </c>
      <c r="U1652" s="529"/>
      <c r="V1652" s="389">
        <f>+IFERROR(T1652*S1652,0)</f>
        <v>0</v>
      </c>
      <c r="Y1652" s="393">
        <f>+IFERROR(Y1647*S1652,0)</f>
        <v>0</v>
      </c>
      <c r="Z1652" s="391">
        <f>Y1647*V1652</f>
        <v>0</v>
      </c>
      <c r="AA1652" s="394"/>
      <c r="AB1652" s="395">
        <f>+Y1652*T1652</f>
        <v>0</v>
      </c>
      <c r="AC1652" s="93">
        <f>+AB1652-Z1652</f>
        <v>0</v>
      </c>
      <c r="AD1652" s="94"/>
      <c r="AE1652" s="386" t="str">
        <f>+IF(V1652=0,"CERO","NO")</f>
        <v>CERO</v>
      </c>
    </row>
    <row r="1653" spans="3:31" s="260" customFormat="1" x14ac:dyDescent="0.25">
      <c r="C1653" s="84"/>
      <c r="D1653" s="85"/>
      <c r="E1653" s="86"/>
      <c r="F1653" s="86"/>
      <c r="G1653" s="86"/>
      <c r="H1653" s="86"/>
      <c r="I1653" s="86"/>
      <c r="J1653" s="87"/>
      <c r="K1653" s="88"/>
      <c r="M1653" s="102">
        <v>0</v>
      </c>
      <c r="N1653" s="533"/>
      <c r="O1653" s="533"/>
      <c r="P1653" s="533"/>
      <c r="Q1653" s="533"/>
      <c r="R1653" s="78"/>
      <c r="S1653" s="396"/>
      <c r="T1653" s="529"/>
      <c r="U1653" s="529"/>
      <c r="V1653" s="397"/>
      <c r="Y1653" s="393">
        <f>+IFERROR(Y1647*S1653,0)</f>
        <v>0</v>
      </c>
      <c r="Z1653" s="391">
        <f>Y1647*V1653</f>
        <v>0</v>
      </c>
      <c r="AA1653" s="394"/>
      <c r="AB1653" s="395">
        <f>+Y1653*T1653</f>
        <v>0</v>
      </c>
      <c r="AC1653" s="93">
        <f>+AB1653-Z1653</f>
        <v>0</v>
      </c>
      <c r="AD1653" s="94"/>
      <c r="AE1653" s="386" t="str">
        <f>+IF(V1653=0,"CERO","NO")</f>
        <v>CERO</v>
      </c>
    </row>
    <row r="1654" spans="3:31" s="260" customFormat="1" x14ac:dyDescent="0.25">
      <c r="C1654" s="84"/>
      <c r="D1654" s="85"/>
      <c r="E1654" s="86"/>
      <c r="F1654" s="86"/>
      <c r="G1654" s="86"/>
      <c r="H1654" s="86"/>
      <c r="I1654" s="86"/>
      <c r="J1654" s="87"/>
      <c r="K1654" s="88"/>
      <c r="M1654" s="102">
        <v>0</v>
      </c>
      <c r="N1654" s="533"/>
      <c r="O1654" s="533"/>
      <c r="P1654" s="533"/>
      <c r="Q1654" s="533"/>
      <c r="R1654" s="78"/>
      <c r="S1654" s="396"/>
      <c r="T1654" s="529"/>
      <c r="U1654" s="529"/>
      <c r="V1654" s="397"/>
      <c r="Y1654" s="393">
        <f>+IFERROR(Y1647*S1654,0)</f>
        <v>0</v>
      </c>
      <c r="Z1654" s="391">
        <f>Y1647*V1654</f>
        <v>0</v>
      </c>
      <c r="AA1654" s="394"/>
      <c r="AB1654" s="395">
        <f>+Y1654*T1654</f>
        <v>0</v>
      </c>
      <c r="AC1654" s="93">
        <f>+AB1654-Z1654</f>
        <v>0</v>
      </c>
      <c r="AD1654" s="94"/>
      <c r="AE1654" s="386" t="str">
        <f>+IF(V1654=0,"CERO","NO")</f>
        <v>CERO</v>
      </c>
    </row>
    <row r="1655" spans="3:31" s="260" customFormat="1" ht="15.75" thickBot="1" x14ac:dyDescent="0.3">
      <c r="C1655" s="84"/>
      <c r="D1655" s="85"/>
      <c r="E1655" s="86"/>
      <c r="F1655" s="86"/>
      <c r="G1655" s="86"/>
      <c r="H1655" s="86"/>
      <c r="I1655" s="86"/>
      <c r="J1655" s="87"/>
      <c r="K1655" s="88"/>
      <c r="M1655" s="102">
        <v>0</v>
      </c>
      <c r="N1655" s="564"/>
      <c r="O1655" s="564"/>
      <c r="P1655" s="564"/>
      <c r="Q1655" s="564"/>
      <c r="R1655" s="96"/>
      <c r="S1655" s="96"/>
      <c r="T1655" s="565"/>
      <c r="U1655" s="565"/>
      <c r="V1655" s="101"/>
      <c r="Y1655" s="393">
        <f>+IFERROR(Y1647*S1655,0)</f>
        <v>0</v>
      </c>
      <c r="Z1655" s="391">
        <f>Y1647*V1655</f>
        <v>0</v>
      </c>
      <c r="AA1655" s="394"/>
      <c r="AB1655" s="395">
        <f>+Y1655*T1655</f>
        <v>0</v>
      </c>
      <c r="AC1655" s="93">
        <f>+AB1655-Z1655</f>
        <v>0</v>
      </c>
      <c r="AD1655" s="94"/>
      <c r="AE1655" s="386" t="str">
        <f>+IF(V1655=0,"CERO","NO")</f>
        <v>CERO</v>
      </c>
    </row>
    <row r="1656" spans="3:31" s="260" customFormat="1" ht="15.75" thickBot="1" x14ac:dyDescent="0.3">
      <c r="C1656" s="84"/>
      <c r="D1656" s="375" t="s">
        <v>128</v>
      </c>
      <c r="E1656" s="376" t="s">
        <v>129</v>
      </c>
      <c r="F1656" s="376" t="s">
        <v>130</v>
      </c>
      <c r="G1656" s="376" t="s">
        <v>131</v>
      </c>
      <c r="H1656" s="376" t="s">
        <v>132</v>
      </c>
      <c r="I1656" s="376" t="s">
        <v>133</v>
      </c>
      <c r="J1656" s="377" t="s">
        <v>134</v>
      </c>
      <c r="K1656" s="88"/>
      <c r="M1656" s="534"/>
      <c r="N1656" s="536" t="s">
        <v>101</v>
      </c>
      <c r="O1656" s="536"/>
      <c r="P1656" s="536"/>
      <c r="Q1656" s="536"/>
      <c r="R1656" s="536"/>
      <c r="S1656" s="536"/>
      <c r="T1656" s="536"/>
      <c r="U1656" s="536"/>
      <c r="V1656" s="389">
        <f>+SUM(V1651:V1655)</f>
        <v>418.42250000000007</v>
      </c>
      <c r="Y1656" s="398" t="s">
        <v>135</v>
      </c>
      <c r="Z1656" s="397">
        <f>+SUM(Z1651:Z1655)</f>
        <v>1255.2675000000002</v>
      </c>
      <c r="AA1656" s="86"/>
      <c r="AB1656" s="384"/>
      <c r="AC1656" s="385"/>
      <c r="AD1656" s="94"/>
      <c r="AE1656" s="399"/>
    </row>
    <row r="1657" spans="3:31" s="260" customFormat="1" ht="15.75" thickBot="1" x14ac:dyDescent="0.3">
      <c r="C1657" s="84"/>
      <c r="D1657" s="375">
        <f>C1647</f>
        <v>2.2400000000000002</v>
      </c>
      <c r="E1657" s="376"/>
      <c r="F1657" s="376"/>
      <c r="G1657" s="376"/>
      <c r="H1657" s="376"/>
      <c r="I1657" s="376"/>
      <c r="J1657" s="377"/>
      <c r="K1657" s="88"/>
      <c r="M1657" s="566"/>
      <c r="N1657" s="567" t="s">
        <v>102</v>
      </c>
      <c r="O1657" s="567"/>
      <c r="P1657" s="567"/>
      <c r="Q1657" s="567"/>
      <c r="R1657" s="567"/>
      <c r="S1657" s="567"/>
      <c r="T1657" s="567"/>
      <c r="U1657" s="567"/>
      <c r="V1657" s="400">
        <f>+ROUND(V1656,$AA$5)</f>
        <v>418.42</v>
      </c>
      <c r="Y1657" s="401" t="s">
        <v>136</v>
      </c>
      <c r="Z1657" s="402">
        <f>+ROUND(Z1656,$AA$5)</f>
        <v>1255.27</v>
      </c>
      <c r="AA1657" s="86"/>
      <c r="AB1657" s="403">
        <f>+V1657*Y1647</f>
        <v>1255.26</v>
      </c>
      <c r="AC1657" s="404">
        <f>+AB1657-Z1657</f>
        <v>-9.9999999999909051E-3</v>
      </c>
      <c r="AD1657" s="94"/>
      <c r="AE1657" s="405"/>
    </row>
    <row r="1658" spans="3:31" s="260" customFormat="1" x14ac:dyDescent="0.25">
      <c r="C1658" s="84"/>
      <c r="D1658" s="380"/>
      <c r="E1658" s="381"/>
      <c r="F1658" s="381"/>
      <c r="G1658" s="381"/>
      <c r="H1658" s="381"/>
      <c r="I1658" s="381"/>
      <c r="J1658" s="382"/>
      <c r="K1658" s="88"/>
      <c r="M1658" s="510" t="s">
        <v>103</v>
      </c>
      <c r="N1658" s="511"/>
      <c r="O1658" s="511"/>
      <c r="P1658" s="511"/>
      <c r="Q1658" s="511"/>
      <c r="R1658" s="511"/>
      <c r="S1658" s="511"/>
      <c r="T1658" s="511"/>
      <c r="U1658" s="511"/>
      <c r="V1658" s="512"/>
      <c r="Y1658" s="378"/>
      <c r="Z1658" s="121"/>
      <c r="AA1658" s="86"/>
      <c r="AB1658" s="513"/>
      <c r="AC1658" s="514"/>
      <c r="AD1658" s="94"/>
      <c r="AE1658" s="126"/>
    </row>
    <row r="1659" spans="3:31" s="260" customFormat="1" x14ac:dyDescent="0.25">
      <c r="C1659" s="84"/>
      <c r="D1659" s="85"/>
      <c r="E1659" s="86"/>
      <c r="F1659" s="86"/>
      <c r="G1659" s="86"/>
      <c r="H1659" s="86"/>
      <c r="I1659" s="86"/>
      <c r="J1659" s="87"/>
      <c r="K1659" s="88"/>
      <c r="M1659" s="99" t="s">
        <v>94</v>
      </c>
      <c r="N1659" s="561" t="s">
        <v>95</v>
      </c>
      <c r="O1659" s="561"/>
      <c r="P1659" s="561"/>
      <c r="Q1659" s="561"/>
      <c r="R1659" s="95" t="s">
        <v>96</v>
      </c>
      <c r="S1659" s="95" t="s">
        <v>104</v>
      </c>
      <c r="T1659" s="356" t="s">
        <v>105</v>
      </c>
      <c r="U1659" s="356" t="s">
        <v>8</v>
      </c>
      <c r="V1659" s="100" t="s">
        <v>98</v>
      </c>
      <c r="Y1659" s="383" t="s">
        <v>104</v>
      </c>
      <c r="Z1659" s="119" t="s">
        <v>9</v>
      </c>
      <c r="AA1659" s="86"/>
      <c r="AB1659" s="384"/>
      <c r="AC1659" s="385"/>
      <c r="AD1659" s="94"/>
      <c r="AE1659" s="406"/>
    </row>
    <row r="1660" spans="3:31" s="260" customFormat="1" x14ac:dyDescent="0.25">
      <c r="C1660" s="84"/>
      <c r="D1660" s="85"/>
      <c r="E1660" s="86"/>
      <c r="F1660" s="86"/>
      <c r="G1660" s="86"/>
      <c r="H1660" s="86"/>
      <c r="I1660" s="86"/>
      <c r="J1660" s="87"/>
      <c r="K1660" s="88"/>
      <c r="M1660" s="102">
        <v>835</v>
      </c>
      <c r="N1660" s="533" t="str">
        <f>IFERROR(VLOOKUP(M1660,INSUMOS!$C$8:$K$928,2,0),"-----")</f>
        <v>VALVULA CHECK 2"</v>
      </c>
      <c r="O1660" s="533"/>
      <c r="P1660" s="533"/>
      <c r="Q1660" s="533"/>
      <c r="R1660" s="78" t="str">
        <f>IFERROR(VLOOKUP(M1660,INSUMOS!$C$8:$K$928,6,0),"-----")</f>
        <v>und</v>
      </c>
      <c r="S1660" s="396">
        <v>1</v>
      </c>
      <c r="T1660" s="387">
        <v>0</v>
      </c>
      <c r="U1660" s="388">
        <f>IFERROR(VLOOKUP(M1660,INSUMOS!$C$8:$K$928,7,0),"0")</f>
        <v>95000</v>
      </c>
      <c r="V1660" s="389">
        <f>+IFERROR(U1660*(S1660*(1+T1660)),0)</f>
        <v>95000</v>
      </c>
      <c r="Y1660" s="393">
        <f>+IFERROR(Y1647*(S1660*(1+T1660)),0)</f>
        <v>3</v>
      </c>
      <c r="Z1660" s="391">
        <f>Y1647*V1660</f>
        <v>285000</v>
      </c>
      <c r="AA1660" s="394"/>
      <c r="AB1660" s="395">
        <f>+Y1660*U1660</f>
        <v>285000</v>
      </c>
      <c r="AC1660" s="93">
        <f>+AB1660-Z1660</f>
        <v>0</v>
      </c>
      <c r="AD1660" s="94"/>
      <c r="AE1660" s="406" t="str">
        <f>+IF(V1660=0,"CERO","NO")</f>
        <v>NO</v>
      </c>
    </row>
    <row r="1661" spans="3:31" s="260" customFormat="1" x14ac:dyDescent="0.25">
      <c r="C1661" s="84"/>
      <c r="D1661" s="85"/>
      <c r="E1661" s="86"/>
      <c r="F1661" s="86"/>
      <c r="G1661" s="86"/>
      <c r="H1661" s="86"/>
      <c r="I1661" s="86"/>
      <c r="J1661" s="87"/>
      <c r="K1661" s="88"/>
      <c r="M1661" s="102">
        <v>699</v>
      </c>
      <c r="N1661" s="533" t="str">
        <f>IFERROR(VLOOKUP(M1661,INSUMOS!$C$8:$K$928,2,0),"-----")</f>
        <v>SOLDADURA PVC LIQUIDA 1/4"</v>
      </c>
      <c r="O1661" s="533"/>
      <c r="P1661" s="533"/>
      <c r="Q1661" s="533"/>
      <c r="R1661" s="78" t="str">
        <f>IFERROR(VLOOKUP(M1661,INSUMOS!$C$8:$K$928,6,0),"-----")</f>
        <v>und</v>
      </c>
      <c r="S1661" s="396">
        <v>0.01</v>
      </c>
      <c r="T1661" s="387">
        <v>0.02</v>
      </c>
      <c r="U1661" s="388">
        <f>IFERROR(VLOOKUP(M1661,INSUMOS!$C$8:$K$928,7,0),"0")</f>
        <v>146569</v>
      </c>
      <c r="V1661" s="389">
        <f>+IFERROR(U1661*(S1661*(1+T1661)),0)</f>
        <v>1495.0038000000002</v>
      </c>
      <c r="Y1661" s="393">
        <f>+IFERROR(Y1647*(S1661*(1+T1661)),0)</f>
        <v>3.0600000000000002E-2</v>
      </c>
      <c r="Z1661" s="391">
        <f>Y1647*V1661</f>
        <v>4485.0114000000003</v>
      </c>
      <c r="AA1661" s="394"/>
      <c r="AB1661" s="395">
        <f>+Y1661*U1661</f>
        <v>4485.0114000000003</v>
      </c>
      <c r="AC1661" s="93">
        <f>+AB1661-Z1661</f>
        <v>0</v>
      </c>
      <c r="AD1661" s="94"/>
      <c r="AE1661" s="406" t="str">
        <f>+IF(V1661=0,"CERO","NO")</f>
        <v>NO</v>
      </c>
    </row>
    <row r="1662" spans="3:31" s="260" customFormat="1" x14ac:dyDescent="0.25">
      <c r="C1662" s="84"/>
      <c r="D1662" s="85"/>
      <c r="E1662" s="86"/>
      <c r="F1662" s="86"/>
      <c r="G1662" s="86"/>
      <c r="H1662" s="86"/>
      <c r="I1662" s="86"/>
      <c r="J1662" s="87"/>
      <c r="K1662" s="88"/>
      <c r="M1662" s="102">
        <v>700</v>
      </c>
      <c r="N1662" s="533" t="str">
        <f>IFERROR(VLOOKUP(M1662,INSUMOS!$C$8:$K$928,2,0),"-----")</f>
        <v>LIMPIADOR PVC 1/4</v>
      </c>
      <c r="O1662" s="533"/>
      <c r="P1662" s="533"/>
      <c r="Q1662" s="533"/>
      <c r="R1662" s="78" t="str">
        <f>IFERROR(VLOOKUP(M1662,INSUMOS!$C$8:$K$928,6,0),"-----")</f>
        <v>und</v>
      </c>
      <c r="S1662" s="396">
        <v>0.01</v>
      </c>
      <c r="T1662" s="387">
        <v>0.02</v>
      </c>
      <c r="U1662" s="388">
        <f>IFERROR(VLOOKUP(M1662,INSUMOS!$C$8:$K$928,7,0),"0")</f>
        <v>65913</v>
      </c>
      <c r="V1662" s="389">
        <f>+IFERROR(U1662*(S1662*(1+T1662)),0)</f>
        <v>672.31260000000009</v>
      </c>
      <c r="Y1662" s="393">
        <f>+IFERROR(Y1647*(S1662*(1+T1662)),0)</f>
        <v>3.0600000000000002E-2</v>
      </c>
      <c r="Z1662" s="391">
        <f>Y1647*V1662</f>
        <v>2016.9378000000002</v>
      </c>
      <c r="AA1662" s="394"/>
      <c r="AB1662" s="395">
        <f>+Y1662*U1662</f>
        <v>2016.9378000000002</v>
      </c>
      <c r="AC1662" s="93">
        <f>+AB1662-Z1662</f>
        <v>0</v>
      </c>
      <c r="AD1662" s="94"/>
      <c r="AE1662" s="406" t="str">
        <f>+IF(V1662=0,"CERO","NO")</f>
        <v>NO</v>
      </c>
    </row>
    <row r="1663" spans="3:31" s="260" customFormat="1" x14ac:dyDescent="0.25">
      <c r="C1663" s="84"/>
      <c r="D1663" s="85"/>
      <c r="E1663" s="86"/>
      <c r="F1663" s="86"/>
      <c r="G1663" s="86"/>
      <c r="H1663" s="86"/>
      <c r="I1663" s="86"/>
      <c r="J1663" s="87"/>
      <c r="K1663" s="88"/>
      <c r="M1663" s="102">
        <v>0</v>
      </c>
      <c r="N1663" s="533" t="str">
        <f>IFERROR(VLOOKUP(M1663,INSUMOS!$C$8:$K$928,2,0),"-----")</f>
        <v>-----</v>
      </c>
      <c r="O1663" s="533"/>
      <c r="P1663" s="533"/>
      <c r="Q1663" s="533"/>
      <c r="R1663" s="78" t="str">
        <f>IFERROR(VLOOKUP(M1663,INSUMOS!$C$8:$K$928,6,0),"-----")</f>
        <v>-----</v>
      </c>
      <c r="S1663" s="396"/>
      <c r="T1663" s="387"/>
      <c r="U1663" s="388" t="str">
        <f>IFERROR(VLOOKUP(M1663,INSUMOS!$C$8:$K$928,7,0),"0")</f>
        <v>0</v>
      </c>
      <c r="V1663" s="389">
        <f>+IFERROR(U1663*(S1663*(1+T1663)),0)</f>
        <v>0</v>
      </c>
      <c r="Y1663" s="393">
        <f>+IFERROR(Y1647*(S1663*(1+T1663)),0)</f>
        <v>0</v>
      </c>
      <c r="Z1663" s="391">
        <f>Y1647*V1663</f>
        <v>0</v>
      </c>
      <c r="AA1663" s="394"/>
      <c r="AB1663" s="395">
        <f>+Y1663*U1663</f>
        <v>0</v>
      </c>
      <c r="AC1663" s="93">
        <f>+AB1663-Z1663</f>
        <v>0</v>
      </c>
      <c r="AD1663" s="94"/>
      <c r="AE1663" s="406" t="str">
        <f>+IF(V1663=0,"CERO","NO")</f>
        <v>CERO</v>
      </c>
    </row>
    <row r="1664" spans="3:31" s="260" customFormat="1" ht="15.75" thickBot="1" x14ac:dyDescent="0.3">
      <c r="C1664" s="84"/>
      <c r="D1664" s="85"/>
      <c r="E1664" s="86"/>
      <c r="F1664" s="86"/>
      <c r="G1664" s="86"/>
      <c r="H1664" s="86"/>
      <c r="I1664" s="86"/>
      <c r="J1664" s="87"/>
      <c r="K1664" s="88"/>
      <c r="M1664" s="102">
        <v>0</v>
      </c>
      <c r="N1664" s="564"/>
      <c r="O1664" s="564"/>
      <c r="P1664" s="564"/>
      <c r="Q1664" s="564"/>
      <c r="R1664" s="96"/>
      <c r="S1664" s="79"/>
      <c r="T1664" s="97"/>
      <c r="U1664" s="358"/>
      <c r="V1664" s="397"/>
      <c r="Y1664" s="393">
        <f>+IFERROR(Y1647*(S1664*(1+T1664)),0)</f>
        <v>0</v>
      </c>
      <c r="Z1664" s="391">
        <f>Y1647*V1664</f>
        <v>0</v>
      </c>
      <c r="AA1664" s="394"/>
      <c r="AB1664" s="395">
        <f>+Y1664*U1664</f>
        <v>0</v>
      </c>
      <c r="AC1664" s="93">
        <f>+AB1664-Z1664</f>
        <v>0</v>
      </c>
      <c r="AD1664" s="94"/>
      <c r="AE1664" s="406" t="str">
        <f>+IF(V1664=0,"CERO","NO")</f>
        <v>CERO</v>
      </c>
    </row>
    <row r="1665" spans="3:31" s="260" customFormat="1" ht="15.75" thickBot="1" x14ac:dyDescent="0.3">
      <c r="C1665" s="84"/>
      <c r="D1665" s="375" t="s">
        <v>128</v>
      </c>
      <c r="E1665" s="376" t="s">
        <v>129</v>
      </c>
      <c r="F1665" s="376" t="s">
        <v>130</v>
      </c>
      <c r="G1665" s="376" t="s">
        <v>131</v>
      </c>
      <c r="H1665" s="376" t="s">
        <v>132</v>
      </c>
      <c r="I1665" s="376" t="s">
        <v>133</v>
      </c>
      <c r="J1665" s="377" t="s">
        <v>134</v>
      </c>
      <c r="K1665" s="88"/>
      <c r="M1665" s="534"/>
      <c r="N1665" s="536" t="s">
        <v>106</v>
      </c>
      <c r="O1665" s="536"/>
      <c r="P1665" s="536"/>
      <c r="Q1665" s="536"/>
      <c r="R1665" s="536"/>
      <c r="S1665" s="536"/>
      <c r="T1665" s="536"/>
      <c r="U1665" s="536"/>
      <c r="V1665" s="389">
        <f>+SUM(V1660:V1664)</f>
        <v>97167.316400000011</v>
      </c>
      <c r="Y1665" s="398" t="s">
        <v>135</v>
      </c>
      <c r="Z1665" s="397">
        <f>+SUM(Z1660:Z1664)</f>
        <v>291501.94920000003</v>
      </c>
      <c r="AA1665" s="86"/>
      <c r="AB1665" s="384"/>
      <c r="AC1665" s="385"/>
      <c r="AD1665" s="94"/>
      <c r="AE1665" s="399"/>
    </row>
    <row r="1666" spans="3:31" s="260" customFormat="1" ht="15.75" thickBot="1" x14ac:dyDescent="0.3">
      <c r="C1666" s="84"/>
      <c r="D1666" s="375"/>
      <c r="E1666" s="407">
        <f>+D1657</f>
        <v>2.2400000000000002</v>
      </c>
      <c r="F1666" s="376"/>
      <c r="G1666" s="376"/>
      <c r="H1666" s="376"/>
      <c r="I1666" s="376"/>
      <c r="J1666" s="377"/>
      <c r="K1666" s="88"/>
      <c r="M1666" s="535"/>
      <c r="N1666" s="537" t="s">
        <v>107</v>
      </c>
      <c r="O1666" s="537"/>
      <c r="P1666" s="537"/>
      <c r="Q1666" s="537"/>
      <c r="R1666" s="537"/>
      <c r="S1666" s="537"/>
      <c r="T1666" s="537"/>
      <c r="U1666" s="537"/>
      <c r="V1666" s="408">
        <f>+ROUND(V1665,$AA$5)</f>
        <v>97167.32</v>
      </c>
      <c r="Y1666" s="401" t="s">
        <v>136</v>
      </c>
      <c r="Z1666" s="402">
        <f>+ROUND(Z1665,$AA$5)</f>
        <v>291501.95</v>
      </c>
      <c r="AA1666" s="86"/>
      <c r="AB1666" s="403">
        <f>+V1666*Y1647</f>
        <v>291501.96000000002</v>
      </c>
      <c r="AC1666" s="404">
        <f>+AB1666-Z1666</f>
        <v>1.0000000009313226E-2</v>
      </c>
      <c r="AD1666" s="94"/>
      <c r="AE1666" s="405"/>
    </row>
    <row r="1667" spans="3:31" s="260" customFormat="1" x14ac:dyDescent="0.25">
      <c r="C1667" s="84"/>
      <c r="D1667" s="380"/>
      <c r="E1667" s="381"/>
      <c r="F1667" s="381"/>
      <c r="G1667" s="381"/>
      <c r="H1667" s="381"/>
      <c r="I1667" s="381"/>
      <c r="J1667" s="382"/>
      <c r="K1667" s="88"/>
      <c r="M1667" s="568" t="s">
        <v>108</v>
      </c>
      <c r="N1667" s="569"/>
      <c r="O1667" s="569"/>
      <c r="P1667" s="569"/>
      <c r="Q1667" s="569"/>
      <c r="R1667" s="569"/>
      <c r="S1667" s="569"/>
      <c r="T1667" s="569"/>
      <c r="U1667" s="569"/>
      <c r="V1667" s="570"/>
      <c r="Y1667" s="378"/>
      <c r="Z1667" s="121"/>
      <c r="AA1667" s="86"/>
      <c r="AB1667" s="409"/>
      <c r="AC1667" s="121"/>
      <c r="AD1667" s="94"/>
      <c r="AE1667" s="126"/>
    </row>
    <row r="1668" spans="3:31" s="260" customFormat="1" ht="25.5" x14ac:dyDescent="0.25">
      <c r="C1668" s="84"/>
      <c r="D1668" s="85"/>
      <c r="E1668" s="86"/>
      <c r="F1668" s="86"/>
      <c r="G1668" s="86"/>
      <c r="H1668" s="86"/>
      <c r="I1668" s="86"/>
      <c r="J1668" s="87"/>
      <c r="K1668" s="88"/>
      <c r="M1668" s="99" t="s">
        <v>94</v>
      </c>
      <c r="N1668" s="561" t="s">
        <v>95</v>
      </c>
      <c r="O1668" s="561"/>
      <c r="P1668" s="561"/>
      <c r="Q1668" s="95" t="s">
        <v>109</v>
      </c>
      <c r="R1668" s="95" t="s">
        <v>110</v>
      </c>
      <c r="S1668" s="95" t="s">
        <v>111</v>
      </c>
      <c r="T1668" s="562" t="s">
        <v>112</v>
      </c>
      <c r="U1668" s="562"/>
      <c r="V1668" s="100" t="s">
        <v>98</v>
      </c>
      <c r="Y1668" s="383" t="s">
        <v>104</v>
      </c>
      <c r="Z1668" s="119" t="s">
        <v>9</v>
      </c>
      <c r="AA1668" s="86"/>
      <c r="AB1668" s="384"/>
      <c r="AC1668" s="385"/>
      <c r="AD1668" s="94"/>
      <c r="AE1668" s="410"/>
    </row>
    <row r="1669" spans="3:31" s="260" customFormat="1" x14ac:dyDescent="0.25">
      <c r="C1669" s="84"/>
      <c r="D1669" s="85"/>
      <c r="E1669" s="86"/>
      <c r="F1669" s="86"/>
      <c r="G1669" s="86"/>
      <c r="H1669" s="86"/>
      <c r="I1669" s="86"/>
      <c r="J1669" s="87"/>
      <c r="K1669" s="88"/>
      <c r="M1669" s="102">
        <v>129</v>
      </c>
      <c r="N1669" s="530" t="str">
        <f>IFERROR(VLOOKUP(M1669,INSUMOS!$C$8:$K$928,2,0),"-----")</f>
        <v>transporte materiales en general</v>
      </c>
      <c r="O1669" s="531"/>
      <c r="P1669" s="532"/>
      <c r="Q1669" s="78" t="str">
        <f>IFERROR(VLOOKUP(M1669,INSUMOS!$C$8:$K$928,5,0),"-----")</f>
        <v>Km</v>
      </c>
      <c r="R1669" s="80">
        <v>1</v>
      </c>
      <c r="S1669" s="80">
        <f>IFERROR(VLOOKUP(M1669,INSUMOS!$C$8:$K$928,6,0),"0")</f>
        <v>348</v>
      </c>
      <c r="T1669" s="529">
        <f>IFERROR(VLOOKUP(M1669,INSUMOS!$C$8:$K$928,7,0),"0")</f>
        <v>0.99776362060288992</v>
      </c>
      <c r="U1669" s="529"/>
      <c r="V1669" s="82">
        <f>+T1669*S1669*R1669</f>
        <v>347.2217399698057</v>
      </c>
      <c r="Y1669" s="393">
        <f>+IFERROR((R1669*S1669)*Y1647,0)</f>
        <v>1044</v>
      </c>
      <c r="Z1669" s="391">
        <f>Y1647*V1669</f>
        <v>1041.6652199094171</v>
      </c>
      <c r="AA1669" s="86"/>
      <c r="AB1669" s="92">
        <f>+Y1669*T1669</f>
        <v>1041.6652199094171</v>
      </c>
      <c r="AC1669" s="93">
        <f>+AB1669-Z1669</f>
        <v>0</v>
      </c>
      <c r="AD1669" s="94"/>
      <c r="AE1669" s="406" t="str">
        <f>+IF(V1669=0,"CERO","NO")</f>
        <v>NO</v>
      </c>
    </row>
    <row r="1670" spans="3:31" s="260" customFormat="1" x14ac:dyDescent="0.25">
      <c r="C1670" s="84"/>
      <c r="D1670" s="85"/>
      <c r="E1670" s="86"/>
      <c r="F1670" s="86"/>
      <c r="G1670" s="86"/>
      <c r="H1670" s="86"/>
      <c r="I1670" s="86"/>
      <c r="J1670" s="87"/>
      <c r="K1670" s="88"/>
      <c r="M1670" s="102">
        <v>0</v>
      </c>
      <c r="N1670" s="530" t="str">
        <f>IFERROR(VLOOKUP(M1670,INSUMOS!$C$8:$K$928,2,0),"-----")</f>
        <v>-----</v>
      </c>
      <c r="O1670" s="531"/>
      <c r="P1670" s="532"/>
      <c r="Q1670" s="78" t="str">
        <f>IFERROR(VLOOKUP(M1670,INSUMOS!$C$8:$K$928,5,0),"-----")</f>
        <v>-----</v>
      </c>
      <c r="R1670" s="80"/>
      <c r="S1670" s="80" t="str">
        <f>IFERROR(VLOOKUP(M1670,INSUMOS!$C$8:$K$928,6,0),"0")</f>
        <v>0</v>
      </c>
      <c r="T1670" s="529" t="str">
        <f>IFERROR(VLOOKUP(M1670,INSUMOS!$C$8:$K$928,7,0),"0")</f>
        <v>0</v>
      </c>
      <c r="U1670" s="529"/>
      <c r="V1670" s="82">
        <f>+T1670*S1670*R1670</f>
        <v>0</v>
      </c>
      <c r="Y1670" s="393">
        <f>+IFERROR((R1670*S1670)*Y1647,0)</f>
        <v>0</v>
      </c>
      <c r="Z1670" s="391">
        <f>Y1647*V1670</f>
        <v>0</v>
      </c>
      <c r="AA1670" s="86"/>
      <c r="AB1670" s="92">
        <f>+Y1670*T1670</f>
        <v>0</v>
      </c>
      <c r="AC1670" s="93">
        <f>+AB1670-Z1670</f>
        <v>0</v>
      </c>
      <c r="AD1670" s="94"/>
      <c r="AE1670" s="406" t="str">
        <f>+IF(V1670=0,"CERO","NO")</f>
        <v>CERO</v>
      </c>
    </row>
    <row r="1671" spans="3:31" s="260" customFormat="1" x14ac:dyDescent="0.25">
      <c r="C1671" s="84"/>
      <c r="D1671" s="85"/>
      <c r="E1671" s="86"/>
      <c r="F1671" s="86"/>
      <c r="G1671" s="86"/>
      <c r="H1671" s="86"/>
      <c r="I1671" s="86"/>
      <c r="J1671" s="87"/>
      <c r="K1671" s="88"/>
      <c r="M1671" s="102">
        <v>0</v>
      </c>
      <c r="N1671" s="530" t="str">
        <f>IFERROR(VLOOKUP(M1671,INSUMOS!$C$8:$K$928,2,0),"-----")</f>
        <v>-----</v>
      </c>
      <c r="O1671" s="531"/>
      <c r="P1671" s="532"/>
      <c r="Q1671" s="78" t="str">
        <f>IFERROR(VLOOKUP(M1671,INSUMOS!$C$8:$K$928,5,0),"-----")</f>
        <v>-----</v>
      </c>
      <c r="R1671" s="80"/>
      <c r="S1671" s="80" t="str">
        <f>IFERROR(VLOOKUP(M1671,INSUMOS!$C$8:$K$928,6,0),"0")</f>
        <v>0</v>
      </c>
      <c r="T1671" s="529" t="str">
        <f>IFERROR(VLOOKUP(M1671,INSUMOS!$C$8:$K$928,7,0),"0")</f>
        <v>0</v>
      </c>
      <c r="U1671" s="529"/>
      <c r="V1671" s="82">
        <f>+T1671*S1671*R1671</f>
        <v>0</v>
      </c>
      <c r="Y1671" s="393">
        <f>+IFERROR((R1671*S1671)*Y1647,0)</f>
        <v>0</v>
      </c>
      <c r="Z1671" s="391">
        <f>Y1647*V1671</f>
        <v>0</v>
      </c>
      <c r="AA1671" s="86"/>
      <c r="AB1671" s="92">
        <f>+Y1671*T1671</f>
        <v>0</v>
      </c>
      <c r="AC1671" s="93">
        <f>+AB1671-Z1671</f>
        <v>0</v>
      </c>
      <c r="AD1671" s="94"/>
      <c r="AE1671" s="406" t="str">
        <f>+IF(V1671=0,"CERO","NO")</f>
        <v>CERO</v>
      </c>
    </row>
    <row r="1672" spans="3:31" s="260" customFormat="1" ht="15.75" thickBot="1" x14ac:dyDescent="0.3">
      <c r="C1672" s="84"/>
      <c r="D1672" s="89"/>
      <c r="E1672" s="90"/>
      <c r="F1672" s="90"/>
      <c r="G1672" s="90"/>
      <c r="H1672" s="90"/>
      <c r="I1672" s="90"/>
      <c r="J1672" s="91"/>
      <c r="K1672" s="88"/>
      <c r="M1672" s="102">
        <v>0</v>
      </c>
      <c r="N1672" s="533"/>
      <c r="O1672" s="533"/>
      <c r="P1672" s="533"/>
      <c r="Q1672" s="79"/>
      <c r="R1672" s="78"/>
      <c r="S1672" s="81"/>
      <c r="T1672" s="529"/>
      <c r="U1672" s="529"/>
      <c r="V1672" s="82"/>
      <c r="Y1672" s="393">
        <f>+IFERROR((R1672*S1672)*Y1647,0)</f>
        <v>0</v>
      </c>
      <c r="Z1672" s="391">
        <f>Y1647*V1672</f>
        <v>0</v>
      </c>
      <c r="AA1672" s="86"/>
      <c r="AB1672" s="92">
        <f>+Y1672*T1672</f>
        <v>0</v>
      </c>
      <c r="AC1672" s="93">
        <f>+AB1672-Z1672</f>
        <v>0</v>
      </c>
      <c r="AD1672" s="94"/>
      <c r="AE1672" s="406" t="str">
        <f>+IF(V1672=0,"CERO","NO")</f>
        <v>CERO</v>
      </c>
    </row>
    <row r="1673" spans="3:31" s="260" customFormat="1" ht="15.75" thickBot="1" x14ac:dyDescent="0.3">
      <c r="C1673" s="84"/>
      <c r="D1673" s="375" t="s">
        <v>128</v>
      </c>
      <c r="E1673" s="376" t="s">
        <v>129</v>
      </c>
      <c r="F1673" s="376" t="s">
        <v>130</v>
      </c>
      <c r="G1673" s="376" t="s">
        <v>131</v>
      </c>
      <c r="H1673" s="376" t="s">
        <v>132</v>
      </c>
      <c r="I1673" s="376" t="s">
        <v>133</v>
      </c>
      <c r="J1673" s="377" t="s">
        <v>134</v>
      </c>
      <c r="K1673" s="88"/>
      <c r="M1673" s="534"/>
      <c r="N1673" s="536" t="s">
        <v>113</v>
      </c>
      <c r="O1673" s="536"/>
      <c r="P1673" s="536"/>
      <c r="Q1673" s="536"/>
      <c r="R1673" s="536"/>
      <c r="S1673" s="536"/>
      <c r="T1673" s="536"/>
      <c r="U1673" s="536"/>
      <c r="V1673" s="411">
        <f>+SUM(V1669:V1672)</f>
        <v>347.2217399698057</v>
      </c>
      <c r="Y1673" s="398" t="s">
        <v>135</v>
      </c>
      <c r="Z1673" s="397">
        <f>+SUM(Z1669:Z1672)</f>
        <v>1041.6652199094171</v>
      </c>
      <c r="AA1673" s="86"/>
      <c r="AB1673" s="384"/>
      <c r="AC1673" s="385"/>
      <c r="AD1673" s="94"/>
      <c r="AE1673" s="399"/>
    </row>
    <row r="1674" spans="3:31" s="260" customFormat="1" ht="15.75" thickBot="1" x14ac:dyDescent="0.3">
      <c r="C1674" s="84"/>
      <c r="D1674" s="355"/>
      <c r="E1674" s="367"/>
      <c r="F1674" s="412">
        <f>+E1666</f>
        <v>2.2400000000000002</v>
      </c>
      <c r="G1674" s="367"/>
      <c r="H1674" s="367"/>
      <c r="I1674" s="367"/>
      <c r="J1674" s="368"/>
      <c r="K1674" s="88"/>
      <c r="M1674" s="535"/>
      <c r="N1674" s="537" t="s">
        <v>114</v>
      </c>
      <c r="O1674" s="537"/>
      <c r="P1674" s="537"/>
      <c r="Q1674" s="537"/>
      <c r="R1674" s="537"/>
      <c r="S1674" s="537"/>
      <c r="T1674" s="537"/>
      <c r="U1674" s="537"/>
      <c r="V1674" s="413">
        <f>+ROUND(V1673,$AA$5)</f>
        <v>347.22</v>
      </c>
      <c r="Y1674" s="401" t="s">
        <v>136</v>
      </c>
      <c r="Z1674" s="402">
        <f>+ROUND(Z1673,$AA$5)</f>
        <v>1041.67</v>
      </c>
      <c r="AA1674" s="86"/>
      <c r="AB1674" s="403">
        <f>+V1674*Y1647</f>
        <v>1041.6600000000001</v>
      </c>
      <c r="AC1674" s="414"/>
      <c r="AD1674" s="94"/>
      <c r="AE1674" s="405"/>
    </row>
    <row r="1675" spans="3:31" s="260" customFormat="1" ht="15.75" thickBot="1" x14ac:dyDescent="0.3">
      <c r="C1675" s="84"/>
      <c r="D1675" s="415"/>
      <c r="E1675" s="416"/>
      <c r="F1675" s="416"/>
      <c r="G1675" s="416"/>
      <c r="H1675" s="416"/>
      <c r="I1675" s="416"/>
      <c r="J1675" s="417"/>
      <c r="K1675" s="88"/>
      <c r="M1675" s="538" t="s">
        <v>115</v>
      </c>
      <c r="N1675" s="539"/>
      <c r="O1675" s="539"/>
      <c r="P1675" s="539"/>
      <c r="Q1675" s="539"/>
      <c r="R1675" s="539"/>
      <c r="S1675" s="539"/>
      <c r="T1675" s="539"/>
      <c r="U1675" s="539"/>
      <c r="V1675" s="540"/>
      <c r="Y1675" s="378"/>
      <c r="Z1675" s="121"/>
      <c r="AA1675" s="86"/>
      <c r="AB1675" s="409"/>
      <c r="AC1675" s="121"/>
      <c r="AD1675" s="94"/>
      <c r="AE1675" s="126"/>
    </row>
    <row r="1676" spans="3:31" s="260" customFormat="1" ht="15.75" thickBot="1" x14ac:dyDescent="0.3">
      <c r="C1676" s="84"/>
      <c r="D1676" s="375" t="s">
        <v>128</v>
      </c>
      <c r="E1676" s="376" t="s">
        <v>129</v>
      </c>
      <c r="F1676" s="376" t="s">
        <v>130</v>
      </c>
      <c r="G1676" s="376" t="s">
        <v>131</v>
      </c>
      <c r="H1676" s="376" t="s">
        <v>132</v>
      </c>
      <c r="I1676" s="376" t="s">
        <v>133</v>
      </c>
      <c r="J1676" s="377" t="s">
        <v>134</v>
      </c>
      <c r="K1676" s="88"/>
      <c r="M1676" s="99" t="s">
        <v>94</v>
      </c>
      <c r="N1676" s="98" t="s">
        <v>95</v>
      </c>
      <c r="O1676" s="95" t="s">
        <v>96</v>
      </c>
      <c r="P1676" s="359" t="s">
        <v>104</v>
      </c>
      <c r="Q1676" s="95" t="s">
        <v>116</v>
      </c>
      <c r="R1676" s="418" t="s">
        <v>117</v>
      </c>
      <c r="S1676" s="95" t="s">
        <v>347</v>
      </c>
      <c r="T1676" s="419" t="s">
        <v>118</v>
      </c>
      <c r="U1676" s="189" t="s">
        <v>119</v>
      </c>
      <c r="V1676" s="100" t="s">
        <v>98</v>
      </c>
      <c r="Y1676" s="383" t="s">
        <v>104</v>
      </c>
      <c r="Z1676" s="119" t="s">
        <v>9</v>
      </c>
      <c r="AA1676" s="86"/>
      <c r="AB1676" s="384"/>
      <c r="AC1676" s="385"/>
      <c r="AD1676" s="94"/>
      <c r="AE1676" s="410"/>
    </row>
    <row r="1677" spans="3:31" s="260" customFormat="1" ht="25.5" x14ac:dyDescent="0.25">
      <c r="C1677" s="84"/>
      <c r="D1677" s="354"/>
      <c r="E1677" s="96"/>
      <c r="F1677" s="96"/>
      <c r="G1677" s="96"/>
      <c r="H1677" s="96"/>
      <c r="I1677" s="96"/>
      <c r="J1677" s="420">
        <f>+F1674</f>
        <v>2.2400000000000002</v>
      </c>
      <c r="K1677" s="88"/>
      <c r="M1677" s="102">
        <v>207</v>
      </c>
      <c r="N1677" s="347" t="str">
        <f>IFERROR(VLOOKUP(M1677,INSUMOS!$C$8:$K$928,2,0),"-----")</f>
        <v>Oficial Hidrosanitario</v>
      </c>
      <c r="O1677" s="78" t="str">
        <f>IFERROR(VLOOKUP(M1677,INSUMOS!$C$8:$K$928,3,0),"-----")</f>
        <v>JORNAL+PS</v>
      </c>
      <c r="P1677" s="80">
        <v>1</v>
      </c>
      <c r="Q1677" s="79">
        <v>20</v>
      </c>
      <c r="R1677" s="190">
        <f>IFERROR(VLOOKUP(M1677,INSUMOS!$C$8:$K$928,4,0),"-----")</f>
        <v>92983</v>
      </c>
      <c r="S1677" s="190">
        <f>IFERROR(VLOOKUP(M1677,INSUMOS!$C$8:$K$928,6,0),"-----")</f>
        <v>74386</v>
      </c>
      <c r="T1677" s="190">
        <f>IFERROR(VLOOKUP(M1677,INSUMOS!$C$8:$K$928,5,0),"-----")</f>
        <v>0</v>
      </c>
      <c r="U1677" s="388">
        <f>SUM(R1677:T1677)</f>
        <v>167369</v>
      </c>
      <c r="V1677" s="82">
        <f>+IFERROR((P1677/Q1677)*U1677,0)</f>
        <v>8368.4500000000007</v>
      </c>
      <c r="Y1677" s="393">
        <f>+IFERROR((Y1647/Q1677*P1677),0)</f>
        <v>0.15</v>
      </c>
      <c r="Z1677" s="391">
        <f>Y1647*V1677</f>
        <v>25105.350000000002</v>
      </c>
      <c r="AA1677" s="86"/>
      <c r="AB1677" s="92">
        <f>+(U1677)*Y1677</f>
        <v>25105.35</v>
      </c>
      <c r="AC1677" s="93">
        <f>+AB1677-Z1677</f>
        <v>0</v>
      </c>
      <c r="AD1677" s="421"/>
      <c r="AE1677" s="410" t="str">
        <f>+IF(V1677=0,"CERO","NO")</f>
        <v>NO</v>
      </c>
    </row>
    <row r="1678" spans="3:31" s="260" customFormat="1" ht="15.75" thickBot="1" x14ac:dyDescent="0.3">
      <c r="C1678" s="84"/>
      <c r="D1678" s="355"/>
      <c r="E1678" s="367"/>
      <c r="F1678" s="367"/>
      <c r="G1678" s="367"/>
      <c r="H1678" s="367"/>
      <c r="I1678" s="367"/>
      <c r="J1678" s="422">
        <f>+J1677</f>
        <v>2.2400000000000002</v>
      </c>
      <c r="K1678" s="88"/>
      <c r="M1678" s="102"/>
      <c r="N1678" s="347" t="str">
        <f>IFERROR(VLOOKUP(M1678,INSUMOS!$C$8:$K$928,2,0),"-----")</f>
        <v>-----</v>
      </c>
      <c r="O1678" s="78" t="str">
        <f>IFERROR(VLOOKUP(M1678,INSUMOS!$C$8:$K$928,3,0),"-----")</f>
        <v>-----</v>
      </c>
      <c r="P1678" s="80"/>
      <c r="Q1678" s="79"/>
      <c r="R1678" s="190" t="str">
        <f>IFERROR(VLOOKUP(M1678,INSUMOS!$C$8:$K$928,4,0),"-----")</f>
        <v>-----</v>
      </c>
      <c r="S1678" s="190" t="str">
        <f>IFERROR(VLOOKUP(M1678,INSUMOS!$C$8:$K$928,6,0),"-----")</f>
        <v>-----</v>
      </c>
      <c r="T1678" s="190" t="str">
        <f>IFERROR(VLOOKUP(M1678,INSUMOS!$C$8:$K$928,5,0),"-----")</f>
        <v>-----</v>
      </c>
      <c r="U1678" s="388">
        <f>SUM(R1678:T1678)</f>
        <v>0</v>
      </c>
      <c r="V1678" s="82">
        <f>+IFERROR((P1678/Q1678)*U1678,0)</f>
        <v>0</v>
      </c>
      <c r="Y1678" s="393">
        <f>+IFERROR((Y1647/Q1678*P1678),0)</f>
        <v>0</v>
      </c>
      <c r="Z1678" s="391">
        <f>Y1647*V1678</f>
        <v>0</v>
      </c>
      <c r="AA1678" s="86"/>
      <c r="AB1678" s="92">
        <f>+U1678*Y1678</f>
        <v>0</v>
      </c>
      <c r="AC1678" s="93">
        <f>+AB1678-Z1678</f>
        <v>0</v>
      </c>
      <c r="AD1678" s="94"/>
      <c r="AE1678" s="410" t="str">
        <f>+IF(V1678=0,"CERO","NO")</f>
        <v>CERO</v>
      </c>
    </row>
    <row r="1679" spans="3:31" s="260" customFormat="1" ht="15.75" thickBot="1" x14ac:dyDescent="0.3">
      <c r="C1679" s="84"/>
      <c r="D1679" s="380"/>
      <c r="E1679" s="381"/>
      <c r="F1679" s="381"/>
      <c r="G1679" s="381"/>
      <c r="H1679" s="381"/>
      <c r="I1679" s="381"/>
      <c r="J1679" s="382"/>
      <c r="K1679" s="88"/>
      <c r="M1679" s="102">
        <v>0</v>
      </c>
      <c r="N1679" s="347"/>
      <c r="O1679" s="79"/>
      <c r="P1679" s="423"/>
      <c r="Q1679" s="81"/>
      <c r="R1679" s="111"/>
      <c r="S1679" s="357"/>
      <c r="T1679" s="111"/>
      <c r="U1679" s="388"/>
      <c r="V1679" s="426"/>
      <c r="Y1679" s="393">
        <f>+IFERROR((Y1647/Q1679*P1679),0)</f>
        <v>0</v>
      </c>
      <c r="Z1679" s="391">
        <f>Y1647*V1679</f>
        <v>0</v>
      </c>
      <c r="AA1679" s="86"/>
      <c r="AB1679" s="92">
        <f>+(U1679)*Y1679*P1679</f>
        <v>0</v>
      </c>
      <c r="AC1679" s="93">
        <f>+AB1679-Z1679</f>
        <v>0</v>
      </c>
      <c r="AD1679" s="94"/>
      <c r="AE1679" s="410" t="str">
        <f>+IF(V1679=0,"CERO","NO")</f>
        <v>CERO</v>
      </c>
    </row>
    <row r="1680" spans="3:31" s="260" customFormat="1" ht="15.75" thickBot="1" x14ac:dyDescent="0.3">
      <c r="C1680" s="84"/>
      <c r="D1680" s="375" t="s">
        <v>128</v>
      </c>
      <c r="E1680" s="376" t="s">
        <v>129</v>
      </c>
      <c r="F1680" s="376" t="s">
        <v>130</v>
      </c>
      <c r="G1680" s="376" t="s">
        <v>131</v>
      </c>
      <c r="H1680" s="376" t="s">
        <v>132</v>
      </c>
      <c r="I1680" s="376" t="s">
        <v>133</v>
      </c>
      <c r="J1680" s="377" t="s">
        <v>134</v>
      </c>
      <c r="K1680" s="88"/>
      <c r="M1680" s="534"/>
      <c r="N1680" s="536" t="s">
        <v>120</v>
      </c>
      <c r="O1680" s="536"/>
      <c r="P1680" s="536"/>
      <c r="Q1680" s="536"/>
      <c r="R1680" s="536"/>
      <c r="S1680" s="536"/>
      <c r="T1680" s="536"/>
      <c r="U1680" s="536"/>
      <c r="V1680" s="82">
        <f>+SUM(V1677:V1679)</f>
        <v>8368.4500000000007</v>
      </c>
      <c r="Y1680" s="398" t="s">
        <v>135</v>
      </c>
      <c r="Z1680" s="397">
        <f>+SUM(Z1677:Z1679)</f>
        <v>25105.350000000002</v>
      </c>
      <c r="AA1680" s="86"/>
      <c r="AB1680" s="384"/>
      <c r="AC1680" s="385"/>
      <c r="AD1680" s="94"/>
      <c r="AE1680" s="399"/>
    </row>
    <row r="1681" spans="3:31" s="260" customFormat="1" ht="15.75" thickBot="1" x14ac:dyDescent="0.3">
      <c r="C1681" s="84"/>
      <c r="D1681" s="354"/>
      <c r="E1681" s="96"/>
      <c r="F1681" s="96"/>
      <c r="G1681" s="107">
        <f>+F1674</f>
        <v>2.2400000000000002</v>
      </c>
      <c r="H1681" s="96"/>
      <c r="I1681" s="96"/>
      <c r="J1681" s="427"/>
      <c r="K1681" s="88"/>
      <c r="M1681" s="535"/>
      <c r="N1681" s="537" t="s">
        <v>121</v>
      </c>
      <c r="O1681" s="537"/>
      <c r="P1681" s="537"/>
      <c r="Q1681" s="537"/>
      <c r="R1681" s="537"/>
      <c r="S1681" s="537"/>
      <c r="T1681" s="537"/>
      <c r="U1681" s="537"/>
      <c r="V1681" s="413">
        <f>+ROUND(V1680,$AA$5)</f>
        <v>8368.4500000000007</v>
      </c>
      <c r="Y1681" s="401" t="s">
        <v>136</v>
      </c>
      <c r="Z1681" s="402">
        <f>+ROUND(Z1680,$AA$5)</f>
        <v>25105.35</v>
      </c>
      <c r="AA1681" s="86"/>
      <c r="AB1681" s="403">
        <f>+V1681*Y1647</f>
        <v>25105.350000000002</v>
      </c>
      <c r="AC1681" s="404">
        <f>+AB1681-Z1681</f>
        <v>0</v>
      </c>
      <c r="AD1681" s="94"/>
      <c r="AE1681" s="405"/>
    </row>
    <row r="1682" spans="3:31" s="260" customFormat="1" ht="15.75" thickBot="1" x14ac:dyDescent="0.3">
      <c r="C1682" s="84"/>
      <c r="D1682" s="375" t="s">
        <v>128</v>
      </c>
      <c r="E1682" s="376" t="s">
        <v>129</v>
      </c>
      <c r="F1682" s="376" t="s">
        <v>130</v>
      </c>
      <c r="G1682" s="376" t="s">
        <v>131</v>
      </c>
      <c r="H1682" s="376" t="s">
        <v>132</v>
      </c>
      <c r="I1682" s="376" t="s">
        <v>133</v>
      </c>
      <c r="J1682" s="377" t="s">
        <v>134</v>
      </c>
      <c r="K1682" s="88"/>
      <c r="M1682" s="541"/>
      <c r="N1682" s="542"/>
      <c r="O1682" s="542"/>
      <c r="P1682" s="542"/>
      <c r="Q1682" s="542"/>
      <c r="R1682" s="542"/>
      <c r="S1682" s="542"/>
      <c r="T1682" s="542"/>
      <c r="U1682" s="542"/>
      <c r="V1682" s="543"/>
      <c r="Y1682" s="378"/>
      <c r="Z1682" s="121"/>
      <c r="AA1682" s="86"/>
      <c r="AB1682" s="409"/>
      <c r="AC1682" s="121"/>
      <c r="AD1682" s="94"/>
      <c r="AE1682" s="428"/>
    </row>
    <row r="1683" spans="3:31" s="260" customFormat="1" ht="15.75" thickBot="1" x14ac:dyDescent="0.3">
      <c r="C1683" s="84"/>
      <c r="D1683" s="355"/>
      <c r="E1683" s="367"/>
      <c r="F1683" s="367"/>
      <c r="G1683" s="367"/>
      <c r="H1683" s="412">
        <f>G1681</f>
        <v>2.2400000000000002</v>
      </c>
      <c r="I1683" s="412"/>
      <c r="J1683" s="422"/>
      <c r="K1683" s="88"/>
      <c r="M1683" s="544" t="s">
        <v>122</v>
      </c>
      <c r="N1683" s="537"/>
      <c r="O1683" s="537"/>
      <c r="P1683" s="537"/>
      <c r="Q1683" s="537"/>
      <c r="R1683" s="537"/>
      <c r="S1683" s="537"/>
      <c r="T1683" s="537"/>
      <c r="U1683" s="545">
        <f>+V1681+V1674+V1666+V1657</f>
        <v>106301.41</v>
      </c>
      <c r="V1683" s="546"/>
      <c r="Y1683" s="429"/>
      <c r="Z1683" s="430">
        <f>+Z1681+Z1674+Z1666+Z1657</f>
        <v>318904.24000000005</v>
      </c>
      <c r="AA1683" s="86"/>
      <c r="AB1683" s="431">
        <f>+AB1681+AB1674+AB1666+AB1657</f>
        <v>318904.23000000004</v>
      </c>
      <c r="AC1683" s="404">
        <f>+AB1683-Z1683</f>
        <v>-1.0000000009313226E-2</v>
      </c>
      <c r="AD1683" s="94"/>
      <c r="AE1683" s="432"/>
    </row>
    <row r="1684" spans="3:31" s="260" customFormat="1" ht="15.75" thickBot="1" x14ac:dyDescent="0.3"/>
    <row r="1685" spans="3:31" s="260" customFormat="1" x14ac:dyDescent="0.25">
      <c r="M1685" s="547" t="s">
        <v>348</v>
      </c>
      <c r="N1685" s="548"/>
      <c r="O1685" s="548"/>
      <c r="P1685" s="548"/>
      <c r="Q1685" s="548"/>
      <c r="R1685" s="548"/>
      <c r="S1685" s="548"/>
      <c r="T1685" s="548"/>
      <c r="U1685" s="548"/>
      <c r="V1685" s="549"/>
      <c r="Y1685" s="378"/>
      <c r="Z1685" s="121"/>
      <c r="AA1685" s="86"/>
      <c r="AB1685" s="94"/>
      <c r="AC1685" s="94"/>
      <c r="AD1685" s="94"/>
      <c r="AE1685" s="126" t="s">
        <v>133</v>
      </c>
    </row>
    <row r="1686" spans="3:31" s="260" customFormat="1" x14ac:dyDescent="0.25">
      <c r="M1686" s="515" t="s">
        <v>138</v>
      </c>
      <c r="N1686" s="516"/>
      <c r="O1686" s="516"/>
      <c r="P1686" s="516"/>
      <c r="Q1686" s="516"/>
      <c r="R1686" s="516"/>
      <c r="S1686" s="516"/>
      <c r="T1686" s="437">
        <v>0</v>
      </c>
      <c r="U1686" s="517">
        <f>+ROUND(U1683*T1686,$AA$5)</f>
        <v>0</v>
      </c>
      <c r="V1686" s="518"/>
      <c r="Y1686" s="390"/>
      <c r="Z1686" s="438">
        <f>+Z1683*T1686</f>
        <v>0</v>
      </c>
      <c r="AA1686" s="86"/>
      <c r="AB1686" s="94"/>
      <c r="AC1686" s="94"/>
      <c r="AD1686" s="94"/>
      <c r="AE1686" s="386" t="s">
        <v>133</v>
      </c>
    </row>
    <row r="1687" spans="3:31" s="260" customFormat="1" x14ac:dyDescent="0.25">
      <c r="M1687" s="515" t="s">
        <v>19</v>
      </c>
      <c r="N1687" s="516"/>
      <c r="O1687" s="516"/>
      <c r="P1687" s="516"/>
      <c r="Q1687" s="516"/>
      <c r="R1687" s="516"/>
      <c r="S1687" s="516"/>
      <c r="T1687" s="437">
        <v>0.05</v>
      </c>
      <c r="U1687" s="517">
        <f>+ROUND(U1683*T1687,$AA$5)</f>
        <v>5315.07</v>
      </c>
      <c r="V1687" s="518"/>
      <c r="Y1687" s="390"/>
      <c r="Z1687" s="438">
        <f>+Z1683*T1687</f>
        <v>15945.212000000003</v>
      </c>
      <c r="AA1687" s="86"/>
      <c r="AB1687" s="94"/>
      <c r="AC1687" s="94"/>
      <c r="AD1687" s="94"/>
      <c r="AE1687" s="386" t="s">
        <v>133</v>
      </c>
    </row>
    <row r="1688" spans="3:31" s="260" customFormat="1" x14ac:dyDescent="0.25">
      <c r="M1688" s="515" t="s">
        <v>20</v>
      </c>
      <c r="N1688" s="516"/>
      <c r="O1688" s="516"/>
      <c r="P1688" s="516"/>
      <c r="Q1688" s="516"/>
      <c r="R1688" s="516"/>
      <c r="S1688" s="516"/>
      <c r="T1688" s="437">
        <v>0</v>
      </c>
      <c r="U1688" s="517">
        <f>+ROUND(U1683*T1688,$AA$5)</f>
        <v>0</v>
      </c>
      <c r="V1688" s="518"/>
      <c r="Y1688" s="390"/>
      <c r="Z1688" s="438">
        <f>+Z1683*T1688</f>
        <v>0</v>
      </c>
      <c r="AA1688" s="86"/>
      <c r="AB1688" s="94"/>
      <c r="AC1688" s="94"/>
      <c r="AD1688" s="94"/>
      <c r="AE1688" s="386" t="s">
        <v>133</v>
      </c>
    </row>
    <row r="1689" spans="3:31" s="260" customFormat="1" x14ac:dyDescent="0.25">
      <c r="M1689" s="515" t="s">
        <v>21</v>
      </c>
      <c r="N1689" s="516"/>
      <c r="O1689" s="516"/>
      <c r="P1689" s="516"/>
      <c r="Q1689" s="516"/>
      <c r="R1689" s="516"/>
      <c r="S1689" s="516"/>
      <c r="T1689" s="437">
        <f>$AA$9</f>
        <v>0</v>
      </c>
      <c r="U1689" s="517">
        <f>+ROUND(U1683*T1689,$AA$5)</f>
        <v>0</v>
      </c>
      <c r="V1689" s="518"/>
      <c r="Y1689" s="390"/>
      <c r="Z1689" s="438">
        <f>+Z1688*T1689</f>
        <v>0</v>
      </c>
      <c r="AA1689" s="86"/>
      <c r="AB1689" s="94"/>
      <c r="AC1689" s="94"/>
      <c r="AD1689" s="94"/>
      <c r="AE1689" s="386" t="s">
        <v>133</v>
      </c>
    </row>
    <row r="1690" spans="3:31" s="260" customFormat="1" ht="15.75" thickBot="1" x14ac:dyDescent="0.3">
      <c r="M1690" s="519" t="s">
        <v>349</v>
      </c>
      <c r="N1690" s="520"/>
      <c r="O1690" s="520"/>
      <c r="P1690" s="520"/>
      <c r="Q1690" s="520"/>
      <c r="R1690" s="520"/>
      <c r="S1690" s="520"/>
      <c r="T1690" s="520"/>
      <c r="U1690" s="521">
        <f>+SUM(U1686:V1689)</f>
        <v>5315.07</v>
      </c>
      <c r="V1690" s="522"/>
      <c r="Y1690" s="390"/>
      <c r="Z1690" s="439">
        <f>+SUM(Z1686:Z1689)</f>
        <v>15945.212000000003</v>
      </c>
      <c r="AA1690" s="86"/>
      <c r="AB1690" s="94"/>
      <c r="AC1690" s="94"/>
      <c r="AD1690" s="94"/>
      <c r="AE1690" s="386" t="s">
        <v>133</v>
      </c>
    </row>
    <row r="1691" spans="3:31" s="260" customFormat="1" ht="15.75" thickBot="1" x14ac:dyDescent="0.3">
      <c r="D1691" s="375" t="s">
        <v>128</v>
      </c>
      <c r="E1691" s="376" t="s">
        <v>129</v>
      </c>
      <c r="F1691" s="376" t="s">
        <v>130</v>
      </c>
      <c r="G1691" s="376" t="s">
        <v>131</v>
      </c>
      <c r="H1691" s="376" t="s">
        <v>132</v>
      </c>
      <c r="I1691" s="376" t="s">
        <v>133</v>
      </c>
      <c r="J1691" s="377" t="s">
        <v>134</v>
      </c>
      <c r="M1691" s="86"/>
      <c r="N1691" s="94"/>
      <c r="O1691" s="94"/>
      <c r="P1691" s="94"/>
      <c r="Q1691" s="86"/>
      <c r="R1691" s="86"/>
      <c r="S1691" s="86"/>
      <c r="T1691" s="440"/>
      <c r="U1691" s="523"/>
      <c r="V1691" s="523"/>
      <c r="Y1691" s="390"/>
      <c r="Z1691" s="385"/>
      <c r="AA1691" s="86"/>
      <c r="AB1691" s="94"/>
      <c r="AC1691" s="94"/>
      <c r="AD1691" s="94"/>
      <c r="AE1691" s="386" t="s">
        <v>133</v>
      </c>
    </row>
    <row r="1692" spans="3:31" s="260" customFormat="1" ht="15.75" thickBot="1" x14ac:dyDescent="0.3">
      <c r="D1692" s="355"/>
      <c r="E1692" s="367"/>
      <c r="F1692" s="367"/>
      <c r="G1692" s="367"/>
      <c r="H1692" s="412"/>
      <c r="I1692" s="412">
        <f>H1683</f>
        <v>2.2400000000000002</v>
      </c>
      <c r="J1692" s="422"/>
      <c r="M1692" s="524" t="s">
        <v>11</v>
      </c>
      <c r="N1692" s="525"/>
      <c r="O1692" s="525"/>
      <c r="P1692" s="525"/>
      <c r="Q1692" s="525"/>
      <c r="R1692" s="525"/>
      <c r="S1692" s="525"/>
      <c r="T1692" s="526"/>
      <c r="U1692" s="527">
        <f>+U1690+U1683</f>
        <v>111616.48000000001</v>
      </c>
      <c r="V1692" s="528"/>
      <c r="Y1692" s="429"/>
      <c r="Z1692" s="441">
        <f>+Z1690+Z1683</f>
        <v>334849.45200000005</v>
      </c>
      <c r="AA1692" s="86"/>
      <c r="AB1692" s="94"/>
      <c r="AC1692" s="94"/>
      <c r="AD1692" s="94"/>
      <c r="AE1692" s="405" t="s">
        <v>133</v>
      </c>
    </row>
    <row r="1693" spans="3:31" s="260" customFormat="1" x14ac:dyDescent="0.25"/>
    <row r="1694" spans="3:31" s="260" customFormat="1" ht="15.75" thickBot="1" x14ac:dyDescent="0.3"/>
    <row r="1695" spans="3:31" s="260" customFormat="1" ht="15.75" thickBot="1" x14ac:dyDescent="0.3">
      <c r="M1695" s="363" t="s">
        <v>88</v>
      </c>
      <c r="N1695" s="436" t="str">
        <f>+N1646</f>
        <v>CAP.2</v>
      </c>
      <c r="O1695" s="550" t="str">
        <f>IFERROR(VLOOKUP(N1695,PPTO!C:H,2,0),"----")</f>
        <v>RED HIDRAULICA</v>
      </c>
      <c r="P1695" s="551"/>
      <c r="Q1695" s="551"/>
      <c r="R1695" s="551"/>
      <c r="S1695" s="551"/>
      <c r="T1695" s="551"/>
      <c r="U1695" s="552"/>
      <c r="V1695" s="74" t="s">
        <v>91</v>
      </c>
      <c r="Y1695" s="365" t="s">
        <v>104</v>
      </c>
      <c r="Z1695" s="94"/>
      <c r="AA1695" s="188"/>
      <c r="AB1695" s="553"/>
      <c r="AC1695" s="553"/>
      <c r="AD1695" s="553"/>
      <c r="AE1695" s="94"/>
    </row>
    <row r="1696" spans="3:31" s="260" customFormat="1" ht="15.75" thickBot="1" x14ac:dyDescent="0.3">
      <c r="C1696" s="369">
        <f>+N1696</f>
        <v>2.25</v>
      </c>
      <c r="D1696" s="86"/>
      <c r="E1696" s="86"/>
      <c r="F1696" s="86"/>
      <c r="G1696" s="86"/>
      <c r="H1696" s="86"/>
      <c r="I1696" s="86"/>
      <c r="J1696" s="86"/>
      <c r="K1696" s="370"/>
      <c r="M1696" s="75" t="s">
        <v>92</v>
      </c>
      <c r="N1696" s="371">
        <f>+ROUNDUP(N1647+0.01,2)</f>
        <v>2.25</v>
      </c>
      <c r="O1696" s="554" t="str">
        <f>IFERROR(VLOOKUP(N1696,PPTO!C:H,2,0),"----")</f>
        <v>Valvula antirretorno Ø2_1/2"</v>
      </c>
      <c r="P1696" s="555"/>
      <c r="Q1696" s="555"/>
      <c r="R1696" s="555"/>
      <c r="S1696" s="555"/>
      <c r="T1696" s="555"/>
      <c r="U1696" s="556"/>
      <c r="V1696" s="76" t="str">
        <f>IFERROR(VLOOKUP(N1696,PPTO!C:H,3,0),"----")</f>
        <v>UND</v>
      </c>
      <c r="Y1696" s="373">
        <f>SUMIFS(PPTO!F:F,PPTO!C:C,APUS!N1696)</f>
        <v>2</v>
      </c>
      <c r="Z1696" s="94"/>
      <c r="AA1696" s="86"/>
      <c r="AB1696" s="94"/>
      <c r="AC1696" s="94"/>
      <c r="AD1696" s="94"/>
      <c r="AE1696" s="94"/>
    </row>
    <row r="1697" spans="3:31" s="260" customFormat="1" ht="15.75" thickBot="1" x14ac:dyDescent="0.3">
      <c r="C1697" s="84"/>
      <c r="D1697" s="86"/>
      <c r="E1697" s="86"/>
      <c r="F1697" s="86"/>
      <c r="G1697" s="86"/>
      <c r="H1697" s="86"/>
      <c r="I1697" s="86"/>
      <c r="J1697" s="86"/>
      <c r="K1697" s="88"/>
      <c r="M1697" s="557"/>
      <c r="N1697" s="557"/>
      <c r="O1697" s="557"/>
      <c r="P1697" s="557"/>
      <c r="Q1697" s="557"/>
      <c r="R1697" s="557"/>
      <c r="S1697" s="557"/>
      <c r="T1697" s="557"/>
      <c r="U1697" s="557"/>
      <c r="V1697" s="557"/>
      <c r="Y1697" s="374"/>
      <c r="Z1697" s="94"/>
      <c r="AA1697" s="86"/>
      <c r="AB1697" s="94"/>
      <c r="AC1697" s="94"/>
      <c r="AD1697" s="94"/>
      <c r="AE1697" s="94"/>
    </row>
    <row r="1698" spans="3:31" s="260" customFormat="1" ht="15.75" thickBot="1" x14ac:dyDescent="0.3">
      <c r="C1698" s="84"/>
      <c r="D1698" s="375" t="s">
        <v>128</v>
      </c>
      <c r="E1698" s="376" t="s">
        <v>129</v>
      </c>
      <c r="F1698" s="376" t="s">
        <v>130</v>
      </c>
      <c r="G1698" s="376" t="s">
        <v>131</v>
      </c>
      <c r="H1698" s="376" t="s">
        <v>132</v>
      </c>
      <c r="I1698" s="376" t="s">
        <v>133</v>
      </c>
      <c r="J1698" s="377" t="s">
        <v>134</v>
      </c>
      <c r="K1698" s="88"/>
      <c r="M1698" s="558" t="s">
        <v>93</v>
      </c>
      <c r="N1698" s="559"/>
      <c r="O1698" s="559"/>
      <c r="P1698" s="559"/>
      <c r="Q1698" s="559"/>
      <c r="R1698" s="559"/>
      <c r="S1698" s="559"/>
      <c r="T1698" s="559"/>
      <c r="U1698" s="559"/>
      <c r="V1698" s="560"/>
      <c r="Y1698" s="378"/>
      <c r="Z1698" s="121"/>
      <c r="AA1698" s="86"/>
      <c r="AB1698" s="513"/>
      <c r="AC1698" s="514"/>
      <c r="AD1698" s="94"/>
      <c r="AE1698" s="379"/>
    </row>
    <row r="1699" spans="3:31" s="260" customFormat="1" x14ac:dyDescent="0.25">
      <c r="C1699" s="84"/>
      <c r="D1699" s="380"/>
      <c r="E1699" s="381"/>
      <c r="F1699" s="381"/>
      <c r="G1699" s="381"/>
      <c r="H1699" s="381"/>
      <c r="I1699" s="381"/>
      <c r="J1699" s="382"/>
      <c r="K1699" s="88"/>
      <c r="M1699" s="99" t="s">
        <v>94</v>
      </c>
      <c r="N1699" s="561" t="s">
        <v>95</v>
      </c>
      <c r="O1699" s="561"/>
      <c r="P1699" s="561"/>
      <c r="Q1699" s="561"/>
      <c r="R1699" s="95" t="s">
        <v>96</v>
      </c>
      <c r="S1699" s="95" t="s">
        <v>97</v>
      </c>
      <c r="T1699" s="562" t="s">
        <v>8</v>
      </c>
      <c r="U1699" s="562"/>
      <c r="V1699" s="100" t="s">
        <v>98</v>
      </c>
      <c r="Y1699" s="383" t="s">
        <v>104</v>
      </c>
      <c r="Z1699" s="119" t="s">
        <v>9</v>
      </c>
      <c r="AA1699" s="86"/>
      <c r="AB1699" s="384"/>
      <c r="AC1699" s="385"/>
      <c r="AD1699" s="94"/>
      <c r="AE1699" s="386"/>
    </row>
    <row r="1700" spans="3:31" s="260" customFormat="1" x14ac:dyDescent="0.25">
      <c r="C1700" s="84"/>
      <c r="D1700" s="85"/>
      <c r="E1700" s="86"/>
      <c r="F1700" s="86"/>
      <c r="G1700" s="86"/>
      <c r="H1700" s="86"/>
      <c r="I1700" s="86"/>
      <c r="J1700" s="87"/>
      <c r="K1700" s="88"/>
      <c r="M1700" s="102"/>
      <c r="N1700" s="533" t="s">
        <v>99</v>
      </c>
      <c r="O1700" s="533"/>
      <c r="P1700" s="533"/>
      <c r="Q1700" s="533"/>
      <c r="R1700" s="78" t="s">
        <v>100</v>
      </c>
      <c r="S1700" s="387">
        <f>+$AA$10</f>
        <v>0.05</v>
      </c>
      <c r="T1700" s="563">
        <f>V1730</f>
        <v>8368.4500000000007</v>
      </c>
      <c r="U1700" s="563"/>
      <c r="V1700" s="389">
        <f>+IFERROR(T1700*S1700,0)</f>
        <v>418.42250000000007</v>
      </c>
      <c r="Y1700" s="390"/>
      <c r="Z1700" s="391">
        <f>Y1696*V1700</f>
        <v>836.84500000000014</v>
      </c>
      <c r="AA1700" s="86"/>
      <c r="AB1700" s="384"/>
      <c r="AC1700" s="385"/>
      <c r="AD1700" s="94"/>
      <c r="AE1700" s="386" t="str">
        <f>+IF(V1700=0,"CERO","NO")</f>
        <v>NO</v>
      </c>
    </row>
    <row r="1701" spans="3:31" s="260" customFormat="1" x14ac:dyDescent="0.25">
      <c r="C1701" s="84"/>
      <c r="D1701" s="85"/>
      <c r="E1701" s="86"/>
      <c r="F1701" s="86"/>
      <c r="G1701" s="86"/>
      <c r="H1701" s="86"/>
      <c r="I1701" s="86"/>
      <c r="J1701" s="87"/>
      <c r="K1701" s="88"/>
      <c r="M1701" s="106"/>
      <c r="N1701" s="533" t="str">
        <f>IFERROR(VLOOKUP(M1701,INSUMOS!$C$8:$K$928,2,0),"-----")</f>
        <v>-----</v>
      </c>
      <c r="O1701" s="533"/>
      <c r="P1701" s="533"/>
      <c r="Q1701" s="533"/>
      <c r="R1701" s="78" t="str">
        <f>IFERROR(VLOOKUP(M1701,INSUMOS!$C$8:$K$928,6,0),"-----")</f>
        <v>-----</v>
      </c>
      <c r="S1701" s="392"/>
      <c r="T1701" s="529" t="str">
        <f>IFERROR(VLOOKUP(M1701,INSUMOS!$C$8:$K$928,7,0),"0")</f>
        <v>0</v>
      </c>
      <c r="U1701" s="529"/>
      <c r="V1701" s="389">
        <f>+IFERROR(T1701*S1701,0)</f>
        <v>0</v>
      </c>
      <c r="Y1701" s="393">
        <f>+IFERROR(Y1696*S1701,0)</f>
        <v>0</v>
      </c>
      <c r="Z1701" s="391">
        <f>Y1696*V1701</f>
        <v>0</v>
      </c>
      <c r="AA1701" s="394"/>
      <c r="AB1701" s="395">
        <f>+Y1701*T1701</f>
        <v>0</v>
      </c>
      <c r="AC1701" s="93">
        <f>+AB1701-Z1701</f>
        <v>0</v>
      </c>
      <c r="AD1701" s="94"/>
      <c r="AE1701" s="386" t="str">
        <f>+IF(V1701=0,"CERO","NO")</f>
        <v>CERO</v>
      </c>
    </row>
    <row r="1702" spans="3:31" s="260" customFormat="1" x14ac:dyDescent="0.25">
      <c r="C1702" s="84"/>
      <c r="D1702" s="85"/>
      <c r="E1702" s="86"/>
      <c r="F1702" s="86"/>
      <c r="G1702" s="86"/>
      <c r="H1702" s="86"/>
      <c r="I1702" s="86"/>
      <c r="J1702" s="87"/>
      <c r="K1702" s="88"/>
      <c r="M1702" s="102">
        <v>0</v>
      </c>
      <c r="N1702" s="533"/>
      <c r="O1702" s="533"/>
      <c r="P1702" s="533"/>
      <c r="Q1702" s="533"/>
      <c r="R1702" s="78"/>
      <c r="S1702" s="396"/>
      <c r="T1702" s="529"/>
      <c r="U1702" s="529"/>
      <c r="V1702" s="397"/>
      <c r="Y1702" s="393">
        <f>+IFERROR(Y1696*S1702,0)</f>
        <v>0</v>
      </c>
      <c r="Z1702" s="391">
        <f>Y1696*V1702</f>
        <v>0</v>
      </c>
      <c r="AA1702" s="394"/>
      <c r="AB1702" s="395">
        <f>+Y1702*T1702</f>
        <v>0</v>
      </c>
      <c r="AC1702" s="93">
        <f>+AB1702-Z1702</f>
        <v>0</v>
      </c>
      <c r="AD1702" s="94"/>
      <c r="AE1702" s="386" t="str">
        <f>+IF(V1702=0,"CERO","NO")</f>
        <v>CERO</v>
      </c>
    </row>
    <row r="1703" spans="3:31" s="260" customFormat="1" x14ac:dyDescent="0.25">
      <c r="C1703" s="84"/>
      <c r="D1703" s="85"/>
      <c r="E1703" s="86"/>
      <c r="F1703" s="86"/>
      <c r="G1703" s="86"/>
      <c r="H1703" s="86"/>
      <c r="I1703" s="86"/>
      <c r="J1703" s="87"/>
      <c r="K1703" s="88"/>
      <c r="M1703" s="102">
        <v>0</v>
      </c>
      <c r="N1703" s="533"/>
      <c r="O1703" s="533"/>
      <c r="P1703" s="533"/>
      <c r="Q1703" s="533"/>
      <c r="R1703" s="78"/>
      <c r="S1703" s="396"/>
      <c r="T1703" s="529"/>
      <c r="U1703" s="529"/>
      <c r="V1703" s="397"/>
      <c r="Y1703" s="393">
        <f>+IFERROR(Y1696*S1703,0)</f>
        <v>0</v>
      </c>
      <c r="Z1703" s="391">
        <f>Y1696*V1703</f>
        <v>0</v>
      </c>
      <c r="AA1703" s="394"/>
      <c r="AB1703" s="395">
        <f>+Y1703*T1703</f>
        <v>0</v>
      </c>
      <c r="AC1703" s="93">
        <f>+AB1703-Z1703</f>
        <v>0</v>
      </c>
      <c r="AD1703" s="94"/>
      <c r="AE1703" s="386" t="str">
        <f>+IF(V1703=0,"CERO","NO")</f>
        <v>CERO</v>
      </c>
    </row>
    <row r="1704" spans="3:31" s="260" customFormat="1" ht="15.75" thickBot="1" x14ac:dyDescent="0.3">
      <c r="C1704" s="84"/>
      <c r="D1704" s="85"/>
      <c r="E1704" s="86"/>
      <c r="F1704" s="86"/>
      <c r="G1704" s="86"/>
      <c r="H1704" s="86"/>
      <c r="I1704" s="86"/>
      <c r="J1704" s="87"/>
      <c r="K1704" s="88"/>
      <c r="M1704" s="102">
        <v>0</v>
      </c>
      <c r="N1704" s="564"/>
      <c r="O1704" s="564"/>
      <c r="P1704" s="564"/>
      <c r="Q1704" s="564"/>
      <c r="R1704" s="96"/>
      <c r="S1704" s="96"/>
      <c r="T1704" s="565"/>
      <c r="U1704" s="565"/>
      <c r="V1704" s="101"/>
      <c r="Y1704" s="393">
        <f>+IFERROR(Y1696*S1704,0)</f>
        <v>0</v>
      </c>
      <c r="Z1704" s="391">
        <f>Y1696*V1704</f>
        <v>0</v>
      </c>
      <c r="AA1704" s="394"/>
      <c r="AB1704" s="395">
        <f>+Y1704*T1704</f>
        <v>0</v>
      </c>
      <c r="AC1704" s="93">
        <f>+AB1704-Z1704</f>
        <v>0</v>
      </c>
      <c r="AD1704" s="94"/>
      <c r="AE1704" s="386" t="str">
        <f>+IF(V1704=0,"CERO","NO")</f>
        <v>CERO</v>
      </c>
    </row>
    <row r="1705" spans="3:31" s="260" customFormat="1" ht="15.75" thickBot="1" x14ac:dyDescent="0.3">
      <c r="C1705" s="84"/>
      <c r="D1705" s="375" t="s">
        <v>128</v>
      </c>
      <c r="E1705" s="376" t="s">
        <v>129</v>
      </c>
      <c r="F1705" s="376" t="s">
        <v>130</v>
      </c>
      <c r="G1705" s="376" t="s">
        <v>131</v>
      </c>
      <c r="H1705" s="376" t="s">
        <v>132</v>
      </c>
      <c r="I1705" s="376" t="s">
        <v>133</v>
      </c>
      <c r="J1705" s="377" t="s">
        <v>134</v>
      </c>
      <c r="K1705" s="88"/>
      <c r="M1705" s="534"/>
      <c r="N1705" s="536" t="s">
        <v>101</v>
      </c>
      <c r="O1705" s="536"/>
      <c r="P1705" s="536"/>
      <c r="Q1705" s="536"/>
      <c r="R1705" s="536"/>
      <c r="S1705" s="536"/>
      <c r="T1705" s="536"/>
      <c r="U1705" s="536"/>
      <c r="V1705" s="389">
        <f>+SUM(V1700:V1704)</f>
        <v>418.42250000000007</v>
      </c>
      <c r="Y1705" s="398" t="s">
        <v>135</v>
      </c>
      <c r="Z1705" s="397">
        <f>+SUM(Z1700:Z1704)</f>
        <v>836.84500000000014</v>
      </c>
      <c r="AA1705" s="86"/>
      <c r="AB1705" s="384"/>
      <c r="AC1705" s="385"/>
      <c r="AD1705" s="94"/>
      <c r="AE1705" s="399"/>
    </row>
    <row r="1706" spans="3:31" s="260" customFormat="1" ht="15.75" thickBot="1" x14ac:dyDescent="0.3">
      <c r="C1706" s="84"/>
      <c r="D1706" s="375">
        <f>C1696</f>
        <v>2.25</v>
      </c>
      <c r="E1706" s="376"/>
      <c r="F1706" s="376"/>
      <c r="G1706" s="376"/>
      <c r="H1706" s="376"/>
      <c r="I1706" s="376"/>
      <c r="J1706" s="377"/>
      <c r="K1706" s="88"/>
      <c r="M1706" s="566"/>
      <c r="N1706" s="567" t="s">
        <v>102</v>
      </c>
      <c r="O1706" s="567"/>
      <c r="P1706" s="567"/>
      <c r="Q1706" s="567"/>
      <c r="R1706" s="567"/>
      <c r="S1706" s="567"/>
      <c r="T1706" s="567"/>
      <c r="U1706" s="567"/>
      <c r="V1706" s="400">
        <f>+ROUND(V1705,$AA$5)</f>
        <v>418.42</v>
      </c>
      <c r="Y1706" s="401" t="s">
        <v>136</v>
      </c>
      <c r="Z1706" s="402">
        <f>+ROUND(Z1705,$AA$5)</f>
        <v>836.85</v>
      </c>
      <c r="AA1706" s="86"/>
      <c r="AB1706" s="403">
        <f>+V1706*Y1696</f>
        <v>836.84</v>
      </c>
      <c r="AC1706" s="404">
        <f>+AB1706-Z1706</f>
        <v>-9.9999999999909051E-3</v>
      </c>
      <c r="AD1706" s="94"/>
      <c r="AE1706" s="405"/>
    </row>
    <row r="1707" spans="3:31" s="260" customFormat="1" x14ac:dyDescent="0.25">
      <c r="C1707" s="84"/>
      <c r="D1707" s="380"/>
      <c r="E1707" s="381"/>
      <c r="F1707" s="381"/>
      <c r="G1707" s="381"/>
      <c r="H1707" s="381"/>
      <c r="I1707" s="381"/>
      <c r="J1707" s="382"/>
      <c r="K1707" s="88"/>
      <c r="M1707" s="510" t="s">
        <v>103</v>
      </c>
      <c r="N1707" s="511"/>
      <c r="O1707" s="511"/>
      <c r="P1707" s="511"/>
      <c r="Q1707" s="511"/>
      <c r="R1707" s="511"/>
      <c r="S1707" s="511"/>
      <c r="T1707" s="511"/>
      <c r="U1707" s="511"/>
      <c r="V1707" s="512"/>
      <c r="Y1707" s="378"/>
      <c r="Z1707" s="121"/>
      <c r="AA1707" s="86"/>
      <c r="AB1707" s="513"/>
      <c r="AC1707" s="514"/>
      <c r="AD1707" s="94"/>
      <c r="AE1707" s="126"/>
    </row>
    <row r="1708" spans="3:31" s="260" customFormat="1" x14ac:dyDescent="0.25">
      <c r="C1708" s="84"/>
      <c r="D1708" s="85"/>
      <c r="E1708" s="86"/>
      <c r="F1708" s="86"/>
      <c r="G1708" s="86"/>
      <c r="H1708" s="86"/>
      <c r="I1708" s="86"/>
      <c r="J1708" s="87"/>
      <c r="K1708" s="88"/>
      <c r="M1708" s="99" t="s">
        <v>94</v>
      </c>
      <c r="N1708" s="561" t="s">
        <v>95</v>
      </c>
      <c r="O1708" s="561"/>
      <c r="P1708" s="561"/>
      <c r="Q1708" s="561"/>
      <c r="R1708" s="95" t="s">
        <v>96</v>
      </c>
      <c r="S1708" s="95" t="s">
        <v>104</v>
      </c>
      <c r="T1708" s="356" t="s">
        <v>105</v>
      </c>
      <c r="U1708" s="356" t="s">
        <v>8</v>
      </c>
      <c r="V1708" s="100" t="s">
        <v>98</v>
      </c>
      <c r="Y1708" s="383" t="s">
        <v>104</v>
      </c>
      <c r="Z1708" s="119" t="s">
        <v>9</v>
      </c>
      <c r="AA1708" s="86"/>
      <c r="AB1708" s="384"/>
      <c r="AC1708" s="385"/>
      <c r="AD1708" s="94"/>
      <c r="AE1708" s="406"/>
    </row>
    <row r="1709" spans="3:31" s="260" customFormat="1" x14ac:dyDescent="0.25">
      <c r="C1709" s="84"/>
      <c r="D1709" s="85"/>
      <c r="E1709" s="86"/>
      <c r="F1709" s="86"/>
      <c r="G1709" s="86"/>
      <c r="H1709" s="86"/>
      <c r="I1709" s="86"/>
      <c r="J1709" s="87"/>
      <c r="K1709" s="88"/>
      <c r="M1709" s="102">
        <v>834</v>
      </c>
      <c r="N1709" s="533" t="str">
        <f>IFERROR(VLOOKUP(M1709,INSUMOS!$C$8:$K$928,2,0),"-----")</f>
        <v>VALVULA CHECK 2_1/2"</v>
      </c>
      <c r="O1709" s="533"/>
      <c r="P1709" s="533"/>
      <c r="Q1709" s="533"/>
      <c r="R1709" s="78" t="str">
        <f>IFERROR(VLOOKUP(M1709,INSUMOS!$C$8:$K$928,6,0),"-----")</f>
        <v>und</v>
      </c>
      <c r="S1709" s="396">
        <v>1</v>
      </c>
      <c r="T1709" s="387">
        <v>0</v>
      </c>
      <c r="U1709" s="388">
        <f>IFERROR(VLOOKUP(M1709,INSUMOS!$C$8:$K$928,7,0),"0")</f>
        <v>139000</v>
      </c>
      <c r="V1709" s="389">
        <f>+IFERROR(U1709*(S1709*(1+T1709)),0)</f>
        <v>139000</v>
      </c>
      <c r="Y1709" s="393">
        <f>+IFERROR(Y1696*(S1709*(1+T1709)),0)</f>
        <v>2</v>
      </c>
      <c r="Z1709" s="391">
        <f>Y1696*V1709</f>
        <v>278000</v>
      </c>
      <c r="AA1709" s="394"/>
      <c r="AB1709" s="395">
        <f>+Y1709*U1709</f>
        <v>278000</v>
      </c>
      <c r="AC1709" s="93">
        <f>+AB1709-Z1709</f>
        <v>0</v>
      </c>
      <c r="AD1709" s="94"/>
      <c r="AE1709" s="406" t="str">
        <f>+IF(V1709=0,"CERO","NO")</f>
        <v>NO</v>
      </c>
    </row>
    <row r="1710" spans="3:31" s="260" customFormat="1" x14ac:dyDescent="0.25">
      <c r="C1710" s="84"/>
      <c r="D1710" s="85"/>
      <c r="E1710" s="86"/>
      <c r="F1710" s="86"/>
      <c r="G1710" s="86"/>
      <c r="H1710" s="86"/>
      <c r="I1710" s="86"/>
      <c r="J1710" s="87"/>
      <c r="K1710" s="88"/>
      <c r="M1710" s="102">
        <v>699</v>
      </c>
      <c r="N1710" s="533" t="str">
        <f>IFERROR(VLOOKUP(M1710,INSUMOS!$C$8:$K$928,2,0),"-----")</f>
        <v>SOLDADURA PVC LIQUIDA 1/4"</v>
      </c>
      <c r="O1710" s="533"/>
      <c r="P1710" s="533"/>
      <c r="Q1710" s="533"/>
      <c r="R1710" s="78" t="str">
        <f>IFERROR(VLOOKUP(M1710,INSUMOS!$C$8:$K$928,6,0),"-----")</f>
        <v>und</v>
      </c>
      <c r="S1710" s="396">
        <v>0.01</v>
      </c>
      <c r="T1710" s="387">
        <v>0.02</v>
      </c>
      <c r="U1710" s="388">
        <f>IFERROR(VLOOKUP(M1710,INSUMOS!$C$8:$K$928,7,0),"0")</f>
        <v>146569</v>
      </c>
      <c r="V1710" s="389">
        <f>+IFERROR(U1710*(S1710*(1+T1710)),0)</f>
        <v>1495.0038000000002</v>
      </c>
      <c r="Y1710" s="393">
        <f>+IFERROR(Y1696*(S1710*(1+T1710)),0)</f>
        <v>2.0400000000000001E-2</v>
      </c>
      <c r="Z1710" s="391">
        <f>Y1696*V1710</f>
        <v>2990.0076000000004</v>
      </c>
      <c r="AA1710" s="394"/>
      <c r="AB1710" s="395">
        <f>+Y1710*U1710</f>
        <v>2990.0076000000004</v>
      </c>
      <c r="AC1710" s="93">
        <f>+AB1710-Z1710</f>
        <v>0</v>
      </c>
      <c r="AD1710" s="94"/>
      <c r="AE1710" s="406" t="str">
        <f>+IF(V1710=0,"CERO","NO")</f>
        <v>NO</v>
      </c>
    </row>
    <row r="1711" spans="3:31" s="260" customFormat="1" x14ac:dyDescent="0.25">
      <c r="C1711" s="84"/>
      <c r="D1711" s="85"/>
      <c r="E1711" s="86"/>
      <c r="F1711" s="86"/>
      <c r="G1711" s="86"/>
      <c r="H1711" s="86"/>
      <c r="I1711" s="86"/>
      <c r="J1711" s="87"/>
      <c r="K1711" s="88"/>
      <c r="M1711" s="102">
        <v>700</v>
      </c>
      <c r="N1711" s="533" t="str">
        <f>IFERROR(VLOOKUP(M1711,INSUMOS!$C$8:$K$928,2,0),"-----")</f>
        <v>LIMPIADOR PVC 1/4</v>
      </c>
      <c r="O1711" s="533"/>
      <c r="P1711" s="533"/>
      <c r="Q1711" s="533"/>
      <c r="R1711" s="78" t="str">
        <f>IFERROR(VLOOKUP(M1711,INSUMOS!$C$8:$K$928,6,0),"-----")</f>
        <v>und</v>
      </c>
      <c r="S1711" s="396">
        <v>0.01</v>
      </c>
      <c r="T1711" s="387">
        <v>0.02</v>
      </c>
      <c r="U1711" s="388">
        <f>IFERROR(VLOOKUP(M1711,INSUMOS!$C$8:$K$928,7,0),"0")</f>
        <v>65913</v>
      </c>
      <c r="V1711" s="389">
        <f>+IFERROR(U1711*(S1711*(1+T1711)),0)</f>
        <v>672.31260000000009</v>
      </c>
      <c r="Y1711" s="393">
        <f>+IFERROR(Y1696*(S1711*(1+T1711)),0)</f>
        <v>2.0400000000000001E-2</v>
      </c>
      <c r="Z1711" s="391">
        <f>Y1696*V1711</f>
        <v>1344.6252000000002</v>
      </c>
      <c r="AA1711" s="394"/>
      <c r="AB1711" s="395">
        <f>+Y1711*U1711</f>
        <v>1344.6252000000002</v>
      </c>
      <c r="AC1711" s="93">
        <f>+AB1711-Z1711</f>
        <v>0</v>
      </c>
      <c r="AD1711" s="94"/>
      <c r="AE1711" s="406" t="str">
        <f>+IF(V1711=0,"CERO","NO")</f>
        <v>NO</v>
      </c>
    </row>
    <row r="1712" spans="3:31" s="260" customFormat="1" x14ac:dyDescent="0.25">
      <c r="C1712" s="84"/>
      <c r="D1712" s="85"/>
      <c r="E1712" s="86"/>
      <c r="F1712" s="86"/>
      <c r="G1712" s="86"/>
      <c r="H1712" s="86"/>
      <c r="I1712" s="86"/>
      <c r="J1712" s="87"/>
      <c r="K1712" s="88"/>
      <c r="M1712" s="102">
        <v>0</v>
      </c>
      <c r="N1712" s="533" t="str">
        <f>IFERROR(VLOOKUP(M1712,INSUMOS!$C$8:$K$928,2,0),"-----")</f>
        <v>-----</v>
      </c>
      <c r="O1712" s="533"/>
      <c r="P1712" s="533"/>
      <c r="Q1712" s="533"/>
      <c r="R1712" s="78" t="str">
        <f>IFERROR(VLOOKUP(M1712,INSUMOS!$C$8:$K$928,6,0),"-----")</f>
        <v>-----</v>
      </c>
      <c r="S1712" s="396"/>
      <c r="T1712" s="387"/>
      <c r="U1712" s="388" t="str">
        <f>IFERROR(VLOOKUP(M1712,INSUMOS!$C$8:$K$928,7,0),"0")</f>
        <v>0</v>
      </c>
      <c r="V1712" s="389">
        <f>+IFERROR(U1712*(S1712*(1+T1712)),0)</f>
        <v>0</v>
      </c>
      <c r="Y1712" s="393">
        <f>+IFERROR(Y1696*(S1712*(1+T1712)),0)</f>
        <v>0</v>
      </c>
      <c r="Z1712" s="391">
        <f>Y1696*V1712</f>
        <v>0</v>
      </c>
      <c r="AA1712" s="394"/>
      <c r="AB1712" s="395">
        <f>+Y1712*U1712</f>
        <v>0</v>
      </c>
      <c r="AC1712" s="93">
        <f>+AB1712-Z1712</f>
        <v>0</v>
      </c>
      <c r="AD1712" s="94"/>
      <c r="AE1712" s="406" t="str">
        <f>+IF(V1712=0,"CERO","NO")</f>
        <v>CERO</v>
      </c>
    </row>
    <row r="1713" spans="3:31" s="260" customFormat="1" ht="15.75" thickBot="1" x14ac:dyDescent="0.3">
      <c r="C1713" s="84"/>
      <c r="D1713" s="85"/>
      <c r="E1713" s="86"/>
      <c r="F1713" s="86"/>
      <c r="G1713" s="86"/>
      <c r="H1713" s="86"/>
      <c r="I1713" s="86"/>
      <c r="J1713" s="87"/>
      <c r="K1713" s="88"/>
      <c r="M1713" s="102">
        <v>0</v>
      </c>
      <c r="N1713" s="564"/>
      <c r="O1713" s="564"/>
      <c r="P1713" s="564"/>
      <c r="Q1713" s="564"/>
      <c r="R1713" s="96"/>
      <c r="S1713" s="79"/>
      <c r="T1713" s="97"/>
      <c r="U1713" s="358"/>
      <c r="V1713" s="397"/>
      <c r="Y1713" s="393">
        <f>+IFERROR(Y1696*(S1713*(1+T1713)),0)</f>
        <v>0</v>
      </c>
      <c r="Z1713" s="391">
        <f>Y1696*V1713</f>
        <v>0</v>
      </c>
      <c r="AA1713" s="394"/>
      <c r="AB1713" s="395">
        <f>+Y1713*U1713</f>
        <v>0</v>
      </c>
      <c r="AC1713" s="93">
        <f>+AB1713-Z1713</f>
        <v>0</v>
      </c>
      <c r="AD1713" s="94"/>
      <c r="AE1713" s="406" t="str">
        <f>+IF(V1713=0,"CERO","NO")</f>
        <v>CERO</v>
      </c>
    </row>
    <row r="1714" spans="3:31" s="260" customFormat="1" ht="15.75" thickBot="1" x14ac:dyDescent="0.3">
      <c r="C1714" s="84"/>
      <c r="D1714" s="375" t="s">
        <v>128</v>
      </c>
      <c r="E1714" s="376" t="s">
        <v>129</v>
      </c>
      <c r="F1714" s="376" t="s">
        <v>130</v>
      </c>
      <c r="G1714" s="376" t="s">
        <v>131</v>
      </c>
      <c r="H1714" s="376" t="s">
        <v>132</v>
      </c>
      <c r="I1714" s="376" t="s">
        <v>133</v>
      </c>
      <c r="J1714" s="377" t="s">
        <v>134</v>
      </c>
      <c r="K1714" s="88"/>
      <c r="M1714" s="534"/>
      <c r="N1714" s="536" t="s">
        <v>106</v>
      </c>
      <c r="O1714" s="536"/>
      <c r="P1714" s="536"/>
      <c r="Q1714" s="536"/>
      <c r="R1714" s="536"/>
      <c r="S1714" s="536"/>
      <c r="T1714" s="536"/>
      <c r="U1714" s="536"/>
      <c r="V1714" s="389">
        <f>+SUM(V1709:V1713)</f>
        <v>141167.31640000001</v>
      </c>
      <c r="Y1714" s="398" t="s">
        <v>135</v>
      </c>
      <c r="Z1714" s="397">
        <f>+SUM(Z1709:Z1713)</f>
        <v>282334.63280000002</v>
      </c>
      <c r="AA1714" s="86"/>
      <c r="AB1714" s="384"/>
      <c r="AC1714" s="385"/>
      <c r="AD1714" s="94"/>
      <c r="AE1714" s="399"/>
    </row>
    <row r="1715" spans="3:31" s="260" customFormat="1" ht="15.75" thickBot="1" x14ac:dyDescent="0.3">
      <c r="C1715" s="84"/>
      <c r="D1715" s="375"/>
      <c r="E1715" s="407">
        <f>+D1706</f>
        <v>2.25</v>
      </c>
      <c r="F1715" s="376"/>
      <c r="G1715" s="376"/>
      <c r="H1715" s="376"/>
      <c r="I1715" s="376"/>
      <c r="J1715" s="377"/>
      <c r="K1715" s="88"/>
      <c r="M1715" s="535"/>
      <c r="N1715" s="537" t="s">
        <v>107</v>
      </c>
      <c r="O1715" s="537"/>
      <c r="P1715" s="537"/>
      <c r="Q1715" s="537"/>
      <c r="R1715" s="537"/>
      <c r="S1715" s="537"/>
      <c r="T1715" s="537"/>
      <c r="U1715" s="537"/>
      <c r="V1715" s="408">
        <f>+ROUND(V1714,$AA$5)</f>
        <v>141167.32</v>
      </c>
      <c r="Y1715" s="401" t="s">
        <v>136</v>
      </c>
      <c r="Z1715" s="402">
        <f>+ROUND(Z1714,$AA$5)</f>
        <v>282334.63</v>
      </c>
      <c r="AA1715" s="86"/>
      <c r="AB1715" s="403">
        <f>+V1715*Y1696</f>
        <v>282334.64</v>
      </c>
      <c r="AC1715" s="404">
        <f>+AB1715-Z1715</f>
        <v>1.0000000009313226E-2</v>
      </c>
      <c r="AD1715" s="94"/>
      <c r="AE1715" s="405"/>
    </row>
    <row r="1716" spans="3:31" s="260" customFormat="1" x14ac:dyDescent="0.25">
      <c r="C1716" s="84"/>
      <c r="D1716" s="380"/>
      <c r="E1716" s="381"/>
      <c r="F1716" s="381"/>
      <c r="G1716" s="381"/>
      <c r="H1716" s="381"/>
      <c r="I1716" s="381"/>
      <c r="J1716" s="382"/>
      <c r="K1716" s="88"/>
      <c r="M1716" s="568" t="s">
        <v>108</v>
      </c>
      <c r="N1716" s="569"/>
      <c r="O1716" s="569"/>
      <c r="P1716" s="569"/>
      <c r="Q1716" s="569"/>
      <c r="R1716" s="569"/>
      <c r="S1716" s="569"/>
      <c r="T1716" s="569"/>
      <c r="U1716" s="569"/>
      <c r="V1716" s="570"/>
      <c r="Y1716" s="378"/>
      <c r="Z1716" s="121"/>
      <c r="AA1716" s="86"/>
      <c r="AB1716" s="409"/>
      <c r="AC1716" s="121"/>
      <c r="AD1716" s="94"/>
      <c r="AE1716" s="126"/>
    </row>
    <row r="1717" spans="3:31" s="260" customFormat="1" ht="25.5" x14ac:dyDescent="0.25">
      <c r="C1717" s="84"/>
      <c r="D1717" s="85"/>
      <c r="E1717" s="86"/>
      <c r="F1717" s="86"/>
      <c r="G1717" s="86"/>
      <c r="H1717" s="86"/>
      <c r="I1717" s="86"/>
      <c r="J1717" s="87"/>
      <c r="K1717" s="88"/>
      <c r="M1717" s="99" t="s">
        <v>94</v>
      </c>
      <c r="N1717" s="561" t="s">
        <v>95</v>
      </c>
      <c r="O1717" s="561"/>
      <c r="P1717" s="561"/>
      <c r="Q1717" s="95" t="s">
        <v>109</v>
      </c>
      <c r="R1717" s="95" t="s">
        <v>110</v>
      </c>
      <c r="S1717" s="95" t="s">
        <v>111</v>
      </c>
      <c r="T1717" s="562" t="s">
        <v>112</v>
      </c>
      <c r="U1717" s="562"/>
      <c r="V1717" s="100" t="s">
        <v>98</v>
      </c>
      <c r="Y1717" s="383" t="s">
        <v>104</v>
      </c>
      <c r="Z1717" s="119" t="s">
        <v>9</v>
      </c>
      <c r="AA1717" s="86"/>
      <c r="AB1717" s="384"/>
      <c r="AC1717" s="385"/>
      <c r="AD1717" s="94"/>
      <c r="AE1717" s="410"/>
    </row>
    <row r="1718" spans="3:31" s="260" customFormat="1" x14ac:dyDescent="0.25">
      <c r="C1718" s="84"/>
      <c r="D1718" s="85"/>
      <c r="E1718" s="86"/>
      <c r="F1718" s="86"/>
      <c r="G1718" s="86"/>
      <c r="H1718" s="86"/>
      <c r="I1718" s="86"/>
      <c r="J1718" s="87"/>
      <c r="K1718" s="88"/>
      <c r="M1718" s="102">
        <v>129</v>
      </c>
      <c r="N1718" s="530" t="str">
        <f>IFERROR(VLOOKUP(M1718,INSUMOS!$C$8:$K$928,2,0),"-----")</f>
        <v>transporte materiales en general</v>
      </c>
      <c r="O1718" s="531"/>
      <c r="P1718" s="532"/>
      <c r="Q1718" s="78" t="str">
        <f>IFERROR(VLOOKUP(M1718,INSUMOS!$C$8:$K$928,5,0),"-----")</f>
        <v>Km</v>
      </c>
      <c r="R1718" s="80">
        <v>1</v>
      </c>
      <c r="S1718" s="80">
        <f>IFERROR(VLOOKUP(M1718,INSUMOS!$C$8:$K$928,6,0),"0")</f>
        <v>348</v>
      </c>
      <c r="T1718" s="529">
        <f>IFERROR(VLOOKUP(M1718,INSUMOS!$C$8:$K$928,7,0),"0")</f>
        <v>0.99776362060288992</v>
      </c>
      <c r="U1718" s="529"/>
      <c r="V1718" s="82">
        <f>+T1718*S1718*R1718</f>
        <v>347.2217399698057</v>
      </c>
      <c r="Y1718" s="393">
        <f>+IFERROR((R1718*S1718)*Y1696,0)</f>
        <v>696</v>
      </c>
      <c r="Z1718" s="391">
        <f>Y1696*V1718</f>
        <v>694.44347993961139</v>
      </c>
      <c r="AA1718" s="86"/>
      <c r="AB1718" s="92">
        <f>+Y1718*T1718</f>
        <v>694.44347993961139</v>
      </c>
      <c r="AC1718" s="93">
        <f>+AB1718-Z1718</f>
        <v>0</v>
      </c>
      <c r="AD1718" s="94"/>
      <c r="AE1718" s="406" t="str">
        <f>+IF(V1718=0,"CERO","NO")</f>
        <v>NO</v>
      </c>
    </row>
    <row r="1719" spans="3:31" s="260" customFormat="1" x14ac:dyDescent="0.25">
      <c r="C1719" s="84"/>
      <c r="D1719" s="85"/>
      <c r="E1719" s="86"/>
      <c r="F1719" s="86"/>
      <c r="G1719" s="86"/>
      <c r="H1719" s="86"/>
      <c r="I1719" s="86"/>
      <c r="J1719" s="87"/>
      <c r="K1719" s="88"/>
      <c r="M1719" s="102">
        <v>0</v>
      </c>
      <c r="N1719" s="530" t="str">
        <f>IFERROR(VLOOKUP(M1719,INSUMOS!$C$8:$K$928,2,0),"-----")</f>
        <v>-----</v>
      </c>
      <c r="O1719" s="531"/>
      <c r="P1719" s="532"/>
      <c r="Q1719" s="78" t="str">
        <f>IFERROR(VLOOKUP(M1719,INSUMOS!$C$8:$K$928,5,0),"-----")</f>
        <v>-----</v>
      </c>
      <c r="R1719" s="80"/>
      <c r="S1719" s="80" t="str">
        <f>IFERROR(VLOOKUP(M1719,INSUMOS!$C$8:$K$928,6,0),"0")</f>
        <v>0</v>
      </c>
      <c r="T1719" s="529" t="str">
        <f>IFERROR(VLOOKUP(M1719,INSUMOS!$C$8:$K$928,7,0),"0")</f>
        <v>0</v>
      </c>
      <c r="U1719" s="529"/>
      <c r="V1719" s="82">
        <f>+T1719*S1719*R1719</f>
        <v>0</v>
      </c>
      <c r="Y1719" s="393">
        <f>+IFERROR((R1719*S1719)*Y1696,0)</f>
        <v>0</v>
      </c>
      <c r="Z1719" s="391">
        <f>Y1696*V1719</f>
        <v>0</v>
      </c>
      <c r="AA1719" s="86"/>
      <c r="AB1719" s="92">
        <f>+Y1719*T1719</f>
        <v>0</v>
      </c>
      <c r="AC1719" s="93">
        <f>+AB1719-Z1719</f>
        <v>0</v>
      </c>
      <c r="AD1719" s="94"/>
      <c r="AE1719" s="406" t="str">
        <f>+IF(V1719=0,"CERO","NO")</f>
        <v>CERO</v>
      </c>
    </row>
    <row r="1720" spans="3:31" s="260" customFormat="1" x14ac:dyDescent="0.25">
      <c r="C1720" s="84"/>
      <c r="D1720" s="85"/>
      <c r="E1720" s="86"/>
      <c r="F1720" s="86"/>
      <c r="G1720" s="86"/>
      <c r="H1720" s="86"/>
      <c r="I1720" s="86"/>
      <c r="J1720" s="87"/>
      <c r="K1720" s="88"/>
      <c r="M1720" s="102">
        <v>0</v>
      </c>
      <c r="N1720" s="530" t="str">
        <f>IFERROR(VLOOKUP(M1720,INSUMOS!$C$8:$K$928,2,0),"-----")</f>
        <v>-----</v>
      </c>
      <c r="O1720" s="531"/>
      <c r="P1720" s="532"/>
      <c r="Q1720" s="78" t="str">
        <f>IFERROR(VLOOKUP(M1720,INSUMOS!$C$8:$K$928,5,0),"-----")</f>
        <v>-----</v>
      </c>
      <c r="R1720" s="80"/>
      <c r="S1720" s="80" t="str">
        <f>IFERROR(VLOOKUP(M1720,INSUMOS!$C$8:$K$928,6,0),"0")</f>
        <v>0</v>
      </c>
      <c r="T1720" s="529" t="str">
        <f>IFERROR(VLOOKUP(M1720,INSUMOS!$C$8:$K$928,7,0),"0")</f>
        <v>0</v>
      </c>
      <c r="U1720" s="529"/>
      <c r="V1720" s="82">
        <f>+T1720*S1720*R1720</f>
        <v>0</v>
      </c>
      <c r="Y1720" s="393">
        <f>+IFERROR((R1720*S1720)*Y1696,0)</f>
        <v>0</v>
      </c>
      <c r="Z1720" s="391">
        <f>Y1696*V1720</f>
        <v>0</v>
      </c>
      <c r="AA1720" s="86"/>
      <c r="AB1720" s="92">
        <f>+Y1720*T1720</f>
        <v>0</v>
      </c>
      <c r="AC1720" s="93">
        <f>+AB1720-Z1720</f>
        <v>0</v>
      </c>
      <c r="AD1720" s="94"/>
      <c r="AE1720" s="406" t="str">
        <f>+IF(V1720=0,"CERO","NO")</f>
        <v>CERO</v>
      </c>
    </row>
    <row r="1721" spans="3:31" s="260" customFormat="1" ht="15.75" thickBot="1" x14ac:dyDescent="0.3">
      <c r="C1721" s="84"/>
      <c r="D1721" s="89"/>
      <c r="E1721" s="90"/>
      <c r="F1721" s="90"/>
      <c r="G1721" s="90"/>
      <c r="H1721" s="90"/>
      <c r="I1721" s="90"/>
      <c r="J1721" s="91"/>
      <c r="K1721" s="88"/>
      <c r="M1721" s="102">
        <v>0</v>
      </c>
      <c r="N1721" s="533"/>
      <c r="O1721" s="533"/>
      <c r="P1721" s="533"/>
      <c r="Q1721" s="79"/>
      <c r="R1721" s="78"/>
      <c r="S1721" s="81"/>
      <c r="T1721" s="529"/>
      <c r="U1721" s="529"/>
      <c r="V1721" s="82"/>
      <c r="Y1721" s="393">
        <f>+IFERROR((R1721*S1721)*Y1696,0)</f>
        <v>0</v>
      </c>
      <c r="Z1721" s="391">
        <f>Y1696*V1721</f>
        <v>0</v>
      </c>
      <c r="AA1721" s="86"/>
      <c r="AB1721" s="92">
        <f>+Y1721*T1721</f>
        <v>0</v>
      </c>
      <c r="AC1721" s="93">
        <f>+AB1721-Z1721</f>
        <v>0</v>
      </c>
      <c r="AD1721" s="94"/>
      <c r="AE1721" s="406" t="str">
        <f>+IF(V1721=0,"CERO","NO")</f>
        <v>CERO</v>
      </c>
    </row>
    <row r="1722" spans="3:31" s="260" customFormat="1" ht="15.75" thickBot="1" x14ac:dyDescent="0.3">
      <c r="C1722" s="84"/>
      <c r="D1722" s="375" t="s">
        <v>128</v>
      </c>
      <c r="E1722" s="376" t="s">
        <v>129</v>
      </c>
      <c r="F1722" s="376" t="s">
        <v>130</v>
      </c>
      <c r="G1722" s="376" t="s">
        <v>131</v>
      </c>
      <c r="H1722" s="376" t="s">
        <v>132</v>
      </c>
      <c r="I1722" s="376" t="s">
        <v>133</v>
      </c>
      <c r="J1722" s="377" t="s">
        <v>134</v>
      </c>
      <c r="K1722" s="88"/>
      <c r="M1722" s="534"/>
      <c r="N1722" s="536" t="s">
        <v>113</v>
      </c>
      <c r="O1722" s="536"/>
      <c r="P1722" s="536"/>
      <c r="Q1722" s="536"/>
      <c r="R1722" s="536"/>
      <c r="S1722" s="536"/>
      <c r="T1722" s="536"/>
      <c r="U1722" s="536"/>
      <c r="V1722" s="411">
        <f>+SUM(V1718:V1721)</f>
        <v>347.2217399698057</v>
      </c>
      <c r="Y1722" s="398" t="s">
        <v>135</v>
      </c>
      <c r="Z1722" s="397">
        <f>+SUM(Z1718:Z1721)</f>
        <v>694.44347993961139</v>
      </c>
      <c r="AA1722" s="86"/>
      <c r="AB1722" s="384"/>
      <c r="AC1722" s="385"/>
      <c r="AD1722" s="94"/>
      <c r="AE1722" s="399"/>
    </row>
    <row r="1723" spans="3:31" s="260" customFormat="1" ht="15.75" thickBot="1" x14ac:dyDescent="0.3">
      <c r="C1723" s="84"/>
      <c r="D1723" s="355"/>
      <c r="E1723" s="367"/>
      <c r="F1723" s="412">
        <f>+E1715</f>
        <v>2.25</v>
      </c>
      <c r="G1723" s="367"/>
      <c r="H1723" s="367"/>
      <c r="I1723" s="367"/>
      <c r="J1723" s="368"/>
      <c r="K1723" s="88"/>
      <c r="M1723" s="535"/>
      <c r="N1723" s="537" t="s">
        <v>114</v>
      </c>
      <c r="O1723" s="537"/>
      <c r="P1723" s="537"/>
      <c r="Q1723" s="537"/>
      <c r="R1723" s="537"/>
      <c r="S1723" s="537"/>
      <c r="T1723" s="537"/>
      <c r="U1723" s="537"/>
      <c r="V1723" s="413">
        <f>+ROUND(V1722,$AA$5)</f>
        <v>347.22</v>
      </c>
      <c r="Y1723" s="401" t="s">
        <v>136</v>
      </c>
      <c r="Z1723" s="402">
        <f>+ROUND(Z1722,$AA$5)</f>
        <v>694.44</v>
      </c>
      <c r="AA1723" s="86"/>
      <c r="AB1723" s="403">
        <f>+V1723*Y1696</f>
        <v>694.44</v>
      </c>
      <c r="AC1723" s="414"/>
      <c r="AD1723" s="94"/>
      <c r="AE1723" s="405"/>
    </row>
    <row r="1724" spans="3:31" s="260" customFormat="1" ht="15.75" thickBot="1" x14ac:dyDescent="0.3">
      <c r="C1724" s="84"/>
      <c r="D1724" s="415"/>
      <c r="E1724" s="416"/>
      <c r="F1724" s="416"/>
      <c r="G1724" s="416"/>
      <c r="H1724" s="416"/>
      <c r="I1724" s="416"/>
      <c r="J1724" s="417"/>
      <c r="K1724" s="88"/>
      <c r="M1724" s="538" t="s">
        <v>115</v>
      </c>
      <c r="N1724" s="539"/>
      <c r="O1724" s="539"/>
      <c r="P1724" s="539"/>
      <c r="Q1724" s="539"/>
      <c r="R1724" s="539"/>
      <c r="S1724" s="539"/>
      <c r="T1724" s="539"/>
      <c r="U1724" s="539"/>
      <c r="V1724" s="540"/>
      <c r="Y1724" s="378"/>
      <c r="Z1724" s="121"/>
      <c r="AA1724" s="86"/>
      <c r="AB1724" s="409"/>
      <c r="AC1724" s="121"/>
      <c r="AD1724" s="94"/>
      <c r="AE1724" s="126"/>
    </row>
    <row r="1725" spans="3:31" s="260" customFormat="1" ht="15.75" thickBot="1" x14ac:dyDescent="0.3">
      <c r="C1725" s="84"/>
      <c r="D1725" s="375" t="s">
        <v>128</v>
      </c>
      <c r="E1725" s="376" t="s">
        <v>129</v>
      </c>
      <c r="F1725" s="376" t="s">
        <v>130</v>
      </c>
      <c r="G1725" s="376" t="s">
        <v>131</v>
      </c>
      <c r="H1725" s="376" t="s">
        <v>132</v>
      </c>
      <c r="I1725" s="376" t="s">
        <v>133</v>
      </c>
      <c r="J1725" s="377" t="s">
        <v>134</v>
      </c>
      <c r="K1725" s="88"/>
      <c r="M1725" s="99" t="s">
        <v>94</v>
      </c>
      <c r="N1725" s="98" t="s">
        <v>95</v>
      </c>
      <c r="O1725" s="95" t="s">
        <v>96</v>
      </c>
      <c r="P1725" s="359" t="s">
        <v>104</v>
      </c>
      <c r="Q1725" s="95" t="s">
        <v>116</v>
      </c>
      <c r="R1725" s="418" t="s">
        <v>117</v>
      </c>
      <c r="S1725" s="95" t="s">
        <v>347</v>
      </c>
      <c r="T1725" s="419" t="s">
        <v>118</v>
      </c>
      <c r="U1725" s="189" t="s">
        <v>119</v>
      </c>
      <c r="V1725" s="100" t="s">
        <v>98</v>
      </c>
      <c r="Y1725" s="383" t="s">
        <v>104</v>
      </c>
      <c r="Z1725" s="119" t="s">
        <v>9</v>
      </c>
      <c r="AA1725" s="86"/>
      <c r="AB1725" s="384"/>
      <c r="AC1725" s="385"/>
      <c r="AD1725" s="94"/>
      <c r="AE1725" s="410"/>
    </row>
    <row r="1726" spans="3:31" s="260" customFormat="1" ht="25.5" x14ac:dyDescent="0.25">
      <c r="C1726" s="84"/>
      <c r="D1726" s="354"/>
      <c r="E1726" s="96"/>
      <c r="F1726" s="96"/>
      <c r="G1726" s="96"/>
      <c r="H1726" s="96"/>
      <c r="I1726" s="96"/>
      <c r="J1726" s="420">
        <f>+F1723</f>
        <v>2.25</v>
      </c>
      <c r="K1726" s="88"/>
      <c r="M1726" s="102">
        <v>207</v>
      </c>
      <c r="N1726" s="347" t="str">
        <f>IFERROR(VLOOKUP(M1726,INSUMOS!$C$8:$K$928,2,0),"-----")</f>
        <v>Oficial Hidrosanitario</v>
      </c>
      <c r="O1726" s="78" t="str">
        <f>IFERROR(VLOOKUP(M1726,INSUMOS!$C$8:$K$928,3,0),"-----")</f>
        <v>JORNAL+PS</v>
      </c>
      <c r="P1726" s="80">
        <v>1</v>
      </c>
      <c r="Q1726" s="79">
        <v>20</v>
      </c>
      <c r="R1726" s="190">
        <f>IFERROR(VLOOKUP(M1726,INSUMOS!$C$8:$K$928,4,0),"-----")</f>
        <v>92983</v>
      </c>
      <c r="S1726" s="190">
        <f>IFERROR(VLOOKUP(M1726,INSUMOS!$C$8:$K$928,6,0),"-----")</f>
        <v>74386</v>
      </c>
      <c r="T1726" s="190">
        <f>IFERROR(VLOOKUP(M1726,INSUMOS!$C$8:$K$928,5,0),"-----")</f>
        <v>0</v>
      </c>
      <c r="U1726" s="388">
        <f>SUM(R1726:T1726)</f>
        <v>167369</v>
      </c>
      <c r="V1726" s="82">
        <f>+IFERROR((P1726/Q1726)*U1726,0)</f>
        <v>8368.4500000000007</v>
      </c>
      <c r="Y1726" s="393">
        <f>+IFERROR((Y1696/Q1726*P1726),0)</f>
        <v>0.1</v>
      </c>
      <c r="Z1726" s="391">
        <f>Y1696*V1726</f>
        <v>16736.900000000001</v>
      </c>
      <c r="AA1726" s="86"/>
      <c r="AB1726" s="92">
        <f>+(U1726)*Y1726</f>
        <v>16736.900000000001</v>
      </c>
      <c r="AC1726" s="93">
        <f>+AB1726-Z1726</f>
        <v>0</v>
      </c>
      <c r="AD1726" s="421"/>
      <c r="AE1726" s="410" t="str">
        <f>+IF(V1726=0,"CERO","NO")</f>
        <v>NO</v>
      </c>
    </row>
    <row r="1727" spans="3:31" s="260" customFormat="1" ht="15.75" thickBot="1" x14ac:dyDescent="0.3">
      <c r="C1727" s="84"/>
      <c r="D1727" s="355"/>
      <c r="E1727" s="367"/>
      <c r="F1727" s="367"/>
      <c r="G1727" s="367"/>
      <c r="H1727" s="367"/>
      <c r="I1727" s="367"/>
      <c r="J1727" s="422">
        <f>+J1726</f>
        <v>2.25</v>
      </c>
      <c r="K1727" s="88"/>
      <c r="M1727" s="102"/>
      <c r="N1727" s="347" t="str">
        <f>IFERROR(VLOOKUP(M1727,INSUMOS!$C$8:$K$928,2,0),"-----")</f>
        <v>-----</v>
      </c>
      <c r="O1727" s="78" t="str">
        <f>IFERROR(VLOOKUP(M1727,INSUMOS!$C$8:$K$928,3,0),"-----")</f>
        <v>-----</v>
      </c>
      <c r="P1727" s="80"/>
      <c r="Q1727" s="79"/>
      <c r="R1727" s="190" t="str">
        <f>IFERROR(VLOOKUP(M1727,INSUMOS!$C$8:$K$928,4,0),"-----")</f>
        <v>-----</v>
      </c>
      <c r="S1727" s="190" t="str">
        <f>IFERROR(VLOOKUP(M1727,INSUMOS!$C$8:$K$928,6,0),"-----")</f>
        <v>-----</v>
      </c>
      <c r="T1727" s="190" t="str">
        <f>IFERROR(VLOOKUP(M1727,INSUMOS!$C$8:$K$928,5,0),"-----")</f>
        <v>-----</v>
      </c>
      <c r="U1727" s="388">
        <f>SUM(R1727:T1727)</f>
        <v>0</v>
      </c>
      <c r="V1727" s="82">
        <f>+IFERROR((P1727/Q1727)*U1727,0)</f>
        <v>0</v>
      </c>
      <c r="Y1727" s="393">
        <f>+IFERROR((Y1696/Q1727*P1727),0)</f>
        <v>0</v>
      </c>
      <c r="Z1727" s="391">
        <f>Y1696*V1727</f>
        <v>0</v>
      </c>
      <c r="AA1727" s="86"/>
      <c r="AB1727" s="92">
        <f>+U1727*Y1727</f>
        <v>0</v>
      </c>
      <c r="AC1727" s="93">
        <f>+AB1727-Z1727</f>
        <v>0</v>
      </c>
      <c r="AD1727" s="94"/>
      <c r="AE1727" s="410" t="str">
        <f>+IF(V1727=0,"CERO","NO")</f>
        <v>CERO</v>
      </c>
    </row>
    <row r="1728" spans="3:31" s="260" customFormat="1" ht="15.75" thickBot="1" x14ac:dyDescent="0.3">
      <c r="C1728" s="84"/>
      <c r="D1728" s="380"/>
      <c r="E1728" s="381"/>
      <c r="F1728" s="381"/>
      <c r="G1728" s="381"/>
      <c r="H1728" s="381"/>
      <c r="I1728" s="381"/>
      <c r="J1728" s="382"/>
      <c r="K1728" s="88"/>
      <c r="M1728" s="102">
        <v>0</v>
      </c>
      <c r="N1728" s="347"/>
      <c r="O1728" s="79"/>
      <c r="P1728" s="423"/>
      <c r="Q1728" s="81"/>
      <c r="R1728" s="111"/>
      <c r="S1728" s="357"/>
      <c r="T1728" s="111"/>
      <c r="U1728" s="388"/>
      <c r="V1728" s="426"/>
      <c r="Y1728" s="393">
        <f>+IFERROR((Y1696/Q1728*P1728),0)</f>
        <v>0</v>
      </c>
      <c r="Z1728" s="391">
        <f>Y1696*V1728</f>
        <v>0</v>
      </c>
      <c r="AA1728" s="86"/>
      <c r="AB1728" s="92">
        <f>+(U1728)*Y1728*P1728</f>
        <v>0</v>
      </c>
      <c r="AC1728" s="93">
        <f>+AB1728-Z1728</f>
        <v>0</v>
      </c>
      <c r="AD1728" s="94"/>
      <c r="AE1728" s="410" t="str">
        <f>+IF(V1728=0,"CERO","NO")</f>
        <v>CERO</v>
      </c>
    </row>
    <row r="1729" spans="3:31" s="260" customFormat="1" ht="15.75" thickBot="1" x14ac:dyDescent="0.3">
      <c r="C1729" s="84"/>
      <c r="D1729" s="375" t="s">
        <v>128</v>
      </c>
      <c r="E1729" s="376" t="s">
        <v>129</v>
      </c>
      <c r="F1729" s="376" t="s">
        <v>130</v>
      </c>
      <c r="G1729" s="376" t="s">
        <v>131</v>
      </c>
      <c r="H1729" s="376" t="s">
        <v>132</v>
      </c>
      <c r="I1729" s="376" t="s">
        <v>133</v>
      </c>
      <c r="J1729" s="377" t="s">
        <v>134</v>
      </c>
      <c r="K1729" s="88"/>
      <c r="M1729" s="534"/>
      <c r="N1729" s="536" t="s">
        <v>120</v>
      </c>
      <c r="O1729" s="536"/>
      <c r="P1729" s="536"/>
      <c r="Q1729" s="536"/>
      <c r="R1729" s="536"/>
      <c r="S1729" s="536"/>
      <c r="T1729" s="536"/>
      <c r="U1729" s="536"/>
      <c r="V1729" s="82">
        <f>+SUM(V1726:V1728)</f>
        <v>8368.4500000000007</v>
      </c>
      <c r="Y1729" s="398" t="s">
        <v>135</v>
      </c>
      <c r="Z1729" s="397">
        <f>+SUM(Z1726:Z1728)</f>
        <v>16736.900000000001</v>
      </c>
      <c r="AA1729" s="86"/>
      <c r="AB1729" s="384"/>
      <c r="AC1729" s="385"/>
      <c r="AD1729" s="94"/>
      <c r="AE1729" s="399"/>
    </row>
    <row r="1730" spans="3:31" s="260" customFormat="1" ht="15.75" thickBot="1" x14ac:dyDescent="0.3">
      <c r="C1730" s="84"/>
      <c r="D1730" s="354"/>
      <c r="E1730" s="96"/>
      <c r="F1730" s="96"/>
      <c r="G1730" s="107">
        <f>+F1723</f>
        <v>2.25</v>
      </c>
      <c r="H1730" s="96"/>
      <c r="I1730" s="96"/>
      <c r="J1730" s="427"/>
      <c r="K1730" s="88"/>
      <c r="M1730" s="535"/>
      <c r="N1730" s="537" t="s">
        <v>121</v>
      </c>
      <c r="O1730" s="537"/>
      <c r="P1730" s="537"/>
      <c r="Q1730" s="537"/>
      <c r="R1730" s="537"/>
      <c r="S1730" s="537"/>
      <c r="T1730" s="537"/>
      <c r="U1730" s="537"/>
      <c r="V1730" s="413">
        <f>+ROUND(V1729,$AA$5)</f>
        <v>8368.4500000000007</v>
      </c>
      <c r="Y1730" s="401" t="s">
        <v>136</v>
      </c>
      <c r="Z1730" s="402">
        <f>+ROUND(Z1729,$AA$5)</f>
        <v>16736.900000000001</v>
      </c>
      <c r="AA1730" s="86"/>
      <c r="AB1730" s="403">
        <f>+V1730*Y1696</f>
        <v>16736.900000000001</v>
      </c>
      <c r="AC1730" s="404">
        <f>+AB1730-Z1730</f>
        <v>0</v>
      </c>
      <c r="AD1730" s="94"/>
      <c r="AE1730" s="405"/>
    </row>
    <row r="1731" spans="3:31" s="260" customFormat="1" ht="15.75" thickBot="1" x14ac:dyDescent="0.3">
      <c r="C1731" s="84"/>
      <c r="D1731" s="375" t="s">
        <v>128</v>
      </c>
      <c r="E1731" s="376" t="s">
        <v>129</v>
      </c>
      <c r="F1731" s="376" t="s">
        <v>130</v>
      </c>
      <c r="G1731" s="376" t="s">
        <v>131</v>
      </c>
      <c r="H1731" s="376" t="s">
        <v>132</v>
      </c>
      <c r="I1731" s="376" t="s">
        <v>133</v>
      </c>
      <c r="J1731" s="377" t="s">
        <v>134</v>
      </c>
      <c r="K1731" s="88"/>
      <c r="M1731" s="541"/>
      <c r="N1731" s="542"/>
      <c r="O1731" s="542"/>
      <c r="P1731" s="542"/>
      <c r="Q1731" s="542"/>
      <c r="R1731" s="542"/>
      <c r="S1731" s="542"/>
      <c r="T1731" s="542"/>
      <c r="U1731" s="542"/>
      <c r="V1731" s="543"/>
      <c r="Y1731" s="378"/>
      <c r="Z1731" s="121"/>
      <c r="AA1731" s="86"/>
      <c r="AB1731" s="409"/>
      <c r="AC1731" s="121"/>
      <c r="AD1731" s="94"/>
      <c r="AE1731" s="428"/>
    </row>
    <row r="1732" spans="3:31" s="260" customFormat="1" ht="15.75" thickBot="1" x14ac:dyDescent="0.3">
      <c r="C1732" s="84"/>
      <c r="D1732" s="355"/>
      <c r="E1732" s="367"/>
      <c r="F1732" s="367"/>
      <c r="G1732" s="367"/>
      <c r="H1732" s="412">
        <f>G1730</f>
        <v>2.25</v>
      </c>
      <c r="I1732" s="412"/>
      <c r="J1732" s="422"/>
      <c r="K1732" s="88"/>
      <c r="M1732" s="544" t="s">
        <v>122</v>
      </c>
      <c r="N1732" s="537"/>
      <c r="O1732" s="537"/>
      <c r="P1732" s="537"/>
      <c r="Q1732" s="537"/>
      <c r="R1732" s="537"/>
      <c r="S1732" s="537"/>
      <c r="T1732" s="537"/>
      <c r="U1732" s="545">
        <f>+V1730+V1723+V1715+V1706</f>
        <v>150301.41000000003</v>
      </c>
      <c r="V1732" s="546"/>
      <c r="Y1732" s="429"/>
      <c r="Z1732" s="430">
        <f>+Z1730+Z1723+Z1715+Z1706</f>
        <v>300602.82</v>
      </c>
      <c r="AA1732" s="86"/>
      <c r="AB1732" s="431">
        <f>+AB1730+AB1723+AB1715+AB1706</f>
        <v>300602.82000000007</v>
      </c>
      <c r="AC1732" s="404">
        <f>+AB1732-Z1732</f>
        <v>0</v>
      </c>
      <c r="AD1732" s="94"/>
      <c r="AE1732" s="432"/>
    </row>
    <row r="1733" spans="3:31" s="260" customFormat="1" ht="15.75" thickBot="1" x14ac:dyDescent="0.3"/>
    <row r="1734" spans="3:31" s="260" customFormat="1" x14ac:dyDescent="0.25">
      <c r="M1734" s="547" t="s">
        <v>348</v>
      </c>
      <c r="N1734" s="548"/>
      <c r="O1734" s="548"/>
      <c r="P1734" s="548"/>
      <c r="Q1734" s="548"/>
      <c r="R1734" s="548"/>
      <c r="S1734" s="548"/>
      <c r="T1734" s="548"/>
      <c r="U1734" s="548"/>
      <c r="V1734" s="549"/>
      <c r="Y1734" s="378"/>
      <c r="Z1734" s="121"/>
      <c r="AA1734" s="86"/>
      <c r="AB1734" s="94"/>
      <c r="AC1734" s="94"/>
      <c r="AD1734" s="94"/>
      <c r="AE1734" s="126" t="s">
        <v>133</v>
      </c>
    </row>
    <row r="1735" spans="3:31" s="260" customFormat="1" x14ac:dyDescent="0.25">
      <c r="M1735" s="515" t="s">
        <v>138</v>
      </c>
      <c r="N1735" s="516"/>
      <c r="O1735" s="516"/>
      <c r="P1735" s="516"/>
      <c r="Q1735" s="516"/>
      <c r="R1735" s="516"/>
      <c r="S1735" s="516"/>
      <c r="T1735" s="437">
        <v>0</v>
      </c>
      <c r="U1735" s="517">
        <f>+ROUND(U1732*T1735,$AA$5)</f>
        <v>0</v>
      </c>
      <c r="V1735" s="518"/>
      <c r="Y1735" s="390"/>
      <c r="Z1735" s="438">
        <f>+Z1732*T1735</f>
        <v>0</v>
      </c>
      <c r="AA1735" s="86"/>
      <c r="AB1735" s="94"/>
      <c r="AC1735" s="94"/>
      <c r="AD1735" s="94"/>
      <c r="AE1735" s="386" t="s">
        <v>133</v>
      </c>
    </row>
    <row r="1736" spans="3:31" s="260" customFormat="1" x14ac:dyDescent="0.25">
      <c r="M1736" s="515" t="s">
        <v>19</v>
      </c>
      <c r="N1736" s="516"/>
      <c r="O1736" s="516"/>
      <c r="P1736" s="516"/>
      <c r="Q1736" s="516"/>
      <c r="R1736" s="516"/>
      <c r="S1736" s="516"/>
      <c r="T1736" s="437">
        <v>0.05</v>
      </c>
      <c r="U1736" s="517">
        <f>+ROUND(U1732*T1736,$AA$5)</f>
        <v>7515.07</v>
      </c>
      <c r="V1736" s="518"/>
      <c r="Y1736" s="390"/>
      <c r="Z1736" s="438">
        <f>+Z1732*T1736</f>
        <v>15030.141000000001</v>
      </c>
      <c r="AA1736" s="86"/>
      <c r="AB1736" s="94"/>
      <c r="AC1736" s="94"/>
      <c r="AD1736" s="94"/>
      <c r="AE1736" s="386" t="s">
        <v>133</v>
      </c>
    </row>
    <row r="1737" spans="3:31" s="260" customFormat="1" x14ac:dyDescent="0.25">
      <c r="M1737" s="515" t="s">
        <v>20</v>
      </c>
      <c r="N1737" s="516"/>
      <c r="O1737" s="516"/>
      <c r="P1737" s="516"/>
      <c r="Q1737" s="516"/>
      <c r="R1737" s="516"/>
      <c r="S1737" s="516"/>
      <c r="T1737" s="437">
        <v>0</v>
      </c>
      <c r="U1737" s="517">
        <f>+ROUND(U1732*T1737,$AA$5)</f>
        <v>0</v>
      </c>
      <c r="V1737" s="518"/>
      <c r="Y1737" s="390"/>
      <c r="Z1737" s="438">
        <f>+Z1732*T1737</f>
        <v>0</v>
      </c>
      <c r="AA1737" s="86"/>
      <c r="AB1737" s="94"/>
      <c r="AC1737" s="94"/>
      <c r="AD1737" s="94"/>
      <c r="AE1737" s="386" t="s">
        <v>133</v>
      </c>
    </row>
    <row r="1738" spans="3:31" s="260" customFormat="1" x14ac:dyDescent="0.25">
      <c r="M1738" s="515" t="s">
        <v>21</v>
      </c>
      <c r="N1738" s="516"/>
      <c r="O1738" s="516"/>
      <c r="P1738" s="516"/>
      <c r="Q1738" s="516"/>
      <c r="R1738" s="516"/>
      <c r="S1738" s="516"/>
      <c r="T1738" s="437">
        <f>$AA$9</f>
        <v>0</v>
      </c>
      <c r="U1738" s="517">
        <f>+ROUND(U1732*T1738,$AA$5)</f>
        <v>0</v>
      </c>
      <c r="V1738" s="518"/>
      <c r="Y1738" s="390"/>
      <c r="Z1738" s="438">
        <f>+Z1737*T1738</f>
        <v>0</v>
      </c>
      <c r="AA1738" s="86"/>
      <c r="AB1738" s="94"/>
      <c r="AC1738" s="94"/>
      <c r="AD1738" s="94"/>
      <c r="AE1738" s="386" t="s">
        <v>133</v>
      </c>
    </row>
    <row r="1739" spans="3:31" s="260" customFormat="1" ht="15.75" thickBot="1" x14ac:dyDescent="0.3">
      <c r="M1739" s="519" t="s">
        <v>349</v>
      </c>
      <c r="N1739" s="520"/>
      <c r="O1739" s="520"/>
      <c r="P1739" s="520"/>
      <c r="Q1739" s="520"/>
      <c r="R1739" s="520"/>
      <c r="S1739" s="520"/>
      <c r="T1739" s="520"/>
      <c r="U1739" s="521">
        <f>+SUM(U1735:V1738)</f>
        <v>7515.07</v>
      </c>
      <c r="V1739" s="522"/>
      <c r="Y1739" s="390"/>
      <c r="Z1739" s="439">
        <f>+SUM(Z1735:Z1738)</f>
        <v>15030.141000000001</v>
      </c>
      <c r="AA1739" s="86"/>
      <c r="AB1739" s="94"/>
      <c r="AC1739" s="94"/>
      <c r="AD1739" s="94"/>
      <c r="AE1739" s="386" t="s">
        <v>133</v>
      </c>
    </row>
    <row r="1740" spans="3:31" s="260" customFormat="1" ht="15.75" thickBot="1" x14ac:dyDescent="0.3">
      <c r="D1740" s="375" t="s">
        <v>128</v>
      </c>
      <c r="E1740" s="376" t="s">
        <v>129</v>
      </c>
      <c r="F1740" s="376" t="s">
        <v>130</v>
      </c>
      <c r="G1740" s="376" t="s">
        <v>131</v>
      </c>
      <c r="H1740" s="376" t="s">
        <v>132</v>
      </c>
      <c r="I1740" s="376" t="s">
        <v>133</v>
      </c>
      <c r="J1740" s="377" t="s">
        <v>134</v>
      </c>
      <c r="M1740" s="86"/>
      <c r="N1740" s="94"/>
      <c r="O1740" s="94"/>
      <c r="P1740" s="94"/>
      <c r="Q1740" s="86"/>
      <c r="R1740" s="86"/>
      <c r="S1740" s="86"/>
      <c r="T1740" s="440"/>
      <c r="U1740" s="523"/>
      <c r="V1740" s="523"/>
      <c r="Y1740" s="390"/>
      <c r="Z1740" s="385"/>
      <c r="AA1740" s="86"/>
      <c r="AB1740" s="94"/>
      <c r="AC1740" s="94"/>
      <c r="AD1740" s="94"/>
      <c r="AE1740" s="386" t="s">
        <v>133</v>
      </c>
    </row>
    <row r="1741" spans="3:31" s="260" customFormat="1" ht="15.75" thickBot="1" x14ac:dyDescent="0.3">
      <c r="D1741" s="355"/>
      <c r="E1741" s="367"/>
      <c r="F1741" s="367"/>
      <c r="G1741" s="367"/>
      <c r="H1741" s="412"/>
      <c r="I1741" s="412">
        <f>H1732</f>
        <v>2.25</v>
      </c>
      <c r="J1741" s="422"/>
      <c r="M1741" s="524" t="s">
        <v>11</v>
      </c>
      <c r="N1741" s="525"/>
      <c r="O1741" s="525"/>
      <c r="P1741" s="525"/>
      <c r="Q1741" s="525"/>
      <c r="R1741" s="525"/>
      <c r="S1741" s="525"/>
      <c r="T1741" s="526"/>
      <c r="U1741" s="527">
        <f>+U1739+U1732</f>
        <v>157816.48000000004</v>
      </c>
      <c r="V1741" s="528"/>
      <c r="Y1741" s="429"/>
      <c r="Z1741" s="441">
        <f>+Z1739+Z1732</f>
        <v>315632.96100000001</v>
      </c>
      <c r="AA1741" s="86"/>
      <c r="AB1741" s="94"/>
      <c r="AC1741" s="94"/>
      <c r="AD1741" s="94"/>
      <c r="AE1741" s="405" t="s">
        <v>133</v>
      </c>
    </row>
    <row r="1742" spans="3:31" s="260" customFormat="1" x14ac:dyDescent="0.25"/>
    <row r="1743" spans="3:31" s="260" customFormat="1" ht="15.75" thickBot="1" x14ac:dyDescent="0.3"/>
    <row r="1744" spans="3:31" s="260" customFormat="1" ht="15.75" thickBot="1" x14ac:dyDescent="0.3">
      <c r="M1744" s="363" t="s">
        <v>88</v>
      </c>
      <c r="N1744" s="436" t="str">
        <f>+N1695</f>
        <v>CAP.2</v>
      </c>
      <c r="O1744" s="550" t="str">
        <f>IFERROR(VLOOKUP(N1744,PPTO!C:H,2,0),"----")</f>
        <v>RED HIDRAULICA</v>
      </c>
      <c r="P1744" s="551"/>
      <c r="Q1744" s="551"/>
      <c r="R1744" s="551"/>
      <c r="S1744" s="551"/>
      <c r="T1744" s="551"/>
      <c r="U1744" s="552"/>
      <c r="V1744" s="74" t="s">
        <v>91</v>
      </c>
      <c r="Y1744" s="365" t="s">
        <v>104</v>
      </c>
      <c r="Z1744" s="94"/>
      <c r="AA1744" s="188"/>
      <c r="AB1744" s="553"/>
      <c r="AC1744" s="553"/>
      <c r="AD1744" s="553"/>
      <c r="AE1744" s="94"/>
    </row>
    <row r="1745" spans="3:31" s="260" customFormat="1" ht="15.75" thickBot="1" x14ac:dyDescent="0.3">
      <c r="C1745" s="369">
        <f>+N1745</f>
        <v>2.2599999999999998</v>
      </c>
      <c r="D1745" s="86"/>
      <c r="E1745" s="86"/>
      <c r="F1745" s="86"/>
      <c r="G1745" s="86"/>
      <c r="H1745" s="86"/>
      <c r="I1745" s="86"/>
      <c r="J1745" s="86"/>
      <c r="K1745" s="370"/>
      <c r="M1745" s="75" t="s">
        <v>92</v>
      </c>
      <c r="N1745" s="371">
        <f>+ROUNDUP(N1696+0.01,2)</f>
        <v>2.2599999999999998</v>
      </c>
      <c r="O1745" s="554" t="str">
        <f>IFERROR(VLOOKUP(N1745,PPTO!C:H,2,0),"----")</f>
        <v>VRP Ø3/4"</v>
      </c>
      <c r="P1745" s="555"/>
      <c r="Q1745" s="555"/>
      <c r="R1745" s="555"/>
      <c r="S1745" s="555"/>
      <c r="T1745" s="555"/>
      <c r="U1745" s="556"/>
      <c r="V1745" s="76" t="str">
        <f>IFERROR(VLOOKUP(N1745,PPTO!C:H,3,0),"----")</f>
        <v>UND</v>
      </c>
      <c r="Y1745" s="373">
        <f>SUMIFS(PPTO!F:F,PPTO!C:C,APUS!N1745)</f>
        <v>12</v>
      </c>
      <c r="Z1745" s="94"/>
      <c r="AA1745" s="86"/>
      <c r="AB1745" s="94"/>
      <c r="AC1745" s="94"/>
      <c r="AD1745" s="94"/>
      <c r="AE1745" s="94"/>
    </row>
    <row r="1746" spans="3:31" s="260" customFormat="1" ht="15.75" thickBot="1" x14ac:dyDescent="0.3">
      <c r="C1746" s="84"/>
      <c r="D1746" s="86"/>
      <c r="E1746" s="86"/>
      <c r="F1746" s="86"/>
      <c r="G1746" s="86"/>
      <c r="H1746" s="86"/>
      <c r="I1746" s="86"/>
      <c r="J1746" s="86"/>
      <c r="K1746" s="88"/>
      <c r="M1746" s="557"/>
      <c r="N1746" s="557"/>
      <c r="O1746" s="557"/>
      <c r="P1746" s="557"/>
      <c r="Q1746" s="557"/>
      <c r="R1746" s="557"/>
      <c r="S1746" s="557"/>
      <c r="T1746" s="557"/>
      <c r="U1746" s="557"/>
      <c r="V1746" s="557"/>
      <c r="Y1746" s="374"/>
      <c r="Z1746" s="94"/>
      <c r="AA1746" s="86"/>
      <c r="AB1746" s="94"/>
      <c r="AC1746" s="94"/>
      <c r="AD1746" s="94"/>
      <c r="AE1746" s="94"/>
    </row>
    <row r="1747" spans="3:31" s="260" customFormat="1" ht="15.75" thickBot="1" x14ac:dyDescent="0.3">
      <c r="C1747" s="84"/>
      <c r="D1747" s="375" t="s">
        <v>128</v>
      </c>
      <c r="E1747" s="376" t="s">
        <v>129</v>
      </c>
      <c r="F1747" s="376" t="s">
        <v>130</v>
      </c>
      <c r="G1747" s="376" t="s">
        <v>131</v>
      </c>
      <c r="H1747" s="376" t="s">
        <v>132</v>
      </c>
      <c r="I1747" s="376" t="s">
        <v>133</v>
      </c>
      <c r="J1747" s="377" t="s">
        <v>134</v>
      </c>
      <c r="K1747" s="88"/>
      <c r="M1747" s="558" t="s">
        <v>93</v>
      </c>
      <c r="N1747" s="559"/>
      <c r="O1747" s="559"/>
      <c r="P1747" s="559"/>
      <c r="Q1747" s="559"/>
      <c r="R1747" s="559"/>
      <c r="S1747" s="559"/>
      <c r="T1747" s="559"/>
      <c r="U1747" s="559"/>
      <c r="V1747" s="560"/>
      <c r="Y1747" s="378"/>
      <c r="Z1747" s="121"/>
      <c r="AA1747" s="86"/>
      <c r="AB1747" s="513"/>
      <c r="AC1747" s="514"/>
      <c r="AD1747" s="94"/>
      <c r="AE1747" s="379"/>
    </row>
    <row r="1748" spans="3:31" s="260" customFormat="1" x14ac:dyDescent="0.25">
      <c r="C1748" s="84"/>
      <c r="D1748" s="380"/>
      <c r="E1748" s="381"/>
      <c r="F1748" s="381"/>
      <c r="G1748" s="381"/>
      <c r="H1748" s="381"/>
      <c r="I1748" s="381"/>
      <c r="J1748" s="382"/>
      <c r="K1748" s="88"/>
      <c r="M1748" s="99" t="s">
        <v>94</v>
      </c>
      <c r="N1748" s="561" t="s">
        <v>95</v>
      </c>
      <c r="O1748" s="561"/>
      <c r="P1748" s="561"/>
      <c r="Q1748" s="561"/>
      <c r="R1748" s="95" t="s">
        <v>96</v>
      </c>
      <c r="S1748" s="95" t="s">
        <v>97</v>
      </c>
      <c r="T1748" s="562" t="s">
        <v>8</v>
      </c>
      <c r="U1748" s="562"/>
      <c r="V1748" s="100" t="s">
        <v>98</v>
      </c>
      <c r="Y1748" s="383" t="s">
        <v>104</v>
      </c>
      <c r="Z1748" s="119" t="s">
        <v>9</v>
      </c>
      <c r="AA1748" s="86"/>
      <c r="AB1748" s="384"/>
      <c r="AC1748" s="385"/>
      <c r="AD1748" s="94"/>
      <c r="AE1748" s="386"/>
    </row>
    <row r="1749" spans="3:31" s="260" customFormat="1" x14ac:dyDescent="0.25">
      <c r="C1749" s="84"/>
      <c r="D1749" s="85"/>
      <c r="E1749" s="86"/>
      <c r="F1749" s="86"/>
      <c r="G1749" s="86"/>
      <c r="H1749" s="86"/>
      <c r="I1749" s="86"/>
      <c r="J1749" s="87"/>
      <c r="K1749" s="88"/>
      <c r="M1749" s="102"/>
      <c r="N1749" s="533" t="s">
        <v>99</v>
      </c>
      <c r="O1749" s="533"/>
      <c r="P1749" s="533"/>
      <c r="Q1749" s="533"/>
      <c r="R1749" s="78" t="s">
        <v>100</v>
      </c>
      <c r="S1749" s="387">
        <f>+$AA$10</f>
        <v>0.05</v>
      </c>
      <c r="T1749" s="563">
        <f>V1779</f>
        <v>8368.4500000000007</v>
      </c>
      <c r="U1749" s="563"/>
      <c r="V1749" s="389">
        <f>+IFERROR(T1749*S1749,0)</f>
        <v>418.42250000000007</v>
      </c>
      <c r="Y1749" s="390"/>
      <c r="Z1749" s="391">
        <f>Y1745*V1749</f>
        <v>5021.0700000000006</v>
      </c>
      <c r="AA1749" s="86"/>
      <c r="AB1749" s="384"/>
      <c r="AC1749" s="385"/>
      <c r="AD1749" s="94"/>
      <c r="AE1749" s="386" t="str">
        <f>+IF(V1749=0,"CERO","NO")</f>
        <v>NO</v>
      </c>
    </row>
    <row r="1750" spans="3:31" s="260" customFormat="1" x14ac:dyDescent="0.25">
      <c r="C1750" s="84"/>
      <c r="D1750" s="85"/>
      <c r="E1750" s="86"/>
      <c r="F1750" s="86"/>
      <c r="G1750" s="86"/>
      <c r="H1750" s="86"/>
      <c r="I1750" s="86"/>
      <c r="J1750" s="87"/>
      <c r="K1750" s="88"/>
      <c r="M1750" s="106"/>
      <c r="N1750" s="533" t="str">
        <f>IFERROR(VLOOKUP(M1750,INSUMOS!$C$8:$K$928,2,0),"-----")</f>
        <v>-----</v>
      </c>
      <c r="O1750" s="533"/>
      <c r="P1750" s="533"/>
      <c r="Q1750" s="533"/>
      <c r="R1750" s="78" t="str">
        <f>IFERROR(VLOOKUP(M1750,INSUMOS!$C$8:$K$928,6,0),"-----")</f>
        <v>-----</v>
      </c>
      <c r="S1750" s="392"/>
      <c r="T1750" s="529" t="str">
        <f>IFERROR(VLOOKUP(M1750,INSUMOS!$C$8:$K$928,7,0),"0")</f>
        <v>0</v>
      </c>
      <c r="U1750" s="529"/>
      <c r="V1750" s="389">
        <f>+IFERROR(T1750*S1750,0)</f>
        <v>0</v>
      </c>
      <c r="Y1750" s="393">
        <f>+IFERROR(Y1745*S1750,0)</f>
        <v>0</v>
      </c>
      <c r="Z1750" s="391">
        <f>Y1745*V1750</f>
        <v>0</v>
      </c>
      <c r="AA1750" s="394"/>
      <c r="AB1750" s="395">
        <f>+Y1750*T1750</f>
        <v>0</v>
      </c>
      <c r="AC1750" s="93">
        <f>+AB1750-Z1750</f>
        <v>0</v>
      </c>
      <c r="AD1750" s="94"/>
      <c r="AE1750" s="386" t="str">
        <f>+IF(V1750=0,"CERO","NO")</f>
        <v>CERO</v>
      </c>
    </row>
    <row r="1751" spans="3:31" s="260" customFormat="1" x14ac:dyDescent="0.25">
      <c r="C1751" s="84"/>
      <c r="D1751" s="85"/>
      <c r="E1751" s="86"/>
      <c r="F1751" s="86"/>
      <c r="G1751" s="86"/>
      <c r="H1751" s="86"/>
      <c r="I1751" s="86"/>
      <c r="J1751" s="87"/>
      <c r="K1751" s="88"/>
      <c r="M1751" s="102">
        <v>0</v>
      </c>
      <c r="N1751" s="533"/>
      <c r="O1751" s="533"/>
      <c r="P1751" s="533"/>
      <c r="Q1751" s="533"/>
      <c r="R1751" s="78"/>
      <c r="S1751" s="396"/>
      <c r="T1751" s="529"/>
      <c r="U1751" s="529"/>
      <c r="V1751" s="397"/>
      <c r="Y1751" s="393">
        <f>+IFERROR(Y1745*S1751,0)</f>
        <v>0</v>
      </c>
      <c r="Z1751" s="391">
        <f>Y1745*V1751</f>
        <v>0</v>
      </c>
      <c r="AA1751" s="394"/>
      <c r="AB1751" s="395">
        <f>+Y1751*T1751</f>
        <v>0</v>
      </c>
      <c r="AC1751" s="93">
        <f>+AB1751-Z1751</f>
        <v>0</v>
      </c>
      <c r="AD1751" s="94"/>
      <c r="AE1751" s="386" t="str">
        <f>+IF(V1751=0,"CERO","NO")</f>
        <v>CERO</v>
      </c>
    </row>
    <row r="1752" spans="3:31" s="260" customFormat="1" x14ac:dyDescent="0.25">
      <c r="C1752" s="84"/>
      <c r="D1752" s="85"/>
      <c r="E1752" s="86"/>
      <c r="F1752" s="86"/>
      <c r="G1752" s="86"/>
      <c r="H1752" s="86"/>
      <c r="I1752" s="86"/>
      <c r="J1752" s="87"/>
      <c r="K1752" s="88"/>
      <c r="M1752" s="102">
        <v>0</v>
      </c>
      <c r="N1752" s="533"/>
      <c r="O1752" s="533"/>
      <c r="P1752" s="533"/>
      <c r="Q1752" s="533"/>
      <c r="R1752" s="78"/>
      <c r="S1752" s="396"/>
      <c r="T1752" s="529"/>
      <c r="U1752" s="529"/>
      <c r="V1752" s="397"/>
      <c r="Y1752" s="393">
        <f>+IFERROR(Y1745*S1752,0)</f>
        <v>0</v>
      </c>
      <c r="Z1752" s="391">
        <f>Y1745*V1752</f>
        <v>0</v>
      </c>
      <c r="AA1752" s="394"/>
      <c r="AB1752" s="395">
        <f>+Y1752*T1752</f>
        <v>0</v>
      </c>
      <c r="AC1752" s="93">
        <f>+AB1752-Z1752</f>
        <v>0</v>
      </c>
      <c r="AD1752" s="94"/>
      <c r="AE1752" s="386" t="str">
        <f>+IF(V1752=0,"CERO","NO")</f>
        <v>CERO</v>
      </c>
    </row>
    <row r="1753" spans="3:31" s="260" customFormat="1" ht="15.75" thickBot="1" x14ac:dyDescent="0.3">
      <c r="C1753" s="84"/>
      <c r="D1753" s="85"/>
      <c r="E1753" s="86"/>
      <c r="F1753" s="86"/>
      <c r="G1753" s="86"/>
      <c r="H1753" s="86"/>
      <c r="I1753" s="86"/>
      <c r="J1753" s="87"/>
      <c r="K1753" s="88"/>
      <c r="M1753" s="102">
        <v>0</v>
      </c>
      <c r="N1753" s="564"/>
      <c r="O1753" s="564"/>
      <c r="P1753" s="564"/>
      <c r="Q1753" s="564"/>
      <c r="R1753" s="96"/>
      <c r="S1753" s="96"/>
      <c r="T1753" s="565"/>
      <c r="U1753" s="565"/>
      <c r="V1753" s="101"/>
      <c r="Y1753" s="393">
        <f>+IFERROR(Y1745*S1753,0)</f>
        <v>0</v>
      </c>
      <c r="Z1753" s="391">
        <f>Y1745*V1753</f>
        <v>0</v>
      </c>
      <c r="AA1753" s="394"/>
      <c r="AB1753" s="395">
        <f>+Y1753*T1753</f>
        <v>0</v>
      </c>
      <c r="AC1753" s="93">
        <f>+AB1753-Z1753</f>
        <v>0</v>
      </c>
      <c r="AD1753" s="94"/>
      <c r="AE1753" s="386" t="str">
        <f>+IF(V1753=0,"CERO","NO")</f>
        <v>CERO</v>
      </c>
    </row>
    <row r="1754" spans="3:31" s="260" customFormat="1" ht="15.75" thickBot="1" x14ac:dyDescent="0.3">
      <c r="C1754" s="84"/>
      <c r="D1754" s="375" t="s">
        <v>128</v>
      </c>
      <c r="E1754" s="376" t="s">
        <v>129</v>
      </c>
      <c r="F1754" s="376" t="s">
        <v>130</v>
      </c>
      <c r="G1754" s="376" t="s">
        <v>131</v>
      </c>
      <c r="H1754" s="376" t="s">
        <v>132</v>
      </c>
      <c r="I1754" s="376" t="s">
        <v>133</v>
      </c>
      <c r="J1754" s="377" t="s">
        <v>134</v>
      </c>
      <c r="K1754" s="88"/>
      <c r="M1754" s="534"/>
      <c r="N1754" s="536" t="s">
        <v>101</v>
      </c>
      <c r="O1754" s="536"/>
      <c r="P1754" s="536"/>
      <c r="Q1754" s="536"/>
      <c r="R1754" s="536"/>
      <c r="S1754" s="536"/>
      <c r="T1754" s="536"/>
      <c r="U1754" s="536"/>
      <c r="V1754" s="389">
        <f>+SUM(V1749:V1753)</f>
        <v>418.42250000000007</v>
      </c>
      <c r="Y1754" s="398" t="s">
        <v>135</v>
      </c>
      <c r="Z1754" s="397">
        <f>+SUM(Z1749:Z1753)</f>
        <v>5021.0700000000006</v>
      </c>
      <c r="AA1754" s="86"/>
      <c r="AB1754" s="384"/>
      <c r="AC1754" s="385"/>
      <c r="AD1754" s="94"/>
      <c r="AE1754" s="399"/>
    </row>
    <row r="1755" spans="3:31" s="260" customFormat="1" ht="15.75" thickBot="1" x14ac:dyDescent="0.3">
      <c r="C1755" s="84"/>
      <c r="D1755" s="375">
        <f>C1745</f>
        <v>2.2599999999999998</v>
      </c>
      <c r="E1755" s="376"/>
      <c r="F1755" s="376"/>
      <c r="G1755" s="376"/>
      <c r="H1755" s="376"/>
      <c r="I1755" s="376"/>
      <c r="J1755" s="377"/>
      <c r="K1755" s="88"/>
      <c r="M1755" s="566"/>
      <c r="N1755" s="567" t="s">
        <v>102</v>
      </c>
      <c r="O1755" s="567"/>
      <c r="P1755" s="567"/>
      <c r="Q1755" s="567"/>
      <c r="R1755" s="567"/>
      <c r="S1755" s="567"/>
      <c r="T1755" s="567"/>
      <c r="U1755" s="567"/>
      <c r="V1755" s="400">
        <f>+ROUND(V1754,$AA$5)</f>
        <v>418.42</v>
      </c>
      <c r="Y1755" s="401" t="s">
        <v>136</v>
      </c>
      <c r="Z1755" s="402">
        <f>+ROUND(Z1754,$AA$5)</f>
        <v>5021.07</v>
      </c>
      <c r="AA1755" s="86"/>
      <c r="AB1755" s="403">
        <f>+V1755*Y1745</f>
        <v>5021.04</v>
      </c>
      <c r="AC1755" s="404">
        <f>+AB1755-Z1755</f>
        <v>-2.9999999999745341E-2</v>
      </c>
      <c r="AD1755" s="94"/>
      <c r="AE1755" s="405"/>
    </row>
    <row r="1756" spans="3:31" s="260" customFormat="1" x14ac:dyDescent="0.25">
      <c r="C1756" s="84"/>
      <c r="D1756" s="380"/>
      <c r="E1756" s="381"/>
      <c r="F1756" s="381"/>
      <c r="G1756" s="381"/>
      <c r="H1756" s="381"/>
      <c r="I1756" s="381"/>
      <c r="J1756" s="382"/>
      <c r="K1756" s="88"/>
      <c r="M1756" s="510" t="s">
        <v>103</v>
      </c>
      <c r="N1756" s="511"/>
      <c r="O1756" s="511"/>
      <c r="P1756" s="511"/>
      <c r="Q1756" s="511"/>
      <c r="R1756" s="511"/>
      <c r="S1756" s="511"/>
      <c r="T1756" s="511"/>
      <c r="U1756" s="511"/>
      <c r="V1756" s="512"/>
      <c r="Y1756" s="378"/>
      <c r="Z1756" s="121"/>
      <c r="AA1756" s="86"/>
      <c r="AB1756" s="513"/>
      <c r="AC1756" s="514"/>
      <c r="AD1756" s="94"/>
      <c r="AE1756" s="126"/>
    </row>
    <row r="1757" spans="3:31" s="260" customFormat="1" x14ac:dyDescent="0.25">
      <c r="C1757" s="84"/>
      <c r="D1757" s="85"/>
      <c r="E1757" s="86"/>
      <c r="F1757" s="86"/>
      <c r="G1757" s="86"/>
      <c r="H1757" s="86"/>
      <c r="I1757" s="86"/>
      <c r="J1757" s="87"/>
      <c r="K1757" s="88"/>
      <c r="M1757" s="99" t="s">
        <v>94</v>
      </c>
      <c r="N1757" s="561" t="s">
        <v>95</v>
      </c>
      <c r="O1757" s="561"/>
      <c r="P1757" s="561"/>
      <c r="Q1757" s="561"/>
      <c r="R1757" s="95" t="s">
        <v>96</v>
      </c>
      <c r="S1757" s="95" t="s">
        <v>104</v>
      </c>
      <c r="T1757" s="356" t="s">
        <v>105</v>
      </c>
      <c r="U1757" s="356" t="s">
        <v>8</v>
      </c>
      <c r="V1757" s="100" t="s">
        <v>98</v>
      </c>
      <c r="Y1757" s="383" t="s">
        <v>104</v>
      </c>
      <c r="Z1757" s="119" t="s">
        <v>9</v>
      </c>
      <c r="AA1757" s="86"/>
      <c r="AB1757" s="384"/>
      <c r="AC1757" s="385"/>
      <c r="AD1757" s="94"/>
      <c r="AE1757" s="406"/>
    </row>
    <row r="1758" spans="3:31" s="260" customFormat="1" x14ac:dyDescent="0.25">
      <c r="C1758" s="84"/>
      <c r="D1758" s="85"/>
      <c r="E1758" s="86"/>
      <c r="F1758" s="86"/>
      <c r="G1758" s="86"/>
      <c r="H1758" s="86"/>
      <c r="I1758" s="86"/>
      <c r="J1758" s="87"/>
      <c r="K1758" s="88"/>
      <c r="M1758" s="102">
        <v>826</v>
      </c>
      <c r="N1758" s="533" t="str">
        <f>IFERROR(VLOOKUP(M1758,INSUMOS!$C$8:$K$928,2,0),"-----")</f>
        <v>VRP Ø3/4"</v>
      </c>
      <c r="O1758" s="533"/>
      <c r="P1758" s="533"/>
      <c r="Q1758" s="533"/>
      <c r="R1758" s="78" t="str">
        <f>IFERROR(VLOOKUP(M1758,INSUMOS!$C$8:$K$928,6,0),"-----")</f>
        <v>und</v>
      </c>
      <c r="S1758" s="396">
        <v>1</v>
      </c>
      <c r="T1758" s="387">
        <v>0</v>
      </c>
      <c r="U1758" s="388">
        <f>IFERROR(VLOOKUP(M1758,INSUMOS!$C$8:$K$928,7,0),"0")</f>
        <v>517317</v>
      </c>
      <c r="V1758" s="389">
        <f>+IFERROR(U1758*(S1758*(1+T1758)),0)</f>
        <v>517317</v>
      </c>
      <c r="Y1758" s="393">
        <f>+IFERROR(Y1745*(S1758*(1+T1758)),0)</f>
        <v>12</v>
      </c>
      <c r="Z1758" s="391">
        <f>Y1745*V1758</f>
        <v>6207804</v>
      </c>
      <c r="AA1758" s="394"/>
      <c r="AB1758" s="395">
        <f>+Y1758*U1758</f>
        <v>6207804</v>
      </c>
      <c r="AC1758" s="93">
        <f>+AB1758-Z1758</f>
        <v>0</v>
      </c>
      <c r="AD1758" s="94"/>
      <c r="AE1758" s="406" t="str">
        <f>+IF(V1758=0,"CERO","NO")</f>
        <v>NO</v>
      </c>
    </row>
    <row r="1759" spans="3:31" s="260" customFormat="1" x14ac:dyDescent="0.25">
      <c r="C1759" s="84"/>
      <c r="D1759" s="85"/>
      <c r="E1759" s="86"/>
      <c r="F1759" s="86"/>
      <c r="G1759" s="86"/>
      <c r="H1759" s="86"/>
      <c r="I1759" s="86"/>
      <c r="J1759" s="87"/>
      <c r="K1759" s="88"/>
      <c r="M1759" s="102">
        <v>699</v>
      </c>
      <c r="N1759" s="533" t="str">
        <f>IFERROR(VLOOKUP(M1759,INSUMOS!$C$8:$K$928,2,0),"-----")</f>
        <v>SOLDADURA PVC LIQUIDA 1/4"</v>
      </c>
      <c r="O1759" s="533"/>
      <c r="P1759" s="533"/>
      <c r="Q1759" s="533"/>
      <c r="R1759" s="78" t="str">
        <f>IFERROR(VLOOKUP(M1759,INSUMOS!$C$8:$K$928,6,0),"-----")</f>
        <v>und</v>
      </c>
      <c r="S1759" s="396">
        <v>0.01</v>
      </c>
      <c r="T1759" s="387">
        <v>0.02</v>
      </c>
      <c r="U1759" s="388">
        <f>IFERROR(VLOOKUP(M1759,INSUMOS!$C$8:$K$928,7,0),"0")</f>
        <v>146569</v>
      </c>
      <c r="V1759" s="389">
        <f>+IFERROR(U1759*(S1759*(1+T1759)),0)</f>
        <v>1495.0038000000002</v>
      </c>
      <c r="Y1759" s="393">
        <f>+IFERROR(Y1745*(S1759*(1+T1759)),0)</f>
        <v>0.12240000000000001</v>
      </c>
      <c r="Z1759" s="391">
        <f>Y1745*V1759</f>
        <v>17940.045600000001</v>
      </c>
      <c r="AA1759" s="394"/>
      <c r="AB1759" s="395">
        <f>+Y1759*U1759</f>
        <v>17940.045600000001</v>
      </c>
      <c r="AC1759" s="93">
        <f>+AB1759-Z1759</f>
        <v>0</v>
      </c>
      <c r="AD1759" s="94"/>
      <c r="AE1759" s="406" t="str">
        <f>+IF(V1759=0,"CERO","NO")</f>
        <v>NO</v>
      </c>
    </row>
    <row r="1760" spans="3:31" s="260" customFormat="1" x14ac:dyDescent="0.25">
      <c r="C1760" s="84"/>
      <c r="D1760" s="85"/>
      <c r="E1760" s="86"/>
      <c r="F1760" s="86"/>
      <c r="G1760" s="86"/>
      <c r="H1760" s="86"/>
      <c r="I1760" s="86"/>
      <c r="J1760" s="87"/>
      <c r="K1760" s="88"/>
      <c r="M1760" s="102">
        <v>700</v>
      </c>
      <c r="N1760" s="533" t="str">
        <f>IFERROR(VLOOKUP(M1760,INSUMOS!$C$8:$K$928,2,0),"-----")</f>
        <v>LIMPIADOR PVC 1/4</v>
      </c>
      <c r="O1760" s="533"/>
      <c r="P1760" s="533"/>
      <c r="Q1760" s="533"/>
      <c r="R1760" s="78" t="str">
        <f>IFERROR(VLOOKUP(M1760,INSUMOS!$C$8:$K$928,6,0),"-----")</f>
        <v>und</v>
      </c>
      <c r="S1760" s="396">
        <v>0.01</v>
      </c>
      <c r="T1760" s="387">
        <v>0.02</v>
      </c>
      <c r="U1760" s="388">
        <f>IFERROR(VLOOKUP(M1760,INSUMOS!$C$8:$K$928,7,0),"0")</f>
        <v>65913</v>
      </c>
      <c r="V1760" s="389">
        <f>+IFERROR(U1760*(S1760*(1+T1760)),0)</f>
        <v>672.31260000000009</v>
      </c>
      <c r="Y1760" s="393">
        <f>+IFERROR(Y1745*(S1760*(1+T1760)),0)</f>
        <v>0.12240000000000001</v>
      </c>
      <c r="Z1760" s="391">
        <f>Y1745*V1760</f>
        <v>8067.7512000000006</v>
      </c>
      <c r="AA1760" s="394"/>
      <c r="AB1760" s="395">
        <f>+Y1760*U1760</f>
        <v>8067.7512000000006</v>
      </c>
      <c r="AC1760" s="93">
        <f>+AB1760-Z1760</f>
        <v>0</v>
      </c>
      <c r="AD1760" s="94"/>
      <c r="AE1760" s="406" t="str">
        <f>+IF(V1760=0,"CERO","NO")</f>
        <v>NO</v>
      </c>
    </row>
    <row r="1761" spans="3:31" s="260" customFormat="1" x14ac:dyDescent="0.25">
      <c r="C1761" s="84"/>
      <c r="D1761" s="85"/>
      <c r="E1761" s="86"/>
      <c r="F1761" s="86"/>
      <c r="G1761" s="86"/>
      <c r="H1761" s="86"/>
      <c r="I1761" s="86"/>
      <c r="J1761" s="87"/>
      <c r="K1761" s="88"/>
      <c r="M1761" s="102">
        <v>0</v>
      </c>
      <c r="N1761" s="533" t="str">
        <f>IFERROR(VLOOKUP(M1761,INSUMOS!$C$8:$K$928,2,0),"-----")</f>
        <v>-----</v>
      </c>
      <c r="O1761" s="533"/>
      <c r="P1761" s="533"/>
      <c r="Q1761" s="533"/>
      <c r="R1761" s="78" t="str">
        <f>IFERROR(VLOOKUP(M1761,INSUMOS!$C$8:$K$928,6,0),"-----")</f>
        <v>-----</v>
      </c>
      <c r="S1761" s="396"/>
      <c r="T1761" s="387"/>
      <c r="U1761" s="388" t="str">
        <f>IFERROR(VLOOKUP(M1761,INSUMOS!$C$8:$K$928,7,0),"0")</f>
        <v>0</v>
      </c>
      <c r="V1761" s="389">
        <f>+IFERROR(U1761*(S1761*(1+T1761)),0)</f>
        <v>0</v>
      </c>
      <c r="Y1761" s="393">
        <f>+IFERROR(Y1745*(S1761*(1+T1761)),0)</f>
        <v>0</v>
      </c>
      <c r="Z1761" s="391">
        <f>Y1745*V1761</f>
        <v>0</v>
      </c>
      <c r="AA1761" s="394"/>
      <c r="AB1761" s="395">
        <f>+Y1761*U1761</f>
        <v>0</v>
      </c>
      <c r="AC1761" s="93">
        <f>+AB1761-Z1761</f>
        <v>0</v>
      </c>
      <c r="AD1761" s="94"/>
      <c r="AE1761" s="406" t="str">
        <f>+IF(V1761=0,"CERO","NO")</f>
        <v>CERO</v>
      </c>
    </row>
    <row r="1762" spans="3:31" s="260" customFormat="1" ht="15.75" thickBot="1" x14ac:dyDescent="0.3">
      <c r="C1762" s="84"/>
      <c r="D1762" s="85"/>
      <c r="E1762" s="86"/>
      <c r="F1762" s="86"/>
      <c r="G1762" s="86"/>
      <c r="H1762" s="86"/>
      <c r="I1762" s="86"/>
      <c r="J1762" s="87"/>
      <c r="K1762" s="88"/>
      <c r="M1762" s="102">
        <v>0</v>
      </c>
      <c r="N1762" s="564"/>
      <c r="O1762" s="564"/>
      <c r="P1762" s="564"/>
      <c r="Q1762" s="564"/>
      <c r="R1762" s="96"/>
      <c r="S1762" s="79"/>
      <c r="T1762" s="97"/>
      <c r="U1762" s="358"/>
      <c r="V1762" s="397"/>
      <c r="Y1762" s="393">
        <f>+IFERROR(Y1745*(S1762*(1+T1762)),0)</f>
        <v>0</v>
      </c>
      <c r="Z1762" s="391">
        <f>Y1745*V1762</f>
        <v>0</v>
      </c>
      <c r="AA1762" s="394"/>
      <c r="AB1762" s="395">
        <f>+Y1762*U1762</f>
        <v>0</v>
      </c>
      <c r="AC1762" s="93">
        <f>+AB1762-Z1762</f>
        <v>0</v>
      </c>
      <c r="AD1762" s="94"/>
      <c r="AE1762" s="406" t="str">
        <f>+IF(V1762=0,"CERO","NO")</f>
        <v>CERO</v>
      </c>
    </row>
    <row r="1763" spans="3:31" s="260" customFormat="1" ht="15.75" thickBot="1" x14ac:dyDescent="0.3">
      <c r="C1763" s="84"/>
      <c r="D1763" s="375" t="s">
        <v>128</v>
      </c>
      <c r="E1763" s="376" t="s">
        <v>129</v>
      </c>
      <c r="F1763" s="376" t="s">
        <v>130</v>
      </c>
      <c r="G1763" s="376" t="s">
        <v>131</v>
      </c>
      <c r="H1763" s="376" t="s">
        <v>132</v>
      </c>
      <c r="I1763" s="376" t="s">
        <v>133</v>
      </c>
      <c r="J1763" s="377" t="s">
        <v>134</v>
      </c>
      <c r="K1763" s="88"/>
      <c r="M1763" s="534"/>
      <c r="N1763" s="536" t="s">
        <v>106</v>
      </c>
      <c r="O1763" s="536"/>
      <c r="P1763" s="536"/>
      <c r="Q1763" s="536"/>
      <c r="R1763" s="536"/>
      <c r="S1763" s="536"/>
      <c r="T1763" s="536"/>
      <c r="U1763" s="536"/>
      <c r="V1763" s="389">
        <f>+SUM(V1758:V1762)</f>
        <v>519484.31640000001</v>
      </c>
      <c r="Y1763" s="398" t="s">
        <v>135</v>
      </c>
      <c r="Z1763" s="397">
        <f>+SUM(Z1758:Z1762)</f>
        <v>6233811.7967999997</v>
      </c>
      <c r="AA1763" s="86"/>
      <c r="AB1763" s="384"/>
      <c r="AC1763" s="385"/>
      <c r="AD1763" s="94"/>
      <c r="AE1763" s="399"/>
    </row>
    <row r="1764" spans="3:31" s="260" customFormat="1" ht="15.75" thickBot="1" x14ac:dyDescent="0.3">
      <c r="C1764" s="84"/>
      <c r="D1764" s="375"/>
      <c r="E1764" s="407">
        <f>+D1755</f>
        <v>2.2599999999999998</v>
      </c>
      <c r="F1764" s="376"/>
      <c r="G1764" s="376"/>
      <c r="H1764" s="376"/>
      <c r="I1764" s="376"/>
      <c r="J1764" s="377"/>
      <c r="K1764" s="88"/>
      <c r="M1764" s="535"/>
      <c r="N1764" s="537" t="s">
        <v>107</v>
      </c>
      <c r="O1764" s="537"/>
      <c r="P1764" s="537"/>
      <c r="Q1764" s="537"/>
      <c r="R1764" s="537"/>
      <c r="S1764" s="537"/>
      <c r="T1764" s="537"/>
      <c r="U1764" s="537"/>
      <c r="V1764" s="408">
        <f>+ROUND(V1763,$AA$5)</f>
        <v>519484.32</v>
      </c>
      <c r="Y1764" s="401" t="s">
        <v>136</v>
      </c>
      <c r="Z1764" s="402">
        <f>+ROUND(Z1763,$AA$5)</f>
        <v>6233811.7999999998</v>
      </c>
      <c r="AA1764" s="86"/>
      <c r="AB1764" s="403">
        <f>+V1764*Y1745</f>
        <v>6233811.8399999999</v>
      </c>
      <c r="AC1764" s="404">
        <f>+AB1764-Z1764</f>
        <v>4.0000000037252903E-2</v>
      </c>
      <c r="AD1764" s="94"/>
      <c r="AE1764" s="405"/>
    </row>
    <row r="1765" spans="3:31" s="260" customFormat="1" x14ac:dyDescent="0.25">
      <c r="C1765" s="84"/>
      <c r="D1765" s="380"/>
      <c r="E1765" s="381"/>
      <c r="F1765" s="381"/>
      <c r="G1765" s="381"/>
      <c r="H1765" s="381"/>
      <c r="I1765" s="381"/>
      <c r="J1765" s="382"/>
      <c r="K1765" s="88"/>
      <c r="M1765" s="568" t="s">
        <v>108</v>
      </c>
      <c r="N1765" s="569"/>
      <c r="O1765" s="569"/>
      <c r="P1765" s="569"/>
      <c r="Q1765" s="569"/>
      <c r="R1765" s="569"/>
      <c r="S1765" s="569"/>
      <c r="T1765" s="569"/>
      <c r="U1765" s="569"/>
      <c r="V1765" s="570"/>
      <c r="Y1765" s="378"/>
      <c r="Z1765" s="121"/>
      <c r="AA1765" s="86"/>
      <c r="AB1765" s="409"/>
      <c r="AC1765" s="121"/>
      <c r="AD1765" s="94"/>
      <c r="AE1765" s="126"/>
    </row>
    <row r="1766" spans="3:31" s="260" customFormat="1" ht="25.5" x14ac:dyDescent="0.25">
      <c r="C1766" s="84"/>
      <c r="D1766" s="85"/>
      <c r="E1766" s="86"/>
      <c r="F1766" s="86"/>
      <c r="G1766" s="86"/>
      <c r="H1766" s="86"/>
      <c r="I1766" s="86"/>
      <c r="J1766" s="87"/>
      <c r="K1766" s="88"/>
      <c r="M1766" s="99" t="s">
        <v>94</v>
      </c>
      <c r="N1766" s="561" t="s">
        <v>95</v>
      </c>
      <c r="O1766" s="561"/>
      <c r="P1766" s="561"/>
      <c r="Q1766" s="95" t="s">
        <v>109</v>
      </c>
      <c r="R1766" s="95" t="s">
        <v>110</v>
      </c>
      <c r="S1766" s="95" t="s">
        <v>111</v>
      </c>
      <c r="T1766" s="562" t="s">
        <v>112</v>
      </c>
      <c r="U1766" s="562"/>
      <c r="V1766" s="100" t="s">
        <v>98</v>
      </c>
      <c r="Y1766" s="383" t="s">
        <v>104</v>
      </c>
      <c r="Z1766" s="119" t="s">
        <v>9</v>
      </c>
      <c r="AA1766" s="86"/>
      <c r="AB1766" s="384"/>
      <c r="AC1766" s="385"/>
      <c r="AD1766" s="94"/>
      <c r="AE1766" s="410"/>
    </row>
    <row r="1767" spans="3:31" s="260" customFormat="1" x14ac:dyDescent="0.25">
      <c r="C1767" s="84"/>
      <c r="D1767" s="85"/>
      <c r="E1767" s="86"/>
      <c r="F1767" s="86"/>
      <c r="G1767" s="86"/>
      <c r="H1767" s="86"/>
      <c r="I1767" s="86"/>
      <c r="J1767" s="87"/>
      <c r="K1767" s="88"/>
      <c r="M1767" s="102">
        <v>129</v>
      </c>
      <c r="N1767" s="530" t="str">
        <f>IFERROR(VLOOKUP(M1767,INSUMOS!$C$8:$K$928,2,0),"-----")</f>
        <v>transporte materiales en general</v>
      </c>
      <c r="O1767" s="531"/>
      <c r="P1767" s="532"/>
      <c r="Q1767" s="78" t="str">
        <f>IFERROR(VLOOKUP(M1767,INSUMOS!$C$8:$K$928,5,0),"-----")</f>
        <v>Km</v>
      </c>
      <c r="R1767" s="80">
        <v>1</v>
      </c>
      <c r="S1767" s="80">
        <f>IFERROR(VLOOKUP(M1767,INSUMOS!$C$8:$K$928,6,0),"0")</f>
        <v>348</v>
      </c>
      <c r="T1767" s="529">
        <f>IFERROR(VLOOKUP(M1767,INSUMOS!$C$8:$K$928,7,0),"0")</f>
        <v>0.99776362060288992</v>
      </c>
      <c r="U1767" s="529"/>
      <c r="V1767" s="82">
        <f>+T1767*S1767*R1767</f>
        <v>347.2217399698057</v>
      </c>
      <c r="Y1767" s="393">
        <f>+IFERROR((R1767*S1767)*Y1745,0)</f>
        <v>4176</v>
      </c>
      <c r="Z1767" s="391">
        <f>Y1745*V1767</f>
        <v>4166.6608796376686</v>
      </c>
      <c r="AA1767" s="86"/>
      <c r="AB1767" s="92">
        <f>+Y1767*T1767</f>
        <v>4166.6608796376686</v>
      </c>
      <c r="AC1767" s="93">
        <f>+AB1767-Z1767</f>
        <v>0</v>
      </c>
      <c r="AD1767" s="94"/>
      <c r="AE1767" s="406" t="str">
        <f>+IF(V1767=0,"CERO","NO")</f>
        <v>NO</v>
      </c>
    </row>
    <row r="1768" spans="3:31" s="260" customFormat="1" x14ac:dyDescent="0.25">
      <c r="C1768" s="84"/>
      <c r="D1768" s="85"/>
      <c r="E1768" s="86"/>
      <c r="F1768" s="86"/>
      <c r="G1768" s="86"/>
      <c r="H1768" s="86"/>
      <c r="I1768" s="86"/>
      <c r="J1768" s="87"/>
      <c r="K1768" s="88"/>
      <c r="M1768" s="102">
        <v>0</v>
      </c>
      <c r="N1768" s="530" t="str">
        <f>IFERROR(VLOOKUP(M1768,INSUMOS!$C$8:$K$928,2,0),"-----")</f>
        <v>-----</v>
      </c>
      <c r="O1768" s="531"/>
      <c r="P1768" s="532"/>
      <c r="Q1768" s="78" t="str">
        <f>IFERROR(VLOOKUP(M1768,INSUMOS!$C$8:$K$928,5,0),"-----")</f>
        <v>-----</v>
      </c>
      <c r="R1768" s="80"/>
      <c r="S1768" s="80" t="str">
        <f>IFERROR(VLOOKUP(M1768,INSUMOS!$C$8:$K$928,6,0),"0")</f>
        <v>0</v>
      </c>
      <c r="T1768" s="529" t="str">
        <f>IFERROR(VLOOKUP(M1768,INSUMOS!$C$8:$K$928,7,0),"0")</f>
        <v>0</v>
      </c>
      <c r="U1768" s="529"/>
      <c r="V1768" s="82">
        <f>+T1768*S1768*R1768</f>
        <v>0</v>
      </c>
      <c r="Y1768" s="393">
        <f>+IFERROR((R1768*S1768)*Y1745,0)</f>
        <v>0</v>
      </c>
      <c r="Z1768" s="391">
        <f>Y1745*V1768</f>
        <v>0</v>
      </c>
      <c r="AA1768" s="86"/>
      <c r="AB1768" s="92">
        <f>+Y1768*T1768</f>
        <v>0</v>
      </c>
      <c r="AC1768" s="93">
        <f>+AB1768-Z1768</f>
        <v>0</v>
      </c>
      <c r="AD1768" s="94"/>
      <c r="AE1768" s="406" t="str">
        <f>+IF(V1768=0,"CERO","NO")</f>
        <v>CERO</v>
      </c>
    </row>
    <row r="1769" spans="3:31" s="260" customFormat="1" x14ac:dyDescent="0.25">
      <c r="C1769" s="84"/>
      <c r="D1769" s="85"/>
      <c r="E1769" s="86"/>
      <c r="F1769" s="86"/>
      <c r="G1769" s="86"/>
      <c r="H1769" s="86"/>
      <c r="I1769" s="86"/>
      <c r="J1769" s="87"/>
      <c r="K1769" s="88"/>
      <c r="M1769" s="102">
        <v>0</v>
      </c>
      <c r="N1769" s="530" t="str">
        <f>IFERROR(VLOOKUP(M1769,INSUMOS!$C$8:$K$928,2,0),"-----")</f>
        <v>-----</v>
      </c>
      <c r="O1769" s="531"/>
      <c r="P1769" s="532"/>
      <c r="Q1769" s="78" t="str">
        <f>IFERROR(VLOOKUP(M1769,INSUMOS!$C$8:$K$928,5,0),"-----")</f>
        <v>-----</v>
      </c>
      <c r="R1769" s="80"/>
      <c r="S1769" s="80" t="str">
        <f>IFERROR(VLOOKUP(M1769,INSUMOS!$C$8:$K$928,6,0),"0")</f>
        <v>0</v>
      </c>
      <c r="T1769" s="529" t="str">
        <f>IFERROR(VLOOKUP(M1769,INSUMOS!$C$8:$K$928,7,0),"0")</f>
        <v>0</v>
      </c>
      <c r="U1769" s="529"/>
      <c r="V1769" s="82">
        <f>+T1769*S1769*R1769</f>
        <v>0</v>
      </c>
      <c r="Y1769" s="393">
        <f>+IFERROR((R1769*S1769)*Y1745,0)</f>
        <v>0</v>
      </c>
      <c r="Z1769" s="391">
        <f>Y1745*V1769</f>
        <v>0</v>
      </c>
      <c r="AA1769" s="86"/>
      <c r="AB1769" s="92">
        <f>+Y1769*T1769</f>
        <v>0</v>
      </c>
      <c r="AC1769" s="93">
        <f>+AB1769-Z1769</f>
        <v>0</v>
      </c>
      <c r="AD1769" s="94"/>
      <c r="AE1769" s="406" t="str">
        <f>+IF(V1769=0,"CERO","NO")</f>
        <v>CERO</v>
      </c>
    </row>
    <row r="1770" spans="3:31" s="260" customFormat="1" ht="15.75" thickBot="1" x14ac:dyDescent="0.3">
      <c r="C1770" s="84"/>
      <c r="D1770" s="89"/>
      <c r="E1770" s="90"/>
      <c r="F1770" s="90"/>
      <c r="G1770" s="90"/>
      <c r="H1770" s="90"/>
      <c r="I1770" s="90"/>
      <c r="J1770" s="91"/>
      <c r="K1770" s="88"/>
      <c r="M1770" s="102">
        <v>0</v>
      </c>
      <c r="N1770" s="533"/>
      <c r="O1770" s="533"/>
      <c r="P1770" s="533"/>
      <c r="Q1770" s="79"/>
      <c r="R1770" s="78"/>
      <c r="S1770" s="81"/>
      <c r="T1770" s="529"/>
      <c r="U1770" s="529"/>
      <c r="V1770" s="82"/>
      <c r="Y1770" s="393">
        <f>+IFERROR((R1770*S1770)*Y1745,0)</f>
        <v>0</v>
      </c>
      <c r="Z1770" s="391">
        <f>Y1745*V1770</f>
        <v>0</v>
      </c>
      <c r="AA1770" s="86"/>
      <c r="AB1770" s="92">
        <f>+Y1770*T1770</f>
        <v>0</v>
      </c>
      <c r="AC1770" s="93">
        <f>+AB1770-Z1770</f>
        <v>0</v>
      </c>
      <c r="AD1770" s="94"/>
      <c r="AE1770" s="406" t="str">
        <f>+IF(V1770=0,"CERO","NO")</f>
        <v>CERO</v>
      </c>
    </row>
    <row r="1771" spans="3:31" s="260" customFormat="1" ht="15.75" thickBot="1" x14ac:dyDescent="0.3">
      <c r="C1771" s="84"/>
      <c r="D1771" s="375" t="s">
        <v>128</v>
      </c>
      <c r="E1771" s="376" t="s">
        <v>129</v>
      </c>
      <c r="F1771" s="376" t="s">
        <v>130</v>
      </c>
      <c r="G1771" s="376" t="s">
        <v>131</v>
      </c>
      <c r="H1771" s="376" t="s">
        <v>132</v>
      </c>
      <c r="I1771" s="376" t="s">
        <v>133</v>
      </c>
      <c r="J1771" s="377" t="s">
        <v>134</v>
      </c>
      <c r="K1771" s="88"/>
      <c r="M1771" s="534"/>
      <c r="N1771" s="536" t="s">
        <v>113</v>
      </c>
      <c r="O1771" s="536"/>
      <c r="P1771" s="536"/>
      <c r="Q1771" s="536"/>
      <c r="R1771" s="536"/>
      <c r="S1771" s="536"/>
      <c r="T1771" s="536"/>
      <c r="U1771" s="536"/>
      <c r="V1771" s="411">
        <f>+SUM(V1767:V1770)</f>
        <v>347.2217399698057</v>
      </c>
      <c r="Y1771" s="398" t="s">
        <v>135</v>
      </c>
      <c r="Z1771" s="397">
        <f>+SUM(Z1767:Z1770)</f>
        <v>4166.6608796376686</v>
      </c>
      <c r="AA1771" s="86"/>
      <c r="AB1771" s="384"/>
      <c r="AC1771" s="385"/>
      <c r="AD1771" s="94"/>
      <c r="AE1771" s="399"/>
    </row>
    <row r="1772" spans="3:31" s="260" customFormat="1" ht="15.75" thickBot="1" x14ac:dyDescent="0.3">
      <c r="C1772" s="84"/>
      <c r="D1772" s="355"/>
      <c r="E1772" s="367"/>
      <c r="F1772" s="412">
        <f>+E1764</f>
        <v>2.2599999999999998</v>
      </c>
      <c r="G1772" s="367"/>
      <c r="H1772" s="367"/>
      <c r="I1772" s="367"/>
      <c r="J1772" s="368"/>
      <c r="K1772" s="88"/>
      <c r="M1772" s="535"/>
      <c r="N1772" s="537" t="s">
        <v>114</v>
      </c>
      <c r="O1772" s="537"/>
      <c r="P1772" s="537"/>
      <c r="Q1772" s="537"/>
      <c r="R1772" s="537"/>
      <c r="S1772" s="537"/>
      <c r="T1772" s="537"/>
      <c r="U1772" s="537"/>
      <c r="V1772" s="413">
        <f>+ROUND(V1771,$AA$5)</f>
        <v>347.22</v>
      </c>
      <c r="Y1772" s="401" t="s">
        <v>136</v>
      </c>
      <c r="Z1772" s="402">
        <f>+ROUND(Z1771,$AA$5)</f>
        <v>4166.66</v>
      </c>
      <c r="AA1772" s="86"/>
      <c r="AB1772" s="403">
        <f>+V1772*Y1745</f>
        <v>4166.6400000000003</v>
      </c>
      <c r="AC1772" s="414"/>
      <c r="AD1772" s="94"/>
      <c r="AE1772" s="405"/>
    </row>
    <row r="1773" spans="3:31" s="260" customFormat="1" ht="15.75" thickBot="1" x14ac:dyDescent="0.3">
      <c r="C1773" s="84"/>
      <c r="D1773" s="415"/>
      <c r="E1773" s="416"/>
      <c r="F1773" s="416"/>
      <c r="G1773" s="416"/>
      <c r="H1773" s="416"/>
      <c r="I1773" s="416"/>
      <c r="J1773" s="417"/>
      <c r="K1773" s="88"/>
      <c r="M1773" s="538" t="s">
        <v>115</v>
      </c>
      <c r="N1773" s="539"/>
      <c r="O1773" s="539"/>
      <c r="P1773" s="539"/>
      <c r="Q1773" s="539"/>
      <c r="R1773" s="539"/>
      <c r="S1773" s="539"/>
      <c r="T1773" s="539"/>
      <c r="U1773" s="539"/>
      <c r="V1773" s="540"/>
      <c r="Y1773" s="378"/>
      <c r="Z1773" s="121"/>
      <c r="AA1773" s="86"/>
      <c r="AB1773" s="409"/>
      <c r="AC1773" s="121"/>
      <c r="AD1773" s="94"/>
      <c r="AE1773" s="126"/>
    </row>
    <row r="1774" spans="3:31" s="260" customFormat="1" ht="15.75" thickBot="1" x14ac:dyDescent="0.3">
      <c r="C1774" s="84"/>
      <c r="D1774" s="375" t="s">
        <v>128</v>
      </c>
      <c r="E1774" s="376" t="s">
        <v>129</v>
      </c>
      <c r="F1774" s="376" t="s">
        <v>130</v>
      </c>
      <c r="G1774" s="376" t="s">
        <v>131</v>
      </c>
      <c r="H1774" s="376" t="s">
        <v>132</v>
      </c>
      <c r="I1774" s="376" t="s">
        <v>133</v>
      </c>
      <c r="J1774" s="377" t="s">
        <v>134</v>
      </c>
      <c r="K1774" s="88"/>
      <c r="M1774" s="99" t="s">
        <v>94</v>
      </c>
      <c r="N1774" s="98" t="s">
        <v>95</v>
      </c>
      <c r="O1774" s="95" t="s">
        <v>96</v>
      </c>
      <c r="P1774" s="359" t="s">
        <v>104</v>
      </c>
      <c r="Q1774" s="95" t="s">
        <v>116</v>
      </c>
      <c r="R1774" s="418" t="s">
        <v>117</v>
      </c>
      <c r="S1774" s="95" t="s">
        <v>347</v>
      </c>
      <c r="T1774" s="419" t="s">
        <v>118</v>
      </c>
      <c r="U1774" s="189" t="s">
        <v>119</v>
      </c>
      <c r="V1774" s="100" t="s">
        <v>98</v>
      </c>
      <c r="Y1774" s="383" t="s">
        <v>104</v>
      </c>
      <c r="Z1774" s="119" t="s">
        <v>9</v>
      </c>
      <c r="AA1774" s="86"/>
      <c r="AB1774" s="384"/>
      <c r="AC1774" s="385"/>
      <c r="AD1774" s="94"/>
      <c r="AE1774" s="410"/>
    </row>
    <row r="1775" spans="3:31" s="260" customFormat="1" ht="25.5" x14ac:dyDescent="0.25">
      <c r="C1775" s="84"/>
      <c r="D1775" s="354"/>
      <c r="E1775" s="96"/>
      <c r="F1775" s="96"/>
      <c r="G1775" s="96"/>
      <c r="H1775" s="96"/>
      <c r="I1775" s="96"/>
      <c r="J1775" s="420">
        <f>+F1772</f>
        <v>2.2599999999999998</v>
      </c>
      <c r="K1775" s="88"/>
      <c r="M1775" s="102">
        <v>207</v>
      </c>
      <c r="N1775" s="347" t="str">
        <f>IFERROR(VLOOKUP(M1775,INSUMOS!$C$8:$K$928,2,0),"-----")</f>
        <v>Oficial Hidrosanitario</v>
      </c>
      <c r="O1775" s="78" t="str">
        <f>IFERROR(VLOOKUP(M1775,INSUMOS!$C$8:$K$928,3,0),"-----")</f>
        <v>JORNAL+PS</v>
      </c>
      <c r="P1775" s="80">
        <v>1</v>
      </c>
      <c r="Q1775" s="79">
        <v>20</v>
      </c>
      <c r="R1775" s="190">
        <f>IFERROR(VLOOKUP(M1775,INSUMOS!$C$8:$K$928,4,0),"-----")</f>
        <v>92983</v>
      </c>
      <c r="S1775" s="190">
        <f>IFERROR(VLOOKUP(M1775,INSUMOS!$C$8:$K$928,6,0),"-----")</f>
        <v>74386</v>
      </c>
      <c r="T1775" s="190">
        <f>IFERROR(VLOOKUP(M1775,INSUMOS!$C$8:$K$928,5,0),"-----")</f>
        <v>0</v>
      </c>
      <c r="U1775" s="388">
        <f>SUM(R1775:T1775)</f>
        <v>167369</v>
      </c>
      <c r="V1775" s="82">
        <f>+IFERROR((P1775/Q1775)*U1775,0)</f>
        <v>8368.4500000000007</v>
      </c>
      <c r="Y1775" s="393">
        <f>+IFERROR((Y1745/Q1775*P1775),0)</f>
        <v>0.6</v>
      </c>
      <c r="Z1775" s="391">
        <f>Y1745*V1775</f>
        <v>100421.40000000001</v>
      </c>
      <c r="AA1775" s="86"/>
      <c r="AB1775" s="92">
        <f>+(U1775)*Y1775</f>
        <v>100421.4</v>
      </c>
      <c r="AC1775" s="93">
        <f>+AB1775-Z1775</f>
        <v>0</v>
      </c>
      <c r="AD1775" s="421"/>
      <c r="AE1775" s="410" t="str">
        <f>+IF(V1775=0,"CERO","NO")</f>
        <v>NO</v>
      </c>
    </row>
    <row r="1776" spans="3:31" s="260" customFormat="1" ht="15.75" thickBot="1" x14ac:dyDescent="0.3">
      <c r="C1776" s="84"/>
      <c r="D1776" s="355"/>
      <c r="E1776" s="367"/>
      <c r="F1776" s="367"/>
      <c r="G1776" s="367"/>
      <c r="H1776" s="367"/>
      <c r="I1776" s="367"/>
      <c r="J1776" s="422">
        <f>+J1775</f>
        <v>2.2599999999999998</v>
      </c>
      <c r="K1776" s="88"/>
      <c r="M1776" s="102"/>
      <c r="N1776" s="347" t="str">
        <f>IFERROR(VLOOKUP(M1776,INSUMOS!$C$8:$K$928,2,0),"-----")</f>
        <v>-----</v>
      </c>
      <c r="O1776" s="78" t="str">
        <f>IFERROR(VLOOKUP(M1776,INSUMOS!$C$8:$K$928,3,0),"-----")</f>
        <v>-----</v>
      </c>
      <c r="P1776" s="80"/>
      <c r="Q1776" s="79"/>
      <c r="R1776" s="190" t="str">
        <f>IFERROR(VLOOKUP(M1776,INSUMOS!$C$8:$K$928,4,0),"-----")</f>
        <v>-----</v>
      </c>
      <c r="S1776" s="190" t="str">
        <f>IFERROR(VLOOKUP(M1776,INSUMOS!$C$8:$K$928,6,0),"-----")</f>
        <v>-----</v>
      </c>
      <c r="T1776" s="190" t="str">
        <f>IFERROR(VLOOKUP(M1776,INSUMOS!$C$8:$K$928,5,0),"-----")</f>
        <v>-----</v>
      </c>
      <c r="U1776" s="388">
        <f>SUM(R1776:T1776)</f>
        <v>0</v>
      </c>
      <c r="V1776" s="82">
        <f>+IFERROR((P1776/Q1776)*U1776,0)</f>
        <v>0</v>
      </c>
      <c r="Y1776" s="393">
        <f>+IFERROR((Y1745/Q1776*P1776),0)</f>
        <v>0</v>
      </c>
      <c r="Z1776" s="391">
        <f>Y1745*V1776</f>
        <v>0</v>
      </c>
      <c r="AA1776" s="86"/>
      <c r="AB1776" s="92">
        <f>+U1776*Y1776</f>
        <v>0</v>
      </c>
      <c r="AC1776" s="93">
        <f>+AB1776-Z1776</f>
        <v>0</v>
      </c>
      <c r="AD1776" s="94"/>
      <c r="AE1776" s="410" t="str">
        <f>+IF(V1776=0,"CERO","NO")</f>
        <v>CERO</v>
      </c>
    </row>
    <row r="1777" spans="3:31" s="260" customFormat="1" ht="15.75" thickBot="1" x14ac:dyDescent="0.3">
      <c r="C1777" s="84"/>
      <c r="D1777" s="380"/>
      <c r="E1777" s="381"/>
      <c r="F1777" s="381"/>
      <c r="G1777" s="381"/>
      <c r="H1777" s="381"/>
      <c r="I1777" s="381"/>
      <c r="J1777" s="382"/>
      <c r="K1777" s="88"/>
      <c r="M1777" s="102">
        <v>0</v>
      </c>
      <c r="N1777" s="347"/>
      <c r="O1777" s="79"/>
      <c r="P1777" s="423"/>
      <c r="Q1777" s="81"/>
      <c r="R1777" s="111"/>
      <c r="S1777" s="357"/>
      <c r="T1777" s="111"/>
      <c r="U1777" s="388"/>
      <c r="V1777" s="426"/>
      <c r="Y1777" s="393">
        <f>+IFERROR((Y1745/Q1777*P1777),0)</f>
        <v>0</v>
      </c>
      <c r="Z1777" s="391">
        <f>Y1745*V1777</f>
        <v>0</v>
      </c>
      <c r="AA1777" s="86"/>
      <c r="AB1777" s="92">
        <f>+(U1777)*Y1777*P1777</f>
        <v>0</v>
      </c>
      <c r="AC1777" s="93">
        <f>+AB1777-Z1777</f>
        <v>0</v>
      </c>
      <c r="AD1777" s="94"/>
      <c r="AE1777" s="410" t="str">
        <f>+IF(V1777=0,"CERO","NO")</f>
        <v>CERO</v>
      </c>
    </row>
    <row r="1778" spans="3:31" s="260" customFormat="1" ht="15.75" thickBot="1" x14ac:dyDescent="0.3">
      <c r="C1778" s="84"/>
      <c r="D1778" s="375" t="s">
        <v>128</v>
      </c>
      <c r="E1778" s="376" t="s">
        <v>129</v>
      </c>
      <c r="F1778" s="376" t="s">
        <v>130</v>
      </c>
      <c r="G1778" s="376" t="s">
        <v>131</v>
      </c>
      <c r="H1778" s="376" t="s">
        <v>132</v>
      </c>
      <c r="I1778" s="376" t="s">
        <v>133</v>
      </c>
      <c r="J1778" s="377" t="s">
        <v>134</v>
      </c>
      <c r="K1778" s="88"/>
      <c r="M1778" s="534"/>
      <c r="N1778" s="536" t="s">
        <v>120</v>
      </c>
      <c r="O1778" s="536"/>
      <c r="P1778" s="536"/>
      <c r="Q1778" s="536"/>
      <c r="R1778" s="536"/>
      <c r="S1778" s="536"/>
      <c r="T1778" s="536"/>
      <c r="U1778" s="536"/>
      <c r="V1778" s="82">
        <f>+SUM(V1775:V1777)</f>
        <v>8368.4500000000007</v>
      </c>
      <c r="Y1778" s="398" t="s">
        <v>135</v>
      </c>
      <c r="Z1778" s="397">
        <f>+SUM(Z1775:Z1777)</f>
        <v>100421.40000000001</v>
      </c>
      <c r="AA1778" s="86"/>
      <c r="AB1778" s="384"/>
      <c r="AC1778" s="385"/>
      <c r="AD1778" s="94"/>
      <c r="AE1778" s="399"/>
    </row>
    <row r="1779" spans="3:31" s="260" customFormat="1" ht="15.75" thickBot="1" x14ac:dyDescent="0.3">
      <c r="C1779" s="84"/>
      <c r="D1779" s="354"/>
      <c r="E1779" s="96"/>
      <c r="F1779" s="96"/>
      <c r="G1779" s="107">
        <f>+F1772</f>
        <v>2.2599999999999998</v>
      </c>
      <c r="H1779" s="96"/>
      <c r="I1779" s="96"/>
      <c r="J1779" s="427"/>
      <c r="K1779" s="88"/>
      <c r="M1779" s="535"/>
      <c r="N1779" s="537" t="s">
        <v>121</v>
      </c>
      <c r="O1779" s="537"/>
      <c r="P1779" s="537"/>
      <c r="Q1779" s="537"/>
      <c r="R1779" s="537"/>
      <c r="S1779" s="537"/>
      <c r="T1779" s="537"/>
      <c r="U1779" s="537"/>
      <c r="V1779" s="413">
        <f>+ROUND(V1778,$AA$5)</f>
        <v>8368.4500000000007</v>
      </c>
      <c r="Y1779" s="401" t="s">
        <v>136</v>
      </c>
      <c r="Z1779" s="402">
        <f>+ROUND(Z1778,$AA$5)</f>
        <v>100421.4</v>
      </c>
      <c r="AA1779" s="86"/>
      <c r="AB1779" s="403">
        <f>+V1779*Y1745</f>
        <v>100421.40000000001</v>
      </c>
      <c r="AC1779" s="404">
        <f>+AB1779-Z1779</f>
        <v>0</v>
      </c>
      <c r="AD1779" s="94"/>
      <c r="AE1779" s="405"/>
    </row>
    <row r="1780" spans="3:31" s="260" customFormat="1" ht="15.75" thickBot="1" x14ac:dyDescent="0.3">
      <c r="C1780" s="84"/>
      <c r="D1780" s="375" t="s">
        <v>128</v>
      </c>
      <c r="E1780" s="376" t="s">
        <v>129</v>
      </c>
      <c r="F1780" s="376" t="s">
        <v>130</v>
      </c>
      <c r="G1780" s="376" t="s">
        <v>131</v>
      </c>
      <c r="H1780" s="376" t="s">
        <v>132</v>
      </c>
      <c r="I1780" s="376" t="s">
        <v>133</v>
      </c>
      <c r="J1780" s="377" t="s">
        <v>134</v>
      </c>
      <c r="K1780" s="88"/>
      <c r="M1780" s="541"/>
      <c r="N1780" s="542"/>
      <c r="O1780" s="542"/>
      <c r="P1780" s="542"/>
      <c r="Q1780" s="542"/>
      <c r="R1780" s="542"/>
      <c r="S1780" s="542"/>
      <c r="T1780" s="542"/>
      <c r="U1780" s="542"/>
      <c r="V1780" s="543"/>
      <c r="Y1780" s="378"/>
      <c r="Z1780" s="121"/>
      <c r="AA1780" s="86"/>
      <c r="AB1780" s="409"/>
      <c r="AC1780" s="121"/>
      <c r="AD1780" s="94"/>
      <c r="AE1780" s="428"/>
    </row>
    <row r="1781" spans="3:31" s="260" customFormat="1" ht="15.75" thickBot="1" x14ac:dyDescent="0.3">
      <c r="C1781" s="84"/>
      <c r="D1781" s="355"/>
      <c r="E1781" s="367"/>
      <c r="F1781" s="367"/>
      <c r="G1781" s="367"/>
      <c r="H1781" s="412">
        <f>G1779</f>
        <v>2.2599999999999998</v>
      </c>
      <c r="I1781" s="412"/>
      <c r="J1781" s="422"/>
      <c r="K1781" s="88"/>
      <c r="M1781" s="544" t="s">
        <v>122</v>
      </c>
      <c r="N1781" s="537"/>
      <c r="O1781" s="537"/>
      <c r="P1781" s="537"/>
      <c r="Q1781" s="537"/>
      <c r="R1781" s="537"/>
      <c r="S1781" s="537"/>
      <c r="T1781" s="537"/>
      <c r="U1781" s="545">
        <f>+V1779+V1772+V1764+V1755</f>
        <v>528618.41</v>
      </c>
      <c r="V1781" s="546"/>
      <c r="Y1781" s="429"/>
      <c r="Z1781" s="430">
        <f>+Z1779+Z1772+Z1764+Z1755</f>
        <v>6343420.9299999997</v>
      </c>
      <c r="AA1781" s="86"/>
      <c r="AB1781" s="431">
        <f>+AB1779+AB1772+AB1764+AB1755</f>
        <v>6343420.9199999999</v>
      </c>
      <c r="AC1781" s="404">
        <f>+AB1781-Z1781</f>
        <v>-9.9999997764825821E-3</v>
      </c>
      <c r="AD1781" s="94"/>
      <c r="AE1781" s="432"/>
    </row>
    <row r="1782" spans="3:31" s="260" customFormat="1" ht="15.75" thickBot="1" x14ac:dyDescent="0.3"/>
    <row r="1783" spans="3:31" s="260" customFormat="1" x14ac:dyDescent="0.25">
      <c r="M1783" s="547" t="s">
        <v>348</v>
      </c>
      <c r="N1783" s="548"/>
      <c r="O1783" s="548"/>
      <c r="P1783" s="548"/>
      <c r="Q1783" s="548"/>
      <c r="R1783" s="548"/>
      <c r="S1783" s="548"/>
      <c r="T1783" s="548"/>
      <c r="U1783" s="548"/>
      <c r="V1783" s="549"/>
      <c r="Y1783" s="378"/>
      <c r="Z1783" s="121"/>
      <c r="AA1783" s="86"/>
      <c r="AB1783" s="94"/>
      <c r="AC1783" s="94"/>
      <c r="AD1783" s="94"/>
      <c r="AE1783" s="126" t="s">
        <v>133</v>
      </c>
    </row>
    <row r="1784" spans="3:31" s="260" customFormat="1" x14ac:dyDescent="0.25">
      <c r="M1784" s="515" t="s">
        <v>138</v>
      </c>
      <c r="N1784" s="516"/>
      <c r="O1784" s="516"/>
      <c r="P1784" s="516"/>
      <c r="Q1784" s="516"/>
      <c r="R1784" s="516"/>
      <c r="S1784" s="516"/>
      <c r="T1784" s="437">
        <v>0</v>
      </c>
      <c r="U1784" s="517">
        <f>+ROUND(U1781*T1784,$AA$5)</f>
        <v>0</v>
      </c>
      <c r="V1784" s="518"/>
      <c r="Y1784" s="390"/>
      <c r="Z1784" s="438">
        <f>+Z1781*T1784</f>
        <v>0</v>
      </c>
      <c r="AA1784" s="86"/>
      <c r="AB1784" s="94"/>
      <c r="AC1784" s="94"/>
      <c r="AD1784" s="94"/>
      <c r="AE1784" s="386" t="s">
        <v>133</v>
      </c>
    </row>
    <row r="1785" spans="3:31" s="260" customFormat="1" x14ac:dyDescent="0.25">
      <c r="M1785" s="515" t="s">
        <v>19</v>
      </c>
      <c r="N1785" s="516"/>
      <c r="O1785" s="516"/>
      <c r="P1785" s="516"/>
      <c r="Q1785" s="516"/>
      <c r="R1785" s="516"/>
      <c r="S1785" s="516"/>
      <c r="T1785" s="437">
        <v>0.05</v>
      </c>
      <c r="U1785" s="517">
        <f>+ROUND(U1781*T1785,$AA$5)</f>
        <v>26430.92</v>
      </c>
      <c r="V1785" s="518"/>
      <c r="Y1785" s="390"/>
      <c r="Z1785" s="438">
        <f>+Z1781*T1785</f>
        <v>317171.0465</v>
      </c>
      <c r="AA1785" s="86"/>
      <c r="AB1785" s="94"/>
      <c r="AC1785" s="94"/>
      <c r="AD1785" s="94"/>
      <c r="AE1785" s="386" t="s">
        <v>133</v>
      </c>
    </row>
    <row r="1786" spans="3:31" s="260" customFormat="1" x14ac:dyDescent="0.25">
      <c r="M1786" s="515" t="s">
        <v>20</v>
      </c>
      <c r="N1786" s="516"/>
      <c r="O1786" s="516"/>
      <c r="P1786" s="516"/>
      <c r="Q1786" s="516"/>
      <c r="R1786" s="516"/>
      <c r="S1786" s="516"/>
      <c r="T1786" s="437">
        <v>0</v>
      </c>
      <c r="U1786" s="517">
        <f>+ROUND(U1781*T1786,$AA$5)</f>
        <v>0</v>
      </c>
      <c r="V1786" s="518"/>
      <c r="Y1786" s="390"/>
      <c r="Z1786" s="438">
        <f>+Z1781*T1786</f>
        <v>0</v>
      </c>
      <c r="AA1786" s="86"/>
      <c r="AB1786" s="94"/>
      <c r="AC1786" s="94"/>
      <c r="AD1786" s="94"/>
      <c r="AE1786" s="386" t="s">
        <v>133</v>
      </c>
    </row>
    <row r="1787" spans="3:31" s="260" customFormat="1" x14ac:dyDescent="0.25">
      <c r="M1787" s="515" t="s">
        <v>21</v>
      </c>
      <c r="N1787" s="516"/>
      <c r="O1787" s="516"/>
      <c r="P1787" s="516"/>
      <c r="Q1787" s="516"/>
      <c r="R1787" s="516"/>
      <c r="S1787" s="516"/>
      <c r="T1787" s="437">
        <f>$AA$9</f>
        <v>0</v>
      </c>
      <c r="U1787" s="517">
        <f>+ROUND(U1781*T1787,$AA$5)</f>
        <v>0</v>
      </c>
      <c r="V1787" s="518"/>
      <c r="Y1787" s="390"/>
      <c r="Z1787" s="438">
        <f>+Z1786*T1787</f>
        <v>0</v>
      </c>
      <c r="AA1787" s="86"/>
      <c r="AB1787" s="94"/>
      <c r="AC1787" s="94"/>
      <c r="AD1787" s="94"/>
      <c r="AE1787" s="386" t="s">
        <v>133</v>
      </c>
    </row>
    <row r="1788" spans="3:31" s="260" customFormat="1" ht="15.75" thickBot="1" x14ac:dyDescent="0.3">
      <c r="M1788" s="519" t="s">
        <v>349</v>
      </c>
      <c r="N1788" s="520"/>
      <c r="O1788" s="520"/>
      <c r="P1788" s="520"/>
      <c r="Q1788" s="520"/>
      <c r="R1788" s="520"/>
      <c r="S1788" s="520"/>
      <c r="T1788" s="520"/>
      <c r="U1788" s="521">
        <f>+SUM(U1784:V1787)</f>
        <v>26430.92</v>
      </c>
      <c r="V1788" s="522"/>
      <c r="Y1788" s="390"/>
      <c r="Z1788" s="439">
        <f>+SUM(Z1784:Z1787)</f>
        <v>317171.0465</v>
      </c>
      <c r="AA1788" s="86"/>
      <c r="AB1788" s="94"/>
      <c r="AC1788" s="94"/>
      <c r="AD1788" s="94"/>
      <c r="AE1788" s="386" t="s">
        <v>133</v>
      </c>
    </row>
    <row r="1789" spans="3:31" s="260" customFormat="1" ht="15.75" thickBot="1" x14ac:dyDescent="0.3">
      <c r="D1789" s="375" t="s">
        <v>128</v>
      </c>
      <c r="E1789" s="376" t="s">
        <v>129</v>
      </c>
      <c r="F1789" s="376" t="s">
        <v>130</v>
      </c>
      <c r="G1789" s="376" t="s">
        <v>131</v>
      </c>
      <c r="H1789" s="376" t="s">
        <v>132</v>
      </c>
      <c r="I1789" s="376" t="s">
        <v>133</v>
      </c>
      <c r="J1789" s="377" t="s">
        <v>134</v>
      </c>
      <c r="M1789" s="86"/>
      <c r="N1789" s="94"/>
      <c r="O1789" s="94"/>
      <c r="P1789" s="94"/>
      <c r="Q1789" s="86"/>
      <c r="R1789" s="86"/>
      <c r="S1789" s="86"/>
      <c r="T1789" s="440"/>
      <c r="U1789" s="523"/>
      <c r="V1789" s="523"/>
      <c r="Y1789" s="390"/>
      <c r="Z1789" s="385"/>
      <c r="AA1789" s="86"/>
      <c r="AB1789" s="94"/>
      <c r="AC1789" s="94"/>
      <c r="AD1789" s="94"/>
      <c r="AE1789" s="386" t="s">
        <v>133</v>
      </c>
    </row>
    <row r="1790" spans="3:31" s="260" customFormat="1" ht="15.75" thickBot="1" x14ac:dyDescent="0.3">
      <c r="D1790" s="355"/>
      <c r="E1790" s="367"/>
      <c r="F1790" s="367"/>
      <c r="G1790" s="367"/>
      <c r="H1790" s="412"/>
      <c r="I1790" s="412">
        <f>H1781</f>
        <v>2.2599999999999998</v>
      </c>
      <c r="J1790" s="422"/>
      <c r="M1790" s="524" t="s">
        <v>11</v>
      </c>
      <c r="N1790" s="525"/>
      <c r="O1790" s="525"/>
      <c r="P1790" s="525"/>
      <c r="Q1790" s="525"/>
      <c r="R1790" s="525"/>
      <c r="S1790" s="525"/>
      <c r="T1790" s="526"/>
      <c r="U1790" s="527">
        <f>+U1788+U1781</f>
        <v>555049.33000000007</v>
      </c>
      <c r="V1790" s="528"/>
      <c r="Y1790" s="429"/>
      <c r="Z1790" s="441">
        <f>+Z1788+Z1781</f>
        <v>6660591.9764999999</v>
      </c>
      <c r="AA1790" s="86"/>
      <c r="AB1790" s="94"/>
      <c r="AC1790" s="94"/>
      <c r="AD1790" s="94"/>
      <c r="AE1790" s="405" t="s">
        <v>133</v>
      </c>
    </row>
    <row r="1791" spans="3:31" s="260" customFormat="1" x14ac:dyDescent="0.25"/>
    <row r="1792" spans="3:31" s="260" customFormat="1" ht="15.75" thickBot="1" x14ac:dyDescent="0.3"/>
    <row r="1793" spans="3:31" s="260" customFormat="1" ht="15.75" thickBot="1" x14ac:dyDescent="0.3">
      <c r="M1793" s="363" t="s">
        <v>88</v>
      </c>
      <c r="N1793" s="436" t="str">
        <f>+N1744</f>
        <v>CAP.2</v>
      </c>
      <c r="O1793" s="550" t="str">
        <f>IFERROR(VLOOKUP(N1793,PPTO!C:H,2,0),"----")</f>
        <v>RED HIDRAULICA</v>
      </c>
      <c r="P1793" s="551"/>
      <c r="Q1793" s="551"/>
      <c r="R1793" s="551"/>
      <c r="S1793" s="551"/>
      <c r="T1793" s="551"/>
      <c r="U1793" s="552"/>
      <c r="V1793" s="74" t="s">
        <v>91</v>
      </c>
      <c r="Y1793" s="365" t="s">
        <v>104</v>
      </c>
      <c r="Z1793" s="94"/>
      <c r="AA1793" s="188"/>
      <c r="AB1793" s="553"/>
      <c r="AC1793" s="553"/>
      <c r="AD1793" s="553"/>
      <c r="AE1793" s="94"/>
    </row>
    <row r="1794" spans="3:31" s="260" customFormat="1" ht="15.75" thickBot="1" x14ac:dyDescent="0.3">
      <c r="C1794" s="369">
        <f>+N1794</f>
        <v>2.27</v>
      </c>
      <c r="D1794" s="86"/>
      <c r="E1794" s="86"/>
      <c r="F1794" s="86"/>
      <c r="G1794" s="86"/>
      <c r="H1794" s="86"/>
      <c r="I1794" s="86"/>
      <c r="J1794" s="86"/>
      <c r="K1794" s="370"/>
      <c r="M1794" s="75" t="s">
        <v>92</v>
      </c>
      <c r="N1794" s="371">
        <f>+ROUNDUP(N1745+0.01,2)</f>
        <v>2.27</v>
      </c>
      <c r="O1794" s="554" t="str">
        <f>IFERROR(VLOOKUP(N1794,PPTO!C:H,2,0),"----")</f>
        <v>VRP Ø1_1/4"</v>
      </c>
      <c r="P1794" s="555"/>
      <c r="Q1794" s="555"/>
      <c r="R1794" s="555"/>
      <c r="S1794" s="555"/>
      <c r="T1794" s="555"/>
      <c r="U1794" s="556"/>
      <c r="V1794" s="76" t="str">
        <f>IFERROR(VLOOKUP(N1794,PPTO!C:H,3,0),"----")</f>
        <v>UND</v>
      </c>
      <c r="Y1794" s="373">
        <f>SUMIFS(PPTO!F:F,PPTO!C:C,APUS!N1794)</f>
        <v>7</v>
      </c>
      <c r="Z1794" s="94"/>
      <c r="AA1794" s="86"/>
      <c r="AB1794" s="94"/>
      <c r="AC1794" s="94"/>
      <c r="AD1794" s="94"/>
      <c r="AE1794" s="94"/>
    </row>
    <row r="1795" spans="3:31" s="260" customFormat="1" ht="15.75" thickBot="1" x14ac:dyDescent="0.3">
      <c r="C1795" s="84"/>
      <c r="D1795" s="86"/>
      <c r="E1795" s="86"/>
      <c r="F1795" s="86"/>
      <c r="G1795" s="86"/>
      <c r="H1795" s="86"/>
      <c r="I1795" s="86"/>
      <c r="J1795" s="86"/>
      <c r="K1795" s="88"/>
      <c r="M1795" s="557"/>
      <c r="N1795" s="557"/>
      <c r="O1795" s="557"/>
      <c r="P1795" s="557"/>
      <c r="Q1795" s="557"/>
      <c r="R1795" s="557"/>
      <c r="S1795" s="557"/>
      <c r="T1795" s="557"/>
      <c r="U1795" s="557"/>
      <c r="V1795" s="557"/>
      <c r="Y1795" s="374"/>
      <c r="Z1795" s="94"/>
      <c r="AA1795" s="86"/>
      <c r="AB1795" s="94"/>
      <c r="AC1795" s="94"/>
      <c r="AD1795" s="94"/>
      <c r="AE1795" s="94"/>
    </row>
    <row r="1796" spans="3:31" s="260" customFormat="1" ht="15.75" thickBot="1" x14ac:dyDescent="0.3">
      <c r="C1796" s="84"/>
      <c r="D1796" s="375" t="s">
        <v>128</v>
      </c>
      <c r="E1796" s="376" t="s">
        <v>129</v>
      </c>
      <c r="F1796" s="376" t="s">
        <v>130</v>
      </c>
      <c r="G1796" s="376" t="s">
        <v>131</v>
      </c>
      <c r="H1796" s="376" t="s">
        <v>132</v>
      </c>
      <c r="I1796" s="376" t="s">
        <v>133</v>
      </c>
      <c r="J1796" s="377" t="s">
        <v>134</v>
      </c>
      <c r="K1796" s="88"/>
      <c r="M1796" s="558" t="s">
        <v>93</v>
      </c>
      <c r="N1796" s="559"/>
      <c r="O1796" s="559"/>
      <c r="P1796" s="559"/>
      <c r="Q1796" s="559"/>
      <c r="R1796" s="559"/>
      <c r="S1796" s="559"/>
      <c r="T1796" s="559"/>
      <c r="U1796" s="559"/>
      <c r="V1796" s="560"/>
      <c r="Y1796" s="378"/>
      <c r="Z1796" s="121"/>
      <c r="AA1796" s="86"/>
      <c r="AB1796" s="513"/>
      <c r="AC1796" s="514"/>
      <c r="AD1796" s="94"/>
      <c r="AE1796" s="379"/>
    </row>
    <row r="1797" spans="3:31" s="260" customFormat="1" x14ac:dyDescent="0.25">
      <c r="C1797" s="84"/>
      <c r="D1797" s="380"/>
      <c r="E1797" s="381"/>
      <c r="F1797" s="381"/>
      <c r="G1797" s="381"/>
      <c r="H1797" s="381"/>
      <c r="I1797" s="381"/>
      <c r="J1797" s="382"/>
      <c r="K1797" s="88"/>
      <c r="M1797" s="99" t="s">
        <v>94</v>
      </c>
      <c r="N1797" s="561" t="s">
        <v>95</v>
      </c>
      <c r="O1797" s="561"/>
      <c r="P1797" s="561"/>
      <c r="Q1797" s="561"/>
      <c r="R1797" s="95" t="s">
        <v>96</v>
      </c>
      <c r="S1797" s="95" t="s">
        <v>97</v>
      </c>
      <c r="T1797" s="562" t="s">
        <v>8</v>
      </c>
      <c r="U1797" s="562"/>
      <c r="V1797" s="100" t="s">
        <v>98</v>
      </c>
      <c r="Y1797" s="383" t="s">
        <v>104</v>
      </c>
      <c r="Z1797" s="119" t="s">
        <v>9</v>
      </c>
      <c r="AA1797" s="86"/>
      <c r="AB1797" s="384"/>
      <c r="AC1797" s="385"/>
      <c r="AD1797" s="94"/>
      <c r="AE1797" s="386"/>
    </row>
    <row r="1798" spans="3:31" s="260" customFormat="1" x14ac:dyDescent="0.25">
      <c r="C1798" s="84"/>
      <c r="D1798" s="85"/>
      <c r="E1798" s="86"/>
      <c r="F1798" s="86"/>
      <c r="G1798" s="86"/>
      <c r="H1798" s="86"/>
      <c r="I1798" s="86"/>
      <c r="J1798" s="87"/>
      <c r="K1798" s="88"/>
      <c r="M1798" s="102"/>
      <c r="N1798" s="533" t="s">
        <v>99</v>
      </c>
      <c r="O1798" s="533"/>
      <c r="P1798" s="533"/>
      <c r="Q1798" s="533"/>
      <c r="R1798" s="78" t="s">
        <v>100</v>
      </c>
      <c r="S1798" s="387">
        <f>+$AA$10</f>
        <v>0.05</v>
      </c>
      <c r="T1798" s="563">
        <f>V1828</f>
        <v>8368.4500000000007</v>
      </c>
      <c r="U1798" s="563"/>
      <c r="V1798" s="389">
        <f>+IFERROR(T1798*S1798,0)</f>
        <v>418.42250000000007</v>
      </c>
      <c r="Y1798" s="390"/>
      <c r="Z1798" s="391">
        <f>Y1794*V1798</f>
        <v>2928.9575000000004</v>
      </c>
      <c r="AA1798" s="86"/>
      <c r="AB1798" s="384"/>
      <c r="AC1798" s="385"/>
      <c r="AD1798" s="94"/>
      <c r="AE1798" s="386" t="str">
        <f>+IF(V1798=0,"CERO","NO")</f>
        <v>NO</v>
      </c>
    </row>
    <row r="1799" spans="3:31" s="260" customFormat="1" x14ac:dyDescent="0.25">
      <c r="C1799" s="84"/>
      <c r="D1799" s="85"/>
      <c r="E1799" s="86"/>
      <c r="F1799" s="86"/>
      <c r="G1799" s="86"/>
      <c r="H1799" s="86"/>
      <c r="I1799" s="86"/>
      <c r="J1799" s="87"/>
      <c r="K1799" s="88"/>
      <c r="M1799" s="106"/>
      <c r="N1799" s="533" t="str">
        <f>IFERROR(VLOOKUP(M1799,INSUMOS!$C$8:$K$928,2,0),"-----")</f>
        <v>-----</v>
      </c>
      <c r="O1799" s="533"/>
      <c r="P1799" s="533"/>
      <c r="Q1799" s="533"/>
      <c r="R1799" s="78" t="str">
        <f>IFERROR(VLOOKUP(M1799,INSUMOS!$C$8:$K$928,6,0),"-----")</f>
        <v>-----</v>
      </c>
      <c r="S1799" s="392"/>
      <c r="T1799" s="529" t="str">
        <f>IFERROR(VLOOKUP(M1799,INSUMOS!$C$8:$K$928,7,0),"0")</f>
        <v>0</v>
      </c>
      <c r="U1799" s="529"/>
      <c r="V1799" s="389">
        <f>+IFERROR(T1799*S1799,0)</f>
        <v>0</v>
      </c>
      <c r="Y1799" s="393">
        <f>+IFERROR(Y1794*S1799,0)</f>
        <v>0</v>
      </c>
      <c r="Z1799" s="391">
        <f>Y1794*V1799</f>
        <v>0</v>
      </c>
      <c r="AA1799" s="394"/>
      <c r="AB1799" s="395">
        <f>+Y1799*T1799</f>
        <v>0</v>
      </c>
      <c r="AC1799" s="93">
        <f>+AB1799-Z1799</f>
        <v>0</v>
      </c>
      <c r="AD1799" s="94"/>
      <c r="AE1799" s="386" t="str">
        <f>+IF(V1799=0,"CERO","NO")</f>
        <v>CERO</v>
      </c>
    </row>
    <row r="1800" spans="3:31" s="260" customFormat="1" x14ac:dyDescent="0.25">
      <c r="C1800" s="84"/>
      <c r="D1800" s="85"/>
      <c r="E1800" s="86"/>
      <c r="F1800" s="86"/>
      <c r="G1800" s="86"/>
      <c r="H1800" s="86"/>
      <c r="I1800" s="86"/>
      <c r="J1800" s="87"/>
      <c r="K1800" s="88"/>
      <c r="M1800" s="102">
        <v>0</v>
      </c>
      <c r="N1800" s="533"/>
      <c r="O1800" s="533"/>
      <c r="P1800" s="533"/>
      <c r="Q1800" s="533"/>
      <c r="R1800" s="78"/>
      <c r="S1800" s="396"/>
      <c r="T1800" s="529"/>
      <c r="U1800" s="529"/>
      <c r="V1800" s="397"/>
      <c r="Y1800" s="393">
        <f>+IFERROR(Y1794*S1800,0)</f>
        <v>0</v>
      </c>
      <c r="Z1800" s="391">
        <f>Y1794*V1800</f>
        <v>0</v>
      </c>
      <c r="AA1800" s="394"/>
      <c r="AB1800" s="395">
        <f>+Y1800*T1800</f>
        <v>0</v>
      </c>
      <c r="AC1800" s="93">
        <f>+AB1800-Z1800</f>
        <v>0</v>
      </c>
      <c r="AD1800" s="94"/>
      <c r="AE1800" s="386" t="str">
        <f>+IF(V1800=0,"CERO","NO")</f>
        <v>CERO</v>
      </c>
    </row>
    <row r="1801" spans="3:31" s="260" customFormat="1" x14ac:dyDescent="0.25">
      <c r="C1801" s="84"/>
      <c r="D1801" s="85"/>
      <c r="E1801" s="86"/>
      <c r="F1801" s="86"/>
      <c r="G1801" s="86"/>
      <c r="H1801" s="86"/>
      <c r="I1801" s="86"/>
      <c r="J1801" s="87"/>
      <c r="K1801" s="88"/>
      <c r="M1801" s="102">
        <v>0</v>
      </c>
      <c r="N1801" s="533"/>
      <c r="O1801" s="533"/>
      <c r="P1801" s="533"/>
      <c r="Q1801" s="533"/>
      <c r="R1801" s="78"/>
      <c r="S1801" s="396"/>
      <c r="T1801" s="529"/>
      <c r="U1801" s="529"/>
      <c r="V1801" s="397"/>
      <c r="Y1801" s="393">
        <f>+IFERROR(Y1794*S1801,0)</f>
        <v>0</v>
      </c>
      <c r="Z1801" s="391">
        <f>Y1794*V1801</f>
        <v>0</v>
      </c>
      <c r="AA1801" s="394"/>
      <c r="AB1801" s="395">
        <f>+Y1801*T1801</f>
        <v>0</v>
      </c>
      <c r="AC1801" s="93">
        <f>+AB1801-Z1801</f>
        <v>0</v>
      </c>
      <c r="AD1801" s="94"/>
      <c r="AE1801" s="386" t="str">
        <f>+IF(V1801=0,"CERO","NO")</f>
        <v>CERO</v>
      </c>
    </row>
    <row r="1802" spans="3:31" s="260" customFormat="1" ht="15.75" thickBot="1" x14ac:dyDescent="0.3">
      <c r="C1802" s="84"/>
      <c r="D1802" s="85"/>
      <c r="E1802" s="86"/>
      <c r="F1802" s="86"/>
      <c r="G1802" s="86"/>
      <c r="H1802" s="86"/>
      <c r="I1802" s="86"/>
      <c r="J1802" s="87"/>
      <c r="K1802" s="88"/>
      <c r="M1802" s="102">
        <v>0</v>
      </c>
      <c r="N1802" s="564"/>
      <c r="O1802" s="564"/>
      <c r="P1802" s="564"/>
      <c r="Q1802" s="564"/>
      <c r="R1802" s="96"/>
      <c r="S1802" s="96"/>
      <c r="T1802" s="565"/>
      <c r="U1802" s="565"/>
      <c r="V1802" s="101"/>
      <c r="Y1802" s="393">
        <f>+IFERROR(Y1794*S1802,0)</f>
        <v>0</v>
      </c>
      <c r="Z1802" s="391">
        <f>Y1794*V1802</f>
        <v>0</v>
      </c>
      <c r="AA1802" s="394"/>
      <c r="AB1802" s="395">
        <f>+Y1802*T1802</f>
        <v>0</v>
      </c>
      <c r="AC1802" s="93">
        <f>+AB1802-Z1802</f>
        <v>0</v>
      </c>
      <c r="AD1802" s="94"/>
      <c r="AE1802" s="386" t="str">
        <f>+IF(V1802=0,"CERO","NO")</f>
        <v>CERO</v>
      </c>
    </row>
    <row r="1803" spans="3:31" s="260" customFormat="1" ht="15.75" thickBot="1" x14ac:dyDescent="0.3">
      <c r="C1803" s="84"/>
      <c r="D1803" s="375" t="s">
        <v>128</v>
      </c>
      <c r="E1803" s="376" t="s">
        <v>129</v>
      </c>
      <c r="F1803" s="376" t="s">
        <v>130</v>
      </c>
      <c r="G1803" s="376" t="s">
        <v>131</v>
      </c>
      <c r="H1803" s="376" t="s">
        <v>132</v>
      </c>
      <c r="I1803" s="376" t="s">
        <v>133</v>
      </c>
      <c r="J1803" s="377" t="s">
        <v>134</v>
      </c>
      <c r="K1803" s="88"/>
      <c r="M1803" s="534"/>
      <c r="N1803" s="536" t="s">
        <v>101</v>
      </c>
      <c r="O1803" s="536"/>
      <c r="P1803" s="536"/>
      <c r="Q1803" s="536"/>
      <c r="R1803" s="536"/>
      <c r="S1803" s="536"/>
      <c r="T1803" s="536"/>
      <c r="U1803" s="536"/>
      <c r="V1803" s="389">
        <f>+SUM(V1798:V1802)</f>
        <v>418.42250000000007</v>
      </c>
      <c r="Y1803" s="398" t="s">
        <v>135</v>
      </c>
      <c r="Z1803" s="397">
        <f>+SUM(Z1798:Z1802)</f>
        <v>2928.9575000000004</v>
      </c>
      <c r="AA1803" s="86"/>
      <c r="AB1803" s="384"/>
      <c r="AC1803" s="385"/>
      <c r="AD1803" s="94"/>
      <c r="AE1803" s="399"/>
    </row>
    <row r="1804" spans="3:31" s="260" customFormat="1" ht="15.75" thickBot="1" x14ac:dyDescent="0.3">
      <c r="C1804" s="84"/>
      <c r="D1804" s="375">
        <f>C1794</f>
        <v>2.27</v>
      </c>
      <c r="E1804" s="376"/>
      <c r="F1804" s="376"/>
      <c r="G1804" s="376"/>
      <c r="H1804" s="376"/>
      <c r="I1804" s="376"/>
      <c r="J1804" s="377"/>
      <c r="K1804" s="88"/>
      <c r="M1804" s="566"/>
      <c r="N1804" s="567" t="s">
        <v>102</v>
      </c>
      <c r="O1804" s="567"/>
      <c r="P1804" s="567"/>
      <c r="Q1804" s="567"/>
      <c r="R1804" s="567"/>
      <c r="S1804" s="567"/>
      <c r="T1804" s="567"/>
      <c r="U1804" s="567"/>
      <c r="V1804" s="400">
        <f>+ROUND(V1803,$AA$5)</f>
        <v>418.42</v>
      </c>
      <c r="Y1804" s="401" t="s">
        <v>136</v>
      </c>
      <c r="Z1804" s="402">
        <f>+ROUND(Z1803,$AA$5)</f>
        <v>2928.96</v>
      </c>
      <c r="AA1804" s="86"/>
      <c r="AB1804" s="403">
        <f>+V1804*Y1794</f>
        <v>2928.94</v>
      </c>
      <c r="AC1804" s="404">
        <f>+AB1804-Z1804</f>
        <v>-1.999999999998181E-2</v>
      </c>
      <c r="AD1804" s="94"/>
      <c r="AE1804" s="405"/>
    </row>
    <row r="1805" spans="3:31" s="260" customFormat="1" x14ac:dyDescent="0.25">
      <c r="C1805" s="84"/>
      <c r="D1805" s="380"/>
      <c r="E1805" s="381"/>
      <c r="F1805" s="381"/>
      <c r="G1805" s="381"/>
      <c r="H1805" s="381"/>
      <c r="I1805" s="381"/>
      <c r="J1805" s="382"/>
      <c r="K1805" s="88"/>
      <c r="M1805" s="510" t="s">
        <v>103</v>
      </c>
      <c r="N1805" s="511"/>
      <c r="O1805" s="511"/>
      <c r="P1805" s="511"/>
      <c r="Q1805" s="511"/>
      <c r="R1805" s="511"/>
      <c r="S1805" s="511"/>
      <c r="T1805" s="511"/>
      <c r="U1805" s="511"/>
      <c r="V1805" s="512"/>
      <c r="Y1805" s="378"/>
      <c r="Z1805" s="121"/>
      <c r="AA1805" s="86"/>
      <c r="AB1805" s="513"/>
      <c r="AC1805" s="514"/>
      <c r="AD1805" s="94"/>
      <c r="AE1805" s="126"/>
    </row>
    <row r="1806" spans="3:31" s="260" customFormat="1" x14ac:dyDescent="0.25">
      <c r="C1806" s="84"/>
      <c r="D1806" s="85"/>
      <c r="E1806" s="86"/>
      <c r="F1806" s="86"/>
      <c r="G1806" s="86"/>
      <c r="H1806" s="86"/>
      <c r="I1806" s="86"/>
      <c r="J1806" s="87"/>
      <c r="K1806" s="88"/>
      <c r="M1806" s="99" t="s">
        <v>94</v>
      </c>
      <c r="N1806" s="561" t="s">
        <v>95</v>
      </c>
      <c r="O1806" s="561"/>
      <c r="P1806" s="561"/>
      <c r="Q1806" s="561"/>
      <c r="R1806" s="95" t="s">
        <v>96</v>
      </c>
      <c r="S1806" s="95" t="s">
        <v>104</v>
      </c>
      <c r="T1806" s="356" t="s">
        <v>105</v>
      </c>
      <c r="U1806" s="356" t="s">
        <v>8</v>
      </c>
      <c r="V1806" s="100" t="s">
        <v>98</v>
      </c>
      <c r="Y1806" s="383" t="s">
        <v>104</v>
      </c>
      <c r="Z1806" s="119" t="s">
        <v>9</v>
      </c>
      <c r="AA1806" s="86"/>
      <c r="AB1806" s="384"/>
      <c r="AC1806" s="385"/>
      <c r="AD1806" s="94"/>
      <c r="AE1806" s="406"/>
    </row>
    <row r="1807" spans="3:31" s="260" customFormat="1" x14ac:dyDescent="0.25">
      <c r="C1807" s="84"/>
      <c r="D1807" s="85"/>
      <c r="E1807" s="86"/>
      <c r="F1807" s="86"/>
      <c r="G1807" s="86"/>
      <c r="H1807" s="86"/>
      <c r="I1807" s="86"/>
      <c r="J1807" s="87"/>
      <c r="K1807" s="88"/>
      <c r="M1807" s="102">
        <v>827</v>
      </c>
      <c r="N1807" s="533" t="str">
        <f>IFERROR(VLOOKUP(M1807,INSUMOS!$C$8:$K$928,2,0),"-----")</f>
        <v>VRP Ø1_1/4"</v>
      </c>
      <c r="O1807" s="533"/>
      <c r="P1807" s="533"/>
      <c r="Q1807" s="533"/>
      <c r="R1807" s="78" t="str">
        <f>IFERROR(VLOOKUP(M1807,INSUMOS!$C$8:$K$928,6,0),"-----")</f>
        <v>und</v>
      </c>
      <c r="S1807" s="396">
        <v>1</v>
      </c>
      <c r="T1807" s="387">
        <v>0</v>
      </c>
      <c r="U1807" s="388">
        <f>IFERROR(VLOOKUP(M1807,INSUMOS!$C$8:$K$928,7,0),"0")</f>
        <v>756497</v>
      </c>
      <c r="V1807" s="389">
        <f>+IFERROR(U1807*(S1807*(1+T1807)),0)</f>
        <v>756497</v>
      </c>
      <c r="Y1807" s="393">
        <f>+IFERROR(Y1794*(S1807*(1+T1807)),0)</f>
        <v>7</v>
      </c>
      <c r="Z1807" s="391">
        <f>Y1794*V1807</f>
        <v>5295479</v>
      </c>
      <c r="AA1807" s="394"/>
      <c r="AB1807" s="395">
        <f>+Y1807*U1807</f>
        <v>5295479</v>
      </c>
      <c r="AC1807" s="93">
        <f>+AB1807-Z1807</f>
        <v>0</v>
      </c>
      <c r="AD1807" s="94"/>
      <c r="AE1807" s="406" t="str">
        <f>+IF(V1807=0,"CERO","NO")</f>
        <v>NO</v>
      </c>
    </row>
    <row r="1808" spans="3:31" s="260" customFormat="1" x14ac:dyDescent="0.25">
      <c r="C1808" s="84"/>
      <c r="D1808" s="85"/>
      <c r="E1808" s="86"/>
      <c r="F1808" s="86"/>
      <c r="G1808" s="86"/>
      <c r="H1808" s="86"/>
      <c r="I1808" s="86"/>
      <c r="J1808" s="87"/>
      <c r="K1808" s="88"/>
      <c r="M1808" s="102">
        <v>699</v>
      </c>
      <c r="N1808" s="533" t="str">
        <f>IFERROR(VLOOKUP(M1808,INSUMOS!$C$8:$K$928,2,0),"-----")</f>
        <v>SOLDADURA PVC LIQUIDA 1/4"</v>
      </c>
      <c r="O1808" s="533"/>
      <c r="P1808" s="533"/>
      <c r="Q1808" s="533"/>
      <c r="R1808" s="78" t="str">
        <f>IFERROR(VLOOKUP(M1808,INSUMOS!$C$8:$K$928,6,0),"-----")</f>
        <v>und</v>
      </c>
      <c r="S1808" s="396">
        <v>0.01</v>
      </c>
      <c r="T1808" s="387">
        <v>0.02</v>
      </c>
      <c r="U1808" s="388">
        <f>IFERROR(VLOOKUP(M1808,INSUMOS!$C$8:$K$928,7,0),"0")</f>
        <v>146569</v>
      </c>
      <c r="V1808" s="389">
        <f>+IFERROR(U1808*(S1808*(1+T1808)),0)</f>
        <v>1495.0038000000002</v>
      </c>
      <c r="Y1808" s="393">
        <f>+IFERROR(Y1794*(S1808*(1+T1808)),0)</f>
        <v>7.1400000000000005E-2</v>
      </c>
      <c r="Z1808" s="391">
        <f>Y1794*V1808</f>
        <v>10465.026600000001</v>
      </c>
      <c r="AA1808" s="394"/>
      <c r="AB1808" s="395">
        <f>+Y1808*U1808</f>
        <v>10465.026600000001</v>
      </c>
      <c r="AC1808" s="93">
        <f>+AB1808-Z1808</f>
        <v>0</v>
      </c>
      <c r="AD1808" s="94"/>
      <c r="AE1808" s="406" t="str">
        <f>+IF(V1808=0,"CERO","NO")</f>
        <v>NO</v>
      </c>
    </row>
    <row r="1809" spans="3:31" s="260" customFormat="1" x14ac:dyDescent="0.25">
      <c r="C1809" s="84"/>
      <c r="D1809" s="85"/>
      <c r="E1809" s="86"/>
      <c r="F1809" s="86"/>
      <c r="G1809" s="86"/>
      <c r="H1809" s="86"/>
      <c r="I1809" s="86"/>
      <c r="J1809" s="87"/>
      <c r="K1809" s="88"/>
      <c r="M1809" s="102">
        <v>700</v>
      </c>
      <c r="N1809" s="533" t="str">
        <f>IFERROR(VLOOKUP(M1809,INSUMOS!$C$8:$K$928,2,0),"-----")</f>
        <v>LIMPIADOR PVC 1/4</v>
      </c>
      <c r="O1809" s="533"/>
      <c r="P1809" s="533"/>
      <c r="Q1809" s="533"/>
      <c r="R1809" s="78" t="str">
        <f>IFERROR(VLOOKUP(M1809,INSUMOS!$C$8:$K$928,6,0),"-----")</f>
        <v>und</v>
      </c>
      <c r="S1809" s="396">
        <v>0.01</v>
      </c>
      <c r="T1809" s="387">
        <v>0.02</v>
      </c>
      <c r="U1809" s="388">
        <f>IFERROR(VLOOKUP(M1809,INSUMOS!$C$8:$K$928,7,0),"0")</f>
        <v>65913</v>
      </c>
      <c r="V1809" s="389">
        <f>+IFERROR(U1809*(S1809*(1+T1809)),0)</f>
        <v>672.31260000000009</v>
      </c>
      <c r="Y1809" s="393">
        <f>+IFERROR(Y1794*(S1809*(1+T1809)),0)</f>
        <v>7.1400000000000005E-2</v>
      </c>
      <c r="Z1809" s="391">
        <f>Y1794*V1809</f>
        <v>4706.1882000000005</v>
      </c>
      <c r="AA1809" s="394"/>
      <c r="AB1809" s="395">
        <f>+Y1809*U1809</f>
        <v>4706.1882000000005</v>
      </c>
      <c r="AC1809" s="93">
        <f>+AB1809-Z1809</f>
        <v>0</v>
      </c>
      <c r="AD1809" s="94"/>
      <c r="AE1809" s="406" t="str">
        <f>+IF(V1809=0,"CERO","NO")</f>
        <v>NO</v>
      </c>
    </row>
    <row r="1810" spans="3:31" s="260" customFormat="1" x14ac:dyDescent="0.25">
      <c r="C1810" s="84"/>
      <c r="D1810" s="85"/>
      <c r="E1810" s="86"/>
      <c r="F1810" s="86"/>
      <c r="G1810" s="86"/>
      <c r="H1810" s="86"/>
      <c r="I1810" s="86"/>
      <c r="J1810" s="87"/>
      <c r="K1810" s="88"/>
      <c r="M1810" s="102">
        <v>0</v>
      </c>
      <c r="N1810" s="533" t="str">
        <f>IFERROR(VLOOKUP(M1810,INSUMOS!$C$8:$K$928,2,0),"-----")</f>
        <v>-----</v>
      </c>
      <c r="O1810" s="533"/>
      <c r="P1810" s="533"/>
      <c r="Q1810" s="533"/>
      <c r="R1810" s="78" t="str">
        <f>IFERROR(VLOOKUP(M1810,INSUMOS!$C$8:$K$928,6,0),"-----")</f>
        <v>-----</v>
      </c>
      <c r="S1810" s="396"/>
      <c r="T1810" s="387"/>
      <c r="U1810" s="388" t="str">
        <f>IFERROR(VLOOKUP(M1810,INSUMOS!$C$8:$K$928,7,0),"0")</f>
        <v>0</v>
      </c>
      <c r="V1810" s="389">
        <f>+IFERROR(U1810*(S1810*(1+T1810)),0)</f>
        <v>0</v>
      </c>
      <c r="Y1810" s="393">
        <f>+IFERROR(Y1794*(S1810*(1+T1810)),0)</f>
        <v>0</v>
      </c>
      <c r="Z1810" s="391">
        <f>Y1794*V1810</f>
        <v>0</v>
      </c>
      <c r="AA1810" s="394"/>
      <c r="AB1810" s="395">
        <f>+Y1810*U1810</f>
        <v>0</v>
      </c>
      <c r="AC1810" s="93">
        <f>+AB1810-Z1810</f>
        <v>0</v>
      </c>
      <c r="AD1810" s="94"/>
      <c r="AE1810" s="406" t="str">
        <f>+IF(V1810=0,"CERO","NO")</f>
        <v>CERO</v>
      </c>
    </row>
    <row r="1811" spans="3:31" s="260" customFormat="1" ht="15.75" thickBot="1" x14ac:dyDescent="0.3">
      <c r="C1811" s="84"/>
      <c r="D1811" s="85"/>
      <c r="E1811" s="86"/>
      <c r="F1811" s="86"/>
      <c r="G1811" s="86"/>
      <c r="H1811" s="86"/>
      <c r="I1811" s="86"/>
      <c r="J1811" s="87"/>
      <c r="K1811" s="88"/>
      <c r="M1811" s="102">
        <v>0</v>
      </c>
      <c r="N1811" s="564"/>
      <c r="O1811" s="564"/>
      <c r="P1811" s="564"/>
      <c r="Q1811" s="564"/>
      <c r="R1811" s="96"/>
      <c r="S1811" s="79"/>
      <c r="T1811" s="97"/>
      <c r="U1811" s="358"/>
      <c r="V1811" s="397"/>
      <c r="Y1811" s="393">
        <f>+IFERROR(Y1794*(S1811*(1+T1811)),0)</f>
        <v>0</v>
      </c>
      <c r="Z1811" s="391">
        <f>Y1794*V1811</f>
        <v>0</v>
      </c>
      <c r="AA1811" s="394"/>
      <c r="AB1811" s="395">
        <f>+Y1811*U1811</f>
        <v>0</v>
      </c>
      <c r="AC1811" s="93">
        <f>+AB1811-Z1811</f>
        <v>0</v>
      </c>
      <c r="AD1811" s="94"/>
      <c r="AE1811" s="406" t="str">
        <f>+IF(V1811=0,"CERO","NO")</f>
        <v>CERO</v>
      </c>
    </row>
    <row r="1812" spans="3:31" s="260" customFormat="1" ht="15.75" thickBot="1" x14ac:dyDescent="0.3">
      <c r="C1812" s="84"/>
      <c r="D1812" s="375" t="s">
        <v>128</v>
      </c>
      <c r="E1812" s="376" t="s">
        <v>129</v>
      </c>
      <c r="F1812" s="376" t="s">
        <v>130</v>
      </c>
      <c r="G1812" s="376" t="s">
        <v>131</v>
      </c>
      <c r="H1812" s="376" t="s">
        <v>132</v>
      </c>
      <c r="I1812" s="376" t="s">
        <v>133</v>
      </c>
      <c r="J1812" s="377" t="s">
        <v>134</v>
      </c>
      <c r="K1812" s="88"/>
      <c r="M1812" s="534"/>
      <c r="N1812" s="536" t="s">
        <v>106</v>
      </c>
      <c r="O1812" s="536"/>
      <c r="P1812" s="536"/>
      <c r="Q1812" s="536"/>
      <c r="R1812" s="536"/>
      <c r="S1812" s="536"/>
      <c r="T1812" s="536"/>
      <c r="U1812" s="536"/>
      <c r="V1812" s="389">
        <f>+SUM(V1807:V1811)</f>
        <v>758664.31639999989</v>
      </c>
      <c r="Y1812" s="398" t="s">
        <v>135</v>
      </c>
      <c r="Z1812" s="397">
        <f>+SUM(Z1807:Z1811)</f>
        <v>5310650.2148000002</v>
      </c>
      <c r="AA1812" s="86"/>
      <c r="AB1812" s="384"/>
      <c r="AC1812" s="385"/>
      <c r="AD1812" s="94"/>
      <c r="AE1812" s="399"/>
    </row>
    <row r="1813" spans="3:31" s="260" customFormat="1" ht="15.75" thickBot="1" x14ac:dyDescent="0.3">
      <c r="C1813" s="84"/>
      <c r="D1813" s="375"/>
      <c r="E1813" s="407">
        <f>+D1804</f>
        <v>2.27</v>
      </c>
      <c r="F1813" s="376"/>
      <c r="G1813" s="376"/>
      <c r="H1813" s="376"/>
      <c r="I1813" s="376"/>
      <c r="J1813" s="377"/>
      <c r="K1813" s="88"/>
      <c r="M1813" s="535"/>
      <c r="N1813" s="537" t="s">
        <v>107</v>
      </c>
      <c r="O1813" s="537"/>
      <c r="P1813" s="537"/>
      <c r="Q1813" s="537"/>
      <c r="R1813" s="537"/>
      <c r="S1813" s="537"/>
      <c r="T1813" s="537"/>
      <c r="U1813" s="537"/>
      <c r="V1813" s="408">
        <f>+ROUND(V1812,$AA$5)</f>
        <v>758664.32</v>
      </c>
      <c r="Y1813" s="401" t="s">
        <v>136</v>
      </c>
      <c r="Z1813" s="402">
        <f>+ROUND(Z1812,$AA$5)</f>
        <v>5310650.21</v>
      </c>
      <c r="AA1813" s="86"/>
      <c r="AB1813" s="403">
        <f>+V1813*Y1794</f>
        <v>5310650.2399999993</v>
      </c>
      <c r="AC1813" s="404">
        <f>+AB1813-Z1813</f>
        <v>2.9999999329447746E-2</v>
      </c>
      <c r="AD1813" s="94"/>
      <c r="AE1813" s="405"/>
    </row>
    <row r="1814" spans="3:31" s="260" customFormat="1" x14ac:dyDescent="0.25">
      <c r="C1814" s="84"/>
      <c r="D1814" s="380"/>
      <c r="E1814" s="381"/>
      <c r="F1814" s="381"/>
      <c r="G1814" s="381"/>
      <c r="H1814" s="381"/>
      <c r="I1814" s="381"/>
      <c r="J1814" s="382"/>
      <c r="K1814" s="88"/>
      <c r="M1814" s="568" t="s">
        <v>108</v>
      </c>
      <c r="N1814" s="569"/>
      <c r="O1814" s="569"/>
      <c r="P1814" s="569"/>
      <c r="Q1814" s="569"/>
      <c r="R1814" s="569"/>
      <c r="S1814" s="569"/>
      <c r="T1814" s="569"/>
      <c r="U1814" s="569"/>
      <c r="V1814" s="570"/>
      <c r="Y1814" s="378"/>
      <c r="Z1814" s="121"/>
      <c r="AA1814" s="86"/>
      <c r="AB1814" s="409"/>
      <c r="AC1814" s="121"/>
      <c r="AD1814" s="94"/>
      <c r="AE1814" s="126"/>
    </row>
    <row r="1815" spans="3:31" s="260" customFormat="1" ht="25.5" x14ac:dyDescent="0.25">
      <c r="C1815" s="84"/>
      <c r="D1815" s="85"/>
      <c r="E1815" s="86"/>
      <c r="F1815" s="86"/>
      <c r="G1815" s="86"/>
      <c r="H1815" s="86"/>
      <c r="I1815" s="86"/>
      <c r="J1815" s="87"/>
      <c r="K1815" s="88"/>
      <c r="M1815" s="99" t="s">
        <v>94</v>
      </c>
      <c r="N1815" s="561" t="s">
        <v>95</v>
      </c>
      <c r="O1815" s="561"/>
      <c r="P1815" s="561"/>
      <c r="Q1815" s="95" t="s">
        <v>109</v>
      </c>
      <c r="R1815" s="95" t="s">
        <v>110</v>
      </c>
      <c r="S1815" s="95" t="s">
        <v>111</v>
      </c>
      <c r="T1815" s="562" t="s">
        <v>112</v>
      </c>
      <c r="U1815" s="562"/>
      <c r="V1815" s="100" t="s">
        <v>98</v>
      </c>
      <c r="Y1815" s="383" t="s">
        <v>104</v>
      </c>
      <c r="Z1815" s="119" t="s">
        <v>9</v>
      </c>
      <c r="AA1815" s="86"/>
      <c r="AB1815" s="384"/>
      <c r="AC1815" s="385"/>
      <c r="AD1815" s="94"/>
      <c r="AE1815" s="410"/>
    </row>
    <row r="1816" spans="3:31" s="260" customFormat="1" x14ac:dyDescent="0.25">
      <c r="C1816" s="84"/>
      <c r="D1816" s="85"/>
      <c r="E1816" s="86"/>
      <c r="F1816" s="86"/>
      <c r="G1816" s="86"/>
      <c r="H1816" s="86"/>
      <c r="I1816" s="86"/>
      <c r="J1816" s="87"/>
      <c r="K1816" s="88"/>
      <c r="M1816" s="102">
        <v>129</v>
      </c>
      <c r="N1816" s="530" t="str">
        <f>IFERROR(VLOOKUP(M1816,INSUMOS!$C$8:$K$928,2,0),"-----")</f>
        <v>transporte materiales en general</v>
      </c>
      <c r="O1816" s="531"/>
      <c r="P1816" s="532"/>
      <c r="Q1816" s="78" t="str">
        <f>IFERROR(VLOOKUP(M1816,INSUMOS!$C$8:$K$928,5,0),"-----")</f>
        <v>Km</v>
      </c>
      <c r="R1816" s="80">
        <v>1</v>
      </c>
      <c r="S1816" s="80">
        <f>IFERROR(VLOOKUP(M1816,INSUMOS!$C$8:$K$928,6,0),"0")</f>
        <v>348</v>
      </c>
      <c r="T1816" s="529">
        <f>IFERROR(VLOOKUP(M1816,INSUMOS!$C$8:$K$928,7,0),"0")</f>
        <v>0.99776362060288992</v>
      </c>
      <c r="U1816" s="529"/>
      <c r="V1816" s="82">
        <f>+T1816*S1816*R1816</f>
        <v>347.2217399698057</v>
      </c>
      <c r="Y1816" s="393">
        <f>+IFERROR((R1816*S1816)*Y1794,0)</f>
        <v>2436</v>
      </c>
      <c r="Z1816" s="391">
        <f>Y1794*V1816</f>
        <v>2430.5521797886399</v>
      </c>
      <c r="AA1816" s="86"/>
      <c r="AB1816" s="92">
        <f>+Y1816*T1816</f>
        <v>2430.5521797886399</v>
      </c>
      <c r="AC1816" s="93">
        <f>+AB1816-Z1816</f>
        <v>0</v>
      </c>
      <c r="AD1816" s="94"/>
      <c r="AE1816" s="406" t="str">
        <f>+IF(V1816=0,"CERO","NO")</f>
        <v>NO</v>
      </c>
    </row>
    <row r="1817" spans="3:31" s="260" customFormat="1" x14ac:dyDescent="0.25">
      <c r="C1817" s="84"/>
      <c r="D1817" s="85"/>
      <c r="E1817" s="86"/>
      <c r="F1817" s="86"/>
      <c r="G1817" s="86"/>
      <c r="H1817" s="86"/>
      <c r="I1817" s="86"/>
      <c r="J1817" s="87"/>
      <c r="K1817" s="88"/>
      <c r="M1817" s="102">
        <v>0</v>
      </c>
      <c r="N1817" s="530" t="str">
        <f>IFERROR(VLOOKUP(M1817,INSUMOS!$C$8:$K$928,2,0),"-----")</f>
        <v>-----</v>
      </c>
      <c r="O1817" s="531"/>
      <c r="P1817" s="532"/>
      <c r="Q1817" s="78" t="str">
        <f>IFERROR(VLOOKUP(M1817,INSUMOS!$C$8:$K$928,5,0),"-----")</f>
        <v>-----</v>
      </c>
      <c r="R1817" s="80"/>
      <c r="S1817" s="80" t="str">
        <f>IFERROR(VLOOKUP(M1817,INSUMOS!$C$8:$K$928,6,0),"0")</f>
        <v>0</v>
      </c>
      <c r="T1817" s="529" t="str">
        <f>IFERROR(VLOOKUP(M1817,INSUMOS!$C$8:$K$928,7,0),"0")</f>
        <v>0</v>
      </c>
      <c r="U1817" s="529"/>
      <c r="V1817" s="82">
        <f>+T1817*S1817*R1817</f>
        <v>0</v>
      </c>
      <c r="Y1817" s="393">
        <f>+IFERROR((R1817*S1817)*Y1794,0)</f>
        <v>0</v>
      </c>
      <c r="Z1817" s="391">
        <f>Y1794*V1817</f>
        <v>0</v>
      </c>
      <c r="AA1817" s="86"/>
      <c r="AB1817" s="92">
        <f>+Y1817*T1817</f>
        <v>0</v>
      </c>
      <c r="AC1817" s="93">
        <f>+AB1817-Z1817</f>
        <v>0</v>
      </c>
      <c r="AD1817" s="94"/>
      <c r="AE1817" s="406" t="str">
        <f>+IF(V1817=0,"CERO","NO")</f>
        <v>CERO</v>
      </c>
    </row>
    <row r="1818" spans="3:31" s="260" customFormat="1" x14ac:dyDescent="0.25">
      <c r="C1818" s="84"/>
      <c r="D1818" s="85"/>
      <c r="E1818" s="86"/>
      <c r="F1818" s="86"/>
      <c r="G1818" s="86"/>
      <c r="H1818" s="86"/>
      <c r="I1818" s="86"/>
      <c r="J1818" s="87"/>
      <c r="K1818" s="88"/>
      <c r="M1818" s="102">
        <v>0</v>
      </c>
      <c r="N1818" s="530" t="str">
        <f>IFERROR(VLOOKUP(M1818,INSUMOS!$C$8:$K$928,2,0),"-----")</f>
        <v>-----</v>
      </c>
      <c r="O1818" s="531"/>
      <c r="P1818" s="532"/>
      <c r="Q1818" s="78" t="str">
        <f>IFERROR(VLOOKUP(M1818,INSUMOS!$C$8:$K$928,5,0),"-----")</f>
        <v>-----</v>
      </c>
      <c r="R1818" s="80"/>
      <c r="S1818" s="80" t="str">
        <f>IFERROR(VLOOKUP(M1818,INSUMOS!$C$8:$K$928,6,0),"0")</f>
        <v>0</v>
      </c>
      <c r="T1818" s="529" t="str">
        <f>IFERROR(VLOOKUP(M1818,INSUMOS!$C$8:$K$928,7,0),"0")</f>
        <v>0</v>
      </c>
      <c r="U1818" s="529"/>
      <c r="V1818" s="82">
        <f>+T1818*S1818*R1818</f>
        <v>0</v>
      </c>
      <c r="Y1818" s="393">
        <f>+IFERROR((R1818*S1818)*Y1794,0)</f>
        <v>0</v>
      </c>
      <c r="Z1818" s="391">
        <f>Y1794*V1818</f>
        <v>0</v>
      </c>
      <c r="AA1818" s="86"/>
      <c r="AB1818" s="92">
        <f>+Y1818*T1818</f>
        <v>0</v>
      </c>
      <c r="AC1818" s="93">
        <f>+AB1818-Z1818</f>
        <v>0</v>
      </c>
      <c r="AD1818" s="94"/>
      <c r="AE1818" s="406" t="str">
        <f>+IF(V1818=0,"CERO","NO")</f>
        <v>CERO</v>
      </c>
    </row>
    <row r="1819" spans="3:31" s="260" customFormat="1" ht="15.75" thickBot="1" x14ac:dyDescent="0.3">
      <c r="C1819" s="84"/>
      <c r="D1819" s="89"/>
      <c r="E1819" s="90"/>
      <c r="F1819" s="90"/>
      <c r="G1819" s="90"/>
      <c r="H1819" s="90"/>
      <c r="I1819" s="90"/>
      <c r="J1819" s="91"/>
      <c r="K1819" s="88"/>
      <c r="M1819" s="102">
        <v>0</v>
      </c>
      <c r="N1819" s="533"/>
      <c r="O1819" s="533"/>
      <c r="P1819" s="533"/>
      <c r="Q1819" s="79"/>
      <c r="R1819" s="78"/>
      <c r="S1819" s="81"/>
      <c r="T1819" s="529"/>
      <c r="U1819" s="529"/>
      <c r="V1819" s="82"/>
      <c r="Y1819" s="393">
        <f>+IFERROR((R1819*S1819)*Y1794,0)</f>
        <v>0</v>
      </c>
      <c r="Z1819" s="391">
        <f>Y1794*V1819</f>
        <v>0</v>
      </c>
      <c r="AA1819" s="86"/>
      <c r="AB1819" s="92">
        <f>+Y1819*T1819</f>
        <v>0</v>
      </c>
      <c r="AC1819" s="93">
        <f>+AB1819-Z1819</f>
        <v>0</v>
      </c>
      <c r="AD1819" s="94"/>
      <c r="AE1819" s="406" t="str">
        <f>+IF(V1819=0,"CERO","NO")</f>
        <v>CERO</v>
      </c>
    </row>
    <row r="1820" spans="3:31" s="260" customFormat="1" ht="15.75" thickBot="1" x14ac:dyDescent="0.3">
      <c r="C1820" s="84"/>
      <c r="D1820" s="375" t="s">
        <v>128</v>
      </c>
      <c r="E1820" s="376" t="s">
        <v>129</v>
      </c>
      <c r="F1820" s="376" t="s">
        <v>130</v>
      </c>
      <c r="G1820" s="376" t="s">
        <v>131</v>
      </c>
      <c r="H1820" s="376" t="s">
        <v>132</v>
      </c>
      <c r="I1820" s="376" t="s">
        <v>133</v>
      </c>
      <c r="J1820" s="377" t="s">
        <v>134</v>
      </c>
      <c r="K1820" s="88"/>
      <c r="M1820" s="534"/>
      <c r="N1820" s="536" t="s">
        <v>113</v>
      </c>
      <c r="O1820" s="536"/>
      <c r="P1820" s="536"/>
      <c r="Q1820" s="536"/>
      <c r="R1820" s="536"/>
      <c r="S1820" s="536"/>
      <c r="T1820" s="536"/>
      <c r="U1820" s="536"/>
      <c r="V1820" s="411">
        <f>+SUM(V1816:V1819)</f>
        <v>347.2217399698057</v>
      </c>
      <c r="Y1820" s="398" t="s">
        <v>135</v>
      </c>
      <c r="Z1820" s="397">
        <f>+SUM(Z1816:Z1819)</f>
        <v>2430.5521797886399</v>
      </c>
      <c r="AA1820" s="86"/>
      <c r="AB1820" s="384"/>
      <c r="AC1820" s="385"/>
      <c r="AD1820" s="94"/>
      <c r="AE1820" s="399"/>
    </row>
    <row r="1821" spans="3:31" s="260" customFormat="1" ht="15.75" thickBot="1" x14ac:dyDescent="0.3">
      <c r="C1821" s="84"/>
      <c r="D1821" s="355"/>
      <c r="E1821" s="367"/>
      <c r="F1821" s="412">
        <f>+E1813</f>
        <v>2.27</v>
      </c>
      <c r="G1821" s="367"/>
      <c r="H1821" s="367"/>
      <c r="I1821" s="367"/>
      <c r="J1821" s="368"/>
      <c r="K1821" s="88"/>
      <c r="M1821" s="535"/>
      <c r="N1821" s="537" t="s">
        <v>114</v>
      </c>
      <c r="O1821" s="537"/>
      <c r="P1821" s="537"/>
      <c r="Q1821" s="537"/>
      <c r="R1821" s="537"/>
      <c r="S1821" s="537"/>
      <c r="T1821" s="537"/>
      <c r="U1821" s="537"/>
      <c r="V1821" s="413">
        <f>+ROUND(V1820,$AA$5)</f>
        <v>347.22</v>
      </c>
      <c r="Y1821" s="401" t="s">
        <v>136</v>
      </c>
      <c r="Z1821" s="402">
        <f>+ROUND(Z1820,$AA$5)</f>
        <v>2430.5500000000002</v>
      </c>
      <c r="AA1821" s="86"/>
      <c r="AB1821" s="403">
        <f>+V1821*Y1794</f>
        <v>2430.54</v>
      </c>
      <c r="AC1821" s="414"/>
      <c r="AD1821" s="94"/>
      <c r="AE1821" s="405"/>
    </row>
    <row r="1822" spans="3:31" s="260" customFormat="1" ht="15.75" thickBot="1" x14ac:dyDescent="0.3">
      <c r="C1822" s="84"/>
      <c r="D1822" s="415"/>
      <c r="E1822" s="416"/>
      <c r="F1822" s="416"/>
      <c r="G1822" s="416"/>
      <c r="H1822" s="416"/>
      <c r="I1822" s="416"/>
      <c r="J1822" s="417"/>
      <c r="K1822" s="88"/>
      <c r="M1822" s="538" t="s">
        <v>115</v>
      </c>
      <c r="N1822" s="539"/>
      <c r="O1822" s="539"/>
      <c r="P1822" s="539"/>
      <c r="Q1822" s="539"/>
      <c r="R1822" s="539"/>
      <c r="S1822" s="539"/>
      <c r="T1822" s="539"/>
      <c r="U1822" s="539"/>
      <c r="V1822" s="540"/>
      <c r="Y1822" s="378"/>
      <c r="Z1822" s="121"/>
      <c r="AA1822" s="86"/>
      <c r="AB1822" s="409"/>
      <c r="AC1822" s="121"/>
      <c r="AD1822" s="94"/>
      <c r="AE1822" s="126"/>
    </row>
    <row r="1823" spans="3:31" s="260" customFormat="1" ht="15.75" thickBot="1" x14ac:dyDescent="0.3">
      <c r="C1823" s="84"/>
      <c r="D1823" s="375" t="s">
        <v>128</v>
      </c>
      <c r="E1823" s="376" t="s">
        <v>129</v>
      </c>
      <c r="F1823" s="376" t="s">
        <v>130</v>
      </c>
      <c r="G1823" s="376" t="s">
        <v>131</v>
      </c>
      <c r="H1823" s="376" t="s">
        <v>132</v>
      </c>
      <c r="I1823" s="376" t="s">
        <v>133</v>
      </c>
      <c r="J1823" s="377" t="s">
        <v>134</v>
      </c>
      <c r="K1823" s="88"/>
      <c r="M1823" s="99" t="s">
        <v>94</v>
      </c>
      <c r="N1823" s="98" t="s">
        <v>95</v>
      </c>
      <c r="O1823" s="95" t="s">
        <v>96</v>
      </c>
      <c r="P1823" s="359" t="s">
        <v>104</v>
      </c>
      <c r="Q1823" s="95" t="s">
        <v>116</v>
      </c>
      <c r="R1823" s="418" t="s">
        <v>117</v>
      </c>
      <c r="S1823" s="95" t="s">
        <v>347</v>
      </c>
      <c r="T1823" s="419" t="s">
        <v>118</v>
      </c>
      <c r="U1823" s="189" t="s">
        <v>119</v>
      </c>
      <c r="V1823" s="100" t="s">
        <v>98</v>
      </c>
      <c r="Y1823" s="383" t="s">
        <v>104</v>
      </c>
      <c r="Z1823" s="119" t="s">
        <v>9</v>
      </c>
      <c r="AA1823" s="86"/>
      <c r="AB1823" s="384"/>
      <c r="AC1823" s="385"/>
      <c r="AD1823" s="94"/>
      <c r="AE1823" s="410"/>
    </row>
    <row r="1824" spans="3:31" s="260" customFormat="1" ht="25.5" x14ac:dyDescent="0.25">
      <c r="C1824" s="84"/>
      <c r="D1824" s="354"/>
      <c r="E1824" s="96"/>
      <c r="F1824" s="96"/>
      <c r="G1824" s="96"/>
      <c r="H1824" s="96"/>
      <c r="I1824" s="96"/>
      <c r="J1824" s="420">
        <f>+F1821</f>
        <v>2.27</v>
      </c>
      <c r="K1824" s="88"/>
      <c r="M1824" s="102">
        <v>207</v>
      </c>
      <c r="N1824" s="347" t="str">
        <f>IFERROR(VLOOKUP(M1824,INSUMOS!$C$8:$K$928,2,0),"-----")</f>
        <v>Oficial Hidrosanitario</v>
      </c>
      <c r="O1824" s="78" t="str">
        <f>IFERROR(VLOOKUP(M1824,INSUMOS!$C$8:$K$928,3,0),"-----")</f>
        <v>JORNAL+PS</v>
      </c>
      <c r="P1824" s="80">
        <v>1</v>
      </c>
      <c r="Q1824" s="79">
        <v>20</v>
      </c>
      <c r="R1824" s="190">
        <f>IFERROR(VLOOKUP(M1824,INSUMOS!$C$8:$K$928,4,0),"-----")</f>
        <v>92983</v>
      </c>
      <c r="S1824" s="190">
        <f>IFERROR(VLOOKUP(M1824,INSUMOS!$C$8:$K$928,6,0),"-----")</f>
        <v>74386</v>
      </c>
      <c r="T1824" s="190">
        <f>IFERROR(VLOOKUP(M1824,INSUMOS!$C$8:$K$928,5,0),"-----")</f>
        <v>0</v>
      </c>
      <c r="U1824" s="388">
        <f>SUM(R1824:T1824)</f>
        <v>167369</v>
      </c>
      <c r="V1824" s="82">
        <f>+IFERROR((P1824/Q1824)*U1824,0)</f>
        <v>8368.4500000000007</v>
      </c>
      <c r="Y1824" s="393">
        <f>+IFERROR((Y1794/Q1824*P1824),0)</f>
        <v>0.35</v>
      </c>
      <c r="Z1824" s="391">
        <f>Y1794*V1824</f>
        <v>58579.150000000009</v>
      </c>
      <c r="AA1824" s="86"/>
      <c r="AB1824" s="92">
        <f>+(U1824)*Y1824</f>
        <v>58579.149999999994</v>
      </c>
      <c r="AC1824" s="93">
        <f>+AB1824-Z1824</f>
        <v>0</v>
      </c>
      <c r="AD1824" s="421"/>
      <c r="AE1824" s="410" t="str">
        <f>+IF(V1824=0,"CERO","NO")</f>
        <v>NO</v>
      </c>
    </row>
    <row r="1825" spans="3:31" s="260" customFormat="1" ht="15.75" thickBot="1" x14ac:dyDescent="0.3">
      <c r="C1825" s="84"/>
      <c r="D1825" s="355"/>
      <c r="E1825" s="367"/>
      <c r="F1825" s="367"/>
      <c r="G1825" s="367"/>
      <c r="H1825" s="367"/>
      <c r="I1825" s="367"/>
      <c r="J1825" s="422">
        <f>+J1824</f>
        <v>2.27</v>
      </c>
      <c r="K1825" s="88"/>
      <c r="M1825" s="102"/>
      <c r="N1825" s="347" t="str">
        <f>IFERROR(VLOOKUP(M1825,INSUMOS!$C$8:$K$928,2,0),"-----")</f>
        <v>-----</v>
      </c>
      <c r="O1825" s="78" t="str">
        <f>IFERROR(VLOOKUP(M1825,INSUMOS!$C$8:$K$928,3,0),"-----")</f>
        <v>-----</v>
      </c>
      <c r="P1825" s="80"/>
      <c r="Q1825" s="79"/>
      <c r="R1825" s="190" t="str">
        <f>IFERROR(VLOOKUP(M1825,INSUMOS!$C$8:$K$928,4,0),"-----")</f>
        <v>-----</v>
      </c>
      <c r="S1825" s="190" t="str">
        <f>IFERROR(VLOOKUP(M1825,INSUMOS!$C$8:$K$928,6,0),"-----")</f>
        <v>-----</v>
      </c>
      <c r="T1825" s="190" t="str">
        <f>IFERROR(VLOOKUP(M1825,INSUMOS!$C$8:$K$928,5,0),"-----")</f>
        <v>-----</v>
      </c>
      <c r="U1825" s="388">
        <f>SUM(R1825:T1825)</f>
        <v>0</v>
      </c>
      <c r="V1825" s="82">
        <f>+IFERROR((P1825/Q1825)*U1825,0)</f>
        <v>0</v>
      </c>
      <c r="Y1825" s="393">
        <f>+IFERROR((Y1794/Q1825*P1825),0)</f>
        <v>0</v>
      </c>
      <c r="Z1825" s="391">
        <f>Y1794*V1825</f>
        <v>0</v>
      </c>
      <c r="AA1825" s="86"/>
      <c r="AB1825" s="92">
        <f>+U1825*Y1825</f>
        <v>0</v>
      </c>
      <c r="AC1825" s="93">
        <f>+AB1825-Z1825</f>
        <v>0</v>
      </c>
      <c r="AD1825" s="94"/>
      <c r="AE1825" s="410" t="str">
        <f>+IF(V1825=0,"CERO","NO")</f>
        <v>CERO</v>
      </c>
    </row>
    <row r="1826" spans="3:31" s="260" customFormat="1" ht="15.75" thickBot="1" x14ac:dyDescent="0.3">
      <c r="C1826" s="84"/>
      <c r="D1826" s="380"/>
      <c r="E1826" s="381"/>
      <c r="F1826" s="381"/>
      <c r="G1826" s="381"/>
      <c r="H1826" s="381"/>
      <c r="I1826" s="381"/>
      <c r="J1826" s="382"/>
      <c r="K1826" s="88"/>
      <c r="M1826" s="102">
        <v>0</v>
      </c>
      <c r="N1826" s="347"/>
      <c r="O1826" s="79"/>
      <c r="P1826" s="423"/>
      <c r="Q1826" s="81"/>
      <c r="R1826" s="111"/>
      <c r="S1826" s="357"/>
      <c r="T1826" s="111"/>
      <c r="U1826" s="388"/>
      <c r="V1826" s="426"/>
      <c r="Y1826" s="393">
        <f>+IFERROR((Y1794/Q1826*P1826),0)</f>
        <v>0</v>
      </c>
      <c r="Z1826" s="391">
        <f>Y1794*V1826</f>
        <v>0</v>
      </c>
      <c r="AA1826" s="86"/>
      <c r="AB1826" s="92">
        <f>+(U1826)*Y1826*P1826</f>
        <v>0</v>
      </c>
      <c r="AC1826" s="93">
        <f>+AB1826-Z1826</f>
        <v>0</v>
      </c>
      <c r="AD1826" s="94"/>
      <c r="AE1826" s="410" t="str">
        <f>+IF(V1826=0,"CERO","NO")</f>
        <v>CERO</v>
      </c>
    </row>
    <row r="1827" spans="3:31" s="260" customFormat="1" ht="15.75" thickBot="1" x14ac:dyDescent="0.3">
      <c r="C1827" s="84"/>
      <c r="D1827" s="375" t="s">
        <v>128</v>
      </c>
      <c r="E1827" s="376" t="s">
        <v>129</v>
      </c>
      <c r="F1827" s="376" t="s">
        <v>130</v>
      </c>
      <c r="G1827" s="376" t="s">
        <v>131</v>
      </c>
      <c r="H1827" s="376" t="s">
        <v>132</v>
      </c>
      <c r="I1827" s="376" t="s">
        <v>133</v>
      </c>
      <c r="J1827" s="377" t="s">
        <v>134</v>
      </c>
      <c r="K1827" s="88"/>
      <c r="M1827" s="534"/>
      <c r="N1827" s="536" t="s">
        <v>120</v>
      </c>
      <c r="O1827" s="536"/>
      <c r="P1827" s="536"/>
      <c r="Q1827" s="536"/>
      <c r="R1827" s="536"/>
      <c r="S1827" s="536"/>
      <c r="T1827" s="536"/>
      <c r="U1827" s="536"/>
      <c r="V1827" s="82">
        <f>+SUM(V1824:V1826)</f>
        <v>8368.4500000000007</v>
      </c>
      <c r="Y1827" s="398" t="s">
        <v>135</v>
      </c>
      <c r="Z1827" s="397">
        <f>+SUM(Z1824:Z1826)</f>
        <v>58579.150000000009</v>
      </c>
      <c r="AA1827" s="86"/>
      <c r="AB1827" s="384"/>
      <c r="AC1827" s="385"/>
      <c r="AD1827" s="94"/>
      <c r="AE1827" s="399"/>
    </row>
    <row r="1828" spans="3:31" s="260" customFormat="1" ht="15.75" thickBot="1" x14ac:dyDescent="0.3">
      <c r="C1828" s="84"/>
      <c r="D1828" s="354"/>
      <c r="E1828" s="96"/>
      <c r="F1828" s="96"/>
      <c r="G1828" s="107">
        <f>+F1821</f>
        <v>2.27</v>
      </c>
      <c r="H1828" s="96"/>
      <c r="I1828" s="96"/>
      <c r="J1828" s="427"/>
      <c r="K1828" s="88"/>
      <c r="M1828" s="535"/>
      <c r="N1828" s="537" t="s">
        <v>121</v>
      </c>
      <c r="O1828" s="537"/>
      <c r="P1828" s="537"/>
      <c r="Q1828" s="537"/>
      <c r="R1828" s="537"/>
      <c r="S1828" s="537"/>
      <c r="T1828" s="537"/>
      <c r="U1828" s="537"/>
      <c r="V1828" s="413">
        <f>+ROUND(V1827,$AA$5)</f>
        <v>8368.4500000000007</v>
      </c>
      <c r="Y1828" s="401" t="s">
        <v>136</v>
      </c>
      <c r="Z1828" s="402">
        <f>+ROUND(Z1827,$AA$5)</f>
        <v>58579.15</v>
      </c>
      <c r="AA1828" s="86"/>
      <c r="AB1828" s="403">
        <f>+V1828*Y1794</f>
        <v>58579.150000000009</v>
      </c>
      <c r="AC1828" s="404">
        <f>+AB1828-Z1828</f>
        <v>0</v>
      </c>
      <c r="AD1828" s="94"/>
      <c r="AE1828" s="405"/>
    </row>
    <row r="1829" spans="3:31" s="260" customFormat="1" ht="15.75" thickBot="1" x14ac:dyDescent="0.3">
      <c r="C1829" s="84"/>
      <c r="D1829" s="375" t="s">
        <v>128</v>
      </c>
      <c r="E1829" s="376" t="s">
        <v>129</v>
      </c>
      <c r="F1829" s="376" t="s">
        <v>130</v>
      </c>
      <c r="G1829" s="376" t="s">
        <v>131</v>
      </c>
      <c r="H1829" s="376" t="s">
        <v>132</v>
      </c>
      <c r="I1829" s="376" t="s">
        <v>133</v>
      </c>
      <c r="J1829" s="377" t="s">
        <v>134</v>
      </c>
      <c r="K1829" s="88"/>
      <c r="M1829" s="541"/>
      <c r="N1829" s="542"/>
      <c r="O1829" s="542"/>
      <c r="P1829" s="542"/>
      <c r="Q1829" s="542"/>
      <c r="R1829" s="542"/>
      <c r="S1829" s="542"/>
      <c r="T1829" s="542"/>
      <c r="U1829" s="542"/>
      <c r="V1829" s="543"/>
      <c r="Y1829" s="378"/>
      <c r="Z1829" s="121"/>
      <c r="AA1829" s="86"/>
      <c r="AB1829" s="409"/>
      <c r="AC1829" s="121"/>
      <c r="AD1829" s="94"/>
      <c r="AE1829" s="428"/>
    </row>
    <row r="1830" spans="3:31" s="260" customFormat="1" ht="15.75" thickBot="1" x14ac:dyDescent="0.3">
      <c r="C1830" s="84"/>
      <c r="D1830" s="355"/>
      <c r="E1830" s="367"/>
      <c r="F1830" s="367"/>
      <c r="G1830" s="367"/>
      <c r="H1830" s="412">
        <f>G1828</f>
        <v>2.27</v>
      </c>
      <c r="I1830" s="412"/>
      <c r="J1830" s="422"/>
      <c r="K1830" s="88"/>
      <c r="M1830" s="544" t="s">
        <v>122</v>
      </c>
      <c r="N1830" s="537"/>
      <c r="O1830" s="537"/>
      <c r="P1830" s="537"/>
      <c r="Q1830" s="537"/>
      <c r="R1830" s="537"/>
      <c r="S1830" s="537"/>
      <c r="T1830" s="537"/>
      <c r="U1830" s="545">
        <f>+V1828+V1821+V1813+V1804</f>
        <v>767798.41</v>
      </c>
      <c r="V1830" s="546"/>
      <c r="Y1830" s="429"/>
      <c r="Z1830" s="430">
        <f>+Z1828+Z1821+Z1813+Z1804</f>
        <v>5374588.8700000001</v>
      </c>
      <c r="AA1830" s="86"/>
      <c r="AB1830" s="431">
        <f>+AB1828+AB1821+AB1813+AB1804</f>
        <v>5374588.8700000001</v>
      </c>
      <c r="AC1830" s="404">
        <f>+AB1830-Z1830</f>
        <v>0</v>
      </c>
      <c r="AD1830" s="94"/>
      <c r="AE1830" s="432"/>
    </row>
    <row r="1831" spans="3:31" s="260" customFormat="1" ht="15.75" thickBot="1" x14ac:dyDescent="0.3"/>
    <row r="1832" spans="3:31" s="260" customFormat="1" x14ac:dyDescent="0.25">
      <c r="M1832" s="547" t="s">
        <v>348</v>
      </c>
      <c r="N1832" s="548"/>
      <c r="O1832" s="548"/>
      <c r="P1832" s="548"/>
      <c r="Q1832" s="548"/>
      <c r="R1832" s="548"/>
      <c r="S1832" s="548"/>
      <c r="T1832" s="548"/>
      <c r="U1832" s="548"/>
      <c r="V1832" s="549"/>
      <c r="Y1832" s="378"/>
      <c r="Z1832" s="121"/>
      <c r="AA1832" s="86"/>
      <c r="AB1832" s="94"/>
      <c r="AC1832" s="94"/>
      <c r="AD1832" s="94"/>
      <c r="AE1832" s="126" t="s">
        <v>133</v>
      </c>
    </row>
    <row r="1833" spans="3:31" s="260" customFormat="1" x14ac:dyDescent="0.25">
      <c r="M1833" s="515" t="s">
        <v>138</v>
      </c>
      <c r="N1833" s="516"/>
      <c r="O1833" s="516"/>
      <c r="P1833" s="516"/>
      <c r="Q1833" s="516"/>
      <c r="R1833" s="516"/>
      <c r="S1833" s="516"/>
      <c r="T1833" s="437">
        <v>0</v>
      </c>
      <c r="U1833" s="517">
        <f>+ROUND(U1830*T1833,$AA$5)</f>
        <v>0</v>
      </c>
      <c r="V1833" s="518"/>
      <c r="Y1833" s="390"/>
      <c r="Z1833" s="438">
        <f>+Z1830*T1833</f>
        <v>0</v>
      </c>
      <c r="AA1833" s="86"/>
      <c r="AB1833" s="94"/>
      <c r="AC1833" s="94"/>
      <c r="AD1833" s="94"/>
      <c r="AE1833" s="386" t="s">
        <v>133</v>
      </c>
    </row>
    <row r="1834" spans="3:31" s="260" customFormat="1" x14ac:dyDescent="0.25">
      <c r="M1834" s="515" t="s">
        <v>19</v>
      </c>
      <c r="N1834" s="516"/>
      <c r="O1834" s="516"/>
      <c r="P1834" s="516"/>
      <c r="Q1834" s="516"/>
      <c r="R1834" s="516"/>
      <c r="S1834" s="516"/>
      <c r="T1834" s="437">
        <v>0.05</v>
      </c>
      <c r="U1834" s="517">
        <f>+ROUND(U1830*T1834,$AA$5)</f>
        <v>38389.919999999998</v>
      </c>
      <c r="V1834" s="518"/>
      <c r="Y1834" s="390"/>
      <c r="Z1834" s="438">
        <f>+Z1830*T1834</f>
        <v>268729.44349999999</v>
      </c>
      <c r="AA1834" s="86"/>
      <c r="AB1834" s="94"/>
      <c r="AC1834" s="94"/>
      <c r="AD1834" s="94"/>
      <c r="AE1834" s="386" t="s">
        <v>133</v>
      </c>
    </row>
    <row r="1835" spans="3:31" s="260" customFormat="1" x14ac:dyDescent="0.25">
      <c r="M1835" s="515" t="s">
        <v>20</v>
      </c>
      <c r="N1835" s="516"/>
      <c r="O1835" s="516"/>
      <c r="P1835" s="516"/>
      <c r="Q1835" s="516"/>
      <c r="R1835" s="516"/>
      <c r="S1835" s="516"/>
      <c r="T1835" s="437">
        <v>0</v>
      </c>
      <c r="U1835" s="517">
        <f>+ROUND(U1830*T1835,$AA$5)</f>
        <v>0</v>
      </c>
      <c r="V1835" s="518"/>
      <c r="Y1835" s="390"/>
      <c r="Z1835" s="438">
        <f>+Z1830*T1835</f>
        <v>0</v>
      </c>
      <c r="AA1835" s="86"/>
      <c r="AB1835" s="94"/>
      <c r="AC1835" s="94"/>
      <c r="AD1835" s="94"/>
      <c r="AE1835" s="386" t="s">
        <v>133</v>
      </c>
    </row>
    <row r="1836" spans="3:31" s="260" customFormat="1" x14ac:dyDescent="0.25">
      <c r="M1836" s="515" t="s">
        <v>21</v>
      </c>
      <c r="N1836" s="516"/>
      <c r="O1836" s="516"/>
      <c r="P1836" s="516"/>
      <c r="Q1836" s="516"/>
      <c r="R1836" s="516"/>
      <c r="S1836" s="516"/>
      <c r="T1836" s="437">
        <f>$AA$9</f>
        <v>0</v>
      </c>
      <c r="U1836" s="517">
        <f>+ROUND(U1830*T1836,$AA$5)</f>
        <v>0</v>
      </c>
      <c r="V1836" s="518"/>
      <c r="Y1836" s="390"/>
      <c r="Z1836" s="438">
        <f>+Z1835*T1836</f>
        <v>0</v>
      </c>
      <c r="AA1836" s="86"/>
      <c r="AB1836" s="94"/>
      <c r="AC1836" s="94"/>
      <c r="AD1836" s="94"/>
      <c r="AE1836" s="386" t="s">
        <v>133</v>
      </c>
    </row>
    <row r="1837" spans="3:31" s="260" customFormat="1" ht="15.75" thickBot="1" x14ac:dyDescent="0.3">
      <c r="M1837" s="519" t="s">
        <v>349</v>
      </c>
      <c r="N1837" s="520"/>
      <c r="O1837" s="520"/>
      <c r="P1837" s="520"/>
      <c r="Q1837" s="520"/>
      <c r="R1837" s="520"/>
      <c r="S1837" s="520"/>
      <c r="T1837" s="520"/>
      <c r="U1837" s="521">
        <f>+SUM(U1833:V1836)</f>
        <v>38389.919999999998</v>
      </c>
      <c r="V1837" s="522"/>
      <c r="Y1837" s="390"/>
      <c r="Z1837" s="439">
        <f>+SUM(Z1833:Z1836)</f>
        <v>268729.44349999999</v>
      </c>
      <c r="AA1837" s="86"/>
      <c r="AB1837" s="94"/>
      <c r="AC1837" s="94"/>
      <c r="AD1837" s="94"/>
      <c r="AE1837" s="386" t="s">
        <v>133</v>
      </c>
    </row>
    <row r="1838" spans="3:31" s="260" customFormat="1" ht="15.75" thickBot="1" x14ac:dyDescent="0.3">
      <c r="D1838" s="375" t="s">
        <v>128</v>
      </c>
      <c r="E1838" s="376" t="s">
        <v>129</v>
      </c>
      <c r="F1838" s="376" t="s">
        <v>130</v>
      </c>
      <c r="G1838" s="376" t="s">
        <v>131</v>
      </c>
      <c r="H1838" s="376" t="s">
        <v>132</v>
      </c>
      <c r="I1838" s="376" t="s">
        <v>133</v>
      </c>
      <c r="J1838" s="377" t="s">
        <v>134</v>
      </c>
      <c r="M1838" s="86"/>
      <c r="N1838" s="94"/>
      <c r="O1838" s="94"/>
      <c r="P1838" s="94"/>
      <c r="Q1838" s="86"/>
      <c r="R1838" s="86"/>
      <c r="S1838" s="86"/>
      <c r="T1838" s="440"/>
      <c r="U1838" s="523"/>
      <c r="V1838" s="523"/>
      <c r="Y1838" s="390"/>
      <c r="Z1838" s="385"/>
      <c r="AA1838" s="86"/>
      <c r="AB1838" s="94"/>
      <c r="AC1838" s="94"/>
      <c r="AD1838" s="94"/>
      <c r="AE1838" s="386" t="s">
        <v>133</v>
      </c>
    </row>
    <row r="1839" spans="3:31" s="260" customFormat="1" ht="15.75" thickBot="1" x14ac:dyDescent="0.3">
      <c r="D1839" s="355"/>
      <c r="E1839" s="367"/>
      <c r="F1839" s="367"/>
      <c r="G1839" s="367"/>
      <c r="H1839" s="412"/>
      <c r="I1839" s="412">
        <f>H1830</f>
        <v>2.27</v>
      </c>
      <c r="J1839" s="422"/>
      <c r="M1839" s="524" t="s">
        <v>11</v>
      </c>
      <c r="N1839" s="525"/>
      <c r="O1839" s="525"/>
      <c r="P1839" s="525"/>
      <c r="Q1839" s="525"/>
      <c r="R1839" s="525"/>
      <c r="S1839" s="525"/>
      <c r="T1839" s="526"/>
      <c r="U1839" s="527">
        <f>+U1837+U1830</f>
        <v>806188.33000000007</v>
      </c>
      <c r="V1839" s="528"/>
      <c r="Y1839" s="429"/>
      <c r="Z1839" s="441">
        <f>+Z1837+Z1830</f>
        <v>5643318.3135000002</v>
      </c>
      <c r="AA1839" s="86"/>
      <c r="AB1839" s="94"/>
      <c r="AC1839" s="94"/>
      <c r="AD1839" s="94"/>
      <c r="AE1839" s="405" t="s">
        <v>133</v>
      </c>
    </row>
    <row r="1840" spans="3:31" s="260" customFormat="1" x14ac:dyDescent="0.25"/>
    <row r="1841" spans="3:31" s="260" customFormat="1" ht="15.75" thickBot="1" x14ac:dyDescent="0.3"/>
    <row r="1842" spans="3:31" s="260" customFormat="1" ht="15.75" thickBot="1" x14ac:dyDescent="0.3">
      <c r="M1842" s="363" t="s">
        <v>88</v>
      </c>
      <c r="N1842" s="436" t="str">
        <f>+N1793</f>
        <v>CAP.2</v>
      </c>
      <c r="O1842" s="550" t="str">
        <f>IFERROR(VLOOKUP(N1842,PPTO!C:H,2,0),"----")</f>
        <v>RED HIDRAULICA</v>
      </c>
      <c r="P1842" s="551"/>
      <c r="Q1842" s="551"/>
      <c r="R1842" s="551"/>
      <c r="S1842" s="551"/>
      <c r="T1842" s="551"/>
      <c r="U1842" s="552"/>
      <c r="V1842" s="74" t="s">
        <v>91</v>
      </c>
      <c r="Y1842" s="365" t="s">
        <v>104</v>
      </c>
      <c r="Z1842" s="94"/>
      <c r="AA1842" s="188"/>
      <c r="AB1842" s="553"/>
      <c r="AC1842" s="553"/>
      <c r="AD1842" s="553"/>
      <c r="AE1842" s="94"/>
    </row>
    <row r="1843" spans="3:31" s="260" customFormat="1" ht="15.75" thickBot="1" x14ac:dyDescent="0.3">
      <c r="C1843" s="369">
        <f>+N1843</f>
        <v>2.2799999999999998</v>
      </c>
      <c r="D1843" s="86"/>
      <c r="E1843" s="86"/>
      <c r="F1843" s="86"/>
      <c r="G1843" s="86"/>
      <c r="H1843" s="86"/>
      <c r="I1843" s="86"/>
      <c r="J1843" s="86"/>
      <c r="K1843" s="370"/>
      <c r="M1843" s="75" t="s">
        <v>92</v>
      </c>
      <c r="N1843" s="371">
        <f>+ROUNDUP(N1794+0.01,2)</f>
        <v>2.2799999999999998</v>
      </c>
      <c r="O1843" s="554" t="str">
        <f>IFERROR(VLOOKUP(N1843,PPTO!C:H,2,0),"----")</f>
        <v>VRP Ø1_1/2"</v>
      </c>
      <c r="P1843" s="555"/>
      <c r="Q1843" s="555"/>
      <c r="R1843" s="555"/>
      <c r="S1843" s="555"/>
      <c r="T1843" s="555"/>
      <c r="U1843" s="556"/>
      <c r="V1843" s="76" t="str">
        <f>IFERROR(VLOOKUP(N1843,PPTO!C:H,3,0),"----")</f>
        <v>UND</v>
      </c>
      <c r="Y1843" s="373">
        <f>SUMIFS(PPTO!F:F,PPTO!C:C,APUS!N1843)</f>
        <v>8</v>
      </c>
      <c r="Z1843" s="94"/>
      <c r="AA1843" s="86"/>
      <c r="AB1843" s="94"/>
      <c r="AC1843" s="94"/>
      <c r="AD1843" s="94"/>
      <c r="AE1843" s="94"/>
    </row>
    <row r="1844" spans="3:31" s="260" customFormat="1" ht="15.75" thickBot="1" x14ac:dyDescent="0.3">
      <c r="C1844" s="84"/>
      <c r="D1844" s="86"/>
      <c r="E1844" s="86"/>
      <c r="F1844" s="86"/>
      <c r="G1844" s="86"/>
      <c r="H1844" s="86"/>
      <c r="I1844" s="86"/>
      <c r="J1844" s="86"/>
      <c r="K1844" s="88"/>
      <c r="M1844" s="557"/>
      <c r="N1844" s="557"/>
      <c r="O1844" s="557"/>
      <c r="P1844" s="557"/>
      <c r="Q1844" s="557"/>
      <c r="R1844" s="557"/>
      <c r="S1844" s="557"/>
      <c r="T1844" s="557"/>
      <c r="U1844" s="557"/>
      <c r="V1844" s="557"/>
      <c r="Y1844" s="374"/>
      <c r="Z1844" s="94"/>
      <c r="AA1844" s="86"/>
      <c r="AB1844" s="94"/>
      <c r="AC1844" s="94"/>
      <c r="AD1844" s="94"/>
      <c r="AE1844" s="94"/>
    </row>
    <row r="1845" spans="3:31" s="260" customFormat="1" ht="15.75" thickBot="1" x14ac:dyDescent="0.3">
      <c r="C1845" s="84"/>
      <c r="D1845" s="375" t="s">
        <v>128</v>
      </c>
      <c r="E1845" s="376" t="s">
        <v>129</v>
      </c>
      <c r="F1845" s="376" t="s">
        <v>130</v>
      </c>
      <c r="G1845" s="376" t="s">
        <v>131</v>
      </c>
      <c r="H1845" s="376" t="s">
        <v>132</v>
      </c>
      <c r="I1845" s="376" t="s">
        <v>133</v>
      </c>
      <c r="J1845" s="377" t="s">
        <v>134</v>
      </c>
      <c r="K1845" s="88"/>
      <c r="M1845" s="558" t="s">
        <v>93</v>
      </c>
      <c r="N1845" s="559"/>
      <c r="O1845" s="559"/>
      <c r="P1845" s="559"/>
      <c r="Q1845" s="559"/>
      <c r="R1845" s="559"/>
      <c r="S1845" s="559"/>
      <c r="T1845" s="559"/>
      <c r="U1845" s="559"/>
      <c r="V1845" s="560"/>
      <c r="Y1845" s="378"/>
      <c r="Z1845" s="121"/>
      <c r="AA1845" s="86"/>
      <c r="AB1845" s="513"/>
      <c r="AC1845" s="514"/>
      <c r="AD1845" s="94"/>
      <c r="AE1845" s="379"/>
    </row>
    <row r="1846" spans="3:31" s="260" customFormat="1" x14ac:dyDescent="0.25">
      <c r="C1846" s="84"/>
      <c r="D1846" s="380"/>
      <c r="E1846" s="381"/>
      <c r="F1846" s="381"/>
      <c r="G1846" s="381"/>
      <c r="H1846" s="381"/>
      <c r="I1846" s="381"/>
      <c r="J1846" s="382"/>
      <c r="K1846" s="88"/>
      <c r="M1846" s="99" t="s">
        <v>94</v>
      </c>
      <c r="N1846" s="561" t="s">
        <v>95</v>
      </c>
      <c r="O1846" s="561"/>
      <c r="P1846" s="561"/>
      <c r="Q1846" s="561"/>
      <c r="R1846" s="95" t="s">
        <v>96</v>
      </c>
      <c r="S1846" s="95" t="s">
        <v>97</v>
      </c>
      <c r="T1846" s="562" t="s">
        <v>8</v>
      </c>
      <c r="U1846" s="562"/>
      <c r="V1846" s="100" t="s">
        <v>98</v>
      </c>
      <c r="Y1846" s="383" t="s">
        <v>104</v>
      </c>
      <c r="Z1846" s="119" t="s">
        <v>9</v>
      </c>
      <c r="AA1846" s="86"/>
      <c r="AB1846" s="384"/>
      <c r="AC1846" s="385"/>
      <c r="AD1846" s="94"/>
      <c r="AE1846" s="386"/>
    </row>
    <row r="1847" spans="3:31" s="260" customFormat="1" x14ac:dyDescent="0.25">
      <c r="C1847" s="84"/>
      <c r="D1847" s="85"/>
      <c r="E1847" s="86"/>
      <c r="F1847" s="86"/>
      <c r="G1847" s="86"/>
      <c r="H1847" s="86"/>
      <c r="I1847" s="86"/>
      <c r="J1847" s="87"/>
      <c r="K1847" s="88"/>
      <c r="M1847" s="102"/>
      <c r="N1847" s="533" t="s">
        <v>99</v>
      </c>
      <c r="O1847" s="533"/>
      <c r="P1847" s="533"/>
      <c r="Q1847" s="533"/>
      <c r="R1847" s="78" t="s">
        <v>100</v>
      </c>
      <c r="S1847" s="387">
        <f>+$AA$10</f>
        <v>0.05</v>
      </c>
      <c r="T1847" s="563">
        <f>V1877</f>
        <v>8368.4500000000007</v>
      </c>
      <c r="U1847" s="563"/>
      <c r="V1847" s="389">
        <f>+IFERROR(T1847*S1847,0)</f>
        <v>418.42250000000007</v>
      </c>
      <c r="Y1847" s="390"/>
      <c r="Z1847" s="391">
        <f>Y1843*V1847</f>
        <v>3347.3800000000006</v>
      </c>
      <c r="AA1847" s="86"/>
      <c r="AB1847" s="384"/>
      <c r="AC1847" s="385"/>
      <c r="AD1847" s="94"/>
      <c r="AE1847" s="386" t="str">
        <f>+IF(V1847=0,"CERO","NO")</f>
        <v>NO</v>
      </c>
    </row>
    <row r="1848" spans="3:31" s="260" customFormat="1" x14ac:dyDescent="0.25">
      <c r="C1848" s="84"/>
      <c r="D1848" s="85"/>
      <c r="E1848" s="86"/>
      <c r="F1848" s="86"/>
      <c r="G1848" s="86"/>
      <c r="H1848" s="86"/>
      <c r="I1848" s="86"/>
      <c r="J1848" s="87"/>
      <c r="K1848" s="88"/>
      <c r="M1848" s="106"/>
      <c r="N1848" s="533" t="str">
        <f>IFERROR(VLOOKUP(M1848,INSUMOS!$C$8:$K$928,2,0),"-----")</f>
        <v>-----</v>
      </c>
      <c r="O1848" s="533"/>
      <c r="P1848" s="533"/>
      <c r="Q1848" s="533"/>
      <c r="R1848" s="78" t="str">
        <f>IFERROR(VLOOKUP(M1848,INSUMOS!$C$8:$K$928,6,0),"-----")</f>
        <v>-----</v>
      </c>
      <c r="S1848" s="392"/>
      <c r="T1848" s="529" t="str">
        <f>IFERROR(VLOOKUP(M1848,INSUMOS!$C$8:$K$928,7,0),"0")</f>
        <v>0</v>
      </c>
      <c r="U1848" s="529"/>
      <c r="V1848" s="389">
        <f>+IFERROR(T1848*S1848,0)</f>
        <v>0</v>
      </c>
      <c r="Y1848" s="393">
        <f>+IFERROR(Y1843*S1848,0)</f>
        <v>0</v>
      </c>
      <c r="Z1848" s="391">
        <f>Y1843*V1848</f>
        <v>0</v>
      </c>
      <c r="AA1848" s="394"/>
      <c r="AB1848" s="395">
        <f>+Y1848*T1848</f>
        <v>0</v>
      </c>
      <c r="AC1848" s="93">
        <f>+AB1848-Z1848</f>
        <v>0</v>
      </c>
      <c r="AD1848" s="94"/>
      <c r="AE1848" s="386" t="str">
        <f>+IF(V1848=0,"CERO","NO")</f>
        <v>CERO</v>
      </c>
    </row>
    <row r="1849" spans="3:31" s="260" customFormat="1" x14ac:dyDescent="0.25">
      <c r="C1849" s="84"/>
      <c r="D1849" s="85"/>
      <c r="E1849" s="86"/>
      <c r="F1849" s="86"/>
      <c r="G1849" s="86"/>
      <c r="H1849" s="86"/>
      <c r="I1849" s="86"/>
      <c r="J1849" s="87"/>
      <c r="K1849" s="88"/>
      <c r="M1849" s="102">
        <v>0</v>
      </c>
      <c r="N1849" s="533"/>
      <c r="O1849" s="533"/>
      <c r="P1849" s="533"/>
      <c r="Q1849" s="533"/>
      <c r="R1849" s="78"/>
      <c r="S1849" s="396"/>
      <c r="T1849" s="529"/>
      <c r="U1849" s="529"/>
      <c r="V1849" s="397"/>
      <c r="Y1849" s="393">
        <f>+IFERROR(Y1843*S1849,0)</f>
        <v>0</v>
      </c>
      <c r="Z1849" s="391">
        <f>Y1843*V1849</f>
        <v>0</v>
      </c>
      <c r="AA1849" s="394"/>
      <c r="AB1849" s="395">
        <f>+Y1849*T1849</f>
        <v>0</v>
      </c>
      <c r="AC1849" s="93">
        <f>+AB1849-Z1849</f>
        <v>0</v>
      </c>
      <c r="AD1849" s="94"/>
      <c r="AE1849" s="386" t="str">
        <f>+IF(V1849=0,"CERO","NO")</f>
        <v>CERO</v>
      </c>
    </row>
    <row r="1850" spans="3:31" s="260" customFormat="1" x14ac:dyDescent="0.25">
      <c r="C1850" s="84"/>
      <c r="D1850" s="85"/>
      <c r="E1850" s="86"/>
      <c r="F1850" s="86"/>
      <c r="G1850" s="86"/>
      <c r="H1850" s="86"/>
      <c r="I1850" s="86"/>
      <c r="J1850" s="87"/>
      <c r="K1850" s="88"/>
      <c r="M1850" s="102">
        <v>0</v>
      </c>
      <c r="N1850" s="533"/>
      <c r="O1850" s="533"/>
      <c r="P1850" s="533"/>
      <c r="Q1850" s="533"/>
      <c r="R1850" s="78"/>
      <c r="S1850" s="396"/>
      <c r="T1850" s="529"/>
      <c r="U1850" s="529"/>
      <c r="V1850" s="397"/>
      <c r="Y1850" s="393">
        <f>+IFERROR(Y1843*S1850,0)</f>
        <v>0</v>
      </c>
      <c r="Z1850" s="391">
        <f>Y1843*V1850</f>
        <v>0</v>
      </c>
      <c r="AA1850" s="394"/>
      <c r="AB1850" s="395">
        <f>+Y1850*T1850</f>
        <v>0</v>
      </c>
      <c r="AC1850" s="93">
        <f>+AB1850-Z1850</f>
        <v>0</v>
      </c>
      <c r="AD1850" s="94"/>
      <c r="AE1850" s="386" t="str">
        <f>+IF(V1850=0,"CERO","NO")</f>
        <v>CERO</v>
      </c>
    </row>
    <row r="1851" spans="3:31" s="260" customFormat="1" ht="15.75" thickBot="1" x14ac:dyDescent="0.3">
      <c r="C1851" s="84"/>
      <c r="D1851" s="85"/>
      <c r="E1851" s="86"/>
      <c r="F1851" s="86"/>
      <c r="G1851" s="86"/>
      <c r="H1851" s="86"/>
      <c r="I1851" s="86"/>
      <c r="J1851" s="87"/>
      <c r="K1851" s="88"/>
      <c r="M1851" s="102">
        <v>0</v>
      </c>
      <c r="N1851" s="564"/>
      <c r="O1851" s="564"/>
      <c r="P1851" s="564"/>
      <c r="Q1851" s="564"/>
      <c r="R1851" s="96"/>
      <c r="S1851" s="96"/>
      <c r="T1851" s="565"/>
      <c r="U1851" s="565"/>
      <c r="V1851" s="101"/>
      <c r="Y1851" s="393">
        <f>+IFERROR(Y1843*S1851,0)</f>
        <v>0</v>
      </c>
      <c r="Z1851" s="391">
        <f>Y1843*V1851</f>
        <v>0</v>
      </c>
      <c r="AA1851" s="394"/>
      <c r="AB1851" s="395">
        <f>+Y1851*T1851</f>
        <v>0</v>
      </c>
      <c r="AC1851" s="93">
        <f>+AB1851-Z1851</f>
        <v>0</v>
      </c>
      <c r="AD1851" s="94"/>
      <c r="AE1851" s="386" t="str">
        <f>+IF(V1851=0,"CERO","NO")</f>
        <v>CERO</v>
      </c>
    </row>
    <row r="1852" spans="3:31" s="260" customFormat="1" ht="15.75" thickBot="1" x14ac:dyDescent="0.3">
      <c r="C1852" s="84"/>
      <c r="D1852" s="375" t="s">
        <v>128</v>
      </c>
      <c r="E1852" s="376" t="s">
        <v>129</v>
      </c>
      <c r="F1852" s="376" t="s">
        <v>130</v>
      </c>
      <c r="G1852" s="376" t="s">
        <v>131</v>
      </c>
      <c r="H1852" s="376" t="s">
        <v>132</v>
      </c>
      <c r="I1852" s="376" t="s">
        <v>133</v>
      </c>
      <c r="J1852" s="377" t="s">
        <v>134</v>
      </c>
      <c r="K1852" s="88"/>
      <c r="M1852" s="534"/>
      <c r="N1852" s="536" t="s">
        <v>101</v>
      </c>
      <c r="O1852" s="536"/>
      <c r="P1852" s="536"/>
      <c r="Q1852" s="536"/>
      <c r="R1852" s="536"/>
      <c r="S1852" s="536"/>
      <c r="T1852" s="536"/>
      <c r="U1852" s="536"/>
      <c r="V1852" s="389">
        <f>+SUM(V1847:V1851)</f>
        <v>418.42250000000007</v>
      </c>
      <c r="Y1852" s="398" t="s">
        <v>135</v>
      </c>
      <c r="Z1852" s="397">
        <f>+SUM(Z1847:Z1851)</f>
        <v>3347.3800000000006</v>
      </c>
      <c r="AA1852" s="86"/>
      <c r="AB1852" s="384"/>
      <c r="AC1852" s="385"/>
      <c r="AD1852" s="94"/>
      <c r="AE1852" s="399"/>
    </row>
    <row r="1853" spans="3:31" s="260" customFormat="1" ht="15.75" thickBot="1" x14ac:dyDescent="0.3">
      <c r="C1853" s="84"/>
      <c r="D1853" s="375">
        <f>C1843</f>
        <v>2.2799999999999998</v>
      </c>
      <c r="E1853" s="376"/>
      <c r="F1853" s="376"/>
      <c r="G1853" s="376"/>
      <c r="H1853" s="376"/>
      <c r="I1853" s="376"/>
      <c r="J1853" s="377"/>
      <c r="K1853" s="88"/>
      <c r="M1853" s="566"/>
      <c r="N1853" s="567" t="s">
        <v>102</v>
      </c>
      <c r="O1853" s="567"/>
      <c r="P1853" s="567"/>
      <c r="Q1853" s="567"/>
      <c r="R1853" s="567"/>
      <c r="S1853" s="567"/>
      <c r="T1853" s="567"/>
      <c r="U1853" s="567"/>
      <c r="V1853" s="400">
        <f>+ROUND(V1852,$AA$5)</f>
        <v>418.42</v>
      </c>
      <c r="Y1853" s="401" t="s">
        <v>136</v>
      </c>
      <c r="Z1853" s="402">
        <f>+ROUND(Z1852,$AA$5)</f>
        <v>3347.38</v>
      </c>
      <c r="AA1853" s="86"/>
      <c r="AB1853" s="403">
        <f>+V1853*Y1843</f>
        <v>3347.36</v>
      </c>
      <c r="AC1853" s="404">
        <f>+AB1853-Z1853</f>
        <v>-1.999999999998181E-2</v>
      </c>
      <c r="AD1853" s="94"/>
      <c r="AE1853" s="405"/>
    </row>
    <row r="1854" spans="3:31" s="260" customFormat="1" x14ac:dyDescent="0.25">
      <c r="C1854" s="84"/>
      <c r="D1854" s="380"/>
      <c r="E1854" s="381"/>
      <c r="F1854" s="381"/>
      <c r="G1854" s="381"/>
      <c r="H1854" s="381"/>
      <c r="I1854" s="381"/>
      <c r="J1854" s="382"/>
      <c r="K1854" s="88"/>
      <c r="M1854" s="510" t="s">
        <v>103</v>
      </c>
      <c r="N1854" s="511"/>
      <c r="O1854" s="511"/>
      <c r="P1854" s="511"/>
      <c r="Q1854" s="511"/>
      <c r="R1854" s="511"/>
      <c r="S1854" s="511"/>
      <c r="T1854" s="511"/>
      <c r="U1854" s="511"/>
      <c r="V1854" s="512"/>
      <c r="Y1854" s="378"/>
      <c r="Z1854" s="121"/>
      <c r="AA1854" s="86"/>
      <c r="AB1854" s="513"/>
      <c r="AC1854" s="514"/>
      <c r="AD1854" s="94"/>
      <c r="AE1854" s="126"/>
    </row>
    <row r="1855" spans="3:31" s="260" customFormat="1" x14ac:dyDescent="0.25">
      <c r="C1855" s="84"/>
      <c r="D1855" s="85"/>
      <c r="E1855" s="86"/>
      <c r="F1855" s="86"/>
      <c r="G1855" s="86"/>
      <c r="H1855" s="86"/>
      <c r="I1855" s="86"/>
      <c r="J1855" s="87"/>
      <c r="K1855" s="88"/>
      <c r="M1855" s="99" t="s">
        <v>94</v>
      </c>
      <c r="N1855" s="561" t="s">
        <v>95</v>
      </c>
      <c r="O1855" s="561"/>
      <c r="P1855" s="561"/>
      <c r="Q1855" s="561"/>
      <c r="R1855" s="95" t="s">
        <v>96</v>
      </c>
      <c r="S1855" s="95" t="s">
        <v>104</v>
      </c>
      <c r="T1855" s="356" t="s">
        <v>105</v>
      </c>
      <c r="U1855" s="356" t="s">
        <v>8</v>
      </c>
      <c r="V1855" s="100" t="s">
        <v>98</v>
      </c>
      <c r="Y1855" s="383" t="s">
        <v>104</v>
      </c>
      <c r="Z1855" s="119" t="s">
        <v>9</v>
      </c>
      <c r="AA1855" s="86"/>
      <c r="AB1855" s="384"/>
      <c r="AC1855" s="385"/>
      <c r="AD1855" s="94"/>
      <c r="AE1855" s="406"/>
    </row>
    <row r="1856" spans="3:31" s="260" customFormat="1" x14ac:dyDescent="0.25">
      <c r="C1856" s="84"/>
      <c r="D1856" s="85"/>
      <c r="E1856" s="86"/>
      <c r="F1856" s="86"/>
      <c r="G1856" s="86"/>
      <c r="H1856" s="86"/>
      <c r="I1856" s="86"/>
      <c r="J1856" s="87"/>
      <c r="K1856" s="88"/>
      <c r="M1856" s="102">
        <v>828</v>
      </c>
      <c r="N1856" s="533" t="str">
        <f>IFERROR(VLOOKUP(M1856,INSUMOS!$C$8:$K$928,2,0),"-----")</f>
        <v>VRP Ø1_1/2"</v>
      </c>
      <c r="O1856" s="533"/>
      <c r="P1856" s="533"/>
      <c r="Q1856" s="533"/>
      <c r="R1856" s="78" t="str">
        <f>IFERROR(VLOOKUP(M1856,INSUMOS!$C$8:$K$928,6,0),"-----")</f>
        <v>und</v>
      </c>
      <c r="S1856" s="396">
        <v>1</v>
      </c>
      <c r="T1856" s="387">
        <v>0</v>
      </c>
      <c r="U1856" s="388">
        <f>IFERROR(VLOOKUP(M1856,INSUMOS!$C$8:$K$928,7,0),"0")</f>
        <v>1926639</v>
      </c>
      <c r="V1856" s="389">
        <f>+IFERROR(U1856*(S1856*(1+T1856)),0)</f>
        <v>1926639</v>
      </c>
      <c r="Y1856" s="393">
        <f>+IFERROR(Y1843*(S1856*(1+T1856)),0)</f>
        <v>8</v>
      </c>
      <c r="Z1856" s="391">
        <f>Y1843*V1856</f>
        <v>15413112</v>
      </c>
      <c r="AA1856" s="394"/>
      <c r="AB1856" s="395">
        <f>+Y1856*U1856</f>
        <v>15413112</v>
      </c>
      <c r="AC1856" s="93">
        <f>+AB1856-Z1856</f>
        <v>0</v>
      </c>
      <c r="AD1856" s="94"/>
      <c r="AE1856" s="406" t="str">
        <f>+IF(V1856=0,"CERO","NO")</f>
        <v>NO</v>
      </c>
    </row>
    <row r="1857" spans="3:31" s="260" customFormat="1" x14ac:dyDescent="0.25">
      <c r="C1857" s="84"/>
      <c r="D1857" s="85"/>
      <c r="E1857" s="86"/>
      <c r="F1857" s="86"/>
      <c r="G1857" s="86"/>
      <c r="H1857" s="86"/>
      <c r="I1857" s="86"/>
      <c r="J1857" s="87"/>
      <c r="K1857" s="88"/>
      <c r="M1857" s="102">
        <v>699</v>
      </c>
      <c r="N1857" s="533" t="str">
        <f>IFERROR(VLOOKUP(M1857,INSUMOS!$C$8:$K$928,2,0),"-----")</f>
        <v>SOLDADURA PVC LIQUIDA 1/4"</v>
      </c>
      <c r="O1857" s="533"/>
      <c r="P1857" s="533"/>
      <c r="Q1857" s="533"/>
      <c r="R1857" s="78" t="str">
        <f>IFERROR(VLOOKUP(M1857,INSUMOS!$C$8:$K$928,6,0),"-----")</f>
        <v>und</v>
      </c>
      <c r="S1857" s="396">
        <v>0.01</v>
      </c>
      <c r="T1857" s="387">
        <v>0.02</v>
      </c>
      <c r="U1857" s="388">
        <f>IFERROR(VLOOKUP(M1857,INSUMOS!$C$8:$K$928,7,0),"0")</f>
        <v>146569</v>
      </c>
      <c r="V1857" s="389">
        <f>+IFERROR(U1857*(S1857*(1+T1857)),0)</f>
        <v>1495.0038000000002</v>
      </c>
      <c r="Y1857" s="393">
        <f>+IFERROR(Y1843*(S1857*(1+T1857)),0)</f>
        <v>8.1600000000000006E-2</v>
      </c>
      <c r="Z1857" s="391">
        <f>Y1843*V1857</f>
        <v>11960.030400000001</v>
      </c>
      <c r="AA1857" s="394"/>
      <c r="AB1857" s="395">
        <f>+Y1857*U1857</f>
        <v>11960.030400000001</v>
      </c>
      <c r="AC1857" s="93">
        <f>+AB1857-Z1857</f>
        <v>0</v>
      </c>
      <c r="AD1857" s="94"/>
      <c r="AE1857" s="406" t="str">
        <f>+IF(V1857=0,"CERO","NO")</f>
        <v>NO</v>
      </c>
    </row>
    <row r="1858" spans="3:31" s="260" customFormat="1" x14ac:dyDescent="0.25">
      <c r="C1858" s="84"/>
      <c r="D1858" s="85"/>
      <c r="E1858" s="86"/>
      <c r="F1858" s="86"/>
      <c r="G1858" s="86"/>
      <c r="H1858" s="86"/>
      <c r="I1858" s="86"/>
      <c r="J1858" s="87"/>
      <c r="K1858" s="88"/>
      <c r="M1858" s="102">
        <v>700</v>
      </c>
      <c r="N1858" s="533" t="str">
        <f>IFERROR(VLOOKUP(M1858,INSUMOS!$C$8:$K$928,2,0),"-----")</f>
        <v>LIMPIADOR PVC 1/4</v>
      </c>
      <c r="O1858" s="533"/>
      <c r="P1858" s="533"/>
      <c r="Q1858" s="533"/>
      <c r="R1858" s="78" t="str">
        <f>IFERROR(VLOOKUP(M1858,INSUMOS!$C$8:$K$928,6,0),"-----")</f>
        <v>und</v>
      </c>
      <c r="S1858" s="396">
        <v>0.01</v>
      </c>
      <c r="T1858" s="387">
        <v>0.02</v>
      </c>
      <c r="U1858" s="388">
        <f>IFERROR(VLOOKUP(M1858,INSUMOS!$C$8:$K$928,7,0),"0")</f>
        <v>65913</v>
      </c>
      <c r="V1858" s="389">
        <f>+IFERROR(U1858*(S1858*(1+T1858)),0)</f>
        <v>672.31260000000009</v>
      </c>
      <c r="Y1858" s="393">
        <f>+IFERROR(Y1843*(S1858*(1+T1858)),0)</f>
        <v>8.1600000000000006E-2</v>
      </c>
      <c r="Z1858" s="391">
        <f>Y1843*V1858</f>
        <v>5378.5008000000007</v>
      </c>
      <c r="AA1858" s="394"/>
      <c r="AB1858" s="395">
        <f>+Y1858*U1858</f>
        <v>5378.5008000000007</v>
      </c>
      <c r="AC1858" s="93">
        <f>+AB1858-Z1858</f>
        <v>0</v>
      </c>
      <c r="AD1858" s="94"/>
      <c r="AE1858" s="406" t="str">
        <f>+IF(V1858=0,"CERO","NO")</f>
        <v>NO</v>
      </c>
    </row>
    <row r="1859" spans="3:31" s="260" customFormat="1" x14ac:dyDescent="0.25">
      <c r="C1859" s="84"/>
      <c r="D1859" s="85"/>
      <c r="E1859" s="86"/>
      <c r="F1859" s="86"/>
      <c r="G1859" s="86"/>
      <c r="H1859" s="86"/>
      <c r="I1859" s="86"/>
      <c r="J1859" s="87"/>
      <c r="K1859" s="88"/>
      <c r="M1859" s="102">
        <v>0</v>
      </c>
      <c r="N1859" s="533" t="str">
        <f>IFERROR(VLOOKUP(M1859,INSUMOS!$C$8:$K$928,2,0),"-----")</f>
        <v>-----</v>
      </c>
      <c r="O1859" s="533"/>
      <c r="P1859" s="533"/>
      <c r="Q1859" s="533"/>
      <c r="R1859" s="78" t="str">
        <f>IFERROR(VLOOKUP(M1859,INSUMOS!$C$8:$K$928,6,0),"-----")</f>
        <v>-----</v>
      </c>
      <c r="S1859" s="396"/>
      <c r="T1859" s="387"/>
      <c r="U1859" s="388" t="str">
        <f>IFERROR(VLOOKUP(M1859,INSUMOS!$C$8:$K$928,7,0),"0")</f>
        <v>0</v>
      </c>
      <c r="V1859" s="389">
        <f>+IFERROR(U1859*(S1859*(1+T1859)),0)</f>
        <v>0</v>
      </c>
      <c r="Y1859" s="393">
        <f>+IFERROR(Y1843*(S1859*(1+T1859)),0)</f>
        <v>0</v>
      </c>
      <c r="Z1859" s="391">
        <f>Y1843*V1859</f>
        <v>0</v>
      </c>
      <c r="AA1859" s="394"/>
      <c r="AB1859" s="395">
        <f>+Y1859*U1859</f>
        <v>0</v>
      </c>
      <c r="AC1859" s="93">
        <f>+AB1859-Z1859</f>
        <v>0</v>
      </c>
      <c r="AD1859" s="94"/>
      <c r="AE1859" s="406" t="str">
        <f>+IF(V1859=0,"CERO","NO")</f>
        <v>CERO</v>
      </c>
    </row>
    <row r="1860" spans="3:31" s="260" customFormat="1" ht="15.75" thickBot="1" x14ac:dyDescent="0.3">
      <c r="C1860" s="84"/>
      <c r="D1860" s="85"/>
      <c r="E1860" s="86"/>
      <c r="F1860" s="86"/>
      <c r="G1860" s="86"/>
      <c r="H1860" s="86"/>
      <c r="I1860" s="86"/>
      <c r="J1860" s="87"/>
      <c r="K1860" s="88"/>
      <c r="M1860" s="102">
        <v>0</v>
      </c>
      <c r="N1860" s="564"/>
      <c r="O1860" s="564"/>
      <c r="P1860" s="564"/>
      <c r="Q1860" s="564"/>
      <c r="R1860" s="96"/>
      <c r="S1860" s="79"/>
      <c r="T1860" s="97"/>
      <c r="U1860" s="358"/>
      <c r="V1860" s="397"/>
      <c r="Y1860" s="393">
        <f>+IFERROR(Y1843*(S1860*(1+T1860)),0)</f>
        <v>0</v>
      </c>
      <c r="Z1860" s="391">
        <f>Y1843*V1860</f>
        <v>0</v>
      </c>
      <c r="AA1860" s="394"/>
      <c r="AB1860" s="395">
        <f>+Y1860*U1860</f>
        <v>0</v>
      </c>
      <c r="AC1860" s="93">
        <f>+AB1860-Z1860</f>
        <v>0</v>
      </c>
      <c r="AD1860" s="94"/>
      <c r="AE1860" s="406" t="str">
        <f>+IF(V1860=0,"CERO","NO")</f>
        <v>CERO</v>
      </c>
    </row>
    <row r="1861" spans="3:31" s="260" customFormat="1" ht="15.75" thickBot="1" x14ac:dyDescent="0.3">
      <c r="C1861" s="84"/>
      <c r="D1861" s="375" t="s">
        <v>128</v>
      </c>
      <c r="E1861" s="376" t="s">
        <v>129</v>
      </c>
      <c r="F1861" s="376" t="s">
        <v>130</v>
      </c>
      <c r="G1861" s="376" t="s">
        <v>131</v>
      </c>
      <c r="H1861" s="376" t="s">
        <v>132</v>
      </c>
      <c r="I1861" s="376" t="s">
        <v>133</v>
      </c>
      <c r="J1861" s="377" t="s">
        <v>134</v>
      </c>
      <c r="K1861" s="88"/>
      <c r="M1861" s="534"/>
      <c r="N1861" s="536" t="s">
        <v>106</v>
      </c>
      <c r="O1861" s="536"/>
      <c r="P1861" s="536"/>
      <c r="Q1861" s="536"/>
      <c r="R1861" s="536"/>
      <c r="S1861" s="536"/>
      <c r="T1861" s="536"/>
      <c r="U1861" s="536"/>
      <c r="V1861" s="389">
        <f>+SUM(V1856:V1860)</f>
        <v>1928806.3164000001</v>
      </c>
      <c r="Y1861" s="398" t="s">
        <v>135</v>
      </c>
      <c r="Z1861" s="397">
        <f>+SUM(Z1856:Z1860)</f>
        <v>15430450.531200001</v>
      </c>
      <c r="AA1861" s="86"/>
      <c r="AB1861" s="384"/>
      <c r="AC1861" s="385"/>
      <c r="AD1861" s="94"/>
      <c r="AE1861" s="399"/>
    </row>
    <row r="1862" spans="3:31" s="260" customFormat="1" ht="15.75" thickBot="1" x14ac:dyDescent="0.3">
      <c r="C1862" s="84"/>
      <c r="D1862" s="375"/>
      <c r="E1862" s="407">
        <f>+D1853</f>
        <v>2.2799999999999998</v>
      </c>
      <c r="F1862" s="376"/>
      <c r="G1862" s="376"/>
      <c r="H1862" s="376"/>
      <c r="I1862" s="376"/>
      <c r="J1862" s="377"/>
      <c r="K1862" s="88"/>
      <c r="M1862" s="535"/>
      <c r="N1862" s="537" t="s">
        <v>107</v>
      </c>
      <c r="O1862" s="537"/>
      <c r="P1862" s="537"/>
      <c r="Q1862" s="537"/>
      <c r="R1862" s="537"/>
      <c r="S1862" s="537"/>
      <c r="T1862" s="537"/>
      <c r="U1862" s="537"/>
      <c r="V1862" s="408">
        <f>+ROUND(V1861,$AA$5)</f>
        <v>1928806.32</v>
      </c>
      <c r="Y1862" s="401" t="s">
        <v>136</v>
      </c>
      <c r="Z1862" s="402">
        <f>+ROUND(Z1861,$AA$5)</f>
        <v>15430450.529999999</v>
      </c>
      <c r="AA1862" s="86"/>
      <c r="AB1862" s="403">
        <f>+V1862*Y1843</f>
        <v>15430450.560000001</v>
      </c>
      <c r="AC1862" s="404">
        <f>+AB1862-Z1862</f>
        <v>3.0000001192092896E-2</v>
      </c>
      <c r="AD1862" s="94"/>
      <c r="AE1862" s="405"/>
    </row>
    <row r="1863" spans="3:31" s="260" customFormat="1" x14ac:dyDescent="0.25">
      <c r="C1863" s="84"/>
      <c r="D1863" s="380"/>
      <c r="E1863" s="381"/>
      <c r="F1863" s="381"/>
      <c r="G1863" s="381"/>
      <c r="H1863" s="381"/>
      <c r="I1863" s="381"/>
      <c r="J1863" s="382"/>
      <c r="K1863" s="88"/>
      <c r="M1863" s="568" t="s">
        <v>108</v>
      </c>
      <c r="N1863" s="569"/>
      <c r="O1863" s="569"/>
      <c r="P1863" s="569"/>
      <c r="Q1863" s="569"/>
      <c r="R1863" s="569"/>
      <c r="S1863" s="569"/>
      <c r="T1863" s="569"/>
      <c r="U1863" s="569"/>
      <c r="V1863" s="570"/>
      <c r="Y1863" s="378"/>
      <c r="Z1863" s="121"/>
      <c r="AA1863" s="86"/>
      <c r="AB1863" s="409"/>
      <c r="AC1863" s="121"/>
      <c r="AD1863" s="94"/>
      <c r="AE1863" s="126"/>
    </row>
    <row r="1864" spans="3:31" s="260" customFormat="1" ht="25.5" x14ac:dyDescent="0.25">
      <c r="C1864" s="84"/>
      <c r="D1864" s="85"/>
      <c r="E1864" s="86"/>
      <c r="F1864" s="86"/>
      <c r="G1864" s="86"/>
      <c r="H1864" s="86"/>
      <c r="I1864" s="86"/>
      <c r="J1864" s="87"/>
      <c r="K1864" s="88"/>
      <c r="M1864" s="99" t="s">
        <v>94</v>
      </c>
      <c r="N1864" s="561" t="s">
        <v>95</v>
      </c>
      <c r="O1864" s="561"/>
      <c r="P1864" s="561"/>
      <c r="Q1864" s="95" t="s">
        <v>109</v>
      </c>
      <c r="R1864" s="95" t="s">
        <v>110</v>
      </c>
      <c r="S1864" s="95" t="s">
        <v>111</v>
      </c>
      <c r="T1864" s="562" t="s">
        <v>112</v>
      </c>
      <c r="U1864" s="562"/>
      <c r="V1864" s="100" t="s">
        <v>98</v>
      </c>
      <c r="Y1864" s="383" t="s">
        <v>104</v>
      </c>
      <c r="Z1864" s="119" t="s">
        <v>9</v>
      </c>
      <c r="AA1864" s="86"/>
      <c r="AB1864" s="384"/>
      <c r="AC1864" s="385"/>
      <c r="AD1864" s="94"/>
      <c r="AE1864" s="410"/>
    </row>
    <row r="1865" spans="3:31" s="260" customFormat="1" x14ac:dyDescent="0.25">
      <c r="C1865" s="84"/>
      <c r="D1865" s="85"/>
      <c r="E1865" s="86"/>
      <c r="F1865" s="86"/>
      <c r="G1865" s="86"/>
      <c r="H1865" s="86"/>
      <c r="I1865" s="86"/>
      <c r="J1865" s="87"/>
      <c r="K1865" s="88"/>
      <c r="M1865" s="102">
        <v>129</v>
      </c>
      <c r="N1865" s="530" t="str">
        <f>IFERROR(VLOOKUP(M1865,INSUMOS!$C$8:$K$928,2,0),"-----")</f>
        <v>transporte materiales en general</v>
      </c>
      <c r="O1865" s="531"/>
      <c r="P1865" s="532"/>
      <c r="Q1865" s="78" t="str">
        <f>IFERROR(VLOOKUP(M1865,INSUMOS!$C$8:$K$928,5,0),"-----")</f>
        <v>Km</v>
      </c>
      <c r="R1865" s="80">
        <v>1</v>
      </c>
      <c r="S1865" s="80">
        <f>IFERROR(VLOOKUP(M1865,INSUMOS!$C$8:$K$928,6,0),"0")</f>
        <v>348</v>
      </c>
      <c r="T1865" s="529">
        <f>IFERROR(VLOOKUP(M1865,INSUMOS!$C$8:$K$928,7,0),"0")</f>
        <v>0.99776362060288992</v>
      </c>
      <c r="U1865" s="529"/>
      <c r="V1865" s="82">
        <f>+T1865*S1865*R1865</f>
        <v>347.2217399698057</v>
      </c>
      <c r="Y1865" s="393">
        <f>+IFERROR((R1865*S1865)*Y1843,0)</f>
        <v>2784</v>
      </c>
      <c r="Z1865" s="391">
        <f>Y1843*V1865</f>
        <v>2777.7739197584456</v>
      </c>
      <c r="AA1865" s="86"/>
      <c r="AB1865" s="92">
        <f>+Y1865*T1865</f>
        <v>2777.7739197584456</v>
      </c>
      <c r="AC1865" s="93">
        <f>+AB1865-Z1865</f>
        <v>0</v>
      </c>
      <c r="AD1865" s="94"/>
      <c r="AE1865" s="406" t="str">
        <f>+IF(V1865=0,"CERO","NO")</f>
        <v>NO</v>
      </c>
    </row>
    <row r="1866" spans="3:31" s="260" customFormat="1" x14ac:dyDescent="0.25">
      <c r="C1866" s="84"/>
      <c r="D1866" s="85"/>
      <c r="E1866" s="86"/>
      <c r="F1866" s="86"/>
      <c r="G1866" s="86"/>
      <c r="H1866" s="86"/>
      <c r="I1866" s="86"/>
      <c r="J1866" s="87"/>
      <c r="K1866" s="88"/>
      <c r="M1866" s="102">
        <v>0</v>
      </c>
      <c r="N1866" s="530" t="str">
        <f>IFERROR(VLOOKUP(M1866,INSUMOS!$C$8:$K$928,2,0),"-----")</f>
        <v>-----</v>
      </c>
      <c r="O1866" s="531"/>
      <c r="P1866" s="532"/>
      <c r="Q1866" s="78" t="str">
        <f>IFERROR(VLOOKUP(M1866,INSUMOS!$C$8:$K$928,5,0),"-----")</f>
        <v>-----</v>
      </c>
      <c r="R1866" s="80"/>
      <c r="S1866" s="80" t="str">
        <f>IFERROR(VLOOKUP(M1866,INSUMOS!$C$8:$K$928,6,0),"0")</f>
        <v>0</v>
      </c>
      <c r="T1866" s="529" t="str">
        <f>IFERROR(VLOOKUP(M1866,INSUMOS!$C$8:$K$928,7,0),"0")</f>
        <v>0</v>
      </c>
      <c r="U1866" s="529"/>
      <c r="V1866" s="82">
        <f>+T1866*S1866*R1866</f>
        <v>0</v>
      </c>
      <c r="Y1866" s="393">
        <f>+IFERROR((R1866*S1866)*Y1843,0)</f>
        <v>0</v>
      </c>
      <c r="Z1866" s="391">
        <f>Y1843*V1866</f>
        <v>0</v>
      </c>
      <c r="AA1866" s="86"/>
      <c r="AB1866" s="92">
        <f>+Y1866*T1866</f>
        <v>0</v>
      </c>
      <c r="AC1866" s="93">
        <f>+AB1866-Z1866</f>
        <v>0</v>
      </c>
      <c r="AD1866" s="94"/>
      <c r="AE1866" s="406" t="str">
        <f>+IF(V1866=0,"CERO","NO")</f>
        <v>CERO</v>
      </c>
    </row>
    <row r="1867" spans="3:31" s="260" customFormat="1" x14ac:dyDescent="0.25">
      <c r="C1867" s="84"/>
      <c r="D1867" s="85"/>
      <c r="E1867" s="86"/>
      <c r="F1867" s="86"/>
      <c r="G1867" s="86"/>
      <c r="H1867" s="86"/>
      <c r="I1867" s="86"/>
      <c r="J1867" s="87"/>
      <c r="K1867" s="88"/>
      <c r="M1867" s="102">
        <v>0</v>
      </c>
      <c r="N1867" s="530" t="str">
        <f>IFERROR(VLOOKUP(M1867,INSUMOS!$C$8:$K$928,2,0),"-----")</f>
        <v>-----</v>
      </c>
      <c r="O1867" s="531"/>
      <c r="P1867" s="532"/>
      <c r="Q1867" s="78" t="str">
        <f>IFERROR(VLOOKUP(M1867,INSUMOS!$C$8:$K$928,5,0),"-----")</f>
        <v>-----</v>
      </c>
      <c r="R1867" s="80"/>
      <c r="S1867" s="80" t="str">
        <f>IFERROR(VLOOKUP(M1867,INSUMOS!$C$8:$K$928,6,0),"0")</f>
        <v>0</v>
      </c>
      <c r="T1867" s="529" t="str">
        <f>IFERROR(VLOOKUP(M1867,INSUMOS!$C$8:$K$928,7,0),"0")</f>
        <v>0</v>
      </c>
      <c r="U1867" s="529"/>
      <c r="V1867" s="82">
        <f>+T1867*S1867*R1867</f>
        <v>0</v>
      </c>
      <c r="Y1867" s="393">
        <f>+IFERROR((R1867*S1867)*Y1843,0)</f>
        <v>0</v>
      </c>
      <c r="Z1867" s="391">
        <f>Y1843*V1867</f>
        <v>0</v>
      </c>
      <c r="AA1867" s="86"/>
      <c r="AB1867" s="92">
        <f>+Y1867*T1867</f>
        <v>0</v>
      </c>
      <c r="AC1867" s="93">
        <f>+AB1867-Z1867</f>
        <v>0</v>
      </c>
      <c r="AD1867" s="94"/>
      <c r="AE1867" s="406" t="str">
        <f>+IF(V1867=0,"CERO","NO")</f>
        <v>CERO</v>
      </c>
    </row>
    <row r="1868" spans="3:31" s="260" customFormat="1" ht="15.75" thickBot="1" x14ac:dyDescent="0.3">
      <c r="C1868" s="84"/>
      <c r="D1868" s="89"/>
      <c r="E1868" s="90"/>
      <c r="F1868" s="90"/>
      <c r="G1868" s="90"/>
      <c r="H1868" s="90"/>
      <c r="I1868" s="90"/>
      <c r="J1868" s="91"/>
      <c r="K1868" s="88"/>
      <c r="M1868" s="102">
        <v>0</v>
      </c>
      <c r="N1868" s="533"/>
      <c r="O1868" s="533"/>
      <c r="P1868" s="533"/>
      <c r="Q1868" s="79"/>
      <c r="R1868" s="78"/>
      <c r="S1868" s="81"/>
      <c r="T1868" s="529"/>
      <c r="U1868" s="529"/>
      <c r="V1868" s="82"/>
      <c r="Y1868" s="393">
        <f>+IFERROR((R1868*S1868)*Y1843,0)</f>
        <v>0</v>
      </c>
      <c r="Z1868" s="391">
        <f>Y1843*V1868</f>
        <v>0</v>
      </c>
      <c r="AA1868" s="86"/>
      <c r="AB1868" s="92">
        <f>+Y1868*T1868</f>
        <v>0</v>
      </c>
      <c r="AC1868" s="93">
        <f>+AB1868-Z1868</f>
        <v>0</v>
      </c>
      <c r="AD1868" s="94"/>
      <c r="AE1868" s="406" t="str">
        <f>+IF(V1868=0,"CERO","NO")</f>
        <v>CERO</v>
      </c>
    </row>
    <row r="1869" spans="3:31" s="260" customFormat="1" ht="15.75" thickBot="1" x14ac:dyDescent="0.3">
      <c r="C1869" s="84"/>
      <c r="D1869" s="375" t="s">
        <v>128</v>
      </c>
      <c r="E1869" s="376" t="s">
        <v>129</v>
      </c>
      <c r="F1869" s="376" t="s">
        <v>130</v>
      </c>
      <c r="G1869" s="376" t="s">
        <v>131</v>
      </c>
      <c r="H1869" s="376" t="s">
        <v>132</v>
      </c>
      <c r="I1869" s="376" t="s">
        <v>133</v>
      </c>
      <c r="J1869" s="377" t="s">
        <v>134</v>
      </c>
      <c r="K1869" s="88"/>
      <c r="M1869" s="534"/>
      <c r="N1869" s="536" t="s">
        <v>113</v>
      </c>
      <c r="O1869" s="536"/>
      <c r="P1869" s="536"/>
      <c r="Q1869" s="536"/>
      <c r="R1869" s="536"/>
      <c r="S1869" s="536"/>
      <c r="T1869" s="536"/>
      <c r="U1869" s="536"/>
      <c r="V1869" s="411">
        <f>+SUM(V1865:V1868)</f>
        <v>347.2217399698057</v>
      </c>
      <c r="Y1869" s="398" t="s">
        <v>135</v>
      </c>
      <c r="Z1869" s="397">
        <f>+SUM(Z1865:Z1868)</f>
        <v>2777.7739197584456</v>
      </c>
      <c r="AA1869" s="86"/>
      <c r="AB1869" s="384"/>
      <c r="AC1869" s="385"/>
      <c r="AD1869" s="94"/>
      <c r="AE1869" s="399"/>
    </row>
    <row r="1870" spans="3:31" s="260" customFormat="1" ht="15.75" thickBot="1" x14ac:dyDescent="0.3">
      <c r="C1870" s="84"/>
      <c r="D1870" s="355"/>
      <c r="E1870" s="367"/>
      <c r="F1870" s="412">
        <f>+E1862</f>
        <v>2.2799999999999998</v>
      </c>
      <c r="G1870" s="367"/>
      <c r="H1870" s="367"/>
      <c r="I1870" s="367"/>
      <c r="J1870" s="368"/>
      <c r="K1870" s="88"/>
      <c r="M1870" s="535"/>
      <c r="N1870" s="537" t="s">
        <v>114</v>
      </c>
      <c r="O1870" s="537"/>
      <c r="P1870" s="537"/>
      <c r="Q1870" s="537"/>
      <c r="R1870" s="537"/>
      <c r="S1870" s="537"/>
      <c r="T1870" s="537"/>
      <c r="U1870" s="537"/>
      <c r="V1870" s="413">
        <f>+ROUND(V1869,$AA$5)</f>
        <v>347.22</v>
      </c>
      <c r="Y1870" s="401" t="s">
        <v>136</v>
      </c>
      <c r="Z1870" s="402">
        <f>+ROUND(Z1869,$AA$5)</f>
        <v>2777.77</v>
      </c>
      <c r="AA1870" s="86"/>
      <c r="AB1870" s="403">
        <f>+V1870*Y1843</f>
        <v>2777.76</v>
      </c>
      <c r="AC1870" s="414"/>
      <c r="AD1870" s="94"/>
      <c r="AE1870" s="405"/>
    </row>
    <row r="1871" spans="3:31" s="260" customFormat="1" ht="15.75" thickBot="1" x14ac:dyDescent="0.3">
      <c r="C1871" s="84"/>
      <c r="D1871" s="415"/>
      <c r="E1871" s="416"/>
      <c r="F1871" s="416"/>
      <c r="G1871" s="416"/>
      <c r="H1871" s="416"/>
      <c r="I1871" s="416"/>
      <c r="J1871" s="417"/>
      <c r="K1871" s="88"/>
      <c r="M1871" s="538" t="s">
        <v>115</v>
      </c>
      <c r="N1871" s="539"/>
      <c r="O1871" s="539"/>
      <c r="P1871" s="539"/>
      <c r="Q1871" s="539"/>
      <c r="R1871" s="539"/>
      <c r="S1871" s="539"/>
      <c r="T1871" s="539"/>
      <c r="U1871" s="539"/>
      <c r="V1871" s="540"/>
      <c r="Y1871" s="378"/>
      <c r="Z1871" s="121"/>
      <c r="AA1871" s="86"/>
      <c r="AB1871" s="409"/>
      <c r="AC1871" s="121"/>
      <c r="AD1871" s="94"/>
      <c r="AE1871" s="126"/>
    </row>
    <row r="1872" spans="3:31" s="260" customFormat="1" ht="15.75" thickBot="1" x14ac:dyDescent="0.3">
      <c r="C1872" s="84"/>
      <c r="D1872" s="375" t="s">
        <v>128</v>
      </c>
      <c r="E1872" s="376" t="s">
        <v>129</v>
      </c>
      <c r="F1872" s="376" t="s">
        <v>130</v>
      </c>
      <c r="G1872" s="376" t="s">
        <v>131</v>
      </c>
      <c r="H1872" s="376" t="s">
        <v>132</v>
      </c>
      <c r="I1872" s="376" t="s">
        <v>133</v>
      </c>
      <c r="J1872" s="377" t="s">
        <v>134</v>
      </c>
      <c r="K1872" s="88"/>
      <c r="M1872" s="99" t="s">
        <v>94</v>
      </c>
      <c r="N1872" s="98" t="s">
        <v>95</v>
      </c>
      <c r="O1872" s="95" t="s">
        <v>96</v>
      </c>
      <c r="P1872" s="359" t="s">
        <v>104</v>
      </c>
      <c r="Q1872" s="95" t="s">
        <v>116</v>
      </c>
      <c r="R1872" s="418" t="s">
        <v>117</v>
      </c>
      <c r="S1872" s="95" t="s">
        <v>347</v>
      </c>
      <c r="T1872" s="419" t="s">
        <v>118</v>
      </c>
      <c r="U1872" s="189" t="s">
        <v>119</v>
      </c>
      <c r="V1872" s="100" t="s">
        <v>98</v>
      </c>
      <c r="Y1872" s="383" t="s">
        <v>104</v>
      </c>
      <c r="Z1872" s="119" t="s">
        <v>9</v>
      </c>
      <c r="AA1872" s="86"/>
      <c r="AB1872" s="384"/>
      <c r="AC1872" s="385"/>
      <c r="AD1872" s="94"/>
      <c r="AE1872" s="410"/>
    </row>
    <row r="1873" spans="3:31" s="260" customFormat="1" ht="25.5" x14ac:dyDescent="0.25">
      <c r="C1873" s="84"/>
      <c r="D1873" s="354"/>
      <c r="E1873" s="96"/>
      <c r="F1873" s="96"/>
      <c r="G1873" s="96"/>
      <c r="H1873" s="96"/>
      <c r="I1873" s="96"/>
      <c r="J1873" s="420">
        <f>+F1870</f>
        <v>2.2799999999999998</v>
      </c>
      <c r="K1873" s="88"/>
      <c r="M1873" s="102">
        <v>207</v>
      </c>
      <c r="N1873" s="347" t="str">
        <f>IFERROR(VLOOKUP(M1873,INSUMOS!$C$8:$K$928,2,0),"-----")</f>
        <v>Oficial Hidrosanitario</v>
      </c>
      <c r="O1873" s="78" t="str">
        <f>IFERROR(VLOOKUP(M1873,INSUMOS!$C$8:$K$928,3,0),"-----")</f>
        <v>JORNAL+PS</v>
      </c>
      <c r="P1873" s="80">
        <v>1</v>
      </c>
      <c r="Q1873" s="79">
        <v>20</v>
      </c>
      <c r="R1873" s="190">
        <f>IFERROR(VLOOKUP(M1873,INSUMOS!$C$8:$K$928,4,0),"-----")</f>
        <v>92983</v>
      </c>
      <c r="S1873" s="190">
        <f>IFERROR(VLOOKUP(M1873,INSUMOS!$C$8:$K$928,6,0),"-----")</f>
        <v>74386</v>
      </c>
      <c r="T1873" s="190">
        <f>IFERROR(VLOOKUP(M1873,INSUMOS!$C$8:$K$928,5,0),"-----")</f>
        <v>0</v>
      </c>
      <c r="U1873" s="388">
        <f>SUM(R1873:T1873)</f>
        <v>167369</v>
      </c>
      <c r="V1873" s="82">
        <f>+IFERROR((P1873/Q1873)*U1873,0)</f>
        <v>8368.4500000000007</v>
      </c>
      <c r="Y1873" s="393">
        <f>+IFERROR((Y1843/Q1873*P1873),0)</f>
        <v>0.4</v>
      </c>
      <c r="Z1873" s="391">
        <f>Y1843*V1873</f>
        <v>66947.600000000006</v>
      </c>
      <c r="AA1873" s="86"/>
      <c r="AB1873" s="92">
        <f>+(U1873)*Y1873</f>
        <v>66947.600000000006</v>
      </c>
      <c r="AC1873" s="93">
        <f>+AB1873-Z1873</f>
        <v>0</v>
      </c>
      <c r="AD1873" s="421"/>
      <c r="AE1873" s="410" t="str">
        <f>+IF(V1873=0,"CERO","NO")</f>
        <v>NO</v>
      </c>
    </row>
    <row r="1874" spans="3:31" s="260" customFormat="1" ht="15.75" thickBot="1" x14ac:dyDescent="0.3">
      <c r="C1874" s="84"/>
      <c r="D1874" s="355"/>
      <c r="E1874" s="367"/>
      <c r="F1874" s="367"/>
      <c r="G1874" s="367"/>
      <c r="H1874" s="367"/>
      <c r="I1874" s="367"/>
      <c r="J1874" s="422">
        <f>+J1873</f>
        <v>2.2799999999999998</v>
      </c>
      <c r="K1874" s="88"/>
      <c r="M1874" s="102"/>
      <c r="N1874" s="347" t="str">
        <f>IFERROR(VLOOKUP(M1874,INSUMOS!$C$8:$K$928,2,0),"-----")</f>
        <v>-----</v>
      </c>
      <c r="O1874" s="78" t="str">
        <f>IFERROR(VLOOKUP(M1874,INSUMOS!$C$8:$K$928,3,0),"-----")</f>
        <v>-----</v>
      </c>
      <c r="P1874" s="80"/>
      <c r="Q1874" s="79"/>
      <c r="R1874" s="190" t="str">
        <f>IFERROR(VLOOKUP(M1874,INSUMOS!$C$8:$K$928,4,0),"-----")</f>
        <v>-----</v>
      </c>
      <c r="S1874" s="190" t="str">
        <f>IFERROR(VLOOKUP(M1874,INSUMOS!$C$8:$K$928,6,0),"-----")</f>
        <v>-----</v>
      </c>
      <c r="T1874" s="190" t="str">
        <f>IFERROR(VLOOKUP(M1874,INSUMOS!$C$8:$K$928,5,0),"-----")</f>
        <v>-----</v>
      </c>
      <c r="U1874" s="388">
        <f>SUM(R1874:T1874)</f>
        <v>0</v>
      </c>
      <c r="V1874" s="82">
        <f>+IFERROR((P1874/Q1874)*U1874,0)</f>
        <v>0</v>
      </c>
      <c r="Y1874" s="393">
        <f>+IFERROR((Y1843/Q1874*P1874),0)</f>
        <v>0</v>
      </c>
      <c r="Z1874" s="391">
        <f>Y1843*V1874</f>
        <v>0</v>
      </c>
      <c r="AA1874" s="86"/>
      <c r="AB1874" s="92">
        <f>+U1874*Y1874</f>
        <v>0</v>
      </c>
      <c r="AC1874" s="93">
        <f>+AB1874-Z1874</f>
        <v>0</v>
      </c>
      <c r="AD1874" s="94"/>
      <c r="AE1874" s="410" t="str">
        <f>+IF(V1874=0,"CERO","NO")</f>
        <v>CERO</v>
      </c>
    </row>
    <row r="1875" spans="3:31" s="260" customFormat="1" ht="15.75" thickBot="1" x14ac:dyDescent="0.3">
      <c r="C1875" s="84"/>
      <c r="D1875" s="380"/>
      <c r="E1875" s="381"/>
      <c r="F1875" s="381"/>
      <c r="G1875" s="381"/>
      <c r="H1875" s="381"/>
      <c r="I1875" s="381"/>
      <c r="J1875" s="382"/>
      <c r="K1875" s="88"/>
      <c r="M1875" s="102">
        <v>0</v>
      </c>
      <c r="N1875" s="347"/>
      <c r="O1875" s="79"/>
      <c r="P1875" s="423"/>
      <c r="Q1875" s="81"/>
      <c r="R1875" s="111"/>
      <c r="S1875" s="357"/>
      <c r="T1875" s="111"/>
      <c r="U1875" s="388"/>
      <c r="V1875" s="426"/>
      <c r="Y1875" s="393">
        <f>+IFERROR((Y1843/Q1875*P1875),0)</f>
        <v>0</v>
      </c>
      <c r="Z1875" s="391">
        <f>Y1843*V1875</f>
        <v>0</v>
      </c>
      <c r="AA1875" s="86"/>
      <c r="AB1875" s="92">
        <f>+(U1875)*Y1875*P1875</f>
        <v>0</v>
      </c>
      <c r="AC1875" s="93">
        <f>+AB1875-Z1875</f>
        <v>0</v>
      </c>
      <c r="AD1875" s="94"/>
      <c r="AE1875" s="410" t="str">
        <f>+IF(V1875=0,"CERO","NO")</f>
        <v>CERO</v>
      </c>
    </row>
    <row r="1876" spans="3:31" s="260" customFormat="1" ht="15.75" thickBot="1" x14ac:dyDescent="0.3">
      <c r="C1876" s="84"/>
      <c r="D1876" s="375" t="s">
        <v>128</v>
      </c>
      <c r="E1876" s="376" t="s">
        <v>129</v>
      </c>
      <c r="F1876" s="376" t="s">
        <v>130</v>
      </c>
      <c r="G1876" s="376" t="s">
        <v>131</v>
      </c>
      <c r="H1876" s="376" t="s">
        <v>132</v>
      </c>
      <c r="I1876" s="376" t="s">
        <v>133</v>
      </c>
      <c r="J1876" s="377" t="s">
        <v>134</v>
      </c>
      <c r="K1876" s="88"/>
      <c r="M1876" s="534"/>
      <c r="N1876" s="536" t="s">
        <v>120</v>
      </c>
      <c r="O1876" s="536"/>
      <c r="P1876" s="536"/>
      <c r="Q1876" s="536"/>
      <c r="R1876" s="536"/>
      <c r="S1876" s="536"/>
      <c r="T1876" s="536"/>
      <c r="U1876" s="536"/>
      <c r="V1876" s="82">
        <f>+SUM(V1873:V1875)</f>
        <v>8368.4500000000007</v>
      </c>
      <c r="Y1876" s="398" t="s">
        <v>135</v>
      </c>
      <c r="Z1876" s="397">
        <f>+SUM(Z1873:Z1875)</f>
        <v>66947.600000000006</v>
      </c>
      <c r="AA1876" s="86"/>
      <c r="AB1876" s="384"/>
      <c r="AC1876" s="385"/>
      <c r="AD1876" s="94"/>
      <c r="AE1876" s="399"/>
    </row>
    <row r="1877" spans="3:31" s="260" customFormat="1" ht="15.75" thickBot="1" x14ac:dyDescent="0.3">
      <c r="C1877" s="84"/>
      <c r="D1877" s="354"/>
      <c r="E1877" s="96"/>
      <c r="F1877" s="96"/>
      <c r="G1877" s="107">
        <f>+F1870</f>
        <v>2.2799999999999998</v>
      </c>
      <c r="H1877" s="96"/>
      <c r="I1877" s="96"/>
      <c r="J1877" s="427"/>
      <c r="K1877" s="88"/>
      <c r="M1877" s="535"/>
      <c r="N1877" s="537" t="s">
        <v>121</v>
      </c>
      <c r="O1877" s="537"/>
      <c r="P1877" s="537"/>
      <c r="Q1877" s="537"/>
      <c r="R1877" s="537"/>
      <c r="S1877" s="537"/>
      <c r="T1877" s="537"/>
      <c r="U1877" s="537"/>
      <c r="V1877" s="413">
        <f>+ROUND(V1876,$AA$5)</f>
        <v>8368.4500000000007</v>
      </c>
      <c r="Y1877" s="401" t="s">
        <v>136</v>
      </c>
      <c r="Z1877" s="402">
        <f>+ROUND(Z1876,$AA$5)</f>
        <v>66947.600000000006</v>
      </c>
      <c r="AA1877" s="86"/>
      <c r="AB1877" s="403">
        <f>+V1877*Y1843</f>
        <v>66947.600000000006</v>
      </c>
      <c r="AC1877" s="404">
        <f>+AB1877-Z1877</f>
        <v>0</v>
      </c>
      <c r="AD1877" s="94"/>
      <c r="AE1877" s="405"/>
    </row>
    <row r="1878" spans="3:31" s="260" customFormat="1" ht="15.75" thickBot="1" x14ac:dyDescent="0.3">
      <c r="C1878" s="84"/>
      <c r="D1878" s="375" t="s">
        <v>128</v>
      </c>
      <c r="E1878" s="376" t="s">
        <v>129</v>
      </c>
      <c r="F1878" s="376" t="s">
        <v>130</v>
      </c>
      <c r="G1878" s="376" t="s">
        <v>131</v>
      </c>
      <c r="H1878" s="376" t="s">
        <v>132</v>
      </c>
      <c r="I1878" s="376" t="s">
        <v>133</v>
      </c>
      <c r="J1878" s="377" t="s">
        <v>134</v>
      </c>
      <c r="K1878" s="88"/>
      <c r="M1878" s="541"/>
      <c r="N1878" s="542"/>
      <c r="O1878" s="542"/>
      <c r="P1878" s="542"/>
      <c r="Q1878" s="542"/>
      <c r="R1878" s="542"/>
      <c r="S1878" s="542"/>
      <c r="T1878" s="542"/>
      <c r="U1878" s="542"/>
      <c r="V1878" s="543"/>
      <c r="Y1878" s="378"/>
      <c r="Z1878" s="121"/>
      <c r="AA1878" s="86"/>
      <c r="AB1878" s="409"/>
      <c r="AC1878" s="121"/>
      <c r="AD1878" s="94"/>
      <c r="AE1878" s="428"/>
    </row>
    <row r="1879" spans="3:31" s="260" customFormat="1" ht="15.75" thickBot="1" x14ac:dyDescent="0.3">
      <c r="C1879" s="84"/>
      <c r="D1879" s="355"/>
      <c r="E1879" s="367"/>
      <c r="F1879" s="367"/>
      <c r="G1879" s="367"/>
      <c r="H1879" s="412">
        <f>G1877</f>
        <v>2.2799999999999998</v>
      </c>
      <c r="I1879" s="412"/>
      <c r="J1879" s="422"/>
      <c r="K1879" s="88"/>
      <c r="M1879" s="544" t="s">
        <v>122</v>
      </c>
      <c r="N1879" s="537"/>
      <c r="O1879" s="537"/>
      <c r="P1879" s="537"/>
      <c r="Q1879" s="537"/>
      <c r="R1879" s="537"/>
      <c r="S1879" s="537"/>
      <c r="T1879" s="537"/>
      <c r="U1879" s="545">
        <f>+V1877+V1870+V1862+V1853</f>
        <v>1937940.41</v>
      </c>
      <c r="V1879" s="546"/>
      <c r="Y1879" s="429"/>
      <c r="Z1879" s="430">
        <f>+Z1877+Z1870+Z1862+Z1853</f>
        <v>15503523.279999999</v>
      </c>
      <c r="AA1879" s="86"/>
      <c r="AB1879" s="431">
        <f>+AB1877+AB1870+AB1862+AB1853</f>
        <v>15503523.279999999</v>
      </c>
      <c r="AC1879" s="404">
        <f>+AB1879-Z1879</f>
        <v>0</v>
      </c>
      <c r="AD1879" s="94"/>
      <c r="AE1879" s="432"/>
    </row>
    <row r="1880" spans="3:31" s="260" customFormat="1" ht="15.75" thickBot="1" x14ac:dyDescent="0.3"/>
    <row r="1881" spans="3:31" s="260" customFormat="1" x14ac:dyDescent="0.25">
      <c r="M1881" s="547" t="s">
        <v>348</v>
      </c>
      <c r="N1881" s="548"/>
      <c r="O1881" s="548"/>
      <c r="P1881" s="548"/>
      <c r="Q1881" s="548"/>
      <c r="R1881" s="548"/>
      <c r="S1881" s="548"/>
      <c r="T1881" s="548"/>
      <c r="U1881" s="548"/>
      <c r="V1881" s="549"/>
      <c r="Y1881" s="378"/>
      <c r="Z1881" s="121"/>
      <c r="AA1881" s="86"/>
      <c r="AB1881" s="94"/>
      <c r="AC1881" s="94"/>
      <c r="AD1881" s="94"/>
      <c r="AE1881" s="126" t="s">
        <v>133</v>
      </c>
    </row>
    <row r="1882" spans="3:31" s="260" customFormat="1" x14ac:dyDescent="0.25">
      <c r="M1882" s="515" t="s">
        <v>138</v>
      </c>
      <c r="N1882" s="516"/>
      <c r="O1882" s="516"/>
      <c r="P1882" s="516"/>
      <c r="Q1882" s="516"/>
      <c r="R1882" s="516"/>
      <c r="S1882" s="516"/>
      <c r="T1882" s="437">
        <v>0</v>
      </c>
      <c r="U1882" s="517">
        <f>+ROUND(U1879*T1882,$AA$5)</f>
        <v>0</v>
      </c>
      <c r="V1882" s="518"/>
      <c r="Y1882" s="390"/>
      <c r="Z1882" s="438">
        <f>+Z1879*T1882</f>
        <v>0</v>
      </c>
      <c r="AA1882" s="86"/>
      <c r="AB1882" s="94"/>
      <c r="AC1882" s="94"/>
      <c r="AD1882" s="94"/>
      <c r="AE1882" s="386" t="s">
        <v>133</v>
      </c>
    </row>
    <row r="1883" spans="3:31" s="260" customFormat="1" x14ac:dyDescent="0.25">
      <c r="M1883" s="515" t="s">
        <v>19</v>
      </c>
      <c r="N1883" s="516"/>
      <c r="O1883" s="516"/>
      <c r="P1883" s="516"/>
      <c r="Q1883" s="516"/>
      <c r="R1883" s="516"/>
      <c r="S1883" s="516"/>
      <c r="T1883" s="437">
        <v>0.05</v>
      </c>
      <c r="U1883" s="517">
        <f>+ROUND(U1879*T1883,$AA$5)</f>
        <v>96897.02</v>
      </c>
      <c r="V1883" s="518"/>
      <c r="Y1883" s="390"/>
      <c r="Z1883" s="438">
        <f>+Z1879*T1883</f>
        <v>775176.16399999999</v>
      </c>
      <c r="AA1883" s="86"/>
      <c r="AB1883" s="94"/>
      <c r="AC1883" s="94"/>
      <c r="AD1883" s="94"/>
      <c r="AE1883" s="386" t="s">
        <v>133</v>
      </c>
    </row>
    <row r="1884" spans="3:31" s="260" customFormat="1" x14ac:dyDescent="0.25">
      <c r="M1884" s="515" t="s">
        <v>20</v>
      </c>
      <c r="N1884" s="516"/>
      <c r="O1884" s="516"/>
      <c r="P1884" s="516"/>
      <c r="Q1884" s="516"/>
      <c r="R1884" s="516"/>
      <c r="S1884" s="516"/>
      <c r="T1884" s="437">
        <v>0</v>
      </c>
      <c r="U1884" s="517">
        <f>+ROUND(U1879*T1884,$AA$5)</f>
        <v>0</v>
      </c>
      <c r="V1884" s="518"/>
      <c r="Y1884" s="390"/>
      <c r="Z1884" s="438">
        <f>+Z1879*T1884</f>
        <v>0</v>
      </c>
      <c r="AA1884" s="86"/>
      <c r="AB1884" s="94"/>
      <c r="AC1884" s="94"/>
      <c r="AD1884" s="94"/>
      <c r="AE1884" s="386" t="s">
        <v>133</v>
      </c>
    </row>
    <row r="1885" spans="3:31" s="260" customFormat="1" x14ac:dyDescent="0.25">
      <c r="M1885" s="515" t="s">
        <v>21</v>
      </c>
      <c r="N1885" s="516"/>
      <c r="O1885" s="516"/>
      <c r="P1885" s="516"/>
      <c r="Q1885" s="516"/>
      <c r="R1885" s="516"/>
      <c r="S1885" s="516"/>
      <c r="T1885" s="437">
        <f>$AA$9</f>
        <v>0</v>
      </c>
      <c r="U1885" s="517">
        <f>+ROUND(U1879*T1885,$AA$5)</f>
        <v>0</v>
      </c>
      <c r="V1885" s="518"/>
      <c r="Y1885" s="390"/>
      <c r="Z1885" s="438">
        <f>+Z1884*T1885</f>
        <v>0</v>
      </c>
      <c r="AA1885" s="86"/>
      <c r="AB1885" s="94"/>
      <c r="AC1885" s="94"/>
      <c r="AD1885" s="94"/>
      <c r="AE1885" s="386" t="s">
        <v>133</v>
      </c>
    </row>
    <row r="1886" spans="3:31" s="260" customFormat="1" ht="15.75" thickBot="1" x14ac:dyDescent="0.3">
      <c r="M1886" s="519" t="s">
        <v>349</v>
      </c>
      <c r="N1886" s="520"/>
      <c r="O1886" s="520"/>
      <c r="P1886" s="520"/>
      <c r="Q1886" s="520"/>
      <c r="R1886" s="520"/>
      <c r="S1886" s="520"/>
      <c r="T1886" s="520"/>
      <c r="U1886" s="521">
        <f>+SUM(U1882:V1885)</f>
        <v>96897.02</v>
      </c>
      <c r="V1886" s="522"/>
      <c r="Y1886" s="390"/>
      <c r="Z1886" s="439">
        <f>+SUM(Z1882:Z1885)</f>
        <v>775176.16399999999</v>
      </c>
      <c r="AA1886" s="86"/>
      <c r="AB1886" s="94"/>
      <c r="AC1886" s="94"/>
      <c r="AD1886" s="94"/>
      <c r="AE1886" s="386" t="s">
        <v>133</v>
      </c>
    </row>
    <row r="1887" spans="3:31" s="260" customFormat="1" ht="15.75" thickBot="1" x14ac:dyDescent="0.3">
      <c r="D1887" s="375" t="s">
        <v>128</v>
      </c>
      <c r="E1887" s="376" t="s">
        <v>129</v>
      </c>
      <c r="F1887" s="376" t="s">
        <v>130</v>
      </c>
      <c r="G1887" s="376" t="s">
        <v>131</v>
      </c>
      <c r="H1887" s="376" t="s">
        <v>132</v>
      </c>
      <c r="I1887" s="376" t="s">
        <v>133</v>
      </c>
      <c r="J1887" s="377" t="s">
        <v>134</v>
      </c>
      <c r="M1887" s="86"/>
      <c r="N1887" s="94"/>
      <c r="O1887" s="94"/>
      <c r="P1887" s="94"/>
      <c r="Q1887" s="86"/>
      <c r="R1887" s="86"/>
      <c r="S1887" s="86"/>
      <c r="T1887" s="440"/>
      <c r="U1887" s="523"/>
      <c r="V1887" s="523"/>
      <c r="Y1887" s="390"/>
      <c r="Z1887" s="385"/>
      <c r="AA1887" s="86"/>
      <c r="AB1887" s="94"/>
      <c r="AC1887" s="94"/>
      <c r="AD1887" s="94"/>
      <c r="AE1887" s="386" t="s">
        <v>133</v>
      </c>
    </row>
    <row r="1888" spans="3:31" s="260" customFormat="1" ht="15.75" thickBot="1" x14ac:dyDescent="0.3">
      <c r="D1888" s="355"/>
      <c r="E1888" s="367"/>
      <c r="F1888" s="367"/>
      <c r="G1888" s="367"/>
      <c r="H1888" s="412"/>
      <c r="I1888" s="412">
        <f>H1879</f>
        <v>2.2799999999999998</v>
      </c>
      <c r="J1888" s="422"/>
      <c r="M1888" s="524" t="s">
        <v>11</v>
      </c>
      <c r="N1888" s="525"/>
      <c r="O1888" s="525"/>
      <c r="P1888" s="525"/>
      <c r="Q1888" s="525"/>
      <c r="R1888" s="525"/>
      <c r="S1888" s="525"/>
      <c r="T1888" s="526"/>
      <c r="U1888" s="527">
        <f>+U1886+U1879</f>
        <v>2034837.43</v>
      </c>
      <c r="V1888" s="528"/>
      <c r="Y1888" s="429"/>
      <c r="Z1888" s="441">
        <f>+Z1886+Z1879</f>
        <v>16278699.444</v>
      </c>
      <c r="AA1888" s="86"/>
      <c r="AB1888" s="94"/>
      <c r="AC1888" s="94"/>
      <c r="AD1888" s="94"/>
      <c r="AE1888" s="405" t="s">
        <v>133</v>
      </c>
    </row>
    <row r="1889" spans="3:31" s="260" customFormat="1" x14ac:dyDescent="0.25"/>
    <row r="1890" spans="3:31" s="260" customFormat="1" ht="15.75" thickBot="1" x14ac:dyDescent="0.3"/>
    <row r="1891" spans="3:31" s="260" customFormat="1" ht="15.75" thickBot="1" x14ac:dyDescent="0.3">
      <c r="M1891" s="363" t="s">
        <v>88</v>
      </c>
      <c r="N1891" s="436" t="str">
        <f>+N1842</f>
        <v>CAP.2</v>
      </c>
      <c r="O1891" s="550" t="str">
        <f>IFERROR(VLOOKUP(N1891,PPTO!C:H,2,0),"----")</f>
        <v>RED HIDRAULICA</v>
      </c>
      <c r="P1891" s="551"/>
      <c r="Q1891" s="551"/>
      <c r="R1891" s="551"/>
      <c r="S1891" s="551"/>
      <c r="T1891" s="551"/>
      <c r="U1891" s="552"/>
      <c r="V1891" s="74" t="s">
        <v>91</v>
      </c>
      <c r="Y1891" s="365" t="s">
        <v>104</v>
      </c>
      <c r="Z1891" s="94"/>
      <c r="AA1891" s="188"/>
      <c r="AB1891" s="553"/>
      <c r="AC1891" s="553"/>
      <c r="AD1891" s="553"/>
      <c r="AE1891" s="94"/>
    </row>
    <row r="1892" spans="3:31" s="260" customFormat="1" ht="15.75" thickBot="1" x14ac:dyDescent="0.3">
      <c r="C1892" s="369">
        <f>+N1892</f>
        <v>2.29</v>
      </c>
      <c r="D1892" s="86"/>
      <c r="E1892" s="86"/>
      <c r="F1892" s="86"/>
      <c r="G1892" s="86"/>
      <c r="H1892" s="86"/>
      <c r="I1892" s="86"/>
      <c r="J1892" s="86"/>
      <c r="K1892" s="370"/>
      <c r="M1892" s="75" t="s">
        <v>92</v>
      </c>
      <c r="N1892" s="371">
        <f>+ROUNDUP(N1843+0.01,2)</f>
        <v>2.29</v>
      </c>
      <c r="O1892" s="554" t="str">
        <f>IFERROR(VLOOKUP(N1892,PPTO!C:H,2,0),"----")</f>
        <v>Fijacion tuberia descolgada</v>
      </c>
      <c r="P1892" s="555"/>
      <c r="Q1892" s="555"/>
      <c r="R1892" s="555"/>
      <c r="S1892" s="555"/>
      <c r="T1892" s="555"/>
      <c r="U1892" s="556"/>
      <c r="V1892" s="76" t="str">
        <f>IFERROR(VLOOKUP(N1892,PPTO!C:H,3,0),"----")</f>
        <v>UND</v>
      </c>
      <c r="Y1892" s="373">
        <f>SUMIFS(PPTO!F:F,PPTO!C:C,APUS!N1892)</f>
        <v>163</v>
      </c>
      <c r="Z1892" s="94"/>
      <c r="AA1892" s="86"/>
      <c r="AB1892" s="94"/>
      <c r="AC1892" s="94"/>
      <c r="AD1892" s="94"/>
      <c r="AE1892" s="94"/>
    </row>
    <row r="1893" spans="3:31" s="260" customFormat="1" ht="15.75" thickBot="1" x14ac:dyDescent="0.3">
      <c r="C1893" s="84"/>
      <c r="D1893" s="86"/>
      <c r="E1893" s="86"/>
      <c r="F1893" s="86"/>
      <c r="G1893" s="86"/>
      <c r="H1893" s="86"/>
      <c r="I1893" s="86"/>
      <c r="J1893" s="86"/>
      <c r="K1893" s="88"/>
      <c r="M1893" s="557"/>
      <c r="N1893" s="557"/>
      <c r="O1893" s="557"/>
      <c r="P1893" s="557"/>
      <c r="Q1893" s="557"/>
      <c r="R1893" s="557"/>
      <c r="S1893" s="557"/>
      <c r="T1893" s="557"/>
      <c r="U1893" s="557"/>
      <c r="V1893" s="557"/>
      <c r="Y1893" s="374"/>
      <c r="Z1893" s="94"/>
      <c r="AA1893" s="86"/>
      <c r="AB1893" s="94"/>
      <c r="AC1893" s="94"/>
      <c r="AD1893" s="94"/>
      <c r="AE1893" s="94"/>
    </row>
    <row r="1894" spans="3:31" s="260" customFormat="1" ht="15.75" thickBot="1" x14ac:dyDescent="0.3">
      <c r="C1894" s="84"/>
      <c r="D1894" s="375" t="s">
        <v>128</v>
      </c>
      <c r="E1894" s="376" t="s">
        <v>129</v>
      </c>
      <c r="F1894" s="376" t="s">
        <v>130</v>
      </c>
      <c r="G1894" s="376" t="s">
        <v>131</v>
      </c>
      <c r="H1894" s="376" t="s">
        <v>132</v>
      </c>
      <c r="I1894" s="376" t="s">
        <v>133</v>
      </c>
      <c r="J1894" s="377" t="s">
        <v>134</v>
      </c>
      <c r="K1894" s="88"/>
      <c r="M1894" s="558" t="s">
        <v>93</v>
      </c>
      <c r="N1894" s="559"/>
      <c r="O1894" s="559"/>
      <c r="P1894" s="559"/>
      <c r="Q1894" s="559"/>
      <c r="R1894" s="559"/>
      <c r="S1894" s="559"/>
      <c r="T1894" s="559"/>
      <c r="U1894" s="559"/>
      <c r="V1894" s="560"/>
      <c r="Y1894" s="378"/>
      <c r="Z1894" s="121"/>
      <c r="AA1894" s="86"/>
      <c r="AB1894" s="513"/>
      <c r="AC1894" s="514"/>
      <c r="AD1894" s="94"/>
      <c r="AE1894" s="379"/>
    </row>
    <row r="1895" spans="3:31" s="260" customFormat="1" x14ac:dyDescent="0.25">
      <c r="C1895" s="84"/>
      <c r="D1895" s="380"/>
      <c r="E1895" s="381"/>
      <c r="F1895" s="381"/>
      <c r="G1895" s="381"/>
      <c r="H1895" s="381"/>
      <c r="I1895" s="381"/>
      <c r="J1895" s="382"/>
      <c r="K1895" s="88"/>
      <c r="M1895" s="99" t="s">
        <v>94</v>
      </c>
      <c r="N1895" s="561" t="s">
        <v>95</v>
      </c>
      <c r="O1895" s="561"/>
      <c r="P1895" s="561"/>
      <c r="Q1895" s="561"/>
      <c r="R1895" s="95" t="s">
        <v>96</v>
      </c>
      <c r="S1895" s="95" t="s">
        <v>97</v>
      </c>
      <c r="T1895" s="562" t="s">
        <v>8</v>
      </c>
      <c r="U1895" s="562"/>
      <c r="V1895" s="100" t="s">
        <v>98</v>
      </c>
      <c r="Y1895" s="383" t="s">
        <v>104</v>
      </c>
      <c r="Z1895" s="119" t="s">
        <v>9</v>
      </c>
      <c r="AA1895" s="86"/>
      <c r="AB1895" s="384"/>
      <c r="AC1895" s="385"/>
      <c r="AD1895" s="94"/>
      <c r="AE1895" s="386"/>
    </row>
    <row r="1896" spans="3:31" s="260" customFormat="1" x14ac:dyDescent="0.25">
      <c r="C1896" s="84"/>
      <c r="D1896" s="85"/>
      <c r="E1896" s="86"/>
      <c r="F1896" s="86"/>
      <c r="G1896" s="86"/>
      <c r="H1896" s="86"/>
      <c r="I1896" s="86"/>
      <c r="J1896" s="87"/>
      <c r="K1896" s="88"/>
      <c r="M1896" s="102"/>
      <c r="N1896" s="533" t="s">
        <v>99</v>
      </c>
      <c r="O1896" s="533"/>
      <c r="P1896" s="533"/>
      <c r="Q1896" s="533"/>
      <c r="R1896" s="78" t="s">
        <v>100</v>
      </c>
      <c r="S1896" s="387">
        <f>+$AA$10</f>
        <v>0.05</v>
      </c>
      <c r="T1896" s="563">
        <f>V1926</f>
        <v>10701.08</v>
      </c>
      <c r="U1896" s="563"/>
      <c r="V1896" s="389">
        <f>+IFERROR(T1896*S1896,0)</f>
        <v>535.05399999999997</v>
      </c>
      <c r="Y1896" s="390"/>
      <c r="Z1896" s="391">
        <f>Y1892*V1896</f>
        <v>87213.801999999996</v>
      </c>
      <c r="AA1896" s="86"/>
      <c r="AB1896" s="384"/>
      <c r="AC1896" s="385"/>
      <c r="AD1896" s="94"/>
      <c r="AE1896" s="386" t="str">
        <f>+IF(V1896=0,"CERO","NO")</f>
        <v>NO</v>
      </c>
    </row>
    <row r="1897" spans="3:31" s="260" customFormat="1" x14ac:dyDescent="0.25">
      <c r="C1897" s="84"/>
      <c r="D1897" s="85"/>
      <c r="E1897" s="86"/>
      <c r="F1897" s="86"/>
      <c r="G1897" s="86"/>
      <c r="H1897" s="86"/>
      <c r="I1897" s="86"/>
      <c r="J1897" s="87"/>
      <c r="K1897" s="88"/>
      <c r="M1897" s="106"/>
      <c r="N1897" s="533" t="str">
        <f>IFERROR(VLOOKUP(M1897,INSUMOS!$C$8:$K$928,2,0),"-----")</f>
        <v>-----</v>
      </c>
      <c r="O1897" s="533"/>
      <c r="P1897" s="533"/>
      <c r="Q1897" s="533"/>
      <c r="R1897" s="78" t="str">
        <f>IFERROR(VLOOKUP(M1897,INSUMOS!$C$8:$K$928,6,0),"-----")</f>
        <v>-----</v>
      </c>
      <c r="S1897" s="392"/>
      <c r="T1897" s="529" t="str">
        <f>IFERROR(VLOOKUP(M1897,INSUMOS!$C$8:$K$928,7,0),"0")</f>
        <v>0</v>
      </c>
      <c r="U1897" s="529"/>
      <c r="V1897" s="389">
        <f>+IFERROR(T1897*S1897,0)</f>
        <v>0</v>
      </c>
      <c r="Y1897" s="393">
        <f>+IFERROR(Y1892*S1897,0)</f>
        <v>0</v>
      </c>
      <c r="Z1897" s="391">
        <f>Y1892*V1897</f>
        <v>0</v>
      </c>
      <c r="AA1897" s="394"/>
      <c r="AB1897" s="395">
        <f>+Y1897*T1897</f>
        <v>0</v>
      </c>
      <c r="AC1897" s="93">
        <f>+AB1897-Z1897</f>
        <v>0</v>
      </c>
      <c r="AD1897" s="94"/>
      <c r="AE1897" s="386" t="str">
        <f>+IF(V1897=0,"CERO","NO")</f>
        <v>CERO</v>
      </c>
    </row>
    <row r="1898" spans="3:31" s="260" customFormat="1" x14ac:dyDescent="0.25">
      <c r="C1898" s="84"/>
      <c r="D1898" s="85"/>
      <c r="E1898" s="86"/>
      <c r="F1898" s="86"/>
      <c r="G1898" s="86"/>
      <c r="H1898" s="86"/>
      <c r="I1898" s="86"/>
      <c r="J1898" s="87"/>
      <c r="K1898" s="88"/>
      <c r="M1898" s="102">
        <v>0</v>
      </c>
      <c r="N1898" s="533"/>
      <c r="O1898" s="533"/>
      <c r="P1898" s="533"/>
      <c r="Q1898" s="533"/>
      <c r="R1898" s="78"/>
      <c r="S1898" s="396"/>
      <c r="T1898" s="529"/>
      <c r="U1898" s="529"/>
      <c r="V1898" s="397"/>
      <c r="Y1898" s="393">
        <f>+IFERROR(Y1892*S1898,0)</f>
        <v>0</v>
      </c>
      <c r="Z1898" s="391">
        <f>Y1892*V1898</f>
        <v>0</v>
      </c>
      <c r="AA1898" s="394"/>
      <c r="AB1898" s="395">
        <f>+Y1898*T1898</f>
        <v>0</v>
      </c>
      <c r="AC1898" s="93">
        <f>+AB1898-Z1898</f>
        <v>0</v>
      </c>
      <c r="AD1898" s="94"/>
      <c r="AE1898" s="386" t="str">
        <f>+IF(V1898=0,"CERO","NO")</f>
        <v>CERO</v>
      </c>
    </row>
    <row r="1899" spans="3:31" s="260" customFormat="1" x14ac:dyDescent="0.25">
      <c r="C1899" s="84"/>
      <c r="D1899" s="85"/>
      <c r="E1899" s="86"/>
      <c r="F1899" s="86"/>
      <c r="G1899" s="86"/>
      <c r="H1899" s="86"/>
      <c r="I1899" s="86"/>
      <c r="J1899" s="87"/>
      <c r="K1899" s="88"/>
      <c r="M1899" s="102">
        <v>0</v>
      </c>
      <c r="N1899" s="533"/>
      <c r="O1899" s="533"/>
      <c r="P1899" s="533"/>
      <c r="Q1899" s="533"/>
      <c r="R1899" s="78"/>
      <c r="S1899" s="396"/>
      <c r="T1899" s="529"/>
      <c r="U1899" s="529"/>
      <c r="V1899" s="397"/>
      <c r="Y1899" s="393">
        <f>+IFERROR(Y1892*S1899,0)</f>
        <v>0</v>
      </c>
      <c r="Z1899" s="391">
        <f>Y1892*V1899</f>
        <v>0</v>
      </c>
      <c r="AA1899" s="394"/>
      <c r="AB1899" s="395">
        <f>+Y1899*T1899</f>
        <v>0</v>
      </c>
      <c r="AC1899" s="93">
        <f>+AB1899-Z1899</f>
        <v>0</v>
      </c>
      <c r="AD1899" s="94"/>
      <c r="AE1899" s="386" t="str">
        <f>+IF(V1899=0,"CERO","NO")</f>
        <v>CERO</v>
      </c>
    </row>
    <row r="1900" spans="3:31" s="260" customFormat="1" ht="15.75" thickBot="1" x14ac:dyDescent="0.3">
      <c r="C1900" s="84"/>
      <c r="D1900" s="85"/>
      <c r="E1900" s="86"/>
      <c r="F1900" s="86"/>
      <c r="G1900" s="86"/>
      <c r="H1900" s="86"/>
      <c r="I1900" s="86"/>
      <c r="J1900" s="87"/>
      <c r="K1900" s="88"/>
      <c r="M1900" s="102">
        <v>0</v>
      </c>
      <c r="N1900" s="564"/>
      <c r="O1900" s="564"/>
      <c r="P1900" s="564"/>
      <c r="Q1900" s="564"/>
      <c r="R1900" s="96"/>
      <c r="S1900" s="96"/>
      <c r="T1900" s="565"/>
      <c r="U1900" s="565"/>
      <c r="V1900" s="101"/>
      <c r="Y1900" s="393">
        <f>+IFERROR(Y1892*S1900,0)</f>
        <v>0</v>
      </c>
      <c r="Z1900" s="391">
        <f>Y1892*V1900</f>
        <v>0</v>
      </c>
      <c r="AA1900" s="394"/>
      <c r="AB1900" s="395">
        <f>+Y1900*T1900</f>
        <v>0</v>
      </c>
      <c r="AC1900" s="93">
        <f>+AB1900-Z1900</f>
        <v>0</v>
      </c>
      <c r="AD1900" s="94"/>
      <c r="AE1900" s="386" t="str">
        <f>+IF(V1900=0,"CERO","NO")</f>
        <v>CERO</v>
      </c>
    </row>
    <row r="1901" spans="3:31" s="260" customFormat="1" ht="15.75" thickBot="1" x14ac:dyDescent="0.3">
      <c r="C1901" s="84"/>
      <c r="D1901" s="375" t="s">
        <v>128</v>
      </c>
      <c r="E1901" s="376" t="s">
        <v>129</v>
      </c>
      <c r="F1901" s="376" t="s">
        <v>130</v>
      </c>
      <c r="G1901" s="376" t="s">
        <v>131</v>
      </c>
      <c r="H1901" s="376" t="s">
        <v>132</v>
      </c>
      <c r="I1901" s="376" t="s">
        <v>133</v>
      </c>
      <c r="J1901" s="377" t="s">
        <v>134</v>
      </c>
      <c r="K1901" s="88"/>
      <c r="M1901" s="534"/>
      <c r="N1901" s="536" t="s">
        <v>101</v>
      </c>
      <c r="O1901" s="536"/>
      <c r="P1901" s="536"/>
      <c r="Q1901" s="536"/>
      <c r="R1901" s="536"/>
      <c r="S1901" s="536"/>
      <c r="T1901" s="536"/>
      <c r="U1901" s="536"/>
      <c r="V1901" s="389">
        <f>+SUM(V1896:V1900)</f>
        <v>535.05399999999997</v>
      </c>
      <c r="Y1901" s="398" t="s">
        <v>135</v>
      </c>
      <c r="Z1901" s="397">
        <f>+SUM(Z1896:Z1900)</f>
        <v>87213.801999999996</v>
      </c>
      <c r="AA1901" s="86"/>
      <c r="AB1901" s="384"/>
      <c r="AC1901" s="385"/>
      <c r="AD1901" s="94"/>
      <c r="AE1901" s="399"/>
    </row>
    <row r="1902" spans="3:31" s="260" customFormat="1" ht="15.75" thickBot="1" x14ac:dyDescent="0.3">
      <c r="C1902" s="84"/>
      <c r="D1902" s="375">
        <f>C1892</f>
        <v>2.29</v>
      </c>
      <c r="E1902" s="376"/>
      <c r="F1902" s="376"/>
      <c r="G1902" s="376"/>
      <c r="H1902" s="376"/>
      <c r="I1902" s="376"/>
      <c r="J1902" s="377"/>
      <c r="K1902" s="88"/>
      <c r="M1902" s="566"/>
      <c r="N1902" s="567" t="s">
        <v>102</v>
      </c>
      <c r="O1902" s="567"/>
      <c r="P1902" s="567"/>
      <c r="Q1902" s="567"/>
      <c r="R1902" s="567"/>
      <c r="S1902" s="567"/>
      <c r="T1902" s="567"/>
      <c r="U1902" s="567"/>
      <c r="V1902" s="400">
        <f>+ROUND(V1901,$AA$5)</f>
        <v>535.04999999999995</v>
      </c>
      <c r="Y1902" s="401" t="s">
        <v>136</v>
      </c>
      <c r="Z1902" s="402">
        <f>+ROUND(Z1901,$AA$5)</f>
        <v>87213.8</v>
      </c>
      <c r="AA1902" s="86"/>
      <c r="AB1902" s="403">
        <f>+V1902*Y1892</f>
        <v>87213.15</v>
      </c>
      <c r="AC1902" s="404">
        <f>+AB1902-Z1902</f>
        <v>-0.65000000000873115</v>
      </c>
      <c r="AD1902" s="94"/>
      <c r="AE1902" s="405"/>
    </row>
    <row r="1903" spans="3:31" s="260" customFormat="1" x14ac:dyDescent="0.25">
      <c r="C1903" s="84"/>
      <c r="D1903" s="380"/>
      <c r="E1903" s="381"/>
      <c r="F1903" s="381"/>
      <c r="G1903" s="381"/>
      <c r="H1903" s="381"/>
      <c r="I1903" s="381"/>
      <c r="J1903" s="382"/>
      <c r="K1903" s="88"/>
      <c r="M1903" s="510" t="s">
        <v>103</v>
      </c>
      <c r="N1903" s="511"/>
      <c r="O1903" s="511"/>
      <c r="P1903" s="511"/>
      <c r="Q1903" s="511"/>
      <c r="R1903" s="511"/>
      <c r="S1903" s="511"/>
      <c r="T1903" s="511"/>
      <c r="U1903" s="511"/>
      <c r="V1903" s="512"/>
      <c r="Y1903" s="378"/>
      <c r="Z1903" s="121"/>
      <c r="AA1903" s="86"/>
      <c r="AB1903" s="513"/>
      <c r="AC1903" s="514"/>
      <c r="AD1903" s="94"/>
      <c r="AE1903" s="126"/>
    </row>
    <row r="1904" spans="3:31" s="260" customFormat="1" x14ac:dyDescent="0.25">
      <c r="C1904" s="84"/>
      <c r="D1904" s="85"/>
      <c r="E1904" s="86"/>
      <c r="F1904" s="86"/>
      <c r="G1904" s="86"/>
      <c r="H1904" s="86"/>
      <c r="I1904" s="86"/>
      <c r="J1904" s="87"/>
      <c r="K1904" s="88"/>
      <c r="M1904" s="99" t="s">
        <v>94</v>
      </c>
      <c r="N1904" s="561" t="s">
        <v>95</v>
      </c>
      <c r="O1904" s="561"/>
      <c r="P1904" s="561"/>
      <c r="Q1904" s="561"/>
      <c r="R1904" s="95" t="s">
        <v>96</v>
      </c>
      <c r="S1904" s="95" t="s">
        <v>104</v>
      </c>
      <c r="T1904" s="356" t="s">
        <v>105</v>
      </c>
      <c r="U1904" s="356" t="s">
        <v>8</v>
      </c>
      <c r="V1904" s="100" t="s">
        <v>98</v>
      </c>
      <c r="Y1904" s="383" t="s">
        <v>104</v>
      </c>
      <c r="Z1904" s="119" t="s">
        <v>9</v>
      </c>
      <c r="AA1904" s="86"/>
      <c r="AB1904" s="384"/>
      <c r="AC1904" s="385"/>
      <c r="AD1904" s="94"/>
      <c r="AE1904" s="406"/>
    </row>
    <row r="1905" spans="3:31" s="260" customFormat="1" x14ac:dyDescent="0.25">
      <c r="C1905" s="84"/>
      <c r="D1905" s="85"/>
      <c r="E1905" s="86"/>
      <c r="F1905" s="86"/>
      <c r="G1905" s="86"/>
      <c r="H1905" s="86"/>
      <c r="I1905" s="86"/>
      <c r="J1905" s="87"/>
      <c r="K1905" s="88"/>
      <c r="M1905" s="102">
        <v>936</v>
      </c>
      <c r="N1905" s="533" t="str">
        <f>IFERROR(VLOOKUP(M1905,INSUMOS!$C$8:$K$928,2,0),"-----")</f>
        <v>SIKA ANCHORFIX-4</v>
      </c>
      <c r="O1905" s="533"/>
      <c r="P1905" s="533"/>
      <c r="Q1905" s="533"/>
      <c r="R1905" s="78" t="str">
        <f>IFERROR(VLOOKUP(M1905,INSUMOS!$C$8:$K$928,6,0),"-----")</f>
        <v>cm3</v>
      </c>
      <c r="S1905" s="396">
        <v>5</v>
      </c>
      <c r="T1905" s="387">
        <v>0.02</v>
      </c>
      <c r="U1905" s="388">
        <f>IFERROR(VLOOKUP(M1905,INSUMOS!$C$8:$K$928,7,0),"0")</f>
        <v>255.85</v>
      </c>
      <c r="V1905" s="389">
        <f>+IFERROR(U1905*(S1905*(1+T1905)),0)</f>
        <v>1304.8349999999998</v>
      </c>
      <c r="Y1905" s="393">
        <f>+IFERROR(Y1892*(S1905*(1+T1905)),0)</f>
        <v>831.3</v>
      </c>
      <c r="Z1905" s="391">
        <f>Y1892*V1905</f>
        <v>212688.10499999998</v>
      </c>
      <c r="AA1905" s="394"/>
      <c r="AB1905" s="395">
        <f>+Y1905*U1905</f>
        <v>212688.10499999998</v>
      </c>
      <c r="AC1905" s="93">
        <f>+AB1905-Z1905</f>
        <v>0</v>
      </c>
      <c r="AD1905" s="94"/>
      <c r="AE1905" s="406" t="str">
        <f>+IF(V1905=0,"CERO","NO")</f>
        <v>NO</v>
      </c>
    </row>
    <row r="1906" spans="3:31" s="260" customFormat="1" x14ac:dyDescent="0.25">
      <c r="C1906" s="84"/>
      <c r="D1906" s="85"/>
      <c r="E1906" s="86"/>
      <c r="F1906" s="86"/>
      <c r="G1906" s="86"/>
      <c r="H1906" s="86"/>
      <c r="I1906" s="86"/>
      <c r="J1906" s="87"/>
      <c r="K1906" s="88"/>
      <c r="M1906" s="102">
        <v>937</v>
      </c>
      <c r="N1906" s="533" t="str">
        <f>IFERROR(VLOOKUP(M1906,INSUMOS!$C$8:$K$928,2,0),"-----")</f>
        <v>CHAZO MULTIPROPOSITO Ø3/8"</v>
      </c>
      <c r="O1906" s="533"/>
      <c r="P1906" s="533"/>
      <c r="Q1906" s="533"/>
      <c r="R1906" s="78" t="str">
        <f>IFERROR(VLOOKUP(M1906,INSUMOS!$C$8:$K$928,6,0),"-----")</f>
        <v>und</v>
      </c>
      <c r="S1906" s="396">
        <v>2</v>
      </c>
      <c r="T1906" s="387">
        <v>0</v>
      </c>
      <c r="U1906" s="388">
        <f>IFERROR(VLOOKUP(M1906,INSUMOS!$C$8:$K$928,7,0),"0")</f>
        <v>1100</v>
      </c>
      <c r="V1906" s="389">
        <f>+IFERROR(U1906*(S1906*(1+T1906)),0)</f>
        <v>2200</v>
      </c>
      <c r="Y1906" s="393">
        <f>+IFERROR(Y1892*(S1906*(1+T1906)),0)</f>
        <v>326</v>
      </c>
      <c r="Z1906" s="391">
        <f>Y1892*V1906</f>
        <v>358600</v>
      </c>
      <c r="AA1906" s="394"/>
      <c r="AB1906" s="395">
        <f>+Y1906*U1906</f>
        <v>358600</v>
      </c>
      <c r="AC1906" s="93">
        <f>+AB1906-Z1906</f>
        <v>0</v>
      </c>
      <c r="AD1906" s="94"/>
      <c r="AE1906" s="406" t="str">
        <f>+IF(V1906=0,"CERO","NO")</f>
        <v>NO</v>
      </c>
    </row>
    <row r="1907" spans="3:31" s="260" customFormat="1" x14ac:dyDescent="0.25">
      <c r="C1907" s="84"/>
      <c r="D1907" s="85"/>
      <c r="E1907" s="86"/>
      <c r="F1907" s="86"/>
      <c r="G1907" s="86"/>
      <c r="H1907" s="86"/>
      <c r="I1907" s="86"/>
      <c r="J1907" s="87"/>
      <c r="K1907" s="88"/>
      <c r="M1907" s="102">
        <v>938</v>
      </c>
      <c r="N1907" s="533" t="str">
        <f>IFERROR(VLOOKUP(M1907,INSUMOS!$C$8:$K$928,2,0),"-----")</f>
        <v>PERNO HEXAGONAL Ø3/8"</v>
      </c>
      <c r="O1907" s="533"/>
      <c r="P1907" s="533"/>
      <c r="Q1907" s="533"/>
      <c r="R1907" s="78" t="str">
        <f>IFERROR(VLOOKUP(M1907,INSUMOS!$C$8:$K$928,6,0),"-----")</f>
        <v>und</v>
      </c>
      <c r="S1907" s="396">
        <v>2</v>
      </c>
      <c r="T1907" s="387">
        <v>0</v>
      </c>
      <c r="U1907" s="388">
        <f>IFERROR(VLOOKUP(M1907,INSUMOS!$C$8:$K$928,7,0),"0")</f>
        <v>8800</v>
      </c>
      <c r="V1907" s="389">
        <f>+IFERROR(U1907*(S1907*(1+T1907)),0)</f>
        <v>17600</v>
      </c>
      <c r="Y1907" s="393">
        <f>+IFERROR(Y1892*(S1907*(1+T1907)),0)</f>
        <v>326</v>
      </c>
      <c r="Z1907" s="391">
        <f>Y1892*V1907</f>
        <v>2868800</v>
      </c>
      <c r="AA1907" s="394"/>
      <c r="AB1907" s="395">
        <f>+Y1907*U1907</f>
        <v>2868800</v>
      </c>
      <c r="AC1907" s="93">
        <f>+AB1907-Z1907</f>
        <v>0</v>
      </c>
      <c r="AD1907" s="94"/>
      <c r="AE1907" s="406" t="str">
        <f>+IF(V1907=0,"CERO","NO")</f>
        <v>NO</v>
      </c>
    </row>
    <row r="1908" spans="3:31" s="260" customFormat="1" x14ac:dyDescent="0.25">
      <c r="C1908" s="84"/>
      <c r="D1908" s="85"/>
      <c r="E1908" s="86"/>
      <c r="F1908" s="86"/>
      <c r="G1908" s="86"/>
      <c r="H1908" s="86"/>
      <c r="I1908" s="86"/>
      <c r="J1908" s="87"/>
      <c r="K1908" s="88"/>
      <c r="M1908" s="102">
        <v>939</v>
      </c>
      <c r="N1908" s="533" t="str">
        <f>IFERROR(VLOOKUP(M1908,INSUMOS!$C$8:$K$928,2,0),"-----")</f>
        <v>PLETINA 1"X1/8"</v>
      </c>
      <c r="O1908" s="533"/>
      <c r="P1908" s="533"/>
      <c r="Q1908" s="533"/>
      <c r="R1908" s="78" t="str">
        <f>IFERROR(VLOOKUP(M1908,INSUMOS!$C$8:$K$928,6,0),"-----")</f>
        <v>ml</v>
      </c>
      <c r="S1908" s="396">
        <v>0.3</v>
      </c>
      <c r="T1908" s="387">
        <v>0</v>
      </c>
      <c r="U1908" s="388">
        <f>IFERROR(VLOOKUP(M1908,INSUMOS!$C$8:$K$928,7,0),"0")</f>
        <v>3500</v>
      </c>
      <c r="V1908" s="389">
        <f>+IFERROR(U1908*(S1908*(1+T1908)),0)</f>
        <v>1050</v>
      </c>
      <c r="Y1908" s="393">
        <f>+IFERROR(Y1892*(S1908*(1+T1908)),0)</f>
        <v>48.9</v>
      </c>
      <c r="Z1908" s="391">
        <f>Y1892*V1908</f>
        <v>171150</v>
      </c>
      <c r="AA1908" s="394"/>
      <c r="AB1908" s="395">
        <f>+Y1908*U1908</f>
        <v>171150</v>
      </c>
      <c r="AC1908" s="93">
        <f>+AB1908-Z1908</f>
        <v>0</v>
      </c>
      <c r="AD1908" s="94"/>
      <c r="AE1908" s="406" t="str">
        <f>+IF(V1908=0,"CERO","NO")</f>
        <v>NO</v>
      </c>
    </row>
    <row r="1909" spans="3:31" s="260" customFormat="1" ht="15.75" thickBot="1" x14ac:dyDescent="0.3">
      <c r="C1909" s="84"/>
      <c r="D1909" s="85"/>
      <c r="E1909" s="86"/>
      <c r="F1909" s="86"/>
      <c r="G1909" s="86"/>
      <c r="H1909" s="86"/>
      <c r="I1909" s="86"/>
      <c r="J1909" s="87"/>
      <c r="K1909" s="88"/>
      <c r="M1909" s="102">
        <v>0</v>
      </c>
      <c r="N1909" s="564"/>
      <c r="O1909" s="564"/>
      <c r="P1909" s="564"/>
      <c r="Q1909" s="564"/>
      <c r="R1909" s="96"/>
      <c r="S1909" s="79"/>
      <c r="T1909" s="97"/>
      <c r="U1909" s="358"/>
      <c r="V1909" s="397"/>
      <c r="Y1909" s="393">
        <f>+IFERROR(Y1892*(S1909*(1+T1909)),0)</f>
        <v>0</v>
      </c>
      <c r="Z1909" s="391">
        <f>Y1892*V1909</f>
        <v>0</v>
      </c>
      <c r="AA1909" s="394"/>
      <c r="AB1909" s="395">
        <f>+Y1909*U1909</f>
        <v>0</v>
      </c>
      <c r="AC1909" s="93">
        <f>+AB1909-Z1909</f>
        <v>0</v>
      </c>
      <c r="AD1909" s="94"/>
      <c r="AE1909" s="406" t="str">
        <f>+IF(V1909=0,"CERO","NO")</f>
        <v>CERO</v>
      </c>
    </row>
    <row r="1910" spans="3:31" s="260" customFormat="1" ht="15.75" thickBot="1" x14ac:dyDescent="0.3">
      <c r="C1910" s="84"/>
      <c r="D1910" s="375" t="s">
        <v>128</v>
      </c>
      <c r="E1910" s="376" t="s">
        <v>129</v>
      </c>
      <c r="F1910" s="376" t="s">
        <v>130</v>
      </c>
      <c r="G1910" s="376" t="s">
        <v>131</v>
      </c>
      <c r="H1910" s="376" t="s">
        <v>132</v>
      </c>
      <c r="I1910" s="376" t="s">
        <v>133</v>
      </c>
      <c r="J1910" s="377" t="s">
        <v>134</v>
      </c>
      <c r="K1910" s="88"/>
      <c r="M1910" s="534"/>
      <c r="N1910" s="536" t="s">
        <v>106</v>
      </c>
      <c r="O1910" s="536"/>
      <c r="P1910" s="536"/>
      <c r="Q1910" s="536"/>
      <c r="R1910" s="536"/>
      <c r="S1910" s="536"/>
      <c r="T1910" s="536"/>
      <c r="U1910" s="536"/>
      <c r="V1910" s="389">
        <f>+SUM(V1905:V1909)</f>
        <v>22154.834999999999</v>
      </c>
      <c r="Y1910" s="398" t="s">
        <v>135</v>
      </c>
      <c r="Z1910" s="397">
        <f>+SUM(Z1905:Z1909)</f>
        <v>3611238.105</v>
      </c>
      <c r="AA1910" s="86"/>
      <c r="AB1910" s="384"/>
      <c r="AC1910" s="385"/>
      <c r="AD1910" s="94"/>
      <c r="AE1910" s="399"/>
    </row>
    <row r="1911" spans="3:31" s="260" customFormat="1" ht="15.75" thickBot="1" x14ac:dyDescent="0.3">
      <c r="C1911" s="84"/>
      <c r="D1911" s="375"/>
      <c r="E1911" s="407">
        <f>+D1902</f>
        <v>2.29</v>
      </c>
      <c r="F1911" s="376"/>
      <c r="G1911" s="376"/>
      <c r="H1911" s="376"/>
      <c r="I1911" s="376"/>
      <c r="J1911" s="377"/>
      <c r="K1911" s="88"/>
      <c r="M1911" s="535"/>
      <c r="N1911" s="537" t="s">
        <v>107</v>
      </c>
      <c r="O1911" s="537"/>
      <c r="P1911" s="537"/>
      <c r="Q1911" s="537"/>
      <c r="R1911" s="537"/>
      <c r="S1911" s="537"/>
      <c r="T1911" s="537"/>
      <c r="U1911" s="537"/>
      <c r="V1911" s="408">
        <f>+ROUND(V1910,$AA$5)</f>
        <v>22154.84</v>
      </c>
      <c r="Y1911" s="401" t="s">
        <v>136</v>
      </c>
      <c r="Z1911" s="402">
        <f>+ROUND(Z1910,$AA$5)</f>
        <v>3611238.11</v>
      </c>
      <c r="AA1911" s="86"/>
      <c r="AB1911" s="403">
        <f>+V1911*Y1892</f>
        <v>3611238.92</v>
      </c>
      <c r="AC1911" s="404">
        <f>+AB1911-Z1911</f>
        <v>0.81000000005587935</v>
      </c>
      <c r="AD1911" s="94"/>
      <c r="AE1911" s="405"/>
    </row>
    <row r="1912" spans="3:31" s="260" customFormat="1" x14ac:dyDescent="0.25">
      <c r="C1912" s="84"/>
      <c r="D1912" s="380"/>
      <c r="E1912" s="381"/>
      <c r="F1912" s="381"/>
      <c r="G1912" s="381"/>
      <c r="H1912" s="381"/>
      <c r="I1912" s="381"/>
      <c r="J1912" s="382"/>
      <c r="K1912" s="88"/>
      <c r="M1912" s="568" t="s">
        <v>108</v>
      </c>
      <c r="N1912" s="569"/>
      <c r="O1912" s="569"/>
      <c r="P1912" s="569"/>
      <c r="Q1912" s="569"/>
      <c r="R1912" s="569"/>
      <c r="S1912" s="569"/>
      <c r="T1912" s="569"/>
      <c r="U1912" s="569"/>
      <c r="V1912" s="570"/>
      <c r="Y1912" s="378"/>
      <c r="Z1912" s="121"/>
      <c r="AA1912" s="86"/>
      <c r="AB1912" s="409"/>
      <c r="AC1912" s="121"/>
      <c r="AD1912" s="94"/>
      <c r="AE1912" s="126"/>
    </row>
    <row r="1913" spans="3:31" s="260" customFormat="1" ht="25.5" x14ac:dyDescent="0.25">
      <c r="C1913" s="84"/>
      <c r="D1913" s="85"/>
      <c r="E1913" s="86"/>
      <c r="F1913" s="86"/>
      <c r="G1913" s="86"/>
      <c r="H1913" s="86"/>
      <c r="I1913" s="86"/>
      <c r="J1913" s="87"/>
      <c r="K1913" s="88"/>
      <c r="M1913" s="99" t="s">
        <v>94</v>
      </c>
      <c r="N1913" s="561" t="s">
        <v>95</v>
      </c>
      <c r="O1913" s="561"/>
      <c r="P1913" s="561"/>
      <c r="Q1913" s="95" t="s">
        <v>109</v>
      </c>
      <c r="R1913" s="95" t="s">
        <v>110</v>
      </c>
      <c r="S1913" s="95" t="s">
        <v>111</v>
      </c>
      <c r="T1913" s="562" t="s">
        <v>112</v>
      </c>
      <c r="U1913" s="562"/>
      <c r="V1913" s="100" t="s">
        <v>98</v>
      </c>
      <c r="Y1913" s="383" t="s">
        <v>104</v>
      </c>
      <c r="Z1913" s="119" t="s">
        <v>9</v>
      </c>
      <c r="AA1913" s="86"/>
      <c r="AB1913" s="384"/>
      <c r="AC1913" s="385"/>
      <c r="AD1913" s="94"/>
      <c r="AE1913" s="410"/>
    </row>
    <row r="1914" spans="3:31" s="260" customFormat="1" x14ac:dyDescent="0.25">
      <c r="C1914" s="84"/>
      <c r="D1914" s="85"/>
      <c r="E1914" s="86"/>
      <c r="F1914" s="86"/>
      <c r="G1914" s="86"/>
      <c r="H1914" s="86"/>
      <c r="I1914" s="86"/>
      <c r="J1914" s="87"/>
      <c r="K1914" s="88"/>
      <c r="M1914" s="102">
        <v>129</v>
      </c>
      <c r="N1914" s="530" t="str">
        <f>IFERROR(VLOOKUP(M1914,INSUMOS!$C$8:$K$928,2,0),"-----")</f>
        <v>transporte materiales en general</v>
      </c>
      <c r="O1914" s="531"/>
      <c r="P1914" s="532"/>
      <c r="Q1914" s="78" t="str">
        <f>IFERROR(VLOOKUP(M1914,INSUMOS!$C$8:$K$928,5,0),"-----")</f>
        <v>Km</v>
      </c>
      <c r="R1914" s="80">
        <v>1</v>
      </c>
      <c r="S1914" s="80">
        <f>IFERROR(VLOOKUP(M1914,INSUMOS!$C$8:$K$928,6,0),"0")</f>
        <v>348</v>
      </c>
      <c r="T1914" s="529">
        <f>IFERROR(VLOOKUP(M1914,INSUMOS!$C$8:$K$928,7,0),"0")</f>
        <v>0.99776362060288992</v>
      </c>
      <c r="U1914" s="529"/>
      <c r="V1914" s="82">
        <f>+T1914*S1914*R1914</f>
        <v>347.2217399698057</v>
      </c>
      <c r="Y1914" s="393">
        <f>+IFERROR((R1914*S1914)*Y1892,0)</f>
        <v>56724</v>
      </c>
      <c r="Z1914" s="391">
        <f>Y1892*V1914</f>
        <v>56597.143615078327</v>
      </c>
      <c r="AA1914" s="86"/>
      <c r="AB1914" s="92">
        <f>+Y1914*T1914</f>
        <v>56597.143615078327</v>
      </c>
      <c r="AC1914" s="93">
        <f>+AB1914-Z1914</f>
        <v>0</v>
      </c>
      <c r="AD1914" s="94"/>
      <c r="AE1914" s="406" t="str">
        <f>+IF(V1914=0,"CERO","NO")</f>
        <v>NO</v>
      </c>
    </row>
    <row r="1915" spans="3:31" s="260" customFormat="1" x14ac:dyDescent="0.25">
      <c r="C1915" s="84"/>
      <c r="D1915" s="85"/>
      <c r="E1915" s="86"/>
      <c r="F1915" s="86"/>
      <c r="G1915" s="86"/>
      <c r="H1915" s="86"/>
      <c r="I1915" s="86"/>
      <c r="J1915" s="87"/>
      <c r="K1915" s="88"/>
      <c r="M1915" s="102">
        <v>0</v>
      </c>
      <c r="N1915" s="530" t="str">
        <f>IFERROR(VLOOKUP(M1915,INSUMOS!$C$8:$K$928,2,0),"-----")</f>
        <v>-----</v>
      </c>
      <c r="O1915" s="531"/>
      <c r="P1915" s="532"/>
      <c r="Q1915" s="78" t="str">
        <f>IFERROR(VLOOKUP(M1915,INSUMOS!$C$8:$K$928,5,0),"-----")</f>
        <v>-----</v>
      </c>
      <c r="R1915" s="80"/>
      <c r="S1915" s="80" t="str">
        <f>IFERROR(VLOOKUP(M1915,INSUMOS!$C$8:$K$928,6,0),"0")</f>
        <v>0</v>
      </c>
      <c r="T1915" s="529" t="str">
        <f>IFERROR(VLOOKUP(M1915,INSUMOS!$C$8:$K$928,7,0),"0")</f>
        <v>0</v>
      </c>
      <c r="U1915" s="529"/>
      <c r="V1915" s="82">
        <f>+T1915*S1915*R1915</f>
        <v>0</v>
      </c>
      <c r="Y1915" s="393">
        <f>+IFERROR((R1915*S1915)*Y1892,0)</f>
        <v>0</v>
      </c>
      <c r="Z1915" s="391">
        <f>Y1892*V1915</f>
        <v>0</v>
      </c>
      <c r="AA1915" s="86"/>
      <c r="AB1915" s="92">
        <f>+Y1915*T1915</f>
        <v>0</v>
      </c>
      <c r="AC1915" s="93">
        <f>+AB1915-Z1915</f>
        <v>0</v>
      </c>
      <c r="AD1915" s="94"/>
      <c r="AE1915" s="406" t="str">
        <f>+IF(V1915=0,"CERO","NO")</f>
        <v>CERO</v>
      </c>
    </row>
    <row r="1916" spans="3:31" s="260" customFormat="1" x14ac:dyDescent="0.25">
      <c r="C1916" s="84"/>
      <c r="D1916" s="85"/>
      <c r="E1916" s="86"/>
      <c r="F1916" s="86"/>
      <c r="G1916" s="86"/>
      <c r="H1916" s="86"/>
      <c r="I1916" s="86"/>
      <c r="J1916" s="87"/>
      <c r="K1916" s="88"/>
      <c r="M1916" s="102">
        <v>0</v>
      </c>
      <c r="N1916" s="530" t="str">
        <f>IFERROR(VLOOKUP(M1916,INSUMOS!$C$8:$K$928,2,0),"-----")</f>
        <v>-----</v>
      </c>
      <c r="O1916" s="531"/>
      <c r="P1916" s="532"/>
      <c r="Q1916" s="78" t="str">
        <f>IFERROR(VLOOKUP(M1916,INSUMOS!$C$8:$K$928,5,0),"-----")</f>
        <v>-----</v>
      </c>
      <c r="R1916" s="80"/>
      <c r="S1916" s="80" t="str">
        <f>IFERROR(VLOOKUP(M1916,INSUMOS!$C$8:$K$928,6,0),"0")</f>
        <v>0</v>
      </c>
      <c r="T1916" s="529" t="str">
        <f>IFERROR(VLOOKUP(M1916,INSUMOS!$C$8:$K$928,7,0),"0")</f>
        <v>0</v>
      </c>
      <c r="U1916" s="529"/>
      <c r="V1916" s="82">
        <f>+T1916*S1916*R1916</f>
        <v>0</v>
      </c>
      <c r="Y1916" s="393">
        <f>+IFERROR((R1916*S1916)*Y1892,0)</f>
        <v>0</v>
      </c>
      <c r="Z1916" s="391">
        <f>Y1892*V1916</f>
        <v>0</v>
      </c>
      <c r="AA1916" s="86"/>
      <c r="AB1916" s="92">
        <f>+Y1916*T1916</f>
        <v>0</v>
      </c>
      <c r="AC1916" s="93">
        <f>+AB1916-Z1916</f>
        <v>0</v>
      </c>
      <c r="AD1916" s="94"/>
      <c r="AE1916" s="406" t="str">
        <f>+IF(V1916=0,"CERO","NO")</f>
        <v>CERO</v>
      </c>
    </row>
    <row r="1917" spans="3:31" s="260" customFormat="1" ht="15.75" thickBot="1" x14ac:dyDescent="0.3">
      <c r="C1917" s="84"/>
      <c r="D1917" s="89"/>
      <c r="E1917" s="90"/>
      <c r="F1917" s="90"/>
      <c r="G1917" s="90"/>
      <c r="H1917" s="90"/>
      <c r="I1917" s="90"/>
      <c r="J1917" s="91"/>
      <c r="K1917" s="88"/>
      <c r="M1917" s="102">
        <v>0</v>
      </c>
      <c r="N1917" s="533"/>
      <c r="O1917" s="533"/>
      <c r="P1917" s="533"/>
      <c r="Q1917" s="79"/>
      <c r="R1917" s="78"/>
      <c r="S1917" s="81"/>
      <c r="T1917" s="529"/>
      <c r="U1917" s="529"/>
      <c r="V1917" s="82"/>
      <c r="Y1917" s="393">
        <f>+IFERROR((R1917*S1917)*Y1892,0)</f>
        <v>0</v>
      </c>
      <c r="Z1917" s="391">
        <f>Y1892*V1917</f>
        <v>0</v>
      </c>
      <c r="AA1917" s="86"/>
      <c r="AB1917" s="92">
        <f>+Y1917*T1917</f>
        <v>0</v>
      </c>
      <c r="AC1917" s="93">
        <f>+AB1917-Z1917</f>
        <v>0</v>
      </c>
      <c r="AD1917" s="94"/>
      <c r="AE1917" s="406" t="str">
        <f>+IF(V1917=0,"CERO","NO")</f>
        <v>CERO</v>
      </c>
    </row>
    <row r="1918" spans="3:31" s="260" customFormat="1" ht="15.75" thickBot="1" x14ac:dyDescent="0.3">
      <c r="C1918" s="84"/>
      <c r="D1918" s="375" t="s">
        <v>128</v>
      </c>
      <c r="E1918" s="376" t="s">
        <v>129</v>
      </c>
      <c r="F1918" s="376" t="s">
        <v>130</v>
      </c>
      <c r="G1918" s="376" t="s">
        <v>131</v>
      </c>
      <c r="H1918" s="376" t="s">
        <v>132</v>
      </c>
      <c r="I1918" s="376" t="s">
        <v>133</v>
      </c>
      <c r="J1918" s="377" t="s">
        <v>134</v>
      </c>
      <c r="K1918" s="88"/>
      <c r="M1918" s="534"/>
      <c r="N1918" s="536" t="s">
        <v>113</v>
      </c>
      <c r="O1918" s="536"/>
      <c r="P1918" s="536"/>
      <c r="Q1918" s="536"/>
      <c r="R1918" s="536"/>
      <c r="S1918" s="536"/>
      <c r="T1918" s="536"/>
      <c r="U1918" s="536"/>
      <c r="V1918" s="411">
        <f>+SUM(V1914:V1917)</f>
        <v>347.2217399698057</v>
      </c>
      <c r="Y1918" s="398" t="s">
        <v>135</v>
      </c>
      <c r="Z1918" s="397">
        <f>+SUM(Z1914:Z1917)</f>
        <v>56597.143615078327</v>
      </c>
      <c r="AA1918" s="86"/>
      <c r="AB1918" s="384"/>
      <c r="AC1918" s="385"/>
      <c r="AD1918" s="94"/>
      <c r="AE1918" s="399"/>
    </row>
    <row r="1919" spans="3:31" s="260" customFormat="1" ht="15.75" thickBot="1" x14ac:dyDescent="0.3">
      <c r="C1919" s="84"/>
      <c r="D1919" s="355"/>
      <c r="E1919" s="367"/>
      <c r="F1919" s="412">
        <f>+E1911</f>
        <v>2.29</v>
      </c>
      <c r="G1919" s="367"/>
      <c r="H1919" s="367"/>
      <c r="I1919" s="367"/>
      <c r="J1919" s="368"/>
      <c r="K1919" s="88"/>
      <c r="M1919" s="535"/>
      <c r="N1919" s="537" t="s">
        <v>114</v>
      </c>
      <c r="O1919" s="537"/>
      <c r="P1919" s="537"/>
      <c r="Q1919" s="537"/>
      <c r="R1919" s="537"/>
      <c r="S1919" s="537"/>
      <c r="T1919" s="537"/>
      <c r="U1919" s="537"/>
      <c r="V1919" s="413">
        <f>+ROUND(V1918,$AA$5)</f>
        <v>347.22</v>
      </c>
      <c r="Y1919" s="401" t="s">
        <v>136</v>
      </c>
      <c r="Z1919" s="402">
        <f>+ROUND(Z1918,$AA$5)</f>
        <v>56597.14</v>
      </c>
      <c r="AA1919" s="86"/>
      <c r="AB1919" s="403">
        <f>+V1919*Y1892</f>
        <v>56596.860000000008</v>
      </c>
      <c r="AC1919" s="414"/>
      <c r="AD1919" s="94"/>
      <c r="AE1919" s="405"/>
    </row>
    <row r="1920" spans="3:31" s="260" customFormat="1" ht="15.75" thickBot="1" x14ac:dyDescent="0.3">
      <c r="C1920" s="84"/>
      <c r="D1920" s="415"/>
      <c r="E1920" s="416"/>
      <c r="F1920" s="416"/>
      <c r="G1920" s="416"/>
      <c r="H1920" s="416"/>
      <c r="I1920" s="416"/>
      <c r="J1920" s="417"/>
      <c r="K1920" s="88"/>
      <c r="M1920" s="538" t="s">
        <v>115</v>
      </c>
      <c r="N1920" s="539"/>
      <c r="O1920" s="539"/>
      <c r="P1920" s="539"/>
      <c r="Q1920" s="539"/>
      <c r="R1920" s="539"/>
      <c r="S1920" s="539"/>
      <c r="T1920" s="539"/>
      <c r="U1920" s="539"/>
      <c r="V1920" s="540"/>
      <c r="Y1920" s="378"/>
      <c r="Z1920" s="121"/>
      <c r="AA1920" s="86"/>
      <c r="AB1920" s="409"/>
      <c r="AC1920" s="121"/>
      <c r="AD1920" s="94"/>
      <c r="AE1920" s="126"/>
    </row>
    <row r="1921" spans="3:31" s="260" customFormat="1" ht="15.75" thickBot="1" x14ac:dyDescent="0.3">
      <c r="C1921" s="84"/>
      <c r="D1921" s="375" t="s">
        <v>128</v>
      </c>
      <c r="E1921" s="376" t="s">
        <v>129</v>
      </c>
      <c r="F1921" s="376" t="s">
        <v>130</v>
      </c>
      <c r="G1921" s="376" t="s">
        <v>131</v>
      </c>
      <c r="H1921" s="376" t="s">
        <v>132</v>
      </c>
      <c r="I1921" s="376" t="s">
        <v>133</v>
      </c>
      <c r="J1921" s="377" t="s">
        <v>134</v>
      </c>
      <c r="K1921" s="88"/>
      <c r="M1921" s="99" t="s">
        <v>94</v>
      </c>
      <c r="N1921" s="98" t="s">
        <v>95</v>
      </c>
      <c r="O1921" s="95" t="s">
        <v>96</v>
      </c>
      <c r="P1921" s="359" t="s">
        <v>104</v>
      </c>
      <c r="Q1921" s="95" t="s">
        <v>116</v>
      </c>
      <c r="R1921" s="418" t="s">
        <v>117</v>
      </c>
      <c r="S1921" s="95" t="s">
        <v>347</v>
      </c>
      <c r="T1921" s="419" t="s">
        <v>118</v>
      </c>
      <c r="U1921" s="189" t="s">
        <v>119</v>
      </c>
      <c r="V1921" s="100" t="s">
        <v>98</v>
      </c>
      <c r="Y1921" s="383" t="s">
        <v>104</v>
      </c>
      <c r="Z1921" s="119" t="s">
        <v>9</v>
      </c>
      <c r="AA1921" s="86"/>
      <c r="AB1921" s="384"/>
      <c r="AC1921" s="385"/>
      <c r="AD1921" s="94"/>
      <c r="AE1921" s="410"/>
    </row>
    <row r="1922" spans="3:31" s="260" customFormat="1" ht="25.5" x14ac:dyDescent="0.25">
      <c r="C1922" s="84"/>
      <c r="D1922" s="354"/>
      <c r="E1922" s="96"/>
      <c r="F1922" s="96"/>
      <c r="G1922" s="96"/>
      <c r="H1922" s="96"/>
      <c r="I1922" s="96"/>
      <c r="J1922" s="420">
        <f>+F1919</f>
        <v>2.29</v>
      </c>
      <c r="K1922" s="88"/>
      <c r="M1922" s="102">
        <v>201</v>
      </c>
      <c r="N1922" s="347" t="str">
        <f>IFERROR(VLOOKUP(M1922,INSUMOS!$C$8:$K$928,2,0),"-----")</f>
        <v>Oficial Albañileria</v>
      </c>
      <c r="O1922" s="78" t="str">
        <f>IFERROR(VLOOKUP(M1922,INSUMOS!$C$8:$K$928,3,0),"-----")</f>
        <v>JORNAL+PS</v>
      </c>
      <c r="P1922" s="80">
        <v>1</v>
      </c>
      <c r="Q1922" s="79">
        <v>25</v>
      </c>
      <c r="R1922" s="190">
        <f>IFERROR(VLOOKUP(M1922,INSUMOS!$C$8:$K$928,4,0),"-----")</f>
        <v>85136</v>
      </c>
      <c r="S1922" s="190">
        <f>IFERROR(VLOOKUP(M1922,INSUMOS!$C$8:$K$928,6,0),"-----")</f>
        <v>68109</v>
      </c>
      <c r="T1922" s="190">
        <f>IFERROR(VLOOKUP(M1922,INSUMOS!$C$8:$K$928,5,0),"-----")</f>
        <v>0</v>
      </c>
      <c r="U1922" s="388">
        <f>SUM(R1922:T1922)</f>
        <v>153245</v>
      </c>
      <c r="V1922" s="82">
        <f>+IFERROR((P1922/Q1922)*U1922,0)</f>
        <v>6129.8</v>
      </c>
      <c r="Y1922" s="393">
        <f>+IFERROR((Y1892/Q1922*P1922),0)</f>
        <v>6.52</v>
      </c>
      <c r="Z1922" s="391">
        <f>Y1892*V1922</f>
        <v>999157.4</v>
      </c>
      <c r="AA1922" s="86"/>
      <c r="AB1922" s="92">
        <f>+(U1922)*Y1922</f>
        <v>999157.39999999991</v>
      </c>
      <c r="AC1922" s="93">
        <f>+AB1922-Z1922</f>
        <v>0</v>
      </c>
      <c r="AD1922" s="421"/>
      <c r="AE1922" s="410" t="str">
        <f>+IF(V1922=0,"CERO","NO")</f>
        <v>NO</v>
      </c>
    </row>
    <row r="1923" spans="3:31" s="260" customFormat="1" ht="26.25" thickBot="1" x14ac:dyDescent="0.3">
      <c r="C1923" s="84"/>
      <c r="D1923" s="355"/>
      <c r="E1923" s="367"/>
      <c r="F1923" s="367"/>
      <c r="G1923" s="367"/>
      <c r="H1923" s="367"/>
      <c r="I1923" s="367"/>
      <c r="J1923" s="422">
        <f>+J1922</f>
        <v>2.29</v>
      </c>
      <c r="K1923" s="88"/>
      <c r="M1923" s="102">
        <v>202</v>
      </c>
      <c r="N1923" s="347" t="str">
        <f>IFERROR(VLOOKUP(M1923,INSUMOS!$C$8:$K$928,2,0),"-----")</f>
        <v>Ayudante Albañileria</v>
      </c>
      <c r="O1923" s="78" t="str">
        <f>IFERROR(VLOOKUP(M1923,INSUMOS!$C$8:$K$928,3,0),"-----")</f>
        <v>JORNAL+PS</v>
      </c>
      <c r="P1923" s="80">
        <v>1</v>
      </c>
      <c r="Q1923" s="79">
        <v>25</v>
      </c>
      <c r="R1923" s="190">
        <f>IFERROR(VLOOKUP(M1923,INSUMOS!$C$8:$K$928,4,0),"-----")</f>
        <v>63490</v>
      </c>
      <c r="S1923" s="190">
        <f>IFERROR(VLOOKUP(M1923,INSUMOS!$C$8:$K$928,6,0),"-----")</f>
        <v>50792</v>
      </c>
      <c r="T1923" s="190">
        <f>IFERROR(VLOOKUP(M1923,INSUMOS!$C$8:$K$928,5,0),"-----")</f>
        <v>0</v>
      </c>
      <c r="U1923" s="388">
        <f>SUM(R1923:T1923)</f>
        <v>114282</v>
      </c>
      <c r="V1923" s="82">
        <f>+IFERROR((P1923/Q1923)*U1923,0)</f>
        <v>4571.28</v>
      </c>
      <c r="Y1923" s="393">
        <f>+IFERROR((Y1892/Q1923*P1923),0)</f>
        <v>6.52</v>
      </c>
      <c r="Z1923" s="391">
        <f>Y1892*V1923</f>
        <v>745118.64</v>
      </c>
      <c r="AA1923" s="86"/>
      <c r="AB1923" s="92">
        <f>+U1923*Y1923</f>
        <v>745118.6399999999</v>
      </c>
      <c r="AC1923" s="93">
        <f>+AB1923-Z1923</f>
        <v>0</v>
      </c>
      <c r="AD1923" s="94"/>
      <c r="AE1923" s="410" t="str">
        <f>+IF(V1923=0,"CERO","NO")</f>
        <v>NO</v>
      </c>
    </row>
    <row r="1924" spans="3:31" s="260" customFormat="1" ht="15.75" thickBot="1" x14ac:dyDescent="0.3">
      <c r="C1924" s="84"/>
      <c r="D1924" s="380"/>
      <c r="E1924" s="381"/>
      <c r="F1924" s="381"/>
      <c r="G1924" s="381"/>
      <c r="H1924" s="381"/>
      <c r="I1924" s="381"/>
      <c r="J1924" s="382"/>
      <c r="K1924" s="88"/>
      <c r="M1924" s="102">
        <v>0</v>
      </c>
      <c r="N1924" s="347"/>
      <c r="O1924" s="79"/>
      <c r="P1924" s="423"/>
      <c r="Q1924" s="81"/>
      <c r="R1924" s="111"/>
      <c r="S1924" s="357"/>
      <c r="T1924" s="111"/>
      <c r="U1924" s="388"/>
      <c r="V1924" s="426"/>
      <c r="Y1924" s="393">
        <f>+IFERROR((Y1892/Q1924*P1924),0)</f>
        <v>0</v>
      </c>
      <c r="Z1924" s="391">
        <f>Y1892*V1924</f>
        <v>0</v>
      </c>
      <c r="AA1924" s="86"/>
      <c r="AB1924" s="92">
        <f>+(U1924)*Y1924*P1924</f>
        <v>0</v>
      </c>
      <c r="AC1924" s="93">
        <f>+AB1924-Z1924</f>
        <v>0</v>
      </c>
      <c r="AD1924" s="94"/>
      <c r="AE1924" s="410" t="str">
        <f>+IF(V1924=0,"CERO","NO")</f>
        <v>CERO</v>
      </c>
    </row>
    <row r="1925" spans="3:31" s="260" customFormat="1" ht="15.75" thickBot="1" x14ac:dyDescent="0.3">
      <c r="C1925" s="84"/>
      <c r="D1925" s="375" t="s">
        <v>128</v>
      </c>
      <c r="E1925" s="376" t="s">
        <v>129</v>
      </c>
      <c r="F1925" s="376" t="s">
        <v>130</v>
      </c>
      <c r="G1925" s="376" t="s">
        <v>131</v>
      </c>
      <c r="H1925" s="376" t="s">
        <v>132</v>
      </c>
      <c r="I1925" s="376" t="s">
        <v>133</v>
      </c>
      <c r="J1925" s="377" t="s">
        <v>134</v>
      </c>
      <c r="K1925" s="88"/>
      <c r="M1925" s="534"/>
      <c r="N1925" s="536" t="s">
        <v>120</v>
      </c>
      <c r="O1925" s="536"/>
      <c r="P1925" s="536"/>
      <c r="Q1925" s="536"/>
      <c r="R1925" s="536"/>
      <c r="S1925" s="536"/>
      <c r="T1925" s="536"/>
      <c r="U1925" s="536"/>
      <c r="V1925" s="82">
        <f>+SUM(V1922:V1924)</f>
        <v>10701.08</v>
      </c>
      <c r="Y1925" s="398" t="s">
        <v>135</v>
      </c>
      <c r="Z1925" s="397">
        <f>+SUM(Z1922:Z1924)</f>
        <v>1744276.04</v>
      </c>
      <c r="AA1925" s="86"/>
      <c r="AB1925" s="384"/>
      <c r="AC1925" s="385"/>
      <c r="AD1925" s="94"/>
      <c r="AE1925" s="399"/>
    </row>
    <row r="1926" spans="3:31" s="260" customFormat="1" ht="15.75" thickBot="1" x14ac:dyDescent="0.3">
      <c r="C1926" s="84"/>
      <c r="D1926" s="354"/>
      <c r="E1926" s="96"/>
      <c r="F1926" s="96"/>
      <c r="G1926" s="107">
        <f>+F1919</f>
        <v>2.29</v>
      </c>
      <c r="H1926" s="96"/>
      <c r="I1926" s="96"/>
      <c r="J1926" s="427"/>
      <c r="K1926" s="88"/>
      <c r="M1926" s="535"/>
      <c r="N1926" s="537" t="s">
        <v>121</v>
      </c>
      <c r="O1926" s="537"/>
      <c r="P1926" s="537"/>
      <c r="Q1926" s="537"/>
      <c r="R1926" s="537"/>
      <c r="S1926" s="537"/>
      <c r="T1926" s="537"/>
      <c r="U1926" s="537"/>
      <c r="V1926" s="413">
        <f>+ROUND(V1925,$AA$5)</f>
        <v>10701.08</v>
      </c>
      <c r="Y1926" s="401" t="s">
        <v>136</v>
      </c>
      <c r="Z1926" s="402">
        <f>+ROUND(Z1925,$AA$5)</f>
        <v>1744276.04</v>
      </c>
      <c r="AA1926" s="86"/>
      <c r="AB1926" s="403">
        <f>+V1926*Y1892</f>
        <v>1744276.04</v>
      </c>
      <c r="AC1926" s="404">
        <f>+AB1926-Z1926</f>
        <v>0</v>
      </c>
      <c r="AD1926" s="94"/>
      <c r="AE1926" s="405"/>
    </row>
    <row r="1927" spans="3:31" s="260" customFormat="1" ht="15.75" thickBot="1" x14ac:dyDescent="0.3">
      <c r="C1927" s="84"/>
      <c r="D1927" s="375" t="s">
        <v>128</v>
      </c>
      <c r="E1927" s="376" t="s">
        <v>129</v>
      </c>
      <c r="F1927" s="376" t="s">
        <v>130</v>
      </c>
      <c r="G1927" s="376" t="s">
        <v>131</v>
      </c>
      <c r="H1927" s="376" t="s">
        <v>132</v>
      </c>
      <c r="I1927" s="376" t="s">
        <v>133</v>
      </c>
      <c r="J1927" s="377" t="s">
        <v>134</v>
      </c>
      <c r="K1927" s="88"/>
      <c r="M1927" s="541"/>
      <c r="N1927" s="542"/>
      <c r="O1927" s="542"/>
      <c r="P1927" s="542"/>
      <c r="Q1927" s="542"/>
      <c r="R1927" s="542"/>
      <c r="S1927" s="542"/>
      <c r="T1927" s="542"/>
      <c r="U1927" s="542"/>
      <c r="V1927" s="543"/>
      <c r="Y1927" s="378"/>
      <c r="Z1927" s="121"/>
      <c r="AA1927" s="86"/>
      <c r="AB1927" s="409"/>
      <c r="AC1927" s="121"/>
      <c r="AD1927" s="94"/>
      <c r="AE1927" s="428"/>
    </row>
    <row r="1928" spans="3:31" s="260" customFormat="1" ht="15.75" thickBot="1" x14ac:dyDescent="0.3">
      <c r="C1928" s="84"/>
      <c r="D1928" s="355"/>
      <c r="E1928" s="367"/>
      <c r="F1928" s="367"/>
      <c r="G1928" s="367"/>
      <c r="H1928" s="412">
        <f>G1926</f>
        <v>2.29</v>
      </c>
      <c r="I1928" s="412"/>
      <c r="J1928" s="422"/>
      <c r="K1928" s="88"/>
      <c r="M1928" s="544" t="s">
        <v>122</v>
      </c>
      <c r="N1928" s="537"/>
      <c r="O1928" s="537"/>
      <c r="P1928" s="537"/>
      <c r="Q1928" s="537"/>
      <c r="R1928" s="537"/>
      <c r="S1928" s="537"/>
      <c r="T1928" s="537"/>
      <c r="U1928" s="545">
        <f>+V1926+V1919+V1911+V1902</f>
        <v>33738.19</v>
      </c>
      <c r="V1928" s="546"/>
      <c r="Y1928" s="429"/>
      <c r="Z1928" s="430">
        <f>+Z1926+Z1919+Z1911+Z1902</f>
        <v>5499325.0899999999</v>
      </c>
      <c r="AA1928" s="86"/>
      <c r="AB1928" s="431">
        <f>+AB1926+AB1919+AB1911+AB1902</f>
        <v>5499324.9700000007</v>
      </c>
      <c r="AC1928" s="404">
        <f>+AB1928-Z1928</f>
        <v>-0.11999999918043613</v>
      </c>
      <c r="AD1928" s="94"/>
      <c r="AE1928" s="432"/>
    </row>
    <row r="1929" spans="3:31" s="260" customFormat="1" ht="15.75" thickBot="1" x14ac:dyDescent="0.3"/>
    <row r="1930" spans="3:31" s="260" customFormat="1" x14ac:dyDescent="0.25">
      <c r="M1930" s="547" t="s">
        <v>348</v>
      </c>
      <c r="N1930" s="548"/>
      <c r="O1930" s="548"/>
      <c r="P1930" s="548"/>
      <c r="Q1930" s="548"/>
      <c r="R1930" s="548"/>
      <c r="S1930" s="548"/>
      <c r="T1930" s="548"/>
      <c r="U1930" s="548"/>
      <c r="V1930" s="549"/>
      <c r="Y1930" s="378"/>
      <c r="Z1930" s="121"/>
      <c r="AA1930" s="86"/>
      <c r="AB1930" s="94"/>
      <c r="AC1930" s="94"/>
      <c r="AD1930" s="94"/>
      <c r="AE1930" s="126" t="s">
        <v>133</v>
      </c>
    </row>
    <row r="1931" spans="3:31" s="260" customFormat="1" x14ac:dyDescent="0.25">
      <c r="M1931" s="515" t="s">
        <v>138</v>
      </c>
      <c r="N1931" s="516"/>
      <c r="O1931" s="516"/>
      <c r="P1931" s="516"/>
      <c r="Q1931" s="516"/>
      <c r="R1931" s="516"/>
      <c r="S1931" s="516"/>
      <c r="T1931" s="437">
        <v>0</v>
      </c>
      <c r="U1931" s="517">
        <f>+ROUND(U1928*T1931,$AA$5)</f>
        <v>0</v>
      </c>
      <c r="V1931" s="518"/>
      <c r="Y1931" s="390"/>
      <c r="Z1931" s="438">
        <f>+Z1928*T1931</f>
        <v>0</v>
      </c>
      <c r="AA1931" s="86"/>
      <c r="AB1931" s="94"/>
      <c r="AC1931" s="94"/>
      <c r="AD1931" s="94"/>
      <c r="AE1931" s="386" t="s">
        <v>133</v>
      </c>
    </row>
    <row r="1932" spans="3:31" s="260" customFormat="1" x14ac:dyDescent="0.25">
      <c r="M1932" s="515" t="s">
        <v>19</v>
      </c>
      <c r="N1932" s="516"/>
      <c r="O1932" s="516"/>
      <c r="P1932" s="516"/>
      <c r="Q1932" s="516"/>
      <c r="R1932" s="516"/>
      <c r="S1932" s="516"/>
      <c r="T1932" s="437">
        <v>0.05</v>
      </c>
      <c r="U1932" s="517">
        <f>+ROUND(U1928*T1932,$AA$5)</f>
        <v>1686.91</v>
      </c>
      <c r="V1932" s="518"/>
      <c r="Y1932" s="390"/>
      <c r="Z1932" s="438">
        <f>+Z1928*T1932</f>
        <v>274966.25449999998</v>
      </c>
      <c r="AA1932" s="86"/>
      <c r="AB1932" s="94"/>
      <c r="AC1932" s="94"/>
      <c r="AD1932" s="94"/>
      <c r="AE1932" s="386" t="s">
        <v>133</v>
      </c>
    </row>
    <row r="1933" spans="3:31" s="260" customFormat="1" x14ac:dyDescent="0.25">
      <c r="M1933" s="515" t="s">
        <v>20</v>
      </c>
      <c r="N1933" s="516"/>
      <c r="O1933" s="516"/>
      <c r="P1933" s="516"/>
      <c r="Q1933" s="516"/>
      <c r="R1933" s="516"/>
      <c r="S1933" s="516"/>
      <c r="T1933" s="437">
        <v>0</v>
      </c>
      <c r="U1933" s="517">
        <f>+ROUND(U1928*T1933,$AA$5)</f>
        <v>0</v>
      </c>
      <c r="V1933" s="518"/>
      <c r="Y1933" s="390"/>
      <c r="Z1933" s="438">
        <f>+Z1928*T1933</f>
        <v>0</v>
      </c>
      <c r="AA1933" s="86"/>
      <c r="AB1933" s="94"/>
      <c r="AC1933" s="94"/>
      <c r="AD1933" s="94"/>
      <c r="AE1933" s="386" t="s">
        <v>133</v>
      </c>
    </row>
    <row r="1934" spans="3:31" s="260" customFormat="1" x14ac:dyDescent="0.25">
      <c r="M1934" s="515" t="s">
        <v>21</v>
      </c>
      <c r="N1934" s="516"/>
      <c r="O1934" s="516"/>
      <c r="P1934" s="516"/>
      <c r="Q1934" s="516"/>
      <c r="R1934" s="516"/>
      <c r="S1934" s="516"/>
      <c r="T1934" s="437">
        <f>$AA$9</f>
        <v>0</v>
      </c>
      <c r="U1934" s="517">
        <f>+ROUND(U1928*T1934,$AA$5)</f>
        <v>0</v>
      </c>
      <c r="V1934" s="518"/>
      <c r="Y1934" s="390"/>
      <c r="Z1934" s="438">
        <f>+Z1933*T1934</f>
        <v>0</v>
      </c>
      <c r="AA1934" s="86"/>
      <c r="AB1934" s="94"/>
      <c r="AC1934" s="94"/>
      <c r="AD1934" s="94"/>
      <c r="AE1934" s="386" t="s">
        <v>133</v>
      </c>
    </row>
    <row r="1935" spans="3:31" s="260" customFormat="1" ht="15.75" thickBot="1" x14ac:dyDescent="0.3">
      <c r="M1935" s="519" t="s">
        <v>349</v>
      </c>
      <c r="N1935" s="520"/>
      <c r="O1935" s="520"/>
      <c r="P1935" s="520"/>
      <c r="Q1935" s="520"/>
      <c r="R1935" s="520"/>
      <c r="S1935" s="520"/>
      <c r="T1935" s="520"/>
      <c r="U1935" s="521">
        <f>+SUM(U1931:V1934)</f>
        <v>1686.91</v>
      </c>
      <c r="V1935" s="522"/>
      <c r="Y1935" s="390"/>
      <c r="Z1935" s="439">
        <f>+SUM(Z1931:Z1934)</f>
        <v>274966.25449999998</v>
      </c>
      <c r="AA1935" s="86"/>
      <c r="AB1935" s="94"/>
      <c r="AC1935" s="94"/>
      <c r="AD1935" s="94"/>
      <c r="AE1935" s="386" t="s">
        <v>133</v>
      </c>
    </row>
    <row r="1936" spans="3:31" s="260" customFormat="1" ht="15.75" thickBot="1" x14ac:dyDescent="0.3">
      <c r="D1936" s="375" t="s">
        <v>128</v>
      </c>
      <c r="E1936" s="376" t="s">
        <v>129</v>
      </c>
      <c r="F1936" s="376" t="s">
        <v>130</v>
      </c>
      <c r="G1936" s="376" t="s">
        <v>131</v>
      </c>
      <c r="H1936" s="376" t="s">
        <v>132</v>
      </c>
      <c r="I1936" s="376" t="s">
        <v>133</v>
      </c>
      <c r="J1936" s="377" t="s">
        <v>134</v>
      </c>
      <c r="M1936" s="86"/>
      <c r="N1936" s="94"/>
      <c r="O1936" s="94"/>
      <c r="P1936" s="94"/>
      <c r="Q1936" s="86"/>
      <c r="R1936" s="86"/>
      <c r="S1936" s="86"/>
      <c r="T1936" s="440"/>
      <c r="U1936" s="523"/>
      <c r="V1936" s="523"/>
      <c r="Y1936" s="390"/>
      <c r="Z1936" s="385"/>
      <c r="AA1936" s="86"/>
      <c r="AB1936" s="94"/>
      <c r="AC1936" s="94"/>
      <c r="AD1936" s="94"/>
      <c r="AE1936" s="386" t="s">
        <v>133</v>
      </c>
    </row>
    <row r="1937" spans="3:31" s="260" customFormat="1" ht="15.75" thickBot="1" x14ac:dyDescent="0.3">
      <c r="D1937" s="355"/>
      <c r="E1937" s="367"/>
      <c r="F1937" s="367"/>
      <c r="G1937" s="367"/>
      <c r="H1937" s="412"/>
      <c r="I1937" s="412">
        <f>H1928</f>
        <v>2.29</v>
      </c>
      <c r="J1937" s="422"/>
      <c r="M1937" s="524" t="s">
        <v>11</v>
      </c>
      <c r="N1937" s="525"/>
      <c r="O1937" s="525"/>
      <c r="P1937" s="525"/>
      <c r="Q1937" s="525"/>
      <c r="R1937" s="525"/>
      <c r="S1937" s="525"/>
      <c r="T1937" s="526"/>
      <c r="U1937" s="527">
        <f>+U1935+U1928</f>
        <v>35425.100000000006</v>
      </c>
      <c r="V1937" s="528"/>
      <c r="Y1937" s="429"/>
      <c r="Z1937" s="441">
        <f>+Z1935+Z1928</f>
        <v>5774291.3444999997</v>
      </c>
      <c r="AA1937" s="86"/>
      <c r="AB1937" s="94"/>
      <c r="AC1937" s="94"/>
      <c r="AD1937" s="94"/>
      <c r="AE1937" s="405" t="s">
        <v>133</v>
      </c>
    </row>
    <row r="1938" spans="3:31" s="260" customFormat="1" x14ac:dyDescent="0.25"/>
    <row r="1939" spans="3:31" s="260" customFormat="1" ht="15.75" thickBot="1" x14ac:dyDescent="0.3"/>
    <row r="1940" spans="3:31" s="260" customFormat="1" ht="15.75" thickBot="1" x14ac:dyDescent="0.3">
      <c r="M1940" s="363" t="s">
        <v>88</v>
      </c>
      <c r="N1940" s="436" t="str">
        <f>+N1891</f>
        <v>CAP.2</v>
      </c>
      <c r="O1940" s="550" t="str">
        <f>IFERROR(VLOOKUP(N1940,PPTO!C:H,2,0),"----")</f>
        <v>RED HIDRAULICA</v>
      </c>
      <c r="P1940" s="551"/>
      <c r="Q1940" s="551"/>
      <c r="R1940" s="551"/>
      <c r="S1940" s="551"/>
      <c r="T1940" s="551"/>
      <c r="U1940" s="552"/>
      <c r="V1940" s="74" t="s">
        <v>91</v>
      </c>
      <c r="Y1940" s="365" t="s">
        <v>104</v>
      </c>
      <c r="Z1940" s="94"/>
      <c r="AA1940" s="188"/>
      <c r="AB1940" s="553"/>
      <c r="AC1940" s="553"/>
      <c r="AD1940" s="553"/>
      <c r="AE1940" s="94"/>
    </row>
    <row r="1941" spans="3:31" s="260" customFormat="1" ht="15.75" thickBot="1" x14ac:dyDescent="0.3">
      <c r="C1941" s="369">
        <f>+N1941</f>
        <v>2.2999999999999998</v>
      </c>
      <c r="D1941" s="86"/>
      <c r="E1941" s="86"/>
      <c r="F1941" s="86"/>
      <c r="G1941" s="86"/>
      <c r="H1941" s="86"/>
      <c r="I1941" s="86"/>
      <c r="J1941" s="86"/>
      <c r="K1941" s="370"/>
      <c r="M1941" s="75" t="s">
        <v>92</v>
      </c>
      <c r="N1941" s="371">
        <f>+ROUNDUP(N1892+0.01,2)</f>
        <v>2.2999999999999998</v>
      </c>
      <c r="O1941" s="554" t="str">
        <f>IFERROR(VLOOKUP(N1941,PPTO!C:H,2,0),"----")</f>
        <v>Reduccion PVC Ø2_1/2" A Ø2"</v>
      </c>
      <c r="P1941" s="555"/>
      <c r="Q1941" s="555"/>
      <c r="R1941" s="555"/>
      <c r="S1941" s="555"/>
      <c r="T1941" s="555"/>
      <c r="U1941" s="556"/>
      <c r="V1941" s="76" t="str">
        <f>IFERROR(VLOOKUP(N1941,PPTO!C:H,3,0),"----")</f>
        <v>UND</v>
      </c>
      <c r="Y1941" s="373">
        <f>SUMIFS(PPTO!F:F,PPTO!C:C,APUS!N1941)</f>
        <v>1</v>
      </c>
      <c r="Z1941" s="94"/>
      <c r="AA1941" s="86"/>
      <c r="AB1941" s="94"/>
      <c r="AC1941" s="94"/>
      <c r="AD1941" s="94"/>
      <c r="AE1941" s="94"/>
    </row>
    <row r="1942" spans="3:31" s="260" customFormat="1" ht="15.75" thickBot="1" x14ac:dyDescent="0.3">
      <c r="C1942" s="84"/>
      <c r="D1942" s="86"/>
      <c r="E1942" s="86"/>
      <c r="F1942" s="86"/>
      <c r="G1942" s="86"/>
      <c r="H1942" s="86"/>
      <c r="I1942" s="86"/>
      <c r="J1942" s="86"/>
      <c r="K1942" s="88"/>
      <c r="M1942" s="557"/>
      <c r="N1942" s="557"/>
      <c r="O1942" s="557"/>
      <c r="P1942" s="557"/>
      <c r="Q1942" s="557"/>
      <c r="R1942" s="557"/>
      <c r="S1942" s="557"/>
      <c r="T1942" s="557"/>
      <c r="U1942" s="557"/>
      <c r="V1942" s="557"/>
      <c r="Y1942" s="374"/>
      <c r="Z1942" s="94"/>
      <c r="AA1942" s="86"/>
      <c r="AB1942" s="94"/>
      <c r="AC1942" s="94"/>
      <c r="AD1942" s="94"/>
      <c r="AE1942" s="94"/>
    </row>
    <row r="1943" spans="3:31" s="260" customFormat="1" ht="15.75" thickBot="1" x14ac:dyDescent="0.3">
      <c r="C1943" s="84"/>
      <c r="D1943" s="375" t="s">
        <v>128</v>
      </c>
      <c r="E1943" s="376" t="s">
        <v>129</v>
      </c>
      <c r="F1943" s="376" t="s">
        <v>130</v>
      </c>
      <c r="G1943" s="376" t="s">
        <v>131</v>
      </c>
      <c r="H1943" s="376" t="s">
        <v>132</v>
      </c>
      <c r="I1943" s="376" t="s">
        <v>133</v>
      </c>
      <c r="J1943" s="377" t="s">
        <v>134</v>
      </c>
      <c r="K1943" s="88"/>
      <c r="M1943" s="558" t="s">
        <v>93</v>
      </c>
      <c r="N1943" s="559"/>
      <c r="O1943" s="559"/>
      <c r="P1943" s="559"/>
      <c r="Q1943" s="559"/>
      <c r="R1943" s="559"/>
      <c r="S1943" s="559"/>
      <c r="T1943" s="559"/>
      <c r="U1943" s="559"/>
      <c r="V1943" s="560"/>
      <c r="Y1943" s="378"/>
      <c r="Z1943" s="121"/>
      <c r="AA1943" s="86"/>
      <c r="AB1943" s="513"/>
      <c r="AC1943" s="514"/>
      <c r="AD1943" s="94"/>
      <c r="AE1943" s="379"/>
    </row>
    <row r="1944" spans="3:31" s="260" customFormat="1" x14ac:dyDescent="0.25">
      <c r="C1944" s="84"/>
      <c r="D1944" s="380"/>
      <c r="E1944" s="381"/>
      <c r="F1944" s="381"/>
      <c r="G1944" s="381"/>
      <c r="H1944" s="381"/>
      <c r="I1944" s="381"/>
      <c r="J1944" s="382"/>
      <c r="K1944" s="88"/>
      <c r="M1944" s="99" t="s">
        <v>94</v>
      </c>
      <c r="N1944" s="561" t="s">
        <v>95</v>
      </c>
      <c r="O1944" s="561"/>
      <c r="P1944" s="561"/>
      <c r="Q1944" s="561"/>
      <c r="R1944" s="95" t="s">
        <v>96</v>
      </c>
      <c r="S1944" s="95" t="s">
        <v>97</v>
      </c>
      <c r="T1944" s="562" t="s">
        <v>8</v>
      </c>
      <c r="U1944" s="562"/>
      <c r="V1944" s="100" t="s">
        <v>98</v>
      </c>
      <c r="Y1944" s="383" t="s">
        <v>104</v>
      </c>
      <c r="Z1944" s="119" t="s">
        <v>9</v>
      </c>
      <c r="AA1944" s="86"/>
      <c r="AB1944" s="384"/>
      <c r="AC1944" s="385"/>
      <c r="AD1944" s="94"/>
      <c r="AE1944" s="386"/>
    </row>
    <row r="1945" spans="3:31" s="260" customFormat="1" x14ac:dyDescent="0.25">
      <c r="C1945" s="84"/>
      <c r="D1945" s="85"/>
      <c r="E1945" s="86"/>
      <c r="F1945" s="86"/>
      <c r="G1945" s="86"/>
      <c r="H1945" s="86"/>
      <c r="I1945" s="86"/>
      <c r="J1945" s="87"/>
      <c r="K1945" s="88"/>
      <c r="M1945" s="102"/>
      <c r="N1945" s="533" t="s">
        <v>99</v>
      </c>
      <c r="O1945" s="533"/>
      <c r="P1945" s="533"/>
      <c r="Q1945" s="533"/>
      <c r="R1945" s="78" t="s">
        <v>100</v>
      </c>
      <c r="S1945" s="387">
        <f>+$AA$10</f>
        <v>0.05</v>
      </c>
      <c r="T1945" s="563">
        <f>V1975</f>
        <v>5578.97</v>
      </c>
      <c r="U1945" s="563"/>
      <c r="V1945" s="389">
        <f>+IFERROR(T1945*S1945,0)</f>
        <v>278.94850000000002</v>
      </c>
      <c r="Y1945" s="390"/>
      <c r="Z1945" s="391">
        <f>Y1941*V1945</f>
        <v>278.94850000000002</v>
      </c>
      <c r="AA1945" s="86"/>
      <c r="AB1945" s="384"/>
      <c r="AC1945" s="385"/>
      <c r="AD1945" s="94"/>
      <c r="AE1945" s="386" t="str">
        <f>+IF(V1945=0,"CERO","NO")</f>
        <v>NO</v>
      </c>
    </row>
    <row r="1946" spans="3:31" s="260" customFormat="1" x14ac:dyDescent="0.25">
      <c r="C1946" s="84"/>
      <c r="D1946" s="85"/>
      <c r="E1946" s="86"/>
      <c r="F1946" s="86"/>
      <c r="G1946" s="86"/>
      <c r="H1946" s="86"/>
      <c r="I1946" s="86"/>
      <c r="J1946" s="87"/>
      <c r="K1946" s="88"/>
      <c r="M1946" s="106"/>
      <c r="N1946" s="533" t="str">
        <f>IFERROR(VLOOKUP(M1946,INSUMOS!$C$8:$K$928,2,0),"-----")</f>
        <v>-----</v>
      </c>
      <c r="O1946" s="533"/>
      <c r="P1946" s="533"/>
      <c r="Q1946" s="533"/>
      <c r="R1946" s="78" t="str">
        <f>IFERROR(VLOOKUP(M1946,INSUMOS!$C$8:$K$928,6,0),"-----")</f>
        <v>-----</v>
      </c>
      <c r="S1946" s="392"/>
      <c r="T1946" s="529" t="str">
        <f>IFERROR(VLOOKUP(M1946,INSUMOS!$C$8:$K$928,7,0),"0")</f>
        <v>0</v>
      </c>
      <c r="U1946" s="529"/>
      <c r="V1946" s="389">
        <f>+IFERROR(T1946*S1946,0)</f>
        <v>0</v>
      </c>
      <c r="Y1946" s="393">
        <f>+IFERROR(Y1941*S1946,0)</f>
        <v>0</v>
      </c>
      <c r="Z1946" s="391">
        <f>Y1941*V1946</f>
        <v>0</v>
      </c>
      <c r="AA1946" s="394"/>
      <c r="AB1946" s="395">
        <f>+Y1946*T1946</f>
        <v>0</v>
      </c>
      <c r="AC1946" s="93">
        <f>+AB1946-Z1946</f>
        <v>0</v>
      </c>
      <c r="AD1946" s="94"/>
      <c r="AE1946" s="386" t="str">
        <f>+IF(V1946=0,"CERO","NO")</f>
        <v>CERO</v>
      </c>
    </row>
    <row r="1947" spans="3:31" s="260" customFormat="1" x14ac:dyDescent="0.25">
      <c r="C1947" s="84"/>
      <c r="D1947" s="85"/>
      <c r="E1947" s="86"/>
      <c r="F1947" s="86"/>
      <c r="G1947" s="86"/>
      <c r="H1947" s="86"/>
      <c r="I1947" s="86"/>
      <c r="J1947" s="87"/>
      <c r="K1947" s="88"/>
      <c r="M1947" s="102">
        <v>0</v>
      </c>
      <c r="N1947" s="533"/>
      <c r="O1947" s="533"/>
      <c r="P1947" s="533"/>
      <c r="Q1947" s="533"/>
      <c r="R1947" s="78"/>
      <c r="S1947" s="396"/>
      <c r="T1947" s="529"/>
      <c r="U1947" s="529"/>
      <c r="V1947" s="397"/>
      <c r="Y1947" s="393">
        <f>+IFERROR(Y1941*S1947,0)</f>
        <v>0</v>
      </c>
      <c r="Z1947" s="391">
        <f>Y1941*V1947</f>
        <v>0</v>
      </c>
      <c r="AA1947" s="394"/>
      <c r="AB1947" s="395">
        <f>+Y1947*T1947</f>
        <v>0</v>
      </c>
      <c r="AC1947" s="93">
        <f>+AB1947-Z1947</f>
        <v>0</v>
      </c>
      <c r="AD1947" s="94"/>
      <c r="AE1947" s="386" t="str">
        <f>+IF(V1947=0,"CERO","NO")</f>
        <v>CERO</v>
      </c>
    </row>
    <row r="1948" spans="3:31" s="260" customFormat="1" x14ac:dyDescent="0.25">
      <c r="C1948" s="84"/>
      <c r="D1948" s="85"/>
      <c r="E1948" s="86"/>
      <c r="F1948" s="86"/>
      <c r="G1948" s="86"/>
      <c r="H1948" s="86"/>
      <c r="I1948" s="86"/>
      <c r="J1948" s="87"/>
      <c r="K1948" s="88"/>
      <c r="M1948" s="102">
        <v>0</v>
      </c>
      <c r="N1948" s="533"/>
      <c r="O1948" s="533"/>
      <c r="P1948" s="533"/>
      <c r="Q1948" s="533"/>
      <c r="R1948" s="78"/>
      <c r="S1948" s="396"/>
      <c r="T1948" s="529"/>
      <c r="U1948" s="529"/>
      <c r="V1948" s="397"/>
      <c r="Y1948" s="393">
        <f>+IFERROR(Y1941*S1948,0)</f>
        <v>0</v>
      </c>
      <c r="Z1948" s="391">
        <f>Y1941*V1948</f>
        <v>0</v>
      </c>
      <c r="AA1948" s="394"/>
      <c r="AB1948" s="395">
        <f>+Y1948*T1948</f>
        <v>0</v>
      </c>
      <c r="AC1948" s="93">
        <f>+AB1948-Z1948</f>
        <v>0</v>
      </c>
      <c r="AD1948" s="94"/>
      <c r="AE1948" s="386" t="str">
        <f>+IF(V1948=0,"CERO","NO")</f>
        <v>CERO</v>
      </c>
    </row>
    <row r="1949" spans="3:31" s="260" customFormat="1" ht="15.75" thickBot="1" x14ac:dyDescent="0.3">
      <c r="C1949" s="84"/>
      <c r="D1949" s="85"/>
      <c r="E1949" s="86"/>
      <c r="F1949" s="86"/>
      <c r="G1949" s="86"/>
      <c r="H1949" s="86"/>
      <c r="I1949" s="86"/>
      <c r="J1949" s="87"/>
      <c r="K1949" s="88"/>
      <c r="M1949" s="102">
        <v>0</v>
      </c>
      <c r="N1949" s="564"/>
      <c r="O1949" s="564"/>
      <c r="P1949" s="564"/>
      <c r="Q1949" s="564"/>
      <c r="R1949" s="96"/>
      <c r="S1949" s="96"/>
      <c r="T1949" s="565"/>
      <c r="U1949" s="565"/>
      <c r="V1949" s="101"/>
      <c r="Y1949" s="393">
        <f>+IFERROR(Y1941*S1949,0)</f>
        <v>0</v>
      </c>
      <c r="Z1949" s="391">
        <f>Y1941*V1949</f>
        <v>0</v>
      </c>
      <c r="AA1949" s="394"/>
      <c r="AB1949" s="395">
        <f>+Y1949*T1949</f>
        <v>0</v>
      </c>
      <c r="AC1949" s="93">
        <f>+AB1949-Z1949</f>
        <v>0</v>
      </c>
      <c r="AD1949" s="94"/>
      <c r="AE1949" s="386" t="str">
        <f>+IF(V1949=0,"CERO","NO")</f>
        <v>CERO</v>
      </c>
    </row>
    <row r="1950" spans="3:31" s="260" customFormat="1" ht="15.75" thickBot="1" x14ac:dyDescent="0.3">
      <c r="C1950" s="84"/>
      <c r="D1950" s="375" t="s">
        <v>128</v>
      </c>
      <c r="E1950" s="376" t="s">
        <v>129</v>
      </c>
      <c r="F1950" s="376" t="s">
        <v>130</v>
      </c>
      <c r="G1950" s="376" t="s">
        <v>131</v>
      </c>
      <c r="H1950" s="376" t="s">
        <v>132</v>
      </c>
      <c r="I1950" s="376" t="s">
        <v>133</v>
      </c>
      <c r="J1950" s="377" t="s">
        <v>134</v>
      </c>
      <c r="K1950" s="88"/>
      <c r="M1950" s="534"/>
      <c r="N1950" s="536" t="s">
        <v>101</v>
      </c>
      <c r="O1950" s="536"/>
      <c r="P1950" s="536"/>
      <c r="Q1950" s="536"/>
      <c r="R1950" s="536"/>
      <c r="S1950" s="536"/>
      <c r="T1950" s="536"/>
      <c r="U1950" s="536"/>
      <c r="V1950" s="389">
        <f>+SUM(V1945:V1949)</f>
        <v>278.94850000000002</v>
      </c>
      <c r="Y1950" s="398" t="s">
        <v>135</v>
      </c>
      <c r="Z1950" s="397">
        <f>+SUM(Z1945:Z1949)</f>
        <v>278.94850000000002</v>
      </c>
      <c r="AA1950" s="86"/>
      <c r="AB1950" s="384"/>
      <c r="AC1950" s="385"/>
      <c r="AD1950" s="94"/>
      <c r="AE1950" s="399"/>
    </row>
    <row r="1951" spans="3:31" s="260" customFormat="1" ht="15.75" thickBot="1" x14ac:dyDescent="0.3">
      <c r="C1951" s="84"/>
      <c r="D1951" s="375">
        <f>C1941</f>
        <v>2.2999999999999998</v>
      </c>
      <c r="E1951" s="376"/>
      <c r="F1951" s="376"/>
      <c r="G1951" s="376"/>
      <c r="H1951" s="376"/>
      <c r="I1951" s="376"/>
      <c r="J1951" s="377"/>
      <c r="K1951" s="88"/>
      <c r="M1951" s="566"/>
      <c r="N1951" s="567" t="s">
        <v>102</v>
      </c>
      <c r="O1951" s="567"/>
      <c r="P1951" s="567"/>
      <c r="Q1951" s="567"/>
      <c r="R1951" s="567"/>
      <c r="S1951" s="567"/>
      <c r="T1951" s="567"/>
      <c r="U1951" s="567"/>
      <c r="V1951" s="400">
        <f>+ROUND(V1950,$AA$5)</f>
        <v>278.95</v>
      </c>
      <c r="Y1951" s="401" t="s">
        <v>136</v>
      </c>
      <c r="Z1951" s="402">
        <f>+ROUND(Z1950,$AA$5)</f>
        <v>278.95</v>
      </c>
      <c r="AA1951" s="86"/>
      <c r="AB1951" s="403">
        <f>+V1951*Y1941</f>
        <v>278.95</v>
      </c>
      <c r="AC1951" s="404">
        <f>+AB1951-Z1951</f>
        <v>0</v>
      </c>
      <c r="AD1951" s="94"/>
      <c r="AE1951" s="405"/>
    </row>
    <row r="1952" spans="3:31" s="260" customFormat="1" x14ac:dyDescent="0.25">
      <c r="C1952" s="84"/>
      <c r="D1952" s="380"/>
      <c r="E1952" s="381"/>
      <c r="F1952" s="381"/>
      <c r="G1952" s="381"/>
      <c r="H1952" s="381"/>
      <c r="I1952" s="381"/>
      <c r="J1952" s="382"/>
      <c r="K1952" s="88"/>
      <c r="M1952" s="510" t="s">
        <v>103</v>
      </c>
      <c r="N1952" s="511"/>
      <c r="O1952" s="511"/>
      <c r="P1952" s="511"/>
      <c r="Q1952" s="511"/>
      <c r="R1952" s="511"/>
      <c r="S1952" s="511"/>
      <c r="T1952" s="511"/>
      <c r="U1952" s="511"/>
      <c r="V1952" s="512"/>
      <c r="Y1952" s="378"/>
      <c r="Z1952" s="121"/>
      <c r="AA1952" s="86"/>
      <c r="AB1952" s="513"/>
      <c r="AC1952" s="514"/>
      <c r="AD1952" s="94"/>
      <c r="AE1952" s="126"/>
    </row>
    <row r="1953" spans="3:31" s="260" customFormat="1" x14ac:dyDescent="0.25">
      <c r="C1953" s="84"/>
      <c r="D1953" s="85"/>
      <c r="E1953" s="86"/>
      <c r="F1953" s="86"/>
      <c r="G1953" s="86"/>
      <c r="H1953" s="86"/>
      <c r="I1953" s="86"/>
      <c r="J1953" s="87"/>
      <c r="K1953" s="88"/>
      <c r="M1953" s="99" t="s">
        <v>94</v>
      </c>
      <c r="N1953" s="561" t="s">
        <v>95</v>
      </c>
      <c r="O1953" s="561"/>
      <c r="P1953" s="561"/>
      <c r="Q1953" s="561"/>
      <c r="R1953" s="95" t="s">
        <v>96</v>
      </c>
      <c r="S1953" s="95" t="s">
        <v>104</v>
      </c>
      <c r="T1953" s="356" t="s">
        <v>105</v>
      </c>
      <c r="U1953" s="356" t="s">
        <v>8</v>
      </c>
      <c r="V1953" s="100" t="s">
        <v>98</v>
      </c>
      <c r="Y1953" s="383" t="s">
        <v>104</v>
      </c>
      <c r="Z1953" s="119" t="s">
        <v>9</v>
      </c>
      <c r="AA1953" s="86"/>
      <c r="AB1953" s="384"/>
      <c r="AC1953" s="385"/>
      <c r="AD1953" s="94"/>
      <c r="AE1953" s="406"/>
    </row>
    <row r="1954" spans="3:31" s="260" customFormat="1" x14ac:dyDescent="0.25">
      <c r="C1954" s="84"/>
      <c r="D1954" s="85"/>
      <c r="E1954" s="86"/>
      <c r="F1954" s="86"/>
      <c r="G1954" s="86"/>
      <c r="H1954" s="86"/>
      <c r="I1954" s="86"/>
      <c r="J1954" s="87"/>
      <c r="K1954" s="88"/>
      <c r="M1954" s="102">
        <v>753</v>
      </c>
      <c r="N1954" s="533" t="str">
        <f>IFERROR(VLOOKUP(M1954,INSUMOS!$C$8:$K$928,2,0),"-----")</f>
        <v>BUJES SOLDADO 2_1/2" X 2"</v>
      </c>
      <c r="O1954" s="533"/>
      <c r="P1954" s="533"/>
      <c r="Q1954" s="533"/>
      <c r="R1954" s="78" t="str">
        <f>IFERROR(VLOOKUP(M1954,INSUMOS!$C$8:$K$928,6,0),"-----")</f>
        <v>und</v>
      </c>
      <c r="S1954" s="396">
        <v>1</v>
      </c>
      <c r="T1954" s="387">
        <v>0</v>
      </c>
      <c r="U1954" s="388">
        <f>IFERROR(VLOOKUP(M1954,INSUMOS!$C$8:$K$928,7,0),"0")</f>
        <v>17749</v>
      </c>
      <c r="V1954" s="389">
        <f>+IFERROR(U1954*(S1954*(1+T1954)),0)</f>
        <v>17749</v>
      </c>
      <c r="Y1954" s="393">
        <f>+IFERROR(Y1941*(S1954*(1+T1954)),0)</f>
        <v>1</v>
      </c>
      <c r="Z1954" s="391">
        <f>Y1941*V1954</f>
        <v>17749</v>
      </c>
      <c r="AA1954" s="394"/>
      <c r="AB1954" s="395">
        <f>+Y1954*U1954</f>
        <v>17749</v>
      </c>
      <c r="AC1954" s="93">
        <f>+AB1954-Z1954</f>
        <v>0</v>
      </c>
      <c r="AD1954" s="94"/>
      <c r="AE1954" s="406" t="str">
        <f>+IF(V1954=0,"CERO","NO")</f>
        <v>NO</v>
      </c>
    </row>
    <row r="1955" spans="3:31" s="260" customFormat="1" x14ac:dyDescent="0.25">
      <c r="C1955" s="84"/>
      <c r="D1955" s="85"/>
      <c r="E1955" s="86"/>
      <c r="F1955" s="86"/>
      <c r="G1955" s="86"/>
      <c r="H1955" s="86"/>
      <c r="I1955" s="86"/>
      <c r="J1955" s="87"/>
      <c r="K1955" s="88"/>
      <c r="M1955" s="102">
        <v>699</v>
      </c>
      <c r="N1955" s="533" t="str">
        <f>IFERROR(VLOOKUP(M1955,INSUMOS!$C$8:$K$928,2,0),"-----")</f>
        <v>SOLDADURA PVC LIQUIDA 1/4"</v>
      </c>
      <c r="O1955" s="533"/>
      <c r="P1955" s="533"/>
      <c r="Q1955" s="533"/>
      <c r="R1955" s="78" t="str">
        <f>IFERROR(VLOOKUP(M1955,INSUMOS!$C$8:$K$928,6,0),"-----")</f>
        <v>und</v>
      </c>
      <c r="S1955" s="392">
        <v>0.01</v>
      </c>
      <c r="T1955" s="387">
        <v>0.02</v>
      </c>
      <c r="U1955" s="388">
        <f>IFERROR(VLOOKUP(M1955,INSUMOS!$C$8:$K$928,7,0),"0")</f>
        <v>146569</v>
      </c>
      <c r="V1955" s="389">
        <f>+IFERROR(U1955*(S1955*(1+T1955)),0)</f>
        <v>1495.0038000000002</v>
      </c>
      <c r="Y1955" s="393">
        <f>+IFERROR(Y1941*(S1955*(1+T1955)),0)</f>
        <v>1.0200000000000001E-2</v>
      </c>
      <c r="Z1955" s="391">
        <f>Y1941*V1955</f>
        <v>1495.0038000000002</v>
      </c>
      <c r="AA1955" s="394"/>
      <c r="AB1955" s="395">
        <f>+Y1955*U1955</f>
        <v>1495.0038000000002</v>
      </c>
      <c r="AC1955" s="93">
        <f>+AB1955-Z1955</f>
        <v>0</v>
      </c>
      <c r="AD1955" s="94"/>
      <c r="AE1955" s="406" t="str">
        <f>+IF(V1955=0,"CERO","NO")</f>
        <v>NO</v>
      </c>
    </row>
    <row r="1956" spans="3:31" s="260" customFormat="1" x14ac:dyDescent="0.25">
      <c r="C1956" s="84"/>
      <c r="D1956" s="85"/>
      <c r="E1956" s="86"/>
      <c r="F1956" s="86"/>
      <c r="G1956" s="86"/>
      <c r="H1956" s="86"/>
      <c r="I1956" s="86"/>
      <c r="J1956" s="87"/>
      <c r="K1956" s="88"/>
      <c r="M1956" s="102">
        <v>700</v>
      </c>
      <c r="N1956" s="533" t="str">
        <f>IFERROR(VLOOKUP(M1956,INSUMOS!$C$8:$K$928,2,0),"-----")</f>
        <v>LIMPIADOR PVC 1/4</v>
      </c>
      <c r="O1956" s="533"/>
      <c r="P1956" s="533"/>
      <c r="Q1956" s="533"/>
      <c r="R1956" s="78" t="str">
        <f>IFERROR(VLOOKUP(M1956,INSUMOS!$C$8:$K$928,6,0),"-----")</f>
        <v>und</v>
      </c>
      <c r="S1956" s="392">
        <v>0.01</v>
      </c>
      <c r="T1956" s="387">
        <v>0.02</v>
      </c>
      <c r="U1956" s="388">
        <f>IFERROR(VLOOKUP(M1956,INSUMOS!$C$8:$K$928,7,0),"0")</f>
        <v>65913</v>
      </c>
      <c r="V1956" s="389">
        <f>+IFERROR(U1956*(S1956*(1+T1956)),0)</f>
        <v>672.31260000000009</v>
      </c>
      <c r="Y1956" s="393">
        <f>+IFERROR(Y1941*(S1956*(1+T1956)),0)</f>
        <v>1.0200000000000001E-2</v>
      </c>
      <c r="Z1956" s="391">
        <f>Y1941*V1956</f>
        <v>672.31260000000009</v>
      </c>
      <c r="AA1956" s="394"/>
      <c r="AB1956" s="395">
        <f>+Y1956*U1956</f>
        <v>672.31260000000009</v>
      </c>
      <c r="AC1956" s="93">
        <f>+AB1956-Z1956</f>
        <v>0</v>
      </c>
      <c r="AD1956" s="94"/>
      <c r="AE1956" s="406" t="str">
        <f>+IF(V1956=0,"CERO","NO")</f>
        <v>NO</v>
      </c>
    </row>
    <row r="1957" spans="3:31" s="260" customFormat="1" x14ac:dyDescent="0.25">
      <c r="C1957" s="84"/>
      <c r="D1957" s="85"/>
      <c r="E1957" s="86"/>
      <c r="F1957" s="86"/>
      <c r="G1957" s="86"/>
      <c r="H1957" s="86"/>
      <c r="I1957" s="86"/>
      <c r="J1957" s="87"/>
      <c r="K1957" s="88"/>
      <c r="M1957" s="102">
        <v>0</v>
      </c>
      <c r="N1957" s="533" t="str">
        <f>IFERROR(VLOOKUP(M1957,INSUMOS!$C$8:$K$928,2,0),"-----")</f>
        <v>-----</v>
      </c>
      <c r="O1957" s="533"/>
      <c r="P1957" s="533"/>
      <c r="Q1957" s="533"/>
      <c r="R1957" s="78" t="str">
        <f>IFERROR(VLOOKUP(M1957,INSUMOS!$C$8:$K$928,6,0),"-----")</f>
        <v>-----</v>
      </c>
      <c r="S1957" s="396"/>
      <c r="T1957" s="387"/>
      <c r="U1957" s="388" t="str">
        <f>IFERROR(VLOOKUP(M1957,INSUMOS!$C$8:$K$928,7,0),"0")</f>
        <v>0</v>
      </c>
      <c r="V1957" s="389">
        <f>+IFERROR(U1957*(S1957*(1+T1957)),0)</f>
        <v>0</v>
      </c>
      <c r="Y1957" s="393">
        <f>+IFERROR(Y1941*(S1957*(1+T1957)),0)</f>
        <v>0</v>
      </c>
      <c r="Z1957" s="391">
        <f>Y1941*V1957</f>
        <v>0</v>
      </c>
      <c r="AA1957" s="394"/>
      <c r="AB1957" s="395">
        <f>+Y1957*U1957</f>
        <v>0</v>
      </c>
      <c r="AC1957" s="93">
        <f>+AB1957-Z1957</f>
        <v>0</v>
      </c>
      <c r="AD1957" s="94"/>
      <c r="AE1957" s="406" t="str">
        <f>+IF(V1957=0,"CERO","NO")</f>
        <v>CERO</v>
      </c>
    </row>
    <row r="1958" spans="3:31" s="260" customFormat="1" ht="15.75" thickBot="1" x14ac:dyDescent="0.3">
      <c r="C1958" s="84"/>
      <c r="D1958" s="85"/>
      <c r="E1958" s="86"/>
      <c r="F1958" s="86"/>
      <c r="G1958" s="86"/>
      <c r="H1958" s="86"/>
      <c r="I1958" s="86"/>
      <c r="J1958" s="87"/>
      <c r="K1958" s="88"/>
      <c r="M1958" s="102">
        <v>0</v>
      </c>
      <c r="N1958" s="564"/>
      <c r="O1958" s="564"/>
      <c r="P1958" s="564"/>
      <c r="Q1958" s="564"/>
      <c r="R1958" s="96"/>
      <c r="S1958" s="79"/>
      <c r="T1958" s="97"/>
      <c r="U1958" s="358"/>
      <c r="V1958" s="397"/>
      <c r="Y1958" s="393">
        <f>+IFERROR(Y1941*(S1958*(1+T1958)),0)</f>
        <v>0</v>
      </c>
      <c r="Z1958" s="391">
        <f>Y1941*V1958</f>
        <v>0</v>
      </c>
      <c r="AA1958" s="394"/>
      <c r="AB1958" s="395">
        <f>+Y1958*U1958</f>
        <v>0</v>
      </c>
      <c r="AC1958" s="93">
        <f>+AB1958-Z1958</f>
        <v>0</v>
      </c>
      <c r="AD1958" s="94"/>
      <c r="AE1958" s="406" t="str">
        <f>+IF(V1958=0,"CERO","NO")</f>
        <v>CERO</v>
      </c>
    </row>
    <row r="1959" spans="3:31" s="260" customFormat="1" ht="15.75" thickBot="1" x14ac:dyDescent="0.3">
      <c r="C1959" s="84"/>
      <c r="D1959" s="375" t="s">
        <v>128</v>
      </c>
      <c r="E1959" s="376" t="s">
        <v>129</v>
      </c>
      <c r="F1959" s="376" t="s">
        <v>130</v>
      </c>
      <c r="G1959" s="376" t="s">
        <v>131</v>
      </c>
      <c r="H1959" s="376" t="s">
        <v>132</v>
      </c>
      <c r="I1959" s="376" t="s">
        <v>133</v>
      </c>
      <c r="J1959" s="377" t="s">
        <v>134</v>
      </c>
      <c r="K1959" s="88"/>
      <c r="M1959" s="534"/>
      <c r="N1959" s="536" t="s">
        <v>106</v>
      </c>
      <c r="O1959" s="536"/>
      <c r="P1959" s="536"/>
      <c r="Q1959" s="536"/>
      <c r="R1959" s="536"/>
      <c r="S1959" s="536"/>
      <c r="T1959" s="536"/>
      <c r="U1959" s="536"/>
      <c r="V1959" s="389">
        <f>+SUM(V1954:V1958)</f>
        <v>19916.3164</v>
      </c>
      <c r="Y1959" s="398" t="s">
        <v>135</v>
      </c>
      <c r="Z1959" s="397">
        <f>+SUM(Z1954:Z1958)</f>
        <v>19916.3164</v>
      </c>
      <c r="AA1959" s="86"/>
      <c r="AB1959" s="384"/>
      <c r="AC1959" s="385"/>
      <c r="AD1959" s="94"/>
      <c r="AE1959" s="399"/>
    </row>
    <row r="1960" spans="3:31" s="260" customFormat="1" ht="15.75" thickBot="1" x14ac:dyDescent="0.3">
      <c r="C1960" s="84"/>
      <c r="D1960" s="375"/>
      <c r="E1960" s="407">
        <f>+D1951</f>
        <v>2.2999999999999998</v>
      </c>
      <c r="F1960" s="376"/>
      <c r="G1960" s="376"/>
      <c r="H1960" s="376"/>
      <c r="I1960" s="376"/>
      <c r="J1960" s="377"/>
      <c r="K1960" s="88"/>
      <c r="M1960" s="535"/>
      <c r="N1960" s="537" t="s">
        <v>107</v>
      </c>
      <c r="O1960" s="537"/>
      <c r="P1960" s="537"/>
      <c r="Q1960" s="537"/>
      <c r="R1960" s="537"/>
      <c r="S1960" s="537"/>
      <c r="T1960" s="537"/>
      <c r="U1960" s="537"/>
      <c r="V1960" s="408">
        <f>+ROUND(V1959,$AA$5)</f>
        <v>19916.32</v>
      </c>
      <c r="Y1960" s="401" t="s">
        <v>136</v>
      </c>
      <c r="Z1960" s="402">
        <f>+ROUND(Z1959,$AA$5)</f>
        <v>19916.32</v>
      </c>
      <c r="AA1960" s="86"/>
      <c r="AB1960" s="403">
        <f>+V1960*Y1941</f>
        <v>19916.32</v>
      </c>
      <c r="AC1960" s="404">
        <f>+AB1960-Z1960</f>
        <v>0</v>
      </c>
      <c r="AD1960" s="94"/>
      <c r="AE1960" s="405"/>
    </row>
    <row r="1961" spans="3:31" s="260" customFormat="1" x14ac:dyDescent="0.25">
      <c r="C1961" s="84"/>
      <c r="D1961" s="380"/>
      <c r="E1961" s="381"/>
      <c r="F1961" s="381"/>
      <c r="G1961" s="381"/>
      <c r="H1961" s="381"/>
      <c r="I1961" s="381"/>
      <c r="J1961" s="382"/>
      <c r="K1961" s="88"/>
      <c r="M1961" s="568" t="s">
        <v>108</v>
      </c>
      <c r="N1961" s="569"/>
      <c r="O1961" s="569"/>
      <c r="P1961" s="569"/>
      <c r="Q1961" s="569"/>
      <c r="R1961" s="569"/>
      <c r="S1961" s="569"/>
      <c r="T1961" s="569"/>
      <c r="U1961" s="569"/>
      <c r="V1961" s="570"/>
      <c r="Y1961" s="378"/>
      <c r="Z1961" s="121"/>
      <c r="AA1961" s="86"/>
      <c r="AB1961" s="409"/>
      <c r="AC1961" s="121"/>
      <c r="AD1961" s="94"/>
      <c r="AE1961" s="126"/>
    </row>
    <row r="1962" spans="3:31" s="260" customFormat="1" ht="25.5" x14ac:dyDescent="0.25">
      <c r="C1962" s="84"/>
      <c r="D1962" s="85"/>
      <c r="E1962" s="86"/>
      <c r="F1962" s="86"/>
      <c r="G1962" s="86"/>
      <c r="H1962" s="86"/>
      <c r="I1962" s="86"/>
      <c r="J1962" s="87"/>
      <c r="K1962" s="88"/>
      <c r="M1962" s="99" t="s">
        <v>94</v>
      </c>
      <c r="N1962" s="561" t="s">
        <v>95</v>
      </c>
      <c r="O1962" s="561"/>
      <c r="P1962" s="561"/>
      <c r="Q1962" s="95" t="s">
        <v>109</v>
      </c>
      <c r="R1962" s="95" t="s">
        <v>110</v>
      </c>
      <c r="S1962" s="95" t="s">
        <v>111</v>
      </c>
      <c r="T1962" s="562" t="s">
        <v>112</v>
      </c>
      <c r="U1962" s="562"/>
      <c r="V1962" s="100" t="s">
        <v>98</v>
      </c>
      <c r="Y1962" s="383" t="s">
        <v>104</v>
      </c>
      <c r="Z1962" s="119" t="s">
        <v>9</v>
      </c>
      <c r="AA1962" s="86"/>
      <c r="AB1962" s="384"/>
      <c r="AC1962" s="385"/>
      <c r="AD1962" s="94"/>
      <c r="AE1962" s="410"/>
    </row>
    <row r="1963" spans="3:31" s="260" customFormat="1" x14ac:dyDescent="0.25">
      <c r="C1963" s="84"/>
      <c r="D1963" s="85"/>
      <c r="E1963" s="86"/>
      <c r="F1963" s="86"/>
      <c r="G1963" s="86"/>
      <c r="H1963" s="86"/>
      <c r="I1963" s="86"/>
      <c r="J1963" s="87"/>
      <c r="K1963" s="88"/>
      <c r="M1963" s="102">
        <v>129</v>
      </c>
      <c r="N1963" s="530" t="str">
        <f>IFERROR(VLOOKUP(M1963,INSUMOS!$C$8:$K$928,2,0),"-----")</f>
        <v>transporte materiales en general</v>
      </c>
      <c r="O1963" s="531"/>
      <c r="P1963" s="532"/>
      <c r="Q1963" s="78" t="str">
        <f>IFERROR(VLOOKUP(M1963,INSUMOS!$C$8:$K$928,5,0),"-----")</f>
        <v>Km</v>
      </c>
      <c r="R1963" s="80">
        <v>1</v>
      </c>
      <c r="S1963" s="80">
        <f>IFERROR(VLOOKUP(M1963,INSUMOS!$C$8:$K$928,6,0),"0")</f>
        <v>348</v>
      </c>
      <c r="T1963" s="529">
        <f>IFERROR(VLOOKUP(M1963,INSUMOS!$C$8:$K$928,7,0),"0")</f>
        <v>0.99776362060288992</v>
      </c>
      <c r="U1963" s="529"/>
      <c r="V1963" s="82">
        <f>+T1963*S1963*R1963</f>
        <v>347.2217399698057</v>
      </c>
      <c r="Y1963" s="393">
        <f>+IFERROR((R1963*S1963)*Y1941,0)</f>
        <v>348</v>
      </c>
      <c r="Z1963" s="391">
        <f>Y1941*V1963</f>
        <v>347.2217399698057</v>
      </c>
      <c r="AA1963" s="86"/>
      <c r="AB1963" s="92">
        <f>+Y1963*T1963</f>
        <v>347.2217399698057</v>
      </c>
      <c r="AC1963" s="93">
        <f>+AB1963-Z1963</f>
        <v>0</v>
      </c>
      <c r="AD1963" s="94"/>
      <c r="AE1963" s="406" t="str">
        <f>+IF(V1963=0,"CERO","NO")</f>
        <v>NO</v>
      </c>
    </row>
    <row r="1964" spans="3:31" s="260" customFormat="1" x14ac:dyDescent="0.25">
      <c r="C1964" s="84"/>
      <c r="D1964" s="85"/>
      <c r="E1964" s="86"/>
      <c r="F1964" s="86"/>
      <c r="G1964" s="86"/>
      <c r="H1964" s="86"/>
      <c r="I1964" s="86"/>
      <c r="J1964" s="87"/>
      <c r="K1964" s="88"/>
      <c r="M1964" s="102">
        <v>0</v>
      </c>
      <c r="N1964" s="530" t="str">
        <f>IFERROR(VLOOKUP(M1964,INSUMOS!$C$8:$K$928,2,0),"-----")</f>
        <v>-----</v>
      </c>
      <c r="O1964" s="531"/>
      <c r="P1964" s="532"/>
      <c r="Q1964" s="78" t="str">
        <f>IFERROR(VLOOKUP(M1964,INSUMOS!$C$8:$K$928,5,0),"-----")</f>
        <v>-----</v>
      </c>
      <c r="R1964" s="80"/>
      <c r="S1964" s="80" t="str">
        <f>IFERROR(VLOOKUP(M1964,INSUMOS!$C$8:$K$928,6,0),"0")</f>
        <v>0</v>
      </c>
      <c r="T1964" s="529" t="str">
        <f>IFERROR(VLOOKUP(M1964,INSUMOS!$C$8:$K$928,7,0),"0")</f>
        <v>0</v>
      </c>
      <c r="U1964" s="529"/>
      <c r="V1964" s="82">
        <f>+T1964*S1964*R1964</f>
        <v>0</v>
      </c>
      <c r="Y1964" s="393">
        <f>+IFERROR((R1964*S1964)*Y1941,0)</f>
        <v>0</v>
      </c>
      <c r="Z1964" s="391">
        <f>Y1941*V1964</f>
        <v>0</v>
      </c>
      <c r="AA1964" s="86"/>
      <c r="AB1964" s="92">
        <f>+Y1964*T1964</f>
        <v>0</v>
      </c>
      <c r="AC1964" s="93">
        <f>+AB1964-Z1964</f>
        <v>0</v>
      </c>
      <c r="AD1964" s="94"/>
      <c r="AE1964" s="406" t="str">
        <f>+IF(V1964=0,"CERO","NO")</f>
        <v>CERO</v>
      </c>
    </row>
    <row r="1965" spans="3:31" s="260" customFormat="1" x14ac:dyDescent="0.25">
      <c r="C1965" s="84"/>
      <c r="D1965" s="85"/>
      <c r="E1965" s="86"/>
      <c r="F1965" s="86"/>
      <c r="G1965" s="86"/>
      <c r="H1965" s="86"/>
      <c r="I1965" s="86"/>
      <c r="J1965" s="87"/>
      <c r="K1965" s="88"/>
      <c r="M1965" s="102">
        <v>0</v>
      </c>
      <c r="N1965" s="530" t="str">
        <f>IFERROR(VLOOKUP(M1965,INSUMOS!$C$8:$K$928,2,0),"-----")</f>
        <v>-----</v>
      </c>
      <c r="O1965" s="531"/>
      <c r="P1965" s="532"/>
      <c r="Q1965" s="78" t="str">
        <f>IFERROR(VLOOKUP(M1965,INSUMOS!$C$8:$K$928,5,0),"-----")</f>
        <v>-----</v>
      </c>
      <c r="R1965" s="80"/>
      <c r="S1965" s="80" t="str">
        <f>IFERROR(VLOOKUP(M1965,INSUMOS!$C$8:$K$928,6,0),"0")</f>
        <v>0</v>
      </c>
      <c r="T1965" s="529" t="str">
        <f>IFERROR(VLOOKUP(M1965,INSUMOS!$C$8:$K$928,7,0),"0")</f>
        <v>0</v>
      </c>
      <c r="U1965" s="529"/>
      <c r="V1965" s="82">
        <f>+T1965*S1965*R1965</f>
        <v>0</v>
      </c>
      <c r="Y1965" s="393">
        <f>+IFERROR((R1965*S1965)*Y1941,0)</f>
        <v>0</v>
      </c>
      <c r="Z1965" s="391">
        <f>Y1941*V1965</f>
        <v>0</v>
      </c>
      <c r="AA1965" s="86"/>
      <c r="AB1965" s="92">
        <f>+Y1965*T1965</f>
        <v>0</v>
      </c>
      <c r="AC1965" s="93">
        <f>+AB1965-Z1965</f>
        <v>0</v>
      </c>
      <c r="AD1965" s="94"/>
      <c r="AE1965" s="406" t="str">
        <f>+IF(V1965=0,"CERO","NO")</f>
        <v>CERO</v>
      </c>
    </row>
    <row r="1966" spans="3:31" s="260" customFormat="1" ht="15.75" thickBot="1" x14ac:dyDescent="0.3">
      <c r="C1966" s="84"/>
      <c r="D1966" s="89"/>
      <c r="E1966" s="90"/>
      <c r="F1966" s="90"/>
      <c r="G1966" s="90"/>
      <c r="H1966" s="90"/>
      <c r="I1966" s="90"/>
      <c r="J1966" s="91"/>
      <c r="K1966" s="88"/>
      <c r="M1966" s="102">
        <v>0</v>
      </c>
      <c r="N1966" s="533"/>
      <c r="O1966" s="533"/>
      <c r="P1966" s="533"/>
      <c r="Q1966" s="79"/>
      <c r="R1966" s="78"/>
      <c r="S1966" s="81"/>
      <c r="T1966" s="529"/>
      <c r="U1966" s="529"/>
      <c r="V1966" s="82"/>
      <c r="Y1966" s="393">
        <f>+IFERROR((R1966*S1966)*Y1941,0)</f>
        <v>0</v>
      </c>
      <c r="Z1966" s="391">
        <f>Y1941*V1966</f>
        <v>0</v>
      </c>
      <c r="AA1966" s="86"/>
      <c r="AB1966" s="92">
        <f>+Y1966*T1966</f>
        <v>0</v>
      </c>
      <c r="AC1966" s="93">
        <f>+AB1966-Z1966</f>
        <v>0</v>
      </c>
      <c r="AD1966" s="94"/>
      <c r="AE1966" s="406" t="str">
        <f>+IF(V1966=0,"CERO","NO")</f>
        <v>CERO</v>
      </c>
    </row>
    <row r="1967" spans="3:31" s="260" customFormat="1" ht="15.75" thickBot="1" x14ac:dyDescent="0.3">
      <c r="C1967" s="84"/>
      <c r="D1967" s="375" t="s">
        <v>128</v>
      </c>
      <c r="E1967" s="376" t="s">
        <v>129</v>
      </c>
      <c r="F1967" s="376" t="s">
        <v>130</v>
      </c>
      <c r="G1967" s="376" t="s">
        <v>131</v>
      </c>
      <c r="H1967" s="376" t="s">
        <v>132</v>
      </c>
      <c r="I1967" s="376" t="s">
        <v>133</v>
      </c>
      <c r="J1967" s="377" t="s">
        <v>134</v>
      </c>
      <c r="K1967" s="88"/>
      <c r="M1967" s="534"/>
      <c r="N1967" s="536" t="s">
        <v>113</v>
      </c>
      <c r="O1967" s="536"/>
      <c r="P1967" s="536"/>
      <c r="Q1967" s="536"/>
      <c r="R1967" s="536"/>
      <c r="S1967" s="536"/>
      <c r="T1967" s="536"/>
      <c r="U1967" s="536"/>
      <c r="V1967" s="411">
        <f>+SUM(V1963:V1966)</f>
        <v>347.2217399698057</v>
      </c>
      <c r="Y1967" s="398" t="s">
        <v>135</v>
      </c>
      <c r="Z1967" s="397">
        <f>+SUM(Z1963:Z1966)</f>
        <v>347.2217399698057</v>
      </c>
      <c r="AA1967" s="86"/>
      <c r="AB1967" s="384"/>
      <c r="AC1967" s="385"/>
      <c r="AD1967" s="94"/>
      <c r="AE1967" s="399"/>
    </row>
    <row r="1968" spans="3:31" s="260" customFormat="1" ht="15.75" thickBot="1" x14ac:dyDescent="0.3">
      <c r="C1968" s="84"/>
      <c r="D1968" s="355"/>
      <c r="E1968" s="367"/>
      <c r="F1968" s="412">
        <f>+E1960</f>
        <v>2.2999999999999998</v>
      </c>
      <c r="G1968" s="367"/>
      <c r="H1968" s="367"/>
      <c r="I1968" s="367"/>
      <c r="J1968" s="368"/>
      <c r="K1968" s="88"/>
      <c r="M1968" s="535"/>
      <c r="N1968" s="537" t="s">
        <v>114</v>
      </c>
      <c r="O1968" s="537"/>
      <c r="P1968" s="537"/>
      <c r="Q1968" s="537"/>
      <c r="R1968" s="537"/>
      <c r="S1968" s="537"/>
      <c r="T1968" s="537"/>
      <c r="U1968" s="537"/>
      <c r="V1968" s="413">
        <f>+ROUND(V1967,$AA$5)</f>
        <v>347.22</v>
      </c>
      <c r="Y1968" s="401" t="s">
        <v>136</v>
      </c>
      <c r="Z1968" s="402">
        <f>+ROUND(Z1967,$AA$5)</f>
        <v>347.22</v>
      </c>
      <c r="AA1968" s="86"/>
      <c r="AB1968" s="403">
        <f>+V1968*Y1941</f>
        <v>347.22</v>
      </c>
      <c r="AC1968" s="414"/>
      <c r="AD1968" s="94"/>
      <c r="AE1968" s="405"/>
    </row>
    <row r="1969" spans="3:31" s="260" customFormat="1" ht="15.75" thickBot="1" x14ac:dyDescent="0.3">
      <c r="C1969" s="84"/>
      <c r="D1969" s="415"/>
      <c r="E1969" s="416"/>
      <c r="F1969" s="416"/>
      <c r="G1969" s="416"/>
      <c r="H1969" s="416"/>
      <c r="I1969" s="416"/>
      <c r="J1969" s="417"/>
      <c r="K1969" s="88"/>
      <c r="M1969" s="538" t="s">
        <v>115</v>
      </c>
      <c r="N1969" s="539"/>
      <c r="O1969" s="539"/>
      <c r="P1969" s="539"/>
      <c r="Q1969" s="539"/>
      <c r="R1969" s="539"/>
      <c r="S1969" s="539"/>
      <c r="T1969" s="539"/>
      <c r="U1969" s="539"/>
      <c r="V1969" s="540"/>
      <c r="Y1969" s="378"/>
      <c r="Z1969" s="121"/>
      <c r="AA1969" s="86"/>
      <c r="AB1969" s="409"/>
      <c r="AC1969" s="121"/>
      <c r="AD1969" s="94"/>
      <c r="AE1969" s="126"/>
    </row>
    <row r="1970" spans="3:31" s="260" customFormat="1" ht="15.75" thickBot="1" x14ac:dyDescent="0.3">
      <c r="C1970" s="84"/>
      <c r="D1970" s="375" t="s">
        <v>128</v>
      </c>
      <c r="E1970" s="376" t="s">
        <v>129</v>
      </c>
      <c r="F1970" s="376" t="s">
        <v>130</v>
      </c>
      <c r="G1970" s="376" t="s">
        <v>131</v>
      </c>
      <c r="H1970" s="376" t="s">
        <v>132</v>
      </c>
      <c r="I1970" s="376" t="s">
        <v>133</v>
      </c>
      <c r="J1970" s="377" t="s">
        <v>134</v>
      </c>
      <c r="K1970" s="88"/>
      <c r="M1970" s="99" t="s">
        <v>94</v>
      </c>
      <c r="N1970" s="98" t="s">
        <v>95</v>
      </c>
      <c r="O1970" s="95" t="s">
        <v>96</v>
      </c>
      <c r="P1970" s="359" t="s">
        <v>104</v>
      </c>
      <c r="Q1970" s="95" t="s">
        <v>116</v>
      </c>
      <c r="R1970" s="418" t="s">
        <v>117</v>
      </c>
      <c r="S1970" s="95" t="s">
        <v>347</v>
      </c>
      <c r="T1970" s="419" t="s">
        <v>118</v>
      </c>
      <c r="U1970" s="189" t="s">
        <v>119</v>
      </c>
      <c r="V1970" s="100" t="s">
        <v>98</v>
      </c>
      <c r="Y1970" s="383" t="s">
        <v>104</v>
      </c>
      <c r="Z1970" s="119" t="s">
        <v>9</v>
      </c>
      <c r="AA1970" s="86"/>
      <c r="AB1970" s="384"/>
      <c r="AC1970" s="385"/>
      <c r="AD1970" s="94"/>
      <c r="AE1970" s="410"/>
    </row>
    <row r="1971" spans="3:31" s="260" customFormat="1" ht="25.5" x14ac:dyDescent="0.25">
      <c r="C1971" s="84"/>
      <c r="D1971" s="354"/>
      <c r="E1971" s="96"/>
      <c r="F1971" s="96"/>
      <c r="G1971" s="96"/>
      <c r="H1971" s="96"/>
      <c r="I1971" s="96"/>
      <c r="J1971" s="420">
        <f>+F1968</f>
        <v>2.2999999999999998</v>
      </c>
      <c r="K1971" s="88"/>
      <c r="M1971" s="102">
        <v>207</v>
      </c>
      <c r="N1971" s="347" t="str">
        <f>IFERROR(VLOOKUP(M1971,INSUMOS!$C$8:$K$928,2,0),"-----")</f>
        <v>Oficial Hidrosanitario</v>
      </c>
      <c r="O1971" s="78" t="str">
        <f>IFERROR(VLOOKUP(M1971,INSUMOS!$C$8:$K$928,3,0),"-----")</f>
        <v>JORNAL+PS</v>
      </c>
      <c r="P1971" s="80">
        <v>1</v>
      </c>
      <c r="Q1971" s="79">
        <v>30</v>
      </c>
      <c r="R1971" s="190">
        <f>IFERROR(VLOOKUP(M1971,INSUMOS!$C$8:$K$928,4,0),"-----")</f>
        <v>92983</v>
      </c>
      <c r="S1971" s="190">
        <f>IFERROR(VLOOKUP(M1971,INSUMOS!$C$8:$K$928,6,0),"-----")</f>
        <v>74386</v>
      </c>
      <c r="T1971" s="190">
        <f>IFERROR(VLOOKUP(M1971,INSUMOS!$C$8:$K$928,5,0),"-----")</f>
        <v>0</v>
      </c>
      <c r="U1971" s="388">
        <f>SUM(R1971:T1971)</f>
        <v>167369</v>
      </c>
      <c r="V1971" s="82">
        <f>+IFERROR((P1971/Q1971)*U1971,0)</f>
        <v>5578.9666666666662</v>
      </c>
      <c r="Y1971" s="393">
        <f>+IFERROR((Y1941/Q1971*P1971),0)</f>
        <v>3.3333333333333333E-2</v>
      </c>
      <c r="Z1971" s="391">
        <f>Y1941*V1971</f>
        <v>5578.9666666666662</v>
      </c>
      <c r="AA1971" s="86"/>
      <c r="AB1971" s="92">
        <f>+(U1971)*Y1971</f>
        <v>5578.9666666666662</v>
      </c>
      <c r="AC1971" s="93">
        <f>+AB1971-Z1971</f>
        <v>0</v>
      </c>
      <c r="AD1971" s="421"/>
      <c r="AE1971" s="410" t="str">
        <f>+IF(V1971=0,"CERO","NO")</f>
        <v>NO</v>
      </c>
    </row>
    <row r="1972" spans="3:31" s="260" customFormat="1" ht="15.75" thickBot="1" x14ac:dyDescent="0.3">
      <c r="C1972" s="84"/>
      <c r="D1972" s="355"/>
      <c r="E1972" s="367"/>
      <c r="F1972" s="367"/>
      <c r="G1972" s="367"/>
      <c r="H1972" s="367"/>
      <c r="I1972" s="367"/>
      <c r="J1972" s="422">
        <f>+J1971</f>
        <v>2.2999999999999998</v>
      </c>
      <c r="K1972" s="88"/>
      <c r="M1972" s="102"/>
      <c r="N1972" s="347" t="str">
        <f>IFERROR(VLOOKUP(M1972,INSUMOS!$C$8:$K$928,2,0),"-----")</f>
        <v>-----</v>
      </c>
      <c r="O1972" s="78" t="str">
        <f>IFERROR(VLOOKUP(M1972,INSUMOS!$C$8:$K$928,3,0),"-----")</f>
        <v>-----</v>
      </c>
      <c r="P1972" s="80"/>
      <c r="Q1972" s="79"/>
      <c r="R1972" s="190" t="str">
        <f>IFERROR(VLOOKUP(M1972,INSUMOS!$C$8:$K$928,4,0),"-----")</f>
        <v>-----</v>
      </c>
      <c r="S1972" s="190" t="str">
        <f>IFERROR(VLOOKUP(M1972,INSUMOS!$C$8:$K$928,6,0),"-----")</f>
        <v>-----</v>
      </c>
      <c r="T1972" s="190" t="str">
        <f>IFERROR(VLOOKUP(M1972,INSUMOS!$C$8:$K$928,5,0),"-----")</f>
        <v>-----</v>
      </c>
      <c r="U1972" s="388">
        <f>SUM(R1972:T1972)</f>
        <v>0</v>
      </c>
      <c r="V1972" s="82">
        <f>+IFERROR((P1972/Q1972)*U1972,0)</f>
        <v>0</v>
      </c>
      <c r="Y1972" s="393">
        <f>+IFERROR((Y1941/Q1972*P1972),0)</f>
        <v>0</v>
      </c>
      <c r="Z1972" s="391">
        <f>Y1941*V1972</f>
        <v>0</v>
      </c>
      <c r="AA1972" s="86"/>
      <c r="AB1972" s="92">
        <f>+U1972*Y1972</f>
        <v>0</v>
      </c>
      <c r="AC1972" s="93">
        <f>+AB1972-Z1972</f>
        <v>0</v>
      </c>
      <c r="AD1972" s="94"/>
      <c r="AE1972" s="410" t="str">
        <f>+IF(V1972=0,"CERO","NO")</f>
        <v>CERO</v>
      </c>
    </row>
    <row r="1973" spans="3:31" s="260" customFormat="1" ht="15.75" thickBot="1" x14ac:dyDescent="0.3">
      <c r="C1973" s="84"/>
      <c r="D1973" s="380"/>
      <c r="E1973" s="381"/>
      <c r="F1973" s="381"/>
      <c r="G1973" s="381"/>
      <c r="H1973" s="381"/>
      <c r="I1973" s="381"/>
      <c r="J1973" s="382"/>
      <c r="K1973" s="88"/>
      <c r="M1973" s="102">
        <v>0</v>
      </c>
      <c r="N1973" s="347"/>
      <c r="O1973" s="79"/>
      <c r="P1973" s="423"/>
      <c r="Q1973" s="81"/>
      <c r="R1973" s="111"/>
      <c r="S1973" s="357"/>
      <c r="T1973" s="111"/>
      <c r="U1973" s="388"/>
      <c r="V1973" s="426"/>
      <c r="Y1973" s="393">
        <f>+IFERROR((Y1941/Q1973*P1973),0)</f>
        <v>0</v>
      </c>
      <c r="Z1973" s="391">
        <f>Y1941*V1973</f>
        <v>0</v>
      </c>
      <c r="AA1973" s="86"/>
      <c r="AB1973" s="92">
        <f>+(U1973)*Y1973*P1973</f>
        <v>0</v>
      </c>
      <c r="AC1973" s="93">
        <f>+AB1973-Z1973</f>
        <v>0</v>
      </c>
      <c r="AD1973" s="94"/>
      <c r="AE1973" s="410" t="str">
        <f>+IF(V1973=0,"CERO","NO")</f>
        <v>CERO</v>
      </c>
    </row>
    <row r="1974" spans="3:31" s="260" customFormat="1" ht="15.75" thickBot="1" x14ac:dyDescent="0.3">
      <c r="C1974" s="84"/>
      <c r="D1974" s="375" t="s">
        <v>128</v>
      </c>
      <c r="E1974" s="376" t="s">
        <v>129</v>
      </c>
      <c r="F1974" s="376" t="s">
        <v>130</v>
      </c>
      <c r="G1974" s="376" t="s">
        <v>131</v>
      </c>
      <c r="H1974" s="376" t="s">
        <v>132</v>
      </c>
      <c r="I1974" s="376" t="s">
        <v>133</v>
      </c>
      <c r="J1974" s="377" t="s">
        <v>134</v>
      </c>
      <c r="K1974" s="88"/>
      <c r="M1974" s="534"/>
      <c r="N1974" s="536" t="s">
        <v>120</v>
      </c>
      <c r="O1974" s="536"/>
      <c r="P1974" s="536"/>
      <c r="Q1974" s="536"/>
      <c r="R1974" s="536"/>
      <c r="S1974" s="536"/>
      <c r="T1974" s="536"/>
      <c r="U1974" s="536"/>
      <c r="V1974" s="82">
        <f>+SUM(V1971:V1973)</f>
        <v>5578.9666666666662</v>
      </c>
      <c r="Y1974" s="398" t="s">
        <v>135</v>
      </c>
      <c r="Z1974" s="397">
        <f>+SUM(Z1971:Z1973)</f>
        <v>5578.9666666666662</v>
      </c>
      <c r="AA1974" s="86"/>
      <c r="AB1974" s="384"/>
      <c r="AC1974" s="385"/>
      <c r="AD1974" s="94"/>
      <c r="AE1974" s="399"/>
    </row>
    <row r="1975" spans="3:31" s="260" customFormat="1" ht="15.75" thickBot="1" x14ac:dyDescent="0.3">
      <c r="C1975" s="84"/>
      <c r="D1975" s="354"/>
      <c r="E1975" s="96"/>
      <c r="F1975" s="96"/>
      <c r="G1975" s="107">
        <f>+F1968</f>
        <v>2.2999999999999998</v>
      </c>
      <c r="H1975" s="96"/>
      <c r="I1975" s="96"/>
      <c r="J1975" s="427"/>
      <c r="K1975" s="88"/>
      <c r="M1975" s="535"/>
      <c r="N1975" s="537" t="s">
        <v>121</v>
      </c>
      <c r="O1975" s="537"/>
      <c r="P1975" s="537"/>
      <c r="Q1975" s="537"/>
      <c r="R1975" s="537"/>
      <c r="S1975" s="537"/>
      <c r="T1975" s="537"/>
      <c r="U1975" s="537"/>
      <c r="V1975" s="413">
        <f>+ROUND(V1974,$AA$5)</f>
        <v>5578.97</v>
      </c>
      <c r="Y1975" s="401" t="s">
        <v>136</v>
      </c>
      <c r="Z1975" s="402">
        <f>+ROUND(Z1974,$AA$5)</f>
        <v>5578.97</v>
      </c>
      <c r="AA1975" s="86"/>
      <c r="AB1975" s="403">
        <f>+V1975*Y1941</f>
        <v>5578.97</v>
      </c>
      <c r="AC1975" s="404">
        <f>+AB1975-Z1975</f>
        <v>0</v>
      </c>
      <c r="AD1975" s="94"/>
      <c r="AE1975" s="405"/>
    </row>
    <row r="1976" spans="3:31" s="260" customFormat="1" ht="15.75" thickBot="1" x14ac:dyDescent="0.3">
      <c r="C1976" s="84"/>
      <c r="D1976" s="375" t="s">
        <v>128</v>
      </c>
      <c r="E1976" s="376" t="s">
        <v>129</v>
      </c>
      <c r="F1976" s="376" t="s">
        <v>130</v>
      </c>
      <c r="G1976" s="376" t="s">
        <v>131</v>
      </c>
      <c r="H1976" s="376" t="s">
        <v>132</v>
      </c>
      <c r="I1976" s="376" t="s">
        <v>133</v>
      </c>
      <c r="J1976" s="377" t="s">
        <v>134</v>
      </c>
      <c r="K1976" s="88"/>
      <c r="M1976" s="541"/>
      <c r="N1976" s="542"/>
      <c r="O1976" s="542"/>
      <c r="P1976" s="542"/>
      <c r="Q1976" s="542"/>
      <c r="R1976" s="542"/>
      <c r="S1976" s="542"/>
      <c r="T1976" s="542"/>
      <c r="U1976" s="542"/>
      <c r="V1976" s="543"/>
      <c r="Y1976" s="378"/>
      <c r="Z1976" s="121"/>
      <c r="AA1976" s="86"/>
      <c r="AB1976" s="409"/>
      <c r="AC1976" s="121"/>
      <c r="AD1976" s="94"/>
      <c r="AE1976" s="428"/>
    </row>
    <row r="1977" spans="3:31" s="260" customFormat="1" ht="15.75" thickBot="1" x14ac:dyDescent="0.3">
      <c r="C1977" s="84"/>
      <c r="D1977" s="355"/>
      <c r="E1977" s="367"/>
      <c r="F1977" s="367"/>
      <c r="G1977" s="367"/>
      <c r="H1977" s="412">
        <f>G1975</f>
        <v>2.2999999999999998</v>
      </c>
      <c r="I1977" s="412"/>
      <c r="J1977" s="422"/>
      <c r="K1977" s="88"/>
      <c r="M1977" s="544" t="s">
        <v>122</v>
      </c>
      <c r="N1977" s="537"/>
      <c r="O1977" s="537"/>
      <c r="P1977" s="537"/>
      <c r="Q1977" s="537"/>
      <c r="R1977" s="537"/>
      <c r="S1977" s="537"/>
      <c r="T1977" s="537"/>
      <c r="U1977" s="545">
        <f>+V1975+V1968+V1960+V1951</f>
        <v>26121.460000000003</v>
      </c>
      <c r="V1977" s="546"/>
      <c r="Y1977" s="429"/>
      <c r="Z1977" s="430">
        <f>+Z1975+Z1968+Z1960+Z1951</f>
        <v>26121.460000000003</v>
      </c>
      <c r="AA1977" s="86"/>
      <c r="AB1977" s="431">
        <f>+AB1975+AB1968+AB1960+AB1951</f>
        <v>26121.460000000003</v>
      </c>
      <c r="AC1977" s="404">
        <f>+AB1977-Z1977</f>
        <v>0</v>
      </c>
      <c r="AD1977" s="94"/>
      <c r="AE1977" s="432"/>
    </row>
    <row r="1978" spans="3:31" s="260" customFormat="1" ht="15.75" thickBot="1" x14ac:dyDescent="0.3"/>
    <row r="1979" spans="3:31" s="260" customFormat="1" x14ac:dyDescent="0.25">
      <c r="M1979" s="547" t="s">
        <v>348</v>
      </c>
      <c r="N1979" s="548"/>
      <c r="O1979" s="548"/>
      <c r="P1979" s="548"/>
      <c r="Q1979" s="548"/>
      <c r="R1979" s="548"/>
      <c r="S1979" s="548"/>
      <c r="T1979" s="548"/>
      <c r="U1979" s="548"/>
      <c r="V1979" s="549"/>
      <c r="Y1979" s="378"/>
      <c r="Z1979" s="121"/>
      <c r="AA1979" s="86"/>
      <c r="AB1979" s="94"/>
      <c r="AC1979" s="94"/>
      <c r="AD1979" s="94"/>
      <c r="AE1979" s="126" t="s">
        <v>133</v>
      </c>
    </row>
    <row r="1980" spans="3:31" s="260" customFormat="1" x14ac:dyDescent="0.25">
      <c r="M1980" s="515" t="s">
        <v>138</v>
      </c>
      <c r="N1980" s="516"/>
      <c r="O1980" s="516"/>
      <c r="P1980" s="516"/>
      <c r="Q1980" s="516"/>
      <c r="R1980" s="516"/>
      <c r="S1980" s="516"/>
      <c r="T1980" s="437">
        <v>0</v>
      </c>
      <c r="U1980" s="517">
        <f>+ROUND(U1977*T1980,$AA$5)</f>
        <v>0</v>
      </c>
      <c r="V1980" s="518"/>
      <c r="Y1980" s="390"/>
      <c r="Z1980" s="438">
        <f>+Z1977*T1980</f>
        <v>0</v>
      </c>
      <c r="AA1980" s="86"/>
      <c r="AB1980" s="94"/>
      <c r="AC1980" s="94"/>
      <c r="AD1980" s="94"/>
      <c r="AE1980" s="386" t="s">
        <v>133</v>
      </c>
    </row>
    <row r="1981" spans="3:31" s="260" customFormat="1" x14ac:dyDescent="0.25">
      <c r="M1981" s="515" t="s">
        <v>19</v>
      </c>
      <c r="N1981" s="516"/>
      <c r="O1981" s="516"/>
      <c r="P1981" s="516"/>
      <c r="Q1981" s="516"/>
      <c r="R1981" s="516"/>
      <c r="S1981" s="516"/>
      <c r="T1981" s="437">
        <v>0.05</v>
      </c>
      <c r="U1981" s="517">
        <f>+ROUND(U1977*T1981,$AA$5)</f>
        <v>1306.07</v>
      </c>
      <c r="V1981" s="518"/>
      <c r="Y1981" s="390"/>
      <c r="Z1981" s="438">
        <f>+Z1977*T1981</f>
        <v>1306.0730000000003</v>
      </c>
      <c r="AA1981" s="86"/>
      <c r="AB1981" s="94"/>
      <c r="AC1981" s="94"/>
      <c r="AD1981" s="94"/>
      <c r="AE1981" s="386" t="s">
        <v>133</v>
      </c>
    </row>
    <row r="1982" spans="3:31" s="260" customFormat="1" x14ac:dyDescent="0.25">
      <c r="M1982" s="515" t="s">
        <v>20</v>
      </c>
      <c r="N1982" s="516"/>
      <c r="O1982" s="516"/>
      <c r="P1982" s="516"/>
      <c r="Q1982" s="516"/>
      <c r="R1982" s="516"/>
      <c r="S1982" s="516"/>
      <c r="T1982" s="437">
        <v>0</v>
      </c>
      <c r="U1982" s="517">
        <f>+ROUND(U1977*T1982,$AA$5)</f>
        <v>0</v>
      </c>
      <c r="V1982" s="518"/>
      <c r="Y1982" s="390"/>
      <c r="Z1982" s="438">
        <f>+Z1977*T1982</f>
        <v>0</v>
      </c>
      <c r="AA1982" s="86"/>
      <c r="AB1982" s="94"/>
      <c r="AC1982" s="94"/>
      <c r="AD1982" s="94"/>
      <c r="AE1982" s="386" t="s">
        <v>133</v>
      </c>
    </row>
    <row r="1983" spans="3:31" s="260" customFormat="1" x14ac:dyDescent="0.25">
      <c r="M1983" s="515" t="s">
        <v>21</v>
      </c>
      <c r="N1983" s="516"/>
      <c r="O1983" s="516"/>
      <c r="P1983" s="516"/>
      <c r="Q1983" s="516"/>
      <c r="R1983" s="516"/>
      <c r="S1983" s="516"/>
      <c r="T1983" s="437">
        <f>$AA$9</f>
        <v>0</v>
      </c>
      <c r="U1983" s="517">
        <f>+ROUND(U1977*T1983,$AA$5)</f>
        <v>0</v>
      </c>
      <c r="V1983" s="518"/>
      <c r="Y1983" s="390"/>
      <c r="Z1983" s="438">
        <f>+Z1982*T1983</f>
        <v>0</v>
      </c>
      <c r="AA1983" s="86"/>
      <c r="AB1983" s="94"/>
      <c r="AC1983" s="94"/>
      <c r="AD1983" s="94"/>
      <c r="AE1983" s="386" t="s">
        <v>133</v>
      </c>
    </row>
    <row r="1984" spans="3:31" s="260" customFormat="1" ht="15.75" thickBot="1" x14ac:dyDescent="0.3">
      <c r="M1984" s="519" t="s">
        <v>349</v>
      </c>
      <c r="N1984" s="520"/>
      <c r="O1984" s="520"/>
      <c r="P1984" s="520"/>
      <c r="Q1984" s="520"/>
      <c r="R1984" s="520"/>
      <c r="S1984" s="520"/>
      <c r="T1984" s="520"/>
      <c r="U1984" s="521">
        <f>+SUM(U1980:V1983)</f>
        <v>1306.07</v>
      </c>
      <c r="V1984" s="522"/>
      <c r="Y1984" s="390"/>
      <c r="Z1984" s="439">
        <f>+SUM(Z1980:Z1983)</f>
        <v>1306.0730000000003</v>
      </c>
      <c r="AA1984" s="86"/>
      <c r="AB1984" s="94"/>
      <c r="AC1984" s="94"/>
      <c r="AD1984" s="94"/>
      <c r="AE1984" s="386" t="s">
        <v>133</v>
      </c>
    </row>
    <row r="1985" spans="3:31" s="260" customFormat="1" ht="15.75" thickBot="1" x14ac:dyDescent="0.3">
      <c r="D1985" s="375" t="s">
        <v>128</v>
      </c>
      <c r="E1985" s="376" t="s">
        <v>129</v>
      </c>
      <c r="F1985" s="376" t="s">
        <v>130</v>
      </c>
      <c r="G1985" s="376" t="s">
        <v>131</v>
      </c>
      <c r="H1985" s="376" t="s">
        <v>132</v>
      </c>
      <c r="I1985" s="376" t="s">
        <v>133</v>
      </c>
      <c r="J1985" s="377" t="s">
        <v>134</v>
      </c>
      <c r="M1985" s="86"/>
      <c r="N1985" s="94"/>
      <c r="O1985" s="94"/>
      <c r="P1985" s="94"/>
      <c r="Q1985" s="86"/>
      <c r="R1985" s="86"/>
      <c r="S1985" s="86"/>
      <c r="T1985" s="440"/>
      <c r="U1985" s="523"/>
      <c r="V1985" s="523"/>
      <c r="Y1985" s="390"/>
      <c r="Z1985" s="385"/>
      <c r="AA1985" s="86"/>
      <c r="AB1985" s="94"/>
      <c r="AC1985" s="94"/>
      <c r="AD1985" s="94"/>
      <c r="AE1985" s="386" t="s">
        <v>133</v>
      </c>
    </row>
    <row r="1986" spans="3:31" s="260" customFormat="1" ht="15.75" thickBot="1" x14ac:dyDescent="0.3">
      <c r="D1986" s="355"/>
      <c r="E1986" s="367"/>
      <c r="F1986" s="367"/>
      <c r="G1986" s="367"/>
      <c r="H1986" s="412"/>
      <c r="I1986" s="412">
        <f>H1977</f>
        <v>2.2999999999999998</v>
      </c>
      <c r="J1986" s="422"/>
      <c r="M1986" s="524" t="s">
        <v>11</v>
      </c>
      <c r="N1986" s="525"/>
      <c r="O1986" s="525"/>
      <c r="P1986" s="525"/>
      <c r="Q1986" s="525"/>
      <c r="R1986" s="525"/>
      <c r="S1986" s="525"/>
      <c r="T1986" s="526"/>
      <c r="U1986" s="527">
        <f>+U1984+U1977</f>
        <v>27427.530000000002</v>
      </c>
      <c r="V1986" s="528"/>
      <c r="Y1986" s="429"/>
      <c r="Z1986" s="441">
        <f>+Z1984+Z1977</f>
        <v>27427.533000000003</v>
      </c>
      <c r="AA1986" s="86"/>
      <c r="AB1986" s="94"/>
      <c r="AC1986" s="94"/>
      <c r="AD1986" s="94"/>
      <c r="AE1986" s="405" t="s">
        <v>133</v>
      </c>
    </row>
    <row r="1987" spans="3:31" s="260" customFormat="1" x14ac:dyDescent="0.25"/>
    <row r="1988" spans="3:31" s="260" customFormat="1" ht="15.75" thickBot="1" x14ac:dyDescent="0.3"/>
    <row r="1989" spans="3:31" s="260" customFormat="1" ht="15.75" thickBot="1" x14ac:dyDescent="0.3">
      <c r="M1989" s="363" t="s">
        <v>88</v>
      </c>
      <c r="N1989" s="436" t="str">
        <f>+N1940</f>
        <v>CAP.2</v>
      </c>
      <c r="O1989" s="550" t="str">
        <f>IFERROR(VLOOKUP(N1989,PPTO!C:H,2,0),"----")</f>
        <v>RED HIDRAULICA</v>
      </c>
      <c r="P1989" s="551"/>
      <c r="Q1989" s="551"/>
      <c r="R1989" s="551"/>
      <c r="S1989" s="551"/>
      <c r="T1989" s="551"/>
      <c r="U1989" s="552"/>
      <c r="V1989" s="74" t="s">
        <v>91</v>
      </c>
      <c r="Y1989" s="365" t="s">
        <v>104</v>
      </c>
      <c r="Z1989" s="94"/>
      <c r="AA1989" s="188"/>
      <c r="AB1989" s="553"/>
      <c r="AC1989" s="553"/>
      <c r="AD1989" s="553"/>
      <c r="AE1989" s="94"/>
    </row>
    <row r="1990" spans="3:31" s="260" customFormat="1" ht="15.75" thickBot="1" x14ac:dyDescent="0.3">
      <c r="C1990" s="369">
        <f>+N1990</f>
        <v>2.31</v>
      </c>
      <c r="D1990" s="86"/>
      <c r="E1990" s="86"/>
      <c r="F1990" s="86"/>
      <c r="G1990" s="86"/>
      <c r="H1990" s="86"/>
      <c r="I1990" s="86"/>
      <c r="J1990" s="86"/>
      <c r="K1990" s="370"/>
      <c r="M1990" s="75" t="s">
        <v>92</v>
      </c>
      <c r="N1990" s="371">
        <f>+ROUNDUP(N1941+0.01,2)</f>
        <v>2.31</v>
      </c>
      <c r="O1990" s="554" t="str">
        <f>IFERROR(VLOOKUP(N1990,PPTO!C:H,2,0),"----")</f>
        <v>Reduccion PVC Ø2_1/2" A Ø1_1/2"</v>
      </c>
      <c r="P1990" s="555"/>
      <c r="Q1990" s="555"/>
      <c r="R1990" s="555"/>
      <c r="S1990" s="555"/>
      <c r="T1990" s="555"/>
      <c r="U1990" s="556"/>
      <c r="V1990" s="76" t="str">
        <f>IFERROR(VLOOKUP(N1990,PPTO!C:H,3,0),"----")</f>
        <v>UND</v>
      </c>
      <c r="Y1990" s="373">
        <f>SUMIFS(PPTO!F:F,PPTO!C:C,APUS!N1990)</f>
        <v>10</v>
      </c>
      <c r="Z1990" s="94"/>
      <c r="AA1990" s="86"/>
      <c r="AB1990" s="94"/>
      <c r="AC1990" s="94"/>
      <c r="AD1990" s="94"/>
      <c r="AE1990" s="94"/>
    </row>
    <row r="1991" spans="3:31" s="260" customFormat="1" ht="15.75" thickBot="1" x14ac:dyDescent="0.3">
      <c r="C1991" s="84"/>
      <c r="D1991" s="86"/>
      <c r="E1991" s="86"/>
      <c r="F1991" s="86"/>
      <c r="G1991" s="86"/>
      <c r="H1991" s="86"/>
      <c r="I1991" s="86"/>
      <c r="J1991" s="86"/>
      <c r="K1991" s="88"/>
      <c r="M1991" s="557"/>
      <c r="N1991" s="557"/>
      <c r="O1991" s="557"/>
      <c r="P1991" s="557"/>
      <c r="Q1991" s="557"/>
      <c r="R1991" s="557"/>
      <c r="S1991" s="557"/>
      <c r="T1991" s="557"/>
      <c r="U1991" s="557"/>
      <c r="V1991" s="557"/>
      <c r="Y1991" s="374"/>
      <c r="Z1991" s="94"/>
      <c r="AA1991" s="86"/>
      <c r="AB1991" s="94"/>
      <c r="AC1991" s="94"/>
      <c r="AD1991" s="94"/>
      <c r="AE1991" s="94"/>
    </row>
    <row r="1992" spans="3:31" s="260" customFormat="1" ht="15.75" thickBot="1" x14ac:dyDescent="0.3">
      <c r="C1992" s="84"/>
      <c r="D1992" s="375" t="s">
        <v>128</v>
      </c>
      <c r="E1992" s="376" t="s">
        <v>129</v>
      </c>
      <c r="F1992" s="376" t="s">
        <v>130</v>
      </c>
      <c r="G1992" s="376" t="s">
        <v>131</v>
      </c>
      <c r="H1992" s="376" t="s">
        <v>132</v>
      </c>
      <c r="I1992" s="376" t="s">
        <v>133</v>
      </c>
      <c r="J1992" s="377" t="s">
        <v>134</v>
      </c>
      <c r="K1992" s="88"/>
      <c r="M1992" s="558" t="s">
        <v>93</v>
      </c>
      <c r="N1992" s="559"/>
      <c r="O1992" s="559"/>
      <c r="P1992" s="559"/>
      <c r="Q1992" s="559"/>
      <c r="R1992" s="559"/>
      <c r="S1992" s="559"/>
      <c r="T1992" s="559"/>
      <c r="U1992" s="559"/>
      <c r="V1992" s="560"/>
      <c r="Y1992" s="378"/>
      <c r="Z1992" s="121"/>
      <c r="AA1992" s="86"/>
      <c r="AB1992" s="513"/>
      <c r="AC1992" s="514"/>
      <c r="AD1992" s="94"/>
      <c r="AE1992" s="379"/>
    </row>
    <row r="1993" spans="3:31" s="260" customFormat="1" x14ac:dyDescent="0.25">
      <c r="C1993" s="84"/>
      <c r="D1993" s="380"/>
      <c r="E1993" s="381"/>
      <c r="F1993" s="381"/>
      <c r="G1993" s="381"/>
      <c r="H1993" s="381"/>
      <c r="I1993" s="381"/>
      <c r="J1993" s="382"/>
      <c r="K1993" s="88"/>
      <c r="M1993" s="99" t="s">
        <v>94</v>
      </c>
      <c r="N1993" s="561" t="s">
        <v>95</v>
      </c>
      <c r="O1993" s="561"/>
      <c r="P1993" s="561"/>
      <c r="Q1993" s="561"/>
      <c r="R1993" s="95" t="s">
        <v>96</v>
      </c>
      <c r="S1993" s="95" t="s">
        <v>97</v>
      </c>
      <c r="T1993" s="562" t="s">
        <v>8</v>
      </c>
      <c r="U1993" s="562"/>
      <c r="V1993" s="100" t="s">
        <v>98</v>
      </c>
      <c r="Y1993" s="383" t="s">
        <v>104</v>
      </c>
      <c r="Z1993" s="119" t="s">
        <v>9</v>
      </c>
      <c r="AA1993" s="86"/>
      <c r="AB1993" s="384"/>
      <c r="AC1993" s="385"/>
      <c r="AD1993" s="94"/>
      <c r="AE1993" s="386"/>
    </row>
    <row r="1994" spans="3:31" s="260" customFormat="1" x14ac:dyDescent="0.25">
      <c r="C1994" s="84"/>
      <c r="D1994" s="85"/>
      <c r="E1994" s="86"/>
      <c r="F1994" s="86"/>
      <c r="G1994" s="86"/>
      <c r="H1994" s="86"/>
      <c r="I1994" s="86"/>
      <c r="J1994" s="87"/>
      <c r="K1994" s="88"/>
      <c r="M1994" s="102"/>
      <c r="N1994" s="533" t="s">
        <v>99</v>
      </c>
      <c r="O1994" s="533"/>
      <c r="P1994" s="533"/>
      <c r="Q1994" s="533"/>
      <c r="R1994" s="78" t="s">
        <v>100</v>
      </c>
      <c r="S1994" s="387">
        <f>+$AA$10</f>
        <v>0.05</v>
      </c>
      <c r="T1994" s="563">
        <f>V2024</f>
        <v>5578.97</v>
      </c>
      <c r="U1994" s="563"/>
      <c r="V1994" s="389">
        <f>+IFERROR(T1994*S1994,0)</f>
        <v>278.94850000000002</v>
      </c>
      <c r="Y1994" s="390"/>
      <c r="Z1994" s="391">
        <f>Y1990*V1994</f>
        <v>2789.4850000000001</v>
      </c>
      <c r="AA1994" s="86"/>
      <c r="AB1994" s="384"/>
      <c r="AC1994" s="385"/>
      <c r="AD1994" s="94"/>
      <c r="AE1994" s="386" t="str">
        <f>+IF(V1994=0,"CERO","NO")</f>
        <v>NO</v>
      </c>
    </row>
    <row r="1995" spans="3:31" s="260" customFormat="1" x14ac:dyDescent="0.25">
      <c r="C1995" s="84"/>
      <c r="D1995" s="85"/>
      <c r="E1995" s="86"/>
      <c r="F1995" s="86"/>
      <c r="G1995" s="86"/>
      <c r="H1995" s="86"/>
      <c r="I1995" s="86"/>
      <c r="J1995" s="87"/>
      <c r="K1995" s="88"/>
      <c r="M1995" s="106"/>
      <c r="N1995" s="533" t="str">
        <f>IFERROR(VLOOKUP(M1995,INSUMOS!$C$8:$K$928,2,0),"-----")</f>
        <v>-----</v>
      </c>
      <c r="O1995" s="533"/>
      <c r="P1995" s="533"/>
      <c r="Q1995" s="533"/>
      <c r="R1995" s="78" t="str">
        <f>IFERROR(VLOOKUP(M1995,INSUMOS!$C$8:$K$928,6,0),"-----")</f>
        <v>-----</v>
      </c>
      <c r="S1995" s="392"/>
      <c r="T1995" s="529" t="str">
        <f>IFERROR(VLOOKUP(M1995,INSUMOS!$C$8:$K$928,7,0),"0")</f>
        <v>0</v>
      </c>
      <c r="U1995" s="529"/>
      <c r="V1995" s="389">
        <f>+IFERROR(T1995*S1995,0)</f>
        <v>0</v>
      </c>
      <c r="Y1995" s="393">
        <f>+IFERROR(Y1990*S1995,0)</f>
        <v>0</v>
      </c>
      <c r="Z1995" s="391">
        <f>Y1990*V1995</f>
        <v>0</v>
      </c>
      <c r="AA1995" s="394"/>
      <c r="AB1995" s="395">
        <f>+Y1995*T1995</f>
        <v>0</v>
      </c>
      <c r="AC1995" s="93">
        <f>+AB1995-Z1995</f>
        <v>0</v>
      </c>
      <c r="AD1995" s="94"/>
      <c r="AE1995" s="386" t="str">
        <f>+IF(V1995=0,"CERO","NO")</f>
        <v>CERO</v>
      </c>
    </row>
    <row r="1996" spans="3:31" s="260" customFormat="1" x14ac:dyDescent="0.25">
      <c r="C1996" s="84"/>
      <c r="D1996" s="85"/>
      <c r="E1996" s="86"/>
      <c r="F1996" s="86"/>
      <c r="G1996" s="86"/>
      <c r="H1996" s="86"/>
      <c r="I1996" s="86"/>
      <c r="J1996" s="87"/>
      <c r="K1996" s="88"/>
      <c r="M1996" s="102">
        <v>0</v>
      </c>
      <c r="N1996" s="533"/>
      <c r="O1996" s="533"/>
      <c r="P1996" s="533"/>
      <c r="Q1996" s="533"/>
      <c r="R1996" s="78"/>
      <c r="S1996" s="396"/>
      <c r="T1996" s="529"/>
      <c r="U1996" s="529"/>
      <c r="V1996" s="397"/>
      <c r="Y1996" s="393">
        <f>+IFERROR(Y1990*S1996,0)</f>
        <v>0</v>
      </c>
      <c r="Z1996" s="391">
        <f>Y1990*V1996</f>
        <v>0</v>
      </c>
      <c r="AA1996" s="394"/>
      <c r="AB1996" s="395">
        <f>+Y1996*T1996</f>
        <v>0</v>
      </c>
      <c r="AC1996" s="93">
        <f>+AB1996-Z1996</f>
        <v>0</v>
      </c>
      <c r="AD1996" s="94"/>
      <c r="AE1996" s="386" t="str">
        <f>+IF(V1996=0,"CERO","NO")</f>
        <v>CERO</v>
      </c>
    </row>
    <row r="1997" spans="3:31" s="260" customFormat="1" x14ac:dyDescent="0.25">
      <c r="C1997" s="84"/>
      <c r="D1997" s="85"/>
      <c r="E1997" s="86"/>
      <c r="F1997" s="86"/>
      <c r="G1997" s="86"/>
      <c r="H1997" s="86"/>
      <c r="I1997" s="86"/>
      <c r="J1997" s="87"/>
      <c r="K1997" s="88"/>
      <c r="M1997" s="102">
        <v>0</v>
      </c>
      <c r="N1997" s="533"/>
      <c r="O1997" s="533"/>
      <c r="P1997" s="533"/>
      <c r="Q1997" s="533"/>
      <c r="R1997" s="78"/>
      <c r="S1997" s="396"/>
      <c r="T1997" s="529"/>
      <c r="U1997" s="529"/>
      <c r="V1997" s="397"/>
      <c r="Y1997" s="393">
        <f>+IFERROR(Y1990*S1997,0)</f>
        <v>0</v>
      </c>
      <c r="Z1997" s="391">
        <f>Y1990*V1997</f>
        <v>0</v>
      </c>
      <c r="AA1997" s="394"/>
      <c r="AB1997" s="395">
        <f>+Y1997*T1997</f>
        <v>0</v>
      </c>
      <c r="AC1997" s="93">
        <f>+AB1997-Z1997</f>
        <v>0</v>
      </c>
      <c r="AD1997" s="94"/>
      <c r="AE1997" s="386" t="str">
        <f>+IF(V1997=0,"CERO","NO")</f>
        <v>CERO</v>
      </c>
    </row>
    <row r="1998" spans="3:31" s="260" customFormat="1" ht="15.75" thickBot="1" x14ac:dyDescent="0.3">
      <c r="C1998" s="84"/>
      <c r="D1998" s="85"/>
      <c r="E1998" s="86"/>
      <c r="F1998" s="86"/>
      <c r="G1998" s="86"/>
      <c r="H1998" s="86"/>
      <c r="I1998" s="86"/>
      <c r="J1998" s="87"/>
      <c r="K1998" s="88"/>
      <c r="M1998" s="102">
        <v>0</v>
      </c>
      <c r="N1998" s="564"/>
      <c r="O1998" s="564"/>
      <c r="P1998" s="564"/>
      <c r="Q1998" s="564"/>
      <c r="R1998" s="96"/>
      <c r="S1998" s="96"/>
      <c r="T1998" s="565"/>
      <c r="U1998" s="565"/>
      <c r="V1998" s="101"/>
      <c r="Y1998" s="393">
        <f>+IFERROR(Y1990*S1998,0)</f>
        <v>0</v>
      </c>
      <c r="Z1998" s="391">
        <f>Y1990*V1998</f>
        <v>0</v>
      </c>
      <c r="AA1998" s="394"/>
      <c r="AB1998" s="395">
        <f>+Y1998*T1998</f>
        <v>0</v>
      </c>
      <c r="AC1998" s="93">
        <f>+AB1998-Z1998</f>
        <v>0</v>
      </c>
      <c r="AD1998" s="94"/>
      <c r="AE1998" s="386" t="str">
        <f>+IF(V1998=0,"CERO","NO")</f>
        <v>CERO</v>
      </c>
    </row>
    <row r="1999" spans="3:31" s="260" customFormat="1" ht="15.75" thickBot="1" x14ac:dyDescent="0.3">
      <c r="C1999" s="84"/>
      <c r="D1999" s="375" t="s">
        <v>128</v>
      </c>
      <c r="E1999" s="376" t="s">
        <v>129</v>
      </c>
      <c r="F1999" s="376" t="s">
        <v>130</v>
      </c>
      <c r="G1999" s="376" t="s">
        <v>131</v>
      </c>
      <c r="H1999" s="376" t="s">
        <v>132</v>
      </c>
      <c r="I1999" s="376" t="s">
        <v>133</v>
      </c>
      <c r="J1999" s="377" t="s">
        <v>134</v>
      </c>
      <c r="K1999" s="88"/>
      <c r="M1999" s="534"/>
      <c r="N1999" s="536" t="s">
        <v>101</v>
      </c>
      <c r="O1999" s="536"/>
      <c r="P1999" s="536"/>
      <c r="Q1999" s="536"/>
      <c r="R1999" s="536"/>
      <c r="S1999" s="536"/>
      <c r="T1999" s="536"/>
      <c r="U1999" s="536"/>
      <c r="V1999" s="389">
        <f>+SUM(V1994:V1998)</f>
        <v>278.94850000000002</v>
      </c>
      <c r="Y1999" s="398" t="s">
        <v>135</v>
      </c>
      <c r="Z1999" s="397">
        <f>+SUM(Z1994:Z1998)</f>
        <v>2789.4850000000001</v>
      </c>
      <c r="AA1999" s="86"/>
      <c r="AB1999" s="384"/>
      <c r="AC1999" s="385"/>
      <c r="AD1999" s="94"/>
      <c r="AE1999" s="399"/>
    </row>
    <row r="2000" spans="3:31" s="260" customFormat="1" ht="15.75" thickBot="1" x14ac:dyDescent="0.3">
      <c r="C2000" s="84"/>
      <c r="D2000" s="375">
        <f>C1990</f>
        <v>2.31</v>
      </c>
      <c r="E2000" s="376"/>
      <c r="F2000" s="376"/>
      <c r="G2000" s="376"/>
      <c r="H2000" s="376"/>
      <c r="I2000" s="376"/>
      <c r="J2000" s="377"/>
      <c r="K2000" s="88"/>
      <c r="M2000" s="566"/>
      <c r="N2000" s="567" t="s">
        <v>102</v>
      </c>
      <c r="O2000" s="567"/>
      <c r="P2000" s="567"/>
      <c r="Q2000" s="567"/>
      <c r="R2000" s="567"/>
      <c r="S2000" s="567"/>
      <c r="T2000" s="567"/>
      <c r="U2000" s="567"/>
      <c r="V2000" s="400">
        <f>+ROUND(V1999,$AA$5)</f>
        <v>278.95</v>
      </c>
      <c r="Y2000" s="401" t="s">
        <v>136</v>
      </c>
      <c r="Z2000" s="402">
        <f>+ROUND(Z1999,$AA$5)</f>
        <v>2789.49</v>
      </c>
      <c r="AA2000" s="86"/>
      <c r="AB2000" s="403">
        <f>+V2000*Y1990</f>
        <v>2789.5</v>
      </c>
      <c r="AC2000" s="404">
        <f>+AB2000-Z2000</f>
        <v>1.0000000000218279E-2</v>
      </c>
      <c r="AD2000" s="94"/>
      <c r="AE2000" s="405"/>
    </row>
    <row r="2001" spans="3:31" s="260" customFormat="1" x14ac:dyDescent="0.25">
      <c r="C2001" s="84"/>
      <c r="D2001" s="380"/>
      <c r="E2001" s="381"/>
      <c r="F2001" s="381"/>
      <c r="G2001" s="381"/>
      <c r="H2001" s="381"/>
      <c r="I2001" s="381"/>
      <c r="J2001" s="382"/>
      <c r="K2001" s="88"/>
      <c r="M2001" s="510" t="s">
        <v>103</v>
      </c>
      <c r="N2001" s="511"/>
      <c r="O2001" s="511"/>
      <c r="P2001" s="511"/>
      <c r="Q2001" s="511"/>
      <c r="R2001" s="511"/>
      <c r="S2001" s="511"/>
      <c r="T2001" s="511"/>
      <c r="U2001" s="511"/>
      <c r="V2001" s="512"/>
      <c r="Y2001" s="378"/>
      <c r="Z2001" s="121"/>
      <c r="AA2001" s="86"/>
      <c r="AB2001" s="513"/>
      <c r="AC2001" s="514"/>
      <c r="AD2001" s="94"/>
      <c r="AE2001" s="126"/>
    </row>
    <row r="2002" spans="3:31" s="260" customFormat="1" x14ac:dyDescent="0.25">
      <c r="C2002" s="84"/>
      <c r="D2002" s="85"/>
      <c r="E2002" s="86"/>
      <c r="F2002" s="86"/>
      <c r="G2002" s="86"/>
      <c r="H2002" s="86"/>
      <c r="I2002" s="86"/>
      <c r="J2002" s="87"/>
      <c r="K2002" s="88"/>
      <c r="M2002" s="99" t="s">
        <v>94</v>
      </c>
      <c r="N2002" s="561" t="s">
        <v>95</v>
      </c>
      <c r="O2002" s="561"/>
      <c r="P2002" s="561"/>
      <c r="Q2002" s="561"/>
      <c r="R2002" s="95" t="s">
        <v>96</v>
      </c>
      <c r="S2002" s="95" t="s">
        <v>104</v>
      </c>
      <c r="T2002" s="356" t="s">
        <v>105</v>
      </c>
      <c r="U2002" s="356" t="s">
        <v>8</v>
      </c>
      <c r="V2002" s="100" t="s">
        <v>98</v>
      </c>
      <c r="Y2002" s="383" t="s">
        <v>104</v>
      </c>
      <c r="Z2002" s="119" t="s">
        <v>9</v>
      </c>
      <c r="AA2002" s="86"/>
      <c r="AB2002" s="384"/>
      <c r="AC2002" s="385"/>
      <c r="AD2002" s="94"/>
      <c r="AE2002" s="406"/>
    </row>
    <row r="2003" spans="3:31" s="260" customFormat="1" x14ac:dyDescent="0.25">
      <c r="C2003" s="84"/>
      <c r="D2003" s="85"/>
      <c r="E2003" s="86"/>
      <c r="F2003" s="86"/>
      <c r="G2003" s="86"/>
      <c r="H2003" s="86"/>
      <c r="I2003" s="86"/>
      <c r="J2003" s="87"/>
      <c r="K2003" s="88"/>
      <c r="M2003" s="102">
        <v>754</v>
      </c>
      <c r="N2003" s="533" t="str">
        <f>IFERROR(VLOOKUP(M2003,INSUMOS!$C$8:$K$928,2,0),"-----")</f>
        <v>BUJES SOLDADO 2_1/2" X 1_1/2"</v>
      </c>
      <c r="O2003" s="533"/>
      <c r="P2003" s="533"/>
      <c r="Q2003" s="533"/>
      <c r="R2003" s="78" t="str">
        <f>IFERROR(VLOOKUP(M2003,INSUMOS!$C$8:$K$928,6,0),"-----")</f>
        <v>und</v>
      </c>
      <c r="S2003" s="396">
        <v>1</v>
      </c>
      <c r="T2003" s="387">
        <v>0</v>
      </c>
      <c r="U2003" s="388">
        <f>IFERROR(VLOOKUP(M2003,INSUMOS!$C$8:$K$928,7,0),"0")</f>
        <v>18898</v>
      </c>
      <c r="V2003" s="389">
        <f>+IFERROR(U2003*(S2003*(1+T2003)),0)</f>
        <v>18898</v>
      </c>
      <c r="Y2003" s="393">
        <f>+IFERROR(Y1990*(S2003*(1+T2003)),0)</f>
        <v>10</v>
      </c>
      <c r="Z2003" s="391">
        <f>Y1990*V2003</f>
        <v>188980</v>
      </c>
      <c r="AA2003" s="394"/>
      <c r="AB2003" s="395">
        <f>+Y2003*U2003</f>
        <v>188980</v>
      </c>
      <c r="AC2003" s="93">
        <f>+AB2003-Z2003</f>
        <v>0</v>
      </c>
      <c r="AD2003" s="94"/>
      <c r="AE2003" s="406" t="str">
        <f>+IF(V2003=0,"CERO","NO")</f>
        <v>NO</v>
      </c>
    </row>
    <row r="2004" spans="3:31" s="260" customFormat="1" x14ac:dyDescent="0.25">
      <c r="C2004" s="84"/>
      <c r="D2004" s="85"/>
      <c r="E2004" s="86"/>
      <c r="F2004" s="86"/>
      <c r="G2004" s="86"/>
      <c r="H2004" s="86"/>
      <c r="I2004" s="86"/>
      <c r="J2004" s="87"/>
      <c r="K2004" s="88"/>
      <c r="M2004" s="102">
        <v>699</v>
      </c>
      <c r="N2004" s="533" t="str">
        <f>IFERROR(VLOOKUP(M2004,INSUMOS!$C$8:$K$928,2,0),"-----")</f>
        <v>SOLDADURA PVC LIQUIDA 1/4"</v>
      </c>
      <c r="O2004" s="533"/>
      <c r="P2004" s="533"/>
      <c r="Q2004" s="533"/>
      <c r="R2004" s="78" t="str">
        <f>IFERROR(VLOOKUP(M2004,INSUMOS!$C$8:$K$928,6,0),"-----")</f>
        <v>und</v>
      </c>
      <c r="S2004" s="392">
        <v>0.01</v>
      </c>
      <c r="T2004" s="387">
        <v>0.02</v>
      </c>
      <c r="U2004" s="388">
        <f>IFERROR(VLOOKUP(M2004,INSUMOS!$C$8:$K$928,7,0),"0")</f>
        <v>146569</v>
      </c>
      <c r="V2004" s="389">
        <f>+IFERROR(U2004*(S2004*(1+T2004)),0)</f>
        <v>1495.0038000000002</v>
      </c>
      <c r="Y2004" s="393">
        <f>+IFERROR(Y1990*(S2004*(1+T2004)),0)</f>
        <v>0.10200000000000001</v>
      </c>
      <c r="Z2004" s="391">
        <f>Y1990*V2004</f>
        <v>14950.038000000002</v>
      </c>
      <c r="AA2004" s="394"/>
      <c r="AB2004" s="395">
        <f>+Y2004*U2004</f>
        <v>14950.038</v>
      </c>
      <c r="AC2004" s="93">
        <f>+AB2004-Z2004</f>
        <v>0</v>
      </c>
      <c r="AD2004" s="94"/>
      <c r="AE2004" s="406" t="str">
        <f>+IF(V2004=0,"CERO","NO")</f>
        <v>NO</v>
      </c>
    </row>
    <row r="2005" spans="3:31" s="260" customFormat="1" x14ac:dyDescent="0.25">
      <c r="C2005" s="84"/>
      <c r="D2005" s="85"/>
      <c r="E2005" s="86"/>
      <c r="F2005" s="86"/>
      <c r="G2005" s="86"/>
      <c r="H2005" s="86"/>
      <c r="I2005" s="86"/>
      <c r="J2005" s="87"/>
      <c r="K2005" s="88"/>
      <c r="M2005" s="102">
        <v>700</v>
      </c>
      <c r="N2005" s="533" t="str">
        <f>IFERROR(VLOOKUP(M2005,INSUMOS!$C$8:$K$928,2,0),"-----")</f>
        <v>LIMPIADOR PVC 1/4</v>
      </c>
      <c r="O2005" s="533"/>
      <c r="P2005" s="533"/>
      <c r="Q2005" s="533"/>
      <c r="R2005" s="78" t="str">
        <f>IFERROR(VLOOKUP(M2005,INSUMOS!$C$8:$K$928,6,0),"-----")</f>
        <v>und</v>
      </c>
      <c r="S2005" s="392">
        <v>0.01</v>
      </c>
      <c r="T2005" s="387">
        <v>0.02</v>
      </c>
      <c r="U2005" s="388">
        <f>IFERROR(VLOOKUP(M2005,INSUMOS!$C$8:$K$928,7,0),"0")</f>
        <v>65913</v>
      </c>
      <c r="V2005" s="389">
        <f>+IFERROR(U2005*(S2005*(1+T2005)),0)</f>
        <v>672.31260000000009</v>
      </c>
      <c r="Y2005" s="393">
        <f>+IFERROR(Y1990*(S2005*(1+T2005)),0)</f>
        <v>0.10200000000000001</v>
      </c>
      <c r="Z2005" s="391">
        <f>Y1990*V2005</f>
        <v>6723.1260000000011</v>
      </c>
      <c r="AA2005" s="394"/>
      <c r="AB2005" s="395">
        <f>+Y2005*U2005</f>
        <v>6723.1260000000002</v>
      </c>
      <c r="AC2005" s="93">
        <f>+AB2005-Z2005</f>
        <v>0</v>
      </c>
      <c r="AD2005" s="94"/>
      <c r="AE2005" s="406" t="str">
        <f>+IF(V2005=0,"CERO","NO")</f>
        <v>NO</v>
      </c>
    </row>
    <row r="2006" spans="3:31" s="260" customFormat="1" x14ac:dyDescent="0.25">
      <c r="C2006" s="84"/>
      <c r="D2006" s="85"/>
      <c r="E2006" s="86"/>
      <c r="F2006" s="86"/>
      <c r="G2006" s="86"/>
      <c r="H2006" s="86"/>
      <c r="I2006" s="86"/>
      <c r="J2006" s="87"/>
      <c r="K2006" s="88"/>
      <c r="M2006" s="102">
        <v>0</v>
      </c>
      <c r="N2006" s="533" t="str">
        <f>IFERROR(VLOOKUP(M2006,INSUMOS!$C$8:$K$928,2,0),"-----")</f>
        <v>-----</v>
      </c>
      <c r="O2006" s="533"/>
      <c r="P2006" s="533"/>
      <c r="Q2006" s="533"/>
      <c r="R2006" s="78" t="str">
        <f>IFERROR(VLOOKUP(M2006,INSUMOS!$C$8:$K$928,6,0),"-----")</f>
        <v>-----</v>
      </c>
      <c r="S2006" s="396"/>
      <c r="T2006" s="387"/>
      <c r="U2006" s="388" t="str">
        <f>IFERROR(VLOOKUP(M2006,INSUMOS!$C$8:$K$928,7,0),"0")</f>
        <v>0</v>
      </c>
      <c r="V2006" s="389">
        <f>+IFERROR(U2006*(S2006*(1+T2006)),0)</f>
        <v>0</v>
      </c>
      <c r="Y2006" s="393">
        <f>+IFERROR(Y1990*(S2006*(1+T2006)),0)</f>
        <v>0</v>
      </c>
      <c r="Z2006" s="391">
        <f>Y1990*V2006</f>
        <v>0</v>
      </c>
      <c r="AA2006" s="394"/>
      <c r="AB2006" s="395">
        <f>+Y2006*U2006</f>
        <v>0</v>
      </c>
      <c r="AC2006" s="93">
        <f>+AB2006-Z2006</f>
        <v>0</v>
      </c>
      <c r="AD2006" s="94"/>
      <c r="AE2006" s="406" t="str">
        <f>+IF(V2006=0,"CERO","NO")</f>
        <v>CERO</v>
      </c>
    </row>
    <row r="2007" spans="3:31" s="260" customFormat="1" ht="15.75" thickBot="1" x14ac:dyDescent="0.3">
      <c r="C2007" s="84"/>
      <c r="D2007" s="85"/>
      <c r="E2007" s="86"/>
      <c r="F2007" s="86"/>
      <c r="G2007" s="86"/>
      <c r="H2007" s="86"/>
      <c r="I2007" s="86"/>
      <c r="J2007" s="87"/>
      <c r="K2007" s="88"/>
      <c r="M2007" s="102">
        <v>0</v>
      </c>
      <c r="N2007" s="564"/>
      <c r="O2007" s="564"/>
      <c r="P2007" s="564"/>
      <c r="Q2007" s="564"/>
      <c r="R2007" s="96"/>
      <c r="S2007" s="79"/>
      <c r="T2007" s="97"/>
      <c r="U2007" s="358"/>
      <c r="V2007" s="397"/>
      <c r="Y2007" s="393">
        <f>+IFERROR(Y1990*(S2007*(1+T2007)),0)</f>
        <v>0</v>
      </c>
      <c r="Z2007" s="391">
        <f>Y1990*V2007</f>
        <v>0</v>
      </c>
      <c r="AA2007" s="394"/>
      <c r="AB2007" s="395">
        <f>+Y2007*U2007</f>
        <v>0</v>
      </c>
      <c r="AC2007" s="93">
        <f>+AB2007-Z2007</f>
        <v>0</v>
      </c>
      <c r="AD2007" s="94"/>
      <c r="AE2007" s="406" t="str">
        <f>+IF(V2007=0,"CERO","NO")</f>
        <v>CERO</v>
      </c>
    </row>
    <row r="2008" spans="3:31" s="260" customFormat="1" ht="15.75" thickBot="1" x14ac:dyDescent="0.3">
      <c r="C2008" s="84"/>
      <c r="D2008" s="375" t="s">
        <v>128</v>
      </c>
      <c r="E2008" s="376" t="s">
        <v>129</v>
      </c>
      <c r="F2008" s="376" t="s">
        <v>130</v>
      </c>
      <c r="G2008" s="376" t="s">
        <v>131</v>
      </c>
      <c r="H2008" s="376" t="s">
        <v>132</v>
      </c>
      <c r="I2008" s="376" t="s">
        <v>133</v>
      </c>
      <c r="J2008" s="377" t="s">
        <v>134</v>
      </c>
      <c r="K2008" s="88"/>
      <c r="M2008" s="534"/>
      <c r="N2008" s="536" t="s">
        <v>106</v>
      </c>
      <c r="O2008" s="536"/>
      <c r="P2008" s="536"/>
      <c r="Q2008" s="536"/>
      <c r="R2008" s="536"/>
      <c r="S2008" s="536"/>
      <c r="T2008" s="536"/>
      <c r="U2008" s="536"/>
      <c r="V2008" s="389">
        <f>+SUM(V2003:V2007)</f>
        <v>21065.3164</v>
      </c>
      <c r="Y2008" s="398" t="s">
        <v>135</v>
      </c>
      <c r="Z2008" s="397">
        <f>+SUM(Z2003:Z2007)</f>
        <v>210653.16399999999</v>
      </c>
      <c r="AA2008" s="86"/>
      <c r="AB2008" s="384"/>
      <c r="AC2008" s="385"/>
      <c r="AD2008" s="94"/>
      <c r="AE2008" s="399"/>
    </row>
    <row r="2009" spans="3:31" s="260" customFormat="1" ht="15.75" thickBot="1" x14ac:dyDescent="0.3">
      <c r="C2009" s="84"/>
      <c r="D2009" s="375"/>
      <c r="E2009" s="407">
        <f>+D2000</f>
        <v>2.31</v>
      </c>
      <c r="F2009" s="376"/>
      <c r="G2009" s="376"/>
      <c r="H2009" s="376"/>
      <c r="I2009" s="376"/>
      <c r="J2009" s="377"/>
      <c r="K2009" s="88"/>
      <c r="M2009" s="535"/>
      <c r="N2009" s="537" t="s">
        <v>107</v>
      </c>
      <c r="O2009" s="537"/>
      <c r="P2009" s="537"/>
      <c r="Q2009" s="537"/>
      <c r="R2009" s="537"/>
      <c r="S2009" s="537"/>
      <c r="T2009" s="537"/>
      <c r="U2009" s="537"/>
      <c r="V2009" s="408">
        <f>+ROUND(V2008,$AA$5)</f>
        <v>21065.32</v>
      </c>
      <c r="Y2009" s="401" t="s">
        <v>136</v>
      </c>
      <c r="Z2009" s="402">
        <f>+ROUND(Z2008,$AA$5)</f>
        <v>210653.16</v>
      </c>
      <c r="AA2009" s="86"/>
      <c r="AB2009" s="403">
        <f>+V2009*Y1990</f>
        <v>210653.2</v>
      </c>
      <c r="AC2009" s="404">
        <f>+AB2009-Z2009</f>
        <v>4.0000000008149073E-2</v>
      </c>
      <c r="AD2009" s="94"/>
      <c r="AE2009" s="405"/>
    </row>
    <row r="2010" spans="3:31" s="260" customFormat="1" x14ac:dyDescent="0.25">
      <c r="C2010" s="84"/>
      <c r="D2010" s="380"/>
      <c r="E2010" s="381"/>
      <c r="F2010" s="381"/>
      <c r="G2010" s="381"/>
      <c r="H2010" s="381"/>
      <c r="I2010" s="381"/>
      <c r="J2010" s="382"/>
      <c r="K2010" s="88"/>
      <c r="M2010" s="568" t="s">
        <v>108</v>
      </c>
      <c r="N2010" s="569"/>
      <c r="O2010" s="569"/>
      <c r="P2010" s="569"/>
      <c r="Q2010" s="569"/>
      <c r="R2010" s="569"/>
      <c r="S2010" s="569"/>
      <c r="T2010" s="569"/>
      <c r="U2010" s="569"/>
      <c r="V2010" s="570"/>
      <c r="Y2010" s="378"/>
      <c r="Z2010" s="121"/>
      <c r="AA2010" s="86"/>
      <c r="AB2010" s="409"/>
      <c r="AC2010" s="121"/>
      <c r="AD2010" s="94"/>
      <c r="AE2010" s="126"/>
    </row>
    <row r="2011" spans="3:31" s="260" customFormat="1" ht="25.5" x14ac:dyDescent="0.25">
      <c r="C2011" s="84"/>
      <c r="D2011" s="85"/>
      <c r="E2011" s="86"/>
      <c r="F2011" s="86"/>
      <c r="G2011" s="86"/>
      <c r="H2011" s="86"/>
      <c r="I2011" s="86"/>
      <c r="J2011" s="87"/>
      <c r="K2011" s="88"/>
      <c r="M2011" s="99" t="s">
        <v>94</v>
      </c>
      <c r="N2011" s="561" t="s">
        <v>95</v>
      </c>
      <c r="O2011" s="561"/>
      <c r="P2011" s="561"/>
      <c r="Q2011" s="95" t="s">
        <v>109</v>
      </c>
      <c r="R2011" s="95" t="s">
        <v>110</v>
      </c>
      <c r="S2011" s="95" t="s">
        <v>111</v>
      </c>
      <c r="T2011" s="562" t="s">
        <v>112</v>
      </c>
      <c r="U2011" s="562"/>
      <c r="V2011" s="100" t="s">
        <v>98</v>
      </c>
      <c r="Y2011" s="383" t="s">
        <v>104</v>
      </c>
      <c r="Z2011" s="119" t="s">
        <v>9</v>
      </c>
      <c r="AA2011" s="86"/>
      <c r="AB2011" s="384"/>
      <c r="AC2011" s="385"/>
      <c r="AD2011" s="94"/>
      <c r="AE2011" s="410"/>
    </row>
    <row r="2012" spans="3:31" s="260" customFormat="1" x14ac:dyDescent="0.25">
      <c r="C2012" s="84"/>
      <c r="D2012" s="85"/>
      <c r="E2012" s="86"/>
      <c r="F2012" s="86"/>
      <c r="G2012" s="86"/>
      <c r="H2012" s="86"/>
      <c r="I2012" s="86"/>
      <c r="J2012" s="87"/>
      <c r="K2012" s="88"/>
      <c r="M2012" s="102">
        <v>129</v>
      </c>
      <c r="N2012" s="530" t="str">
        <f>IFERROR(VLOOKUP(M2012,INSUMOS!$C$8:$K$928,2,0),"-----")</f>
        <v>transporte materiales en general</v>
      </c>
      <c r="O2012" s="531"/>
      <c r="P2012" s="532"/>
      <c r="Q2012" s="78" t="str">
        <f>IFERROR(VLOOKUP(M2012,INSUMOS!$C$8:$K$928,5,0),"-----")</f>
        <v>Km</v>
      </c>
      <c r="R2012" s="80">
        <v>1</v>
      </c>
      <c r="S2012" s="80">
        <f>IFERROR(VLOOKUP(M2012,INSUMOS!$C$8:$K$928,6,0),"0")</f>
        <v>348</v>
      </c>
      <c r="T2012" s="529">
        <f>IFERROR(VLOOKUP(M2012,INSUMOS!$C$8:$K$928,7,0),"0")</f>
        <v>0.99776362060288992</v>
      </c>
      <c r="U2012" s="529"/>
      <c r="V2012" s="82">
        <f>+T2012*S2012*R2012</f>
        <v>347.2217399698057</v>
      </c>
      <c r="Y2012" s="393">
        <f>+IFERROR((R2012*S2012)*Y1990,0)</f>
        <v>3480</v>
      </c>
      <c r="Z2012" s="391">
        <f>Y1990*V2012</f>
        <v>3472.2173996980569</v>
      </c>
      <c r="AA2012" s="86"/>
      <c r="AB2012" s="92">
        <f>+Y2012*T2012</f>
        <v>3472.2173996980569</v>
      </c>
      <c r="AC2012" s="93">
        <f>+AB2012-Z2012</f>
        <v>0</v>
      </c>
      <c r="AD2012" s="94"/>
      <c r="AE2012" s="406" t="str">
        <f>+IF(V2012=0,"CERO","NO")</f>
        <v>NO</v>
      </c>
    </row>
    <row r="2013" spans="3:31" s="260" customFormat="1" x14ac:dyDescent="0.25">
      <c r="C2013" s="84"/>
      <c r="D2013" s="85"/>
      <c r="E2013" s="86"/>
      <c r="F2013" s="86"/>
      <c r="G2013" s="86"/>
      <c r="H2013" s="86"/>
      <c r="I2013" s="86"/>
      <c r="J2013" s="87"/>
      <c r="K2013" s="88"/>
      <c r="M2013" s="102">
        <v>0</v>
      </c>
      <c r="N2013" s="530" t="str">
        <f>IFERROR(VLOOKUP(M2013,INSUMOS!$C$8:$K$928,2,0),"-----")</f>
        <v>-----</v>
      </c>
      <c r="O2013" s="531"/>
      <c r="P2013" s="532"/>
      <c r="Q2013" s="78" t="str">
        <f>IFERROR(VLOOKUP(M2013,INSUMOS!$C$8:$K$928,5,0),"-----")</f>
        <v>-----</v>
      </c>
      <c r="R2013" s="80"/>
      <c r="S2013" s="80" t="str">
        <f>IFERROR(VLOOKUP(M2013,INSUMOS!$C$8:$K$928,6,0),"0")</f>
        <v>0</v>
      </c>
      <c r="T2013" s="529" t="str">
        <f>IFERROR(VLOOKUP(M2013,INSUMOS!$C$8:$K$928,7,0),"0")</f>
        <v>0</v>
      </c>
      <c r="U2013" s="529"/>
      <c r="V2013" s="82">
        <f>+T2013*S2013*R2013</f>
        <v>0</v>
      </c>
      <c r="Y2013" s="393">
        <f>+IFERROR((R2013*S2013)*Y1990,0)</f>
        <v>0</v>
      </c>
      <c r="Z2013" s="391">
        <f>Y1990*V2013</f>
        <v>0</v>
      </c>
      <c r="AA2013" s="86"/>
      <c r="AB2013" s="92">
        <f>+Y2013*T2013</f>
        <v>0</v>
      </c>
      <c r="AC2013" s="93">
        <f>+AB2013-Z2013</f>
        <v>0</v>
      </c>
      <c r="AD2013" s="94"/>
      <c r="AE2013" s="406" t="str">
        <f>+IF(V2013=0,"CERO","NO")</f>
        <v>CERO</v>
      </c>
    </row>
    <row r="2014" spans="3:31" s="260" customFormat="1" x14ac:dyDescent="0.25">
      <c r="C2014" s="84"/>
      <c r="D2014" s="85"/>
      <c r="E2014" s="86"/>
      <c r="F2014" s="86"/>
      <c r="G2014" s="86"/>
      <c r="H2014" s="86"/>
      <c r="I2014" s="86"/>
      <c r="J2014" s="87"/>
      <c r="K2014" s="88"/>
      <c r="M2014" s="102">
        <v>0</v>
      </c>
      <c r="N2014" s="530" t="str">
        <f>IFERROR(VLOOKUP(M2014,INSUMOS!$C$8:$K$928,2,0),"-----")</f>
        <v>-----</v>
      </c>
      <c r="O2014" s="531"/>
      <c r="P2014" s="532"/>
      <c r="Q2014" s="78" t="str">
        <f>IFERROR(VLOOKUP(M2014,INSUMOS!$C$8:$K$928,5,0),"-----")</f>
        <v>-----</v>
      </c>
      <c r="R2014" s="80"/>
      <c r="S2014" s="80" t="str">
        <f>IFERROR(VLOOKUP(M2014,INSUMOS!$C$8:$K$928,6,0),"0")</f>
        <v>0</v>
      </c>
      <c r="T2014" s="529" t="str">
        <f>IFERROR(VLOOKUP(M2014,INSUMOS!$C$8:$K$928,7,0),"0")</f>
        <v>0</v>
      </c>
      <c r="U2014" s="529"/>
      <c r="V2014" s="82">
        <f>+T2014*S2014*R2014</f>
        <v>0</v>
      </c>
      <c r="Y2014" s="393">
        <f>+IFERROR((R2014*S2014)*Y1990,0)</f>
        <v>0</v>
      </c>
      <c r="Z2014" s="391">
        <f>Y1990*V2014</f>
        <v>0</v>
      </c>
      <c r="AA2014" s="86"/>
      <c r="AB2014" s="92">
        <f>+Y2014*T2014</f>
        <v>0</v>
      </c>
      <c r="AC2014" s="93">
        <f>+AB2014-Z2014</f>
        <v>0</v>
      </c>
      <c r="AD2014" s="94"/>
      <c r="AE2014" s="406" t="str">
        <f>+IF(V2014=0,"CERO","NO")</f>
        <v>CERO</v>
      </c>
    </row>
    <row r="2015" spans="3:31" s="260" customFormat="1" ht="15.75" thickBot="1" x14ac:dyDescent="0.3">
      <c r="C2015" s="84"/>
      <c r="D2015" s="89"/>
      <c r="E2015" s="90"/>
      <c r="F2015" s="90"/>
      <c r="G2015" s="90"/>
      <c r="H2015" s="90"/>
      <c r="I2015" s="90"/>
      <c r="J2015" s="91"/>
      <c r="K2015" s="88"/>
      <c r="M2015" s="102">
        <v>0</v>
      </c>
      <c r="N2015" s="533"/>
      <c r="O2015" s="533"/>
      <c r="P2015" s="533"/>
      <c r="Q2015" s="79"/>
      <c r="R2015" s="78"/>
      <c r="S2015" s="81"/>
      <c r="T2015" s="529"/>
      <c r="U2015" s="529"/>
      <c r="V2015" s="82"/>
      <c r="Y2015" s="393">
        <f>+IFERROR((R2015*S2015)*Y1990,0)</f>
        <v>0</v>
      </c>
      <c r="Z2015" s="391">
        <f>Y1990*V2015</f>
        <v>0</v>
      </c>
      <c r="AA2015" s="86"/>
      <c r="AB2015" s="92">
        <f>+Y2015*T2015</f>
        <v>0</v>
      </c>
      <c r="AC2015" s="93">
        <f>+AB2015-Z2015</f>
        <v>0</v>
      </c>
      <c r="AD2015" s="94"/>
      <c r="AE2015" s="406" t="str">
        <f>+IF(V2015=0,"CERO","NO")</f>
        <v>CERO</v>
      </c>
    </row>
    <row r="2016" spans="3:31" s="260" customFormat="1" ht="15.75" thickBot="1" x14ac:dyDescent="0.3">
      <c r="C2016" s="84"/>
      <c r="D2016" s="375" t="s">
        <v>128</v>
      </c>
      <c r="E2016" s="376" t="s">
        <v>129</v>
      </c>
      <c r="F2016" s="376" t="s">
        <v>130</v>
      </c>
      <c r="G2016" s="376" t="s">
        <v>131</v>
      </c>
      <c r="H2016" s="376" t="s">
        <v>132</v>
      </c>
      <c r="I2016" s="376" t="s">
        <v>133</v>
      </c>
      <c r="J2016" s="377" t="s">
        <v>134</v>
      </c>
      <c r="K2016" s="88"/>
      <c r="M2016" s="534"/>
      <c r="N2016" s="536" t="s">
        <v>113</v>
      </c>
      <c r="O2016" s="536"/>
      <c r="P2016" s="536"/>
      <c r="Q2016" s="536"/>
      <c r="R2016" s="536"/>
      <c r="S2016" s="536"/>
      <c r="T2016" s="536"/>
      <c r="U2016" s="536"/>
      <c r="V2016" s="411">
        <f>+SUM(V2012:V2015)</f>
        <v>347.2217399698057</v>
      </c>
      <c r="Y2016" s="398" t="s">
        <v>135</v>
      </c>
      <c r="Z2016" s="397">
        <f>+SUM(Z2012:Z2015)</f>
        <v>3472.2173996980569</v>
      </c>
      <c r="AA2016" s="86"/>
      <c r="AB2016" s="384"/>
      <c r="AC2016" s="385"/>
      <c r="AD2016" s="94"/>
      <c r="AE2016" s="399"/>
    </row>
    <row r="2017" spans="3:31" s="260" customFormat="1" ht="15.75" thickBot="1" x14ac:dyDescent="0.3">
      <c r="C2017" s="84"/>
      <c r="D2017" s="355"/>
      <c r="E2017" s="367"/>
      <c r="F2017" s="412">
        <f>+E2009</f>
        <v>2.31</v>
      </c>
      <c r="G2017" s="367"/>
      <c r="H2017" s="367"/>
      <c r="I2017" s="367"/>
      <c r="J2017" s="368"/>
      <c r="K2017" s="88"/>
      <c r="M2017" s="535"/>
      <c r="N2017" s="537" t="s">
        <v>114</v>
      </c>
      <c r="O2017" s="537"/>
      <c r="P2017" s="537"/>
      <c r="Q2017" s="537"/>
      <c r="R2017" s="537"/>
      <c r="S2017" s="537"/>
      <c r="T2017" s="537"/>
      <c r="U2017" s="537"/>
      <c r="V2017" s="413">
        <f>+ROUND(V2016,$AA$5)</f>
        <v>347.22</v>
      </c>
      <c r="Y2017" s="401" t="s">
        <v>136</v>
      </c>
      <c r="Z2017" s="402">
        <f>+ROUND(Z2016,$AA$5)</f>
        <v>3472.22</v>
      </c>
      <c r="AA2017" s="86"/>
      <c r="AB2017" s="403">
        <f>+V2017*Y1990</f>
        <v>3472.2000000000003</v>
      </c>
      <c r="AC2017" s="414"/>
      <c r="AD2017" s="94"/>
      <c r="AE2017" s="405"/>
    </row>
    <row r="2018" spans="3:31" s="260" customFormat="1" ht="15.75" thickBot="1" x14ac:dyDescent="0.3">
      <c r="C2018" s="84"/>
      <c r="D2018" s="415"/>
      <c r="E2018" s="416"/>
      <c r="F2018" s="416"/>
      <c r="G2018" s="416"/>
      <c r="H2018" s="416"/>
      <c r="I2018" s="416"/>
      <c r="J2018" s="417"/>
      <c r="K2018" s="88"/>
      <c r="M2018" s="538" t="s">
        <v>115</v>
      </c>
      <c r="N2018" s="539"/>
      <c r="O2018" s="539"/>
      <c r="P2018" s="539"/>
      <c r="Q2018" s="539"/>
      <c r="R2018" s="539"/>
      <c r="S2018" s="539"/>
      <c r="T2018" s="539"/>
      <c r="U2018" s="539"/>
      <c r="V2018" s="540"/>
      <c r="Y2018" s="378"/>
      <c r="Z2018" s="121"/>
      <c r="AA2018" s="86"/>
      <c r="AB2018" s="409"/>
      <c r="AC2018" s="121"/>
      <c r="AD2018" s="94"/>
      <c r="AE2018" s="126"/>
    </row>
    <row r="2019" spans="3:31" s="260" customFormat="1" ht="15.75" thickBot="1" x14ac:dyDescent="0.3">
      <c r="C2019" s="84"/>
      <c r="D2019" s="375" t="s">
        <v>128</v>
      </c>
      <c r="E2019" s="376" t="s">
        <v>129</v>
      </c>
      <c r="F2019" s="376" t="s">
        <v>130</v>
      </c>
      <c r="G2019" s="376" t="s">
        <v>131</v>
      </c>
      <c r="H2019" s="376" t="s">
        <v>132</v>
      </c>
      <c r="I2019" s="376" t="s">
        <v>133</v>
      </c>
      <c r="J2019" s="377" t="s">
        <v>134</v>
      </c>
      <c r="K2019" s="88"/>
      <c r="M2019" s="99" t="s">
        <v>94</v>
      </c>
      <c r="N2019" s="98" t="s">
        <v>95</v>
      </c>
      <c r="O2019" s="95" t="s">
        <v>96</v>
      </c>
      <c r="P2019" s="359" t="s">
        <v>104</v>
      </c>
      <c r="Q2019" s="95" t="s">
        <v>116</v>
      </c>
      <c r="R2019" s="418" t="s">
        <v>117</v>
      </c>
      <c r="S2019" s="95" t="s">
        <v>347</v>
      </c>
      <c r="T2019" s="419" t="s">
        <v>118</v>
      </c>
      <c r="U2019" s="189" t="s">
        <v>119</v>
      </c>
      <c r="V2019" s="100" t="s">
        <v>98</v>
      </c>
      <c r="Y2019" s="383" t="s">
        <v>104</v>
      </c>
      <c r="Z2019" s="119" t="s">
        <v>9</v>
      </c>
      <c r="AA2019" s="86"/>
      <c r="AB2019" s="384"/>
      <c r="AC2019" s="385"/>
      <c r="AD2019" s="94"/>
      <c r="AE2019" s="410"/>
    </row>
    <row r="2020" spans="3:31" s="260" customFormat="1" ht="25.5" x14ac:dyDescent="0.25">
      <c r="C2020" s="84"/>
      <c r="D2020" s="354"/>
      <c r="E2020" s="96"/>
      <c r="F2020" s="96"/>
      <c r="G2020" s="96"/>
      <c r="H2020" s="96"/>
      <c r="I2020" s="96"/>
      <c r="J2020" s="420">
        <f>+F2017</f>
        <v>2.31</v>
      </c>
      <c r="K2020" s="88"/>
      <c r="M2020" s="102">
        <v>207</v>
      </c>
      <c r="N2020" s="347" t="str">
        <f>IFERROR(VLOOKUP(M2020,INSUMOS!$C$8:$K$928,2,0),"-----")</f>
        <v>Oficial Hidrosanitario</v>
      </c>
      <c r="O2020" s="78" t="str">
        <f>IFERROR(VLOOKUP(M2020,INSUMOS!$C$8:$K$928,3,0),"-----")</f>
        <v>JORNAL+PS</v>
      </c>
      <c r="P2020" s="80">
        <v>1</v>
      </c>
      <c r="Q2020" s="79">
        <v>30</v>
      </c>
      <c r="R2020" s="190">
        <f>IFERROR(VLOOKUP(M2020,INSUMOS!$C$8:$K$928,4,0),"-----")</f>
        <v>92983</v>
      </c>
      <c r="S2020" s="190">
        <f>IFERROR(VLOOKUP(M2020,INSUMOS!$C$8:$K$928,6,0),"-----")</f>
        <v>74386</v>
      </c>
      <c r="T2020" s="190">
        <f>IFERROR(VLOOKUP(M2020,INSUMOS!$C$8:$K$928,5,0),"-----")</f>
        <v>0</v>
      </c>
      <c r="U2020" s="388">
        <f>SUM(R2020:T2020)</f>
        <v>167369</v>
      </c>
      <c r="V2020" s="82">
        <f>+IFERROR((P2020/Q2020)*U2020,0)</f>
        <v>5578.9666666666662</v>
      </c>
      <c r="Y2020" s="393">
        <f>+IFERROR((Y1990/Q2020*P2020),0)</f>
        <v>0.33333333333333331</v>
      </c>
      <c r="Z2020" s="391">
        <f>Y1990*V2020</f>
        <v>55789.666666666664</v>
      </c>
      <c r="AA2020" s="86"/>
      <c r="AB2020" s="92">
        <f>+(U2020)*Y2020</f>
        <v>55789.666666666664</v>
      </c>
      <c r="AC2020" s="93">
        <f>+AB2020-Z2020</f>
        <v>0</v>
      </c>
      <c r="AD2020" s="421"/>
      <c r="AE2020" s="410" t="str">
        <f>+IF(V2020=0,"CERO","NO")</f>
        <v>NO</v>
      </c>
    </row>
    <row r="2021" spans="3:31" s="260" customFormat="1" ht="15.75" thickBot="1" x14ac:dyDescent="0.3">
      <c r="C2021" s="84"/>
      <c r="D2021" s="355"/>
      <c r="E2021" s="367"/>
      <c r="F2021" s="367"/>
      <c r="G2021" s="367"/>
      <c r="H2021" s="367"/>
      <c r="I2021" s="367"/>
      <c r="J2021" s="422">
        <f>+J2020</f>
        <v>2.31</v>
      </c>
      <c r="K2021" s="88"/>
      <c r="M2021" s="102"/>
      <c r="N2021" s="347" t="str">
        <f>IFERROR(VLOOKUP(M2021,INSUMOS!$C$8:$K$928,2,0),"-----")</f>
        <v>-----</v>
      </c>
      <c r="O2021" s="78" t="str">
        <f>IFERROR(VLOOKUP(M2021,INSUMOS!$C$8:$K$928,3,0),"-----")</f>
        <v>-----</v>
      </c>
      <c r="P2021" s="80"/>
      <c r="Q2021" s="79"/>
      <c r="R2021" s="190" t="str">
        <f>IFERROR(VLOOKUP(M2021,INSUMOS!$C$8:$K$928,4,0),"-----")</f>
        <v>-----</v>
      </c>
      <c r="S2021" s="190" t="str">
        <f>IFERROR(VLOOKUP(M2021,INSUMOS!$C$8:$K$928,6,0),"-----")</f>
        <v>-----</v>
      </c>
      <c r="T2021" s="190" t="str">
        <f>IFERROR(VLOOKUP(M2021,INSUMOS!$C$8:$K$928,5,0),"-----")</f>
        <v>-----</v>
      </c>
      <c r="U2021" s="388">
        <f>SUM(R2021:T2021)</f>
        <v>0</v>
      </c>
      <c r="V2021" s="82">
        <f>+IFERROR((P2021/Q2021)*U2021,0)</f>
        <v>0</v>
      </c>
      <c r="Y2021" s="393">
        <f>+IFERROR((Y1990/Q2021*P2021),0)</f>
        <v>0</v>
      </c>
      <c r="Z2021" s="391">
        <f>Y1990*V2021</f>
        <v>0</v>
      </c>
      <c r="AA2021" s="86"/>
      <c r="AB2021" s="92">
        <f>+U2021*Y2021</f>
        <v>0</v>
      </c>
      <c r="AC2021" s="93">
        <f>+AB2021-Z2021</f>
        <v>0</v>
      </c>
      <c r="AD2021" s="94"/>
      <c r="AE2021" s="410" t="str">
        <f>+IF(V2021=0,"CERO","NO")</f>
        <v>CERO</v>
      </c>
    </row>
    <row r="2022" spans="3:31" s="260" customFormat="1" ht="15.75" thickBot="1" x14ac:dyDescent="0.3">
      <c r="C2022" s="84"/>
      <c r="D2022" s="380"/>
      <c r="E2022" s="381"/>
      <c r="F2022" s="381"/>
      <c r="G2022" s="381"/>
      <c r="H2022" s="381"/>
      <c r="I2022" s="381"/>
      <c r="J2022" s="382"/>
      <c r="K2022" s="88"/>
      <c r="M2022" s="102">
        <v>0</v>
      </c>
      <c r="N2022" s="347"/>
      <c r="O2022" s="79"/>
      <c r="P2022" s="423"/>
      <c r="Q2022" s="81"/>
      <c r="R2022" s="111"/>
      <c r="S2022" s="357"/>
      <c r="T2022" s="111"/>
      <c r="U2022" s="388"/>
      <c r="V2022" s="426"/>
      <c r="Y2022" s="393">
        <f>+IFERROR((Y1990/Q2022*P2022),0)</f>
        <v>0</v>
      </c>
      <c r="Z2022" s="391">
        <f>Y1990*V2022</f>
        <v>0</v>
      </c>
      <c r="AA2022" s="86"/>
      <c r="AB2022" s="92">
        <f>+(U2022)*Y2022*P2022</f>
        <v>0</v>
      </c>
      <c r="AC2022" s="93">
        <f>+AB2022-Z2022</f>
        <v>0</v>
      </c>
      <c r="AD2022" s="94"/>
      <c r="AE2022" s="410" t="str">
        <f>+IF(V2022=0,"CERO","NO")</f>
        <v>CERO</v>
      </c>
    </row>
    <row r="2023" spans="3:31" s="260" customFormat="1" ht="15.75" thickBot="1" x14ac:dyDescent="0.3">
      <c r="C2023" s="84"/>
      <c r="D2023" s="375" t="s">
        <v>128</v>
      </c>
      <c r="E2023" s="376" t="s">
        <v>129</v>
      </c>
      <c r="F2023" s="376" t="s">
        <v>130</v>
      </c>
      <c r="G2023" s="376" t="s">
        <v>131</v>
      </c>
      <c r="H2023" s="376" t="s">
        <v>132</v>
      </c>
      <c r="I2023" s="376" t="s">
        <v>133</v>
      </c>
      <c r="J2023" s="377" t="s">
        <v>134</v>
      </c>
      <c r="K2023" s="88"/>
      <c r="M2023" s="534"/>
      <c r="N2023" s="536" t="s">
        <v>120</v>
      </c>
      <c r="O2023" s="536"/>
      <c r="P2023" s="536"/>
      <c r="Q2023" s="536"/>
      <c r="R2023" s="536"/>
      <c r="S2023" s="536"/>
      <c r="T2023" s="536"/>
      <c r="U2023" s="536"/>
      <c r="V2023" s="82">
        <f>+SUM(V2020:V2022)</f>
        <v>5578.9666666666662</v>
      </c>
      <c r="Y2023" s="398" t="s">
        <v>135</v>
      </c>
      <c r="Z2023" s="397">
        <f>+SUM(Z2020:Z2022)</f>
        <v>55789.666666666664</v>
      </c>
      <c r="AA2023" s="86"/>
      <c r="AB2023" s="384"/>
      <c r="AC2023" s="385"/>
      <c r="AD2023" s="94"/>
      <c r="AE2023" s="399"/>
    </row>
    <row r="2024" spans="3:31" s="260" customFormat="1" ht="15.75" thickBot="1" x14ac:dyDescent="0.3">
      <c r="C2024" s="84"/>
      <c r="D2024" s="354"/>
      <c r="E2024" s="96"/>
      <c r="F2024" s="96"/>
      <c r="G2024" s="107">
        <f>+F2017</f>
        <v>2.31</v>
      </c>
      <c r="H2024" s="96"/>
      <c r="I2024" s="96"/>
      <c r="J2024" s="427"/>
      <c r="K2024" s="88"/>
      <c r="M2024" s="535"/>
      <c r="N2024" s="537" t="s">
        <v>121</v>
      </c>
      <c r="O2024" s="537"/>
      <c r="P2024" s="537"/>
      <c r="Q2024" s="537"/>
      <c r="R2024" s="537"/>
      <c r="S2024" s="537"/>
      <c r="T2024" s="537"/>
      <c r="U2024" s="537"/>
      <c r="V2024" s="413">
        <f>+ROUND(V2023,$AA$5)</f>
        <v>5578.97</v>
      </c>
      <c r="Y2024" s="401" t="s">
        <v>136</v>
      </c>
      <c r="Z2024" s="402">
        <f>+ROUND(Z2023,$AA$5)</f>
        <v>55789.67</v>
      </c>
      <c r="AA2024" s="86"/>
      <c r="AB2024" s="403">
        <f>+V2024*Y1990</f>
        <v>55789.700000000004</v>
      </c>
      <c r="AC2024" s="404">
        <f>+AB2024-Z2024</f>
        <v>3.0000000006111804E-2</v>
      </c>
      <c r="AD2024" s="94"/>
      <c r="AE2024" s="405"/>
    </row>
    <row r="2025" spans="3:31" s="260" customFormat="1" ht="15.75" thickBot="1" x14ac:dyDescent="0.3">
      <c r="C2025" s="84"/>
      <c r="D2025" s="375" t="s">
        <v>128</v>
      </c>
      <c r="E2025" s="376" t="s">
        <v>129</v>
      </c>
      <c r="F2025" s="376" t="s">
        <v>130</v>
      </c>
      <c r="G2025" s="376" t="s">
        <v>131</v>
      </c>
      <c r="H2025" s="376" t="s">
        <v>132</v>
      </c>
      <c r="I2025" s="376" t="s">
        <v>133</v>
      </c>
      <c r="J2025" s="377" t="s">
        <v>134</v>
      </c>
      <c r="K2025" s="88"/>
      <c r="M2025" s="541"/>
      <c r="N2025" s="542"/>
      <c r="O2025" s="542"/>
      <c r="P2025" s="542"/>
      <c r="Q2025" s="542"/>
      <c r="R2025" s="542"/>
      <c r="S2025" s="542"/>
      <c r="T2025" s="542"/>
      <c r="U2025" s="542"/>
      <c r="V2025" s="543"/>
      <c r="Y2025" s="378"/>
      <c r="Z2025" s="121"/>
      <c r="AA2025" s="86"/>
      <c r="AB2025" s="409"/>
      <c r="AC2025" s="121"/>
      <c r="AD2025" s="94"/>
      <c r="AE2025" s="428"/>
    </row>
    <row r="2026" spans="3:31" s="260" customFormat="1" ht="15.75" thickBot="1" x14ac:dyDescent="0.3">
      <c r="C2026" s="84"/>
      <c r="D2026" s="355"/>
      <c r="E2026" s="367"/>
      <c r="F2026" s="367"/>
      <c r="G2026" s="367"/>
      <c r="H2026" s="412">
        <f>G2024</f>
        <v>2.31</v>
      </c>
      <c r="I2026" s="412"/>
      <c r="J2026" s="422"/>
      <c r="K2026" s="88"/>
      <c r="M2026" s="544" t="s">
        <v>122</v>
      </c>
      <c r="N2026" s="537"/>
      <c r="O2026" s="537"/>
      <c r="P2026" s="537"/>
      <c r="Q2026" s="537"/>
      <c r="R2026" s="537"/>
      <c r="S2026" s="537"/>
      <c r="T2026" s="537"/>
      <c r="U2026" s="545">
        <f>+V2024+V2017+V2009+V2000</f>
        <v>27270.460000000003</v>
      </c>
      <c r="V2026" s="546"/>
      <c r="Y2026" s="429"/>
      <c r="Z2026" s="430">
        <f>+Z2024+Z2017+Z2009+Z2000</f>
        <v>272704.53999999998</v>
      </c>
      <c r="AA2026" s="86"/>
      <c r="AB2026" s="431">
        <f>+AB2024+AB2017+AB2009+AB2000</f>
        <v>272704.60000000003</v>
      </c>
      <c r="AC2026" s="404">
        <f>+AB2026-Z2026</f>
        <v>6.0000000055879354E-2</v>
      </c>
      <c r="AD2026" s="94"/>
      <c r="AE2026" s="432"/>
    </row>
    <row r="2027" spans="3:31" s="260" customFormat="1" ht="15.75" thickBot="1" x14ac:dyDescent="0.3"/>
    <row r="2028" spans="3:31" s="260" customFormat="1" x14ac:dyDescent="0.25">
      <c r="M2028" s="547" t="s">
        <v>348</v>
      </c>
      <c r="N2028" s="548"/>
      <c r="O2028" s="548"/>
      <c r="P2028" s="548"/>
      <c r="Q2028" s="548"/>
      <c r="R2028" s="548"/>
      <c r="S2028" s="548"/>
      <c r="T2028" s="548"/>
      <c r="U2028" s="548"/>
      <c r="V2028" s="549"/>
      <c r="Y2028" s="378"/>
      <c r="Z2028" s="121"/>
      <c r="AA2028" s="86"/>
      <c r="AB2028" s="94"/>
      <c r="AC2028" s="94"/>
      <c r="AD2028" s="94"/>
      <c r="AE2028" s="126" t="s">
        <v>133</v>
      </c>
    </row>
    <row r="2029" spans="3:31" s="260" customFormat="1" x14ac:dyDescent="0.25">
      <c r="M2029" s="515" t="s">
        <v>138</v>
      </c>
      <c r="N2029" s="516"/>
      <c r="O2029" s="516"/>
      <c r="P2029" s="516"/>
      <c r="Q2029" s="516"/>
      <c r="R2029" s="516"/>
      <c r="S2029" s="516"/>
      <c r="T2029" s="437">
        <v>0</v>
      </c>
      <c r="U2029" s="517">
        <f>+ROUND(U2026*T2029,$AA$5)</f>
        <v>0</v>
      </c>
      <c r="V2029" s="518"/>
      <c r="Y2029" s="390"/>
      <c r="Z2029" s="438">
        <f>+Z2026*T2029</f>
        <v>0</v>
      </c>
      <c r="AA2029" s="86"/>
      <c r="AB2029" s="94"/>
      <c r="AC2029" s="94"/>
      <c r="AD2029" s="94"/>
      <c r="AE2029" s="386" t="s">
        <v>133</v>
      </c>
    </row>
    <row r="2030" spans="3:31" s="260" customFormat="1" x14ac:dyDescent="0.25">
      <c r="M2030" s="515" t="s">
        <v>19</v>
      </c>
      <c r="N2030" s="516"/>
      <c r="O2030" s="516"/>
      <c r="P2030" s="516"/>
      <c r="Q2030" s="516"/>
      <c r="R2030" s="516"/>
      <c r="S2030" s="516"/>
      <c r="T2030" s="437">
        <v>0.05</v>
      </c>
      <c r="U2030" s="517">
        <f>+ROUND(U2026*T2030,$AA$5)</f>
        <v>1363.52</v>
      </c>
      <c r="V2030" s="518"/>
      <c r="Y2030" s="390"/>
      <c r="Z2030" s="438">
        <f>+Z2026*T2030</f>
        <v>13635.226999999999</v>
      </c>
      <c r="AA2030" s="86"/>
      <c r="AB2030" s="94"/>
      <c r="AC2030" s="94"/>
      <c r="AD2030" s="94"/>
      <c r="AE2030" s="386" t="s">
        <v>133</v>
      </c>
    </row>
    <row r="2031" spans="3:31" s="260" customFormat="1" x14ac:dyDescent="0.25">
      <c r="M2031" s="515" t="s">
        <v>20</v>
      </c>
      <c r="N2031" s="516"/>
      <c r="O2031" s="516"/>
      <c r="P2031" s="516"/>
      <c r="Q2031" s="516"/>
      <c r="R2031" s="516"/>
      <c r="S2031" s="516"/>
      <c r="T2031" s="437">
        <v>0</v>
      </c>
      <c r="U2031" s="517">
        <f>+ROUND(U2026*T2031,$AA$5)</f>
        <v>0</v>
      </c>
      <c r="V2031" s="518"/>
      <c r="Y2031" s="390"/>
      <c r="Z2031" s="438">
        <f>+Z2026*T2031</f>
        <v>0</v>
      </c>
      <c r="AA2031" s="86"/>
      <c r="AB2031" s="94"/>
      <c r="AC2031" s="94"/>
      <c r="AD2031" s="94"/>
      <c r="AE2031" s="386" t="s">
        <v>133</v>
      </c>
    </row>
    <row r="2032" spans="3:31" s="260" customFormat="1" x14ac:dyDescent="0.25">
      <c r="M2032" s="515" t="s">
        <v>21</v>
      </c>
      <c r="N2032" s="516"/>
      <c r="O2032" s="516"/>
      <c r="P2032" s="516"/>
      <c r="Q2032" s="516"/>
      <c r="R2032" s="516"/>
      <c r="S2032" s="516"/>
      <c r="T2032" s="437">
        <f>$AA$9</f>
        <v>0</v>
      </c>
      <c r="U2032" s="517">
        <f>+ROUND(U2026*T2032,$AA$5)</f>
        <v>0</v>
      </c>
      <c r="V2032" s="518"/>
      <c r="Y2032" s="390"/>
      <c r="Z2032" s="438">
        <f>+Z2031*T2032</f>
        <v>0</v>
      </c>
      <c r="AA2032" s="86"/>
      <c r="AB2032" s="94"/>
      <c r="AC2032" s="94"/>
      <c r="AD2032" s="94"/>
      <c r="AE2032" s="386" t="s">
        <v>133</v>
      </c>
    </row>
    <row r="2033" spans="3:31" s="260" customFormat="1" ht="15.75" thickBot="1" x14ac:dyDescent="0.3">
      <c r="M2033" s="519" t="s">
        <v>349</v>
      </c>
      <c r="N2033" s="520"/>
      <c r="O2033" s="520"/>
      <c r="P2033" s="520"/>
      <c r="Q2033" s="520"/>
      <c r="R2033" s="520"/>
      <c r="S2033" s="520"/>
      <c r="T2033" s="520"/>
      <c r="U2033" s="521">
        <f>+SUM(U2029:V2032)</f>
        <v>1363.52</v>
      </c>
      <c r="V2033" s="522"/>
      <c r="Y2033" s="390"/>
      <c r="Z2033" s="439">
        <f>+SUM(Z2029:Z2032)</f>
        <v>13635.226999999999</v>
      </c>
      <c r="AA2033" s="86"/>
      <c r="AB2033" s="94"/>
      <c r="AC2033" s="94"/>
      <c r="AD2033" s="94"/>
      <c r="AE2033" s="386" t="s">
        <v>133</v>
      </c>
    </row>
    <row r="2034" spans="3:31" s="260" customFormat="1" ht="15.75" thickBot="1" x14ac:dyDescent="0.3">
      <c r="D2034" s="375" t="s">
        <v>128</v>
      </c>
      <c r="E2034" s="376" t="s">
        <v>129</v>
      </c>
      <c r="F2034" s="376" t="s">
        <v>130</v>
      </c>
      <c r="G2034" s="376" t="s">
        <v>131</v>
      </c>
      <c r="H2034" s="376" t="s">
        <v>132</v>
      </c>
      <c r="I2034" s="376" t="s">
        <v>133</v>
      </c>
      <c r="J2034" s="377" t="s">
        <v>134</v>
      </c>
      <c r="M2034" s="86"/>
      <c r="N2034" s="94"/>
      <c r="O2034" s="94"/>
      <c r="P2034" s="94"/>
      <c r="Q2034" s="86"/>
      <c r="R2034" s="86"/>
      <c r="S2034" s="86"/>
      <c r="T2034" s="440"/>
      <c r="U2034" s="523"/>
      <c r="V2034" s="523"/>
      <c r="Y2034" s="390"/>
      <c r="Z2034" s="385"/>
      <c r="AA2034" s="86"/>
      <c r="AB2034" s="94"/>
      <c r="AC2034" s="94"/>
      <c r="AD2034" s="94"/>
      <c r="AE2034" s="386" t="s">
        <v>133</v>
      </c>
    </row>
    <row r="2035" spans="3:31" s="260" customFormat="1" ht="15.75" thickBot="1" x14ac:dyDescent="0.3">
      <c r="D2035" s="355"/>
      <c r="E2035" s="367"/>
      <c r="F2035" s="367"/>
      <c r="G2035" s="367"/>
      <c r="H2035" s="412"/>
      <c r="I2035" s="412">
        <f>H2026</f>
        <v>2.31</v>
      </c>
      <c r="J2035" s="422"/>
      <c r="M2035" s="524" t="s">
        <v>11</v>
      </c>
      <c r="N2035" s="525"/>
      <c r="O2035" s="525"/>
      <c r="P2035" s="525"/>
      <c r="Q2035" s="525"/>
      <c r="R2035" s="525"/>
      <c r="S2035" s="525"/>
      <c r="T2035" s="526"/>
      <c r="U2035" s="527">
        <f>+U2033+U2026</f>
        <v>28633.980000000003</v>
      </c>
      <c r="V2035" s="528"/>
      <c r="Y2035" s="429"/>
      <c r="Z2035" s="441">
        <f>+Z2033+Z2026</f>
        <v>286339.76699999999</v>
      </c>
      <c r="AA2035" s="86"/>
      <c r="AB2035" s="94"/>
      <c r="AC2035" s="94"/>
      <c r="AD2035" s="94"/>
      <c r="AE2035" s="405" t="s">
        <v>133</v>
      </c>
    </row>
    <row r="2036" spans="3:31" s="260" customFormat="1" x14ac:dyDescent="0.25"/>
    <row r="2037" spans="3:31" s="260" customFormat="1" ht="15.75" thickBot="1" x14ac:dyDescent="0.3"/>
    <row r="2038" spans="3:31" s="260" customFormat="1" ht="15.75" thickBot="1" x14ac:dyDescent="0.3">
      <c r="M2038" s="363" t="s">
        <v>88</v>
      </c>
      <c r="N2038" s="436" t="str">
        <f>+N1989</f>
        <v>CAP.2</v>
      </c>
      <c r="O2038" s="550" t="str">
        <f>IFERROR(VLOOKUP(N2038,PPTO!C:H,2,0),"----")</f>
        <v>RED HIDRAULICA</v>
      </c>
      <c r="P2038" s="551"/>
      <c r="Q2038" s="551"/>
      <c r="R2038" s="551"/>
      <c r="S2038" s="551"/>
      <c r="T2038" s="551"/>
      <c r="U2038" s="552"/>
      <c r="V2038" s="74" t="s">
        <v>91</v>
      </c>
      <c r="Y2038" s="365" t="s">
        <v>104</v>
      </c>
      <c r="Z2038" s="94"/>
      <c r="AA2038" s="188"/>
      <c r="AB2038" s="553"/>
      <c r="AC2038" s="553"/>
      <c r="AD2038" s="553"/>
      <c r="AE2038" s="94"/>
    </row>
    <row r="2039" spans="3:31" s="260" customFormat="1" ht="15.75" thickBot="1" x14ac:dyDescent="0.3">
      <c r="C2039" s="369">
        <f>+N2039</f>
        <v>2.3199999999999998</v>
      </c>
      <c r="D2039" s="86"/>
      <c r="E2039" s="86"/>
      <c r="F2039" s="86"/>
      <c r="G2039" s="86"/>
      <c r="H2039" s="86"/>
      <c r="I2039" s="86"/>
      <c r="J2039" s="86"/>
      <c r="K2039" s="370"/>
      <c r="M2039" s="75" t="s">
        <v>92</v>
      </c>
      <c r="N2039" s="371">
        <f>+ROUNDUP(N1990+0.01,2)</f>
        <v>2.3199999999999998</v>
      </c>
      <c r="O2039" s="554" t="str">
        <f>IFERROR(VLOOKUP(N2039,PPTO!C:H,2,0),"----")</f>
        <v>Reduccion PVC Ø2" A Ø1_1/2"</v>
      </c>
      <c r="P2039" s="555"/>
      <c r="Q2039" s="555"/>
      <c r="R2039" s="555"/>
      <c r="S2039" s="555"/>
      <c r="T2039" s="555"/>
      <c r="U2039" s="556"/>
      <c r="V2039" s="76" t="str">
        <f>IFERROR(VLOOKUP(N2039,PPTO!C:H,3,0),"----")</f>
        <v>UND</v>
      </c>
      <c r="Y2039" s="373">
        <f>SUMIFS(PPTO!F:F,PPTO!C:C,APUS!N2039)</f>
        <v>3</v>
      </c>
      <c r="Z2039" s="94"/>
      <c r="AA2039" s="86"/>
      <c r="AB2039" s="94"/>
      <c r="AC2039" s="94"/>
      <c r="AD2039" s="94"/>
      <c r="AE2039" s="94"/>
    </row>
    <row r="2040" spans="3:31" s="260" customFormat="1" ht="15.75" thickBot="1" x14ac:dyDescent="0.3">
      <c r="C2040" s="84"/>
      <c r="D2040" s="86"/>
      <c r="E2040" s="86"/>
      <c r="F2040" s="86"/>
      <c r="G2040" s="86"/>
      <c r="H2040" s="86"/>
      <c r="I2040" s="86"/>
      <c r="J2040" s="86"/>
      <c r="K2040" s="88"/>
      <c r="M2040" s="557"/>
      <c r="N2040" s="557"/>
      <c r="O2040" s="557"/>
      <c r="P2040" s="557"/>
      <c r="Q2040" s="557"/>
      <c r="R2040" s="557"/>
      <c r="S2040" s="557"/>
      <c r="T2040" s="557"/>
      <c r="U2040" s="557"/>
      <c r="V2040" s="557"/>
      <c r="Y2040" s="374"/>
      <c r="Z2040" s="94"/>
      <c r="AA2040" s="86"/>
      <c r="AB2040" s="94"/>
      <c r="AC2040" s="94"/>
      <c r="AD2040" s="94"/>
      <c r="AE2040" s="94"/>
    </row>
    <row r="2041" spans="3:31" s="260" customFormat="1" ht="15.75" thickBot="1" x14ac:dyDescent="0.3">
      <c r="C2041" s="84"/>
      <c r="D2041" s="375" t="s">
        <v>128</v>
      </c>
      <c r="E2041" s="376" t="s">
        <v>129</v>
      </c>
      <c r="F2041" s="376" t="s">
        <v>130</v>
      </c>
      <c r="G2041" s="376" t="s">
        <v>131</v>
      </c>
      <c r="H2041" s="376" t="s">
        <v>132</v>
      </c>
      <c r="I2041" s="376" t="s">
        <v>133</v>
      </c>
      <c r="J2041" s="377" t="s">
        <v>134</v>
      </c>
      <c r="K2041" s="88"/>
      <c r="M2041" s="558" t="s">
        <v>93</v>
      </c>
      <c r="N2041" s="559"/>
      <c r="O2041" s="559"/>
      <c r="P2041" s="559"/>
      <c r="Q2041" s="559"/>
      <c r="R2041" s="559"/>
      <c r="S2041" s="559"/>
      <c r="T2041" s="559"/>
      <c r="U2041" s="559"/>
      <c r="V2041" s="560"/>
      <c r="Y2041" s="378"/>
      <c r="Z2041" s="121"/>
      <c r="AA2041" s="86"/>
      <c r="AB2041" s="513"/>
      <c r="AC2041" s="514"/>
      <c r="AD2041" s="94"/>
      <c r="AE2041" s="379"/>
    </row>
    <row r="2042" spans="3:31" s="260" customFormat="1" x14ac:dyDescent="0.25">
      <c r="C2042" s="84"/>
      <c r="D2042" s="380"/>
      <c r="E2042" s="381"/>
      <c r="F2042" s="381"/>
      <c r="G2042" s="381"/>
      <c r="H2042" s="381"/>
      <c r="I2042" s="381"/>
      <c r="J2042" s="382"/>
      <c r="K2042" s="88"/>
      <c r="M2042" s="99" t="s">
        <v>94</v>
      </c>
      <c r="N2042" s="561" t="s">
        <v>95</v>
      </c>
      <c r="O2042" s="561"/>
      <c r="P2042" s="561"/>
      <c r="Q2042" s="561"/>
      <c r="R2042" s="95" t="s">
        <v>96</v>
      </c>
      <c r="S2042" s="95" t="s">
        <v>97</v>
      </c>
      <c r="T2042" s="562" t="s">
        <v>8</v>
      </c>
      <c r="U2042" s="562"/>
      <c r="V2042" s="100" t="s">
        <v>98</v>
      </c>
      <c r="Y2042" s="383" t="s">
        <v>104</v>
      </c>
      <c r="Z2042" s="119" t="s">
        <v>9</v>
      </c>
      <c r="AA2042" s="86"/>
      <c r="AB2042" s="384"/>
      <c r="AC2042" s="385"/>
      <c r="AD2042" s="94"/>
      <c r="AE2042" s="386"/>
    </row>
    <row r="2043" spans="3:31" s="260" customFormat="1" x14ac:dyDescent="0.25">
      <c r="C2043" s="84"/>
      <c r="D2043" s="85"/>
      <c r="E2043" s="86"/>
      <c r="F2043" s="86"/>
      <c r="G2043" s="86"/>
      <c r="H2043" s="86"/>
      <c r="I2043" s="86"/>
      <c r="J2043" s="87"/>
      <c r="K2043" s="88"/>
      <c r="M2043" s="102"/>
      <c r="N2043" s="533" t="s">
        <v>99</v>
      </c>
      <c r="O2043" s="533"/>
      <c r="P2043" s="533"/>
      <c r="Q2043" s="533"/>
      <c r="R2043" s="78" t="s">
        <v>100</v>
      </c>
      <c r="S2043" s="387">
        <f>+$AA$10</f>
        <v>0.05</v>
      </c>
      <c r="T2043" s="563">
        <f>V2073</f>
        <v>5578.97</v>
      </c>
      <c r="U2043" s="563"/>
      <c r="V2043" s="389">
        <f>+IFERROR(T2043*S2043,0)</f>
        <v>278.94850000000002</v>
      </c>
      <c r="Y2043" s="390"/>
      <c r="Z2043" s="391">
        <f>Y2039*V2043</f>
        <v>836.84550000000013</v>
      </c>
      <c r="AA2043" s="86"/>
      <c r="AB2043" s="384"/>
      <c r="AC2043" s="385"/>
      <c r="AD2043" s="94"/>
      <c r="AE2043" s="386" t="str">
        <f>+IF(V2043=0,"CERO","NO")</f>
        <v>NO</v>
      </c>
    </row>
    <row r="2044" spans="3:31" s="260" customFormat="1" x14ac:dyDescent="0.25">
      <c r="C2044" s="84"/>
      <c r="D2044" s="85"/>
      <c r="E2044" s="86"/>
      <c r="F2044" s="86"/>
      <c r="G2044" s="86"/>
      <c r="H2044" s="86"/>
      <c r="I2044" s="86"/>
      <c r="J2044" s="87"/>
      <c r="K2044" s="88"/>
      <c r="M2044" s="106"/>
      <c r="N2044" s="533" t="str">
        <f>IFERROR(VLOOKUP(M2044,INSUMOS!$C$8:$K$928,2,0),"-----")</f>
        <v>-----</v>
      </c>
      <c r="O2044" s="533"/>
      <c r="P2044" s="533"/>
      <c r="Q2044" s="533"/>
      <c r="R2044" s="78" t="str">
        <f>IFERROR(VLOOKUP(M2044,INSUMOS!$C$8:$K$928,6,0),"-----")</f>
        <v>-----</v>
      </c>
      <c r="S2044" s="392"/>
      <c r="T2044" s="529" t="str">
        <f>IFERROR(VLOOKUP(M2044,INSUMOS!$C$8:$K$928,7,0),"0")</f>
        <v>0</v>
      </c>
      <c r="U2044" s="529"/>
      <c r="V2044" s="389">
        <f>+IFERROR(T2044*S2044,0)</f>
        <v>0</v>
      </c>
      <c r="Y2044" s="393">
        <f>+IFERROR(Y2039*S2044,0)</f>
        <v>0</v>
      </c>
      <c r="Z2044" s="391">
        <f>Y2039*V2044</f>
        <v>0</v>
      </c>
      <c r="AA2044" s="394"/>
      <c r="AB2044" s="395">
        <f>+Y2044*T2044</f>
        <v>0</v>
      </c>
      <c r="AC2044" s="93">
        <f>+AB2044-Z2044</f>
        <v>0</v>
      </c>
      <c r="AD2044" s="94"/>
      <c r="AE2044" s="386" t="str">
        <f>+IF(V2044=0,"CERO","NO")</f>
        <v>CERO</v>
      </c>
    </row>
    <row r="2045" spans="3:31" s="260" customFormat="1" x14ac:dyDescent="0.25">
      <c r="C2045" s="84"/>
      <c r="D2045" s="85"/>
      <c r="E2045" s="86"/>
      <c r="F2045" s="86"/>
      <c r="G2045" s="86"/>
      <c r="H2045" s="86"/>
      <c r="I2045" s="86"/>
      <c r="J2045" s="87"/>
      <c r="K2045" s="88"/>
      <c r="M2045" s="102">
        <v>0</v>
      </c>
      <c r="N2045" s="533"/>
      <c r="O2045" s="533"/>
      <c r="P2045" s="533"/>
      <c r="Q2045" s="533"/>
      <c r="R2045" s="78"/>
      <c r="S2045" s="396"/>
      <c r="T2045" s="529"/>
      <c r="U2045" s="529"/>
      <c r="V2045" s="397"/>
      <c r="Y2045" s="393">
        <f>+IFERROR(Y2039*S2045,0)</f>
        <v>0</v>
      </c>
      <c r="Z2045" s="391">
        <f>Y2039*V2045</f>
        <v>0</v>
      </c>
      <c r="AA2045" s="394"/>
      <c r="AB2045" s="395">
        <f>+Y2045*T2045</f>
        <v>0</v>
      </c>
      <c r="AC2045" s="93">
        <f>+AB2045-Z2045</f>
        <v>0</v>
      </c>
      <c r="AD2045" s="94"/>
      <c r="AE2045" s="386" t="str">
        <f>+IF(V2045=0,"CERO","NO")</f>
        <v>CERO</v>
      </c>
    </row>
    <row r="2046" spans="3:31" s="260" customFormat="1" x14ac:dyDescent="0.25">
      <c r="C2046" s="84"/>
      <c r="D2046" s="85"/>
      <c r="E2046" s="86"/>
      <c r="F2046" s="86"/>
      <c r="G2046" s="86"/>
      <c r="H2046" s="86"/>
      <c r="I2046" s="86"/>
      <c r="J2046" s="87"/>
      <c r="K2046" s="88"/>
      <c r="M2046" s="102">
        <v>0</v>
      </c>
      <c r="N2046" s="533"/>
      <c r="O2046" s="533"/>
      <c r="P2046" s="533"/>
      <c r="Q2046" s="533"/>
      <c r="R2046" s="78"/>
      <c r="S2046" s="396"/>
      <c r="T2046" s="529"/>
      <c r="U2046" s="529"/>
      <c r="V2046" s="397"/>
      <c r="Y2046" s="393">
        <f>+IFERROR(Y2039*S2046,0)</f>
        <v>0</v>
      </c>
      <c r="Z2046" s="391">
        <f>Y2039*V2046</f>
        <v>0</v>
      </c>
      <c r="AA2046" s="394"/>
      <c r="AB2046" s="395">
        <f>+Y2046*T2046</f>
        <v>0</v>
      </c>
      <c r="AC2046" s="93">
        <f>+AB2046-Z2046</f>
        <v>0</v>
      </c>
      <c r="AD2046" s="94"/>
      <c r="AE2046" s="386" t="str">
        <f>+IF(V2046=0,"CERO","NO")</f>
        <v>CERO</v>
      </c>
    </row>
    <row r="2047" spans="3:31" s="260" customFormat="1" ht="15.75" thickBot="1" x14ac:dyDescent="0.3">
      <c r="C2047" s="84"/>
      <c r="D2047" s="85"/>
      <c r="E2047" s="86"/>
      <c r="F2047" s="86"/>
      <c r="G2047" s="86"/>
      <c r="H2047" s="86"/>
      <c r="I2047" s="86"/>
      <c r="J2047" s="87"/>
      <c r="K2047" s="88"/>
      <c r="M2047" s="102">
        <v>0</v>
      </c>
      <c r="N2047" s="564"/>
      <c r="O2047" s="564"/>
      <c r="P2047" s="564"/>
      <c r="Q2047" s="564"/>
      <c r="R2047" s="96"/>
      <c r="S2047" s="96"/>
      <c r="T2047" s="565"/>
      <c r="U2047" s="565"/>
      <c r="V2047" s="101"/>
      <c r="Y2047" s="393">
        <f>+IFERROR(Y2039*S2047,0)</f>
        <v>0</v>
      </c>
      <c r="Z2047" s="391">
        <f>Y2039*V2047</f>
        <v>0</v>
      </c>
      <c r="AA2047" s="394"/>
      <c r="AB2047" s="395">
        <f>+Y2047*T2047</f>
        <v>0</v>
      </c>
      <c r="AC2047" s="93">
        <f>+AB2047-Z2047</f>
        <v>0</v>
      </c>
      <c r="AD2047" s="94"/>
      <c r="AE2047" s="386" t="str">
        <f>+IF(V2047=0,"CERO","NO")</f>
        <v>CERO</v>
      </c>
    </row>
    <row r="2048" spans="3:31" s="260" customFormat="1" ht="15.75" thickBot="1" x14ac:dyDescent="0.3">
      <c r="C2048" s="84"/>
      <c r="D2048" s="375" t="s">
        <v>128</v>
      </c>
      <c r="E2048" s="376" t="s">
        <v>129</v>
      </c>
      <c r="F2048" s="376" t="s">
        <v>130</v>
      </c>
      <c r="G2048" s="376" t="s">
        <v>131</v>
      </c>
      <c r="H2048" s="376" t="s">
        <v>132</v>
      </c>
      <c r="I2048" s="376" t="s">
        <v>133</v>
      </c>
      <c r="J2048" s="377" t="s">
        <v>134</v>
      </c>
      <c r="K2048" s="88"/>
      <c r="M2048" s="534"/>
      <c r="N2048" s="536" t="s">
        <v>101</v>
      </c>
      <c r="O2048" s="536"/>
      <c r="P2048" s="536"/>
      <c r="Q2048" s="536"/>
      <c r="R2048" s="536"/>
      <c r="S2048" s="536"/>
      <c r="T2048" s="536"/>
      <c r="U2048" s="536"/>
      <c r="V2048" s="389">
        <f>+SUM(V2043:V2047)</f>
        <v>278.94850000000002</v>
      </c>
      <c r="Y2048" s="398" t="s">
        <v>135</v>
      </c>
      <c r="Z2048" s="397">
        <f>+SUM(Z2043:Z2047)</f>
        <v>836.84550000000013</v>
      </c>
      <c r="AA2048" s="86"/>
      <c r="AB2048" s="384"/>
      <c r="AC2048" s="385"/>
      <c r="AD2048" s="94"/>
      <c r="AE2048" s="399"/>
    </row>
    <row r="2049" spans="3:31" s="260" customFormat="1" ht="15.75" thickBot="1" x14ac:dyDescent="0.3">
      <c r="C2049" s="84"/>
      <c r="D2049" s="375">
        <f>C2039</f>
        <v>2.3199999999999998</v>
      </c>
      <c r="E2049" s="376"/>
      <c r="F2049" s="376"/>
      <c r="G2049" s="376"/>
      <c r="H2049" s="376"/>
      <c r="I2049" s="376"/>
      <c r="J2049" s="377"/>
      <c r="K2049" s="88"/>
      <c r="M2049" s="566"/>
      <c r="N2049" s="567" t="s">
        <v>102</v>
      </c>
      <c r="O2049" s="567"/>
      <c r="P2049" s="567"/>
      <c r="Q2049" s="567"/>
      <c r="R2049" s="567"/>
      <c r="S2049" s="567"/>
      <c r="T2049" s="567"/>
      <c r="U2049" s="567"/>
      <c r="V2049" s="400">
        <f>+ROUND(V2048,$AA$5)</f>
        <v>278.95</v>
      </c>
      <c r="Y2049" s="401" t="s">
        <v>136</v>
      </c>
      <c r="Z2049" s="402">
        <f>+ROUND(Z2048,$AA$5)</f>
        <v>836.85</v>
      </c>
      <c r="AA2049" s="86"/>
      <c r="AB2049" s="403">
        <f>+V2049*Y2039</f>
        <v>836.84999999999991</v>
      </c>
      <c r="AC2049" s="404">
        <f>+AB2049-Z2049</f>
        <v>0</v>
      </c>
      <c r="AD2049" s="94"/>
      <c r="AE2049" s="405"/>
    </row>
    <row r="2050" spans="3:31" s="260" customFormat="1" x14ac:dyDescent="0.25">
      <c r="C2050" s="84"/>
      <c r="D2050" s="380"/>
      <c r="E2050" s="381"/>
      <c r="F2050" s="381"/>
      <c r="G2050" s="381"/>
      <c r="H2050" s="381"/>
      <c r="I2050" s="381"/>
      <c r="J2050" s="382"/>
      <c r="K2050" s="88"/>
      <c r="M2050" s="510" t="s">
        <v>103</v>
      </c>
      <c r="N2050" s="511"/>
      <c r="O2050" s="511"/>
      <c r="P2050" s="511"/>
      <c r="Q2050" s="511"/>
      <c r="R2050" s="511"/>
      <c r="S2050" s="511"/>
      <c r="T2050" s="511"/>
      <c r="U2050" s="511"/>
      <c r="V2050" s="512"/>
      <c r="Y2050" s="378"/>
      <c r="Z2050" s="121"/>
      <c r="AA2050" s="86"/>
      <c r="AB2050" s="513"/>
      <c r="AC2050" s="514"/>
      <c r="AD2050" s="94"/>
      <c r="AE2050" s="126"/>
    </row>
    <row r="2051" spans="3:31" s="260" customFormat="1" x14ac:dyDescent="0.25">
      <c r="C2051" s="84"/>
      <c r="D2051" s="85"/>
      <c r="E2051" s="86"/>
      <c r="F2051" s="86"/>
      <c r="G2051" s="86"/>
      <c r="H2051" s="86"/>
      <c r="I2051" s="86"/>
      <c r="J2051" s="87"/>
      <c r="K2051" s="88"/>
      <c r="M2051" s="99" t="s">
        <v>94</v>
      </c>
      <c r="N2051" s="561" t="s">
        <v>95</v>
      </c>
      <c r="O2051" s="561"/>
      <c r="P2051" s="561"/>
      <c r="Q2051" s="561"/>
      <c r="R2051" s="95" t="s">
        <v>96</v>
      </c>
      <c r="S2051" s="95" t="s">
        <v>104</v>
      </c>
      <c r="T2051" s="356" t="s">
        <v>105</v>
      </c>
      <c r="U2051" s="356" t="s">
        <v>8</v>
      </c>
      <c r="V2051" s="100" t="s">
        <v>98</v>
      </c>
      <c r="Y2051" s="383" t="s">
        <v>104</v>
      </c>
      <c r="Z2051" s="119" t="s">
        <v>9</v>
      </c>
      <c r="AA2051" s="86"/>
      <c r="AB2051" s="384"/>
      <c r="AC2051" s="385"/>
      <c r="AD2051" s="94"/>
      <c r="AE2051" s="406"/>
    </row>
    <row r="2052" spans="3:31" s="260" customFormat="1" x14ac:dyDescent="0.25">
      <c r="C2052" s="84"/>
      <c r="D2052" s="85"/>
      <c r="E2052" s="86"/>
      <c r="F2052" s="86"/>
      <c r="G2052" s="86"/>
      <c r="H2052" s="86"/>
      <c r="I2052" s="86"/>
      <c r="J2052" s="87"/>
      <c r="K2052" s="88"/>
      <c r="M2052" s="102">
        <v>718</v>
      </c>
      <c r="N2052" s="533" t="str">
        <f>IFERROR(VLOOKUP(M2052,INSUMOS!$C$8:$K$928,2,0),"-----")</f>
        <v>BUJES SOLDADO 2 X 1 1/2"</v>
      </c>
      <c r="O2052" s="533"/>
      <c r="P2052" s="533"/>
      <c r="Q2052" s="533"/>
      <c r="R2052" s="78" t="str">
        <f>IFERROR(VLOOKUP(M2052,INSUMOS!$C$8:$K$928,6,0),"-----")</f>
        <v>und</v>
      </c>
      <c r="S2052" s="396">
        <v>1</v>
      </c>
      <c r="T2052" s="387">
        <v>0</v>
      </c>
      <c r="U2052" s="388">
        <f>IFERROR(VLOOKUP(M2052,INSUMOS!$C$8:$K$928,7,0),"0")</f>
        <v>7535</v>
      </c>
      <c r="V2052" s="389">
        <f>+IFERROR(U2052*(S2052*(1+T2052)),0)</f>
        <v>7535</v>
      </c>
      <c r="Y2052" s="393">
        <f>+IFERROR(Y2039*(S2052*(1+T2052)),0)</f>
        <v>3</v>
      </c>
      <c r="Z2052" s="391">
        <f>Y2039*V2052</f>
        <v>22605</v>
      </c>
      <c r="AA2052" s="394"/>
      <c r="AB2052" s="395">
        <f>+Y2052*U2052</f>
        <v>22605</v>
      </c>
      <c r="AC2052" s="93">
        <f>+AB2052-Z2052</f>
        <v>0</v>
      </c>
      <c r="AD2052" s="94"/>
      <c r="AE2052" s="406" t="str">
        <f>+IF(V2052=0,"CERO","NO")</f>
        <v>NO</v>
      </c>
    </row>
    <row r="2053" spans="3:31" s="260" customFormat="1" x14ac:dyDescent="0.25">
      <c r="C2053" s="84"/>
      <c r="D2053" s="85"/>
      <c r="E2053" s="86"/>
      <c r="F2053" s="86"/>
      <c r="G2053" s="86"/>
      <c r="H2053" s="86"/>
      <c r="I2053" s="86"/>
      <c r="J2053" s="87"/>
      <c r="K2053" s="88"/>
      <c r="M2053" s="102">
        <v>699</v>
      </c>
      <c r="N2053" s="533" t="str">
        <f>IFERROR(VLOOKUP(M2053,INSUMOS!$C$8:$K$928,2,0),"-----")</f>
        <v>SOLDADURA PVC LIQUIDA 1/4"</v>
      </c>
      <c r="O2053" s="533"/>
      <c r="P2053" s="533"/>
      <c r="Q2053" s="533"/>
      <c r="R2053" s="78" t="str">
        <f>IFERROR(VLOOKUP(M2053,INSUMOS!$C$8:$K$928,6,0),"-----")</f>
        <v>und</v>
      </c>
      <c r="S2053" s="392">
        <v>0.01</v>
      </c>
      <c r="T2053" s="387">
        <v>0.02</v>
      </c>
      <c r="U2053" s="388">
        <f>IFERROR(VLOOKUP(M2053,INSUMOS!$C$8:$K$928,7,0),"0")</f>
        <v>146569</v>
      </c>
      <c r="V2053" s="389">
        <f>+IFERROR(U2053*(S2053*(1+T2053)),0)</f>
        <v>1495.0038000000002</v>
      </c>
      <c r="Y2053" s="393">
        <f>+IFERROR(Y2039*(S2053*(1+T2053)),0)</f>
        <v>3.0600000000000002E-2</v>
      </c>
      <c r="Z2053" s="391">
        <f>Y2039*V2053</f>
        <v>4485.0114000000003</v>
      </c>
      <c r="AA2053" s="394"/>
      <c r="AB2053" s="395">
        <f>+Y2053*U2053</f>
        <v>4485.0114000000003</v>
      </c>
      <c r="AC2053" s="93">
        <f>+AB2053-Z2053</f>
        <v>0</v>
      </c>
      <c r="AD2053" s="94"/>
      <c r="AE2053" s="406" t="str">
        <f>+IF(V2053=0,"CERO","NO")</f>
        <v>NO</v>
      </c>
    </row>
    <row r="2054" spans="3:31" s="260" customFormat="1" x14ac:dyDescent="0.25">
      <c r="C2054" s="84"/>
      <c r="D2054" s="85"/>
      <c r="E2054" s="86"/>
      <c r="F2054" s="86"/>
      <c r="G2054" s="86"/>
      <c r="H2054" s="86"/>
      <c r="I2054" s="86"/>
      <c r="J2054" s="87"/>
      <c r="K2054" s="88"/>
      <c r="M2054" s="102">
        <v>700</v>
      </c>
      <c r="N2054" s="533" t="str">
        <f>IFERROR(VLOOKUP(M2054,INSUMOS!$C$8:$K$928,2,0),"-----")</f>
        <v>LIMPIADOR PVC 1/4</v>
      </c>
      <c r="O2054" s="533"/>
      <c r="P2054" s="533"/>
      <c r="Q2054" s="533"/>
      <c r="R2054" s="78" t="str">
        <f>IFERROR(VLOOKUP(M2054,INSUMOS!$C$8:$K$928,6,0),"-----")</f>
        <v>und</v>
      </c>
      <c r="S2054" s="392">
        <v>0.01</v>
      </c>
      <c r="T2054" s="387">
        <v>0.02</v>
      </c>
      <c r="U2054" s="388">
        <f>IFERROR(VLOOKUP(M2054,INSUMOS!$C$8:$K$928,7,0),"0")</f>
        <v>65913</v>
      </c>
      <c r="V2054" s="389">
        <f>+IFERROR(U2054*(S2054*(1+T2054)),0)</f>
        <v>672.31260000000009</v>
      </c>
      <c r="Y2054" s="393">
        <f>+IFERROR(Y2039*(S2054*(1+T2054)),0)</f>
        <v>3.0600000000000002E-2</v>
      </c>
      <c r="Z2054" s="391">
        <f>Y2039*V2054</f>
        <v>2016.9378000000002</v>
      </c>
      <c r="AA2054" s="394"/>
      <c r="AB2054" s="395">
        <f>+Y2054*U2054</f>
        <v>2016.9378000000002</v>
      </c>
      <c r="AC2054" s="93">
        <f>+AB2054-Z2054</f>
        <v>0</v>
      </c>
      <c r="AD2054" s="94"/>
      <c r="AE2054" s="406" t="str">
        <f>+IF(V2054=0,"CERO","NO")</f>
        <v>NO</v>
      </c>
    </row>
    <row r="2055" spans="3:31" s="260" customFormat="1" x14ac:dyDescent="0.25">
      <c r="C2055" s="84"/>
      <c r="D2055" s="85"/>
      <c r="E2055" s="86"/>
      <c r="F2055" s="86"/>
      <c r="G2055" s="86"/>
      <c r="H2055" s="86"/>
      <c r="I2055" s="86"/>
      <c r="J2055" s="87"/>
      <c r="K2055" s="88"/>
      <c r="M2055" s="102">
        <v>0</v>
      </c>
      <c r="N2055" s="533" t="str">
        <f>IFERROR(VLOOKUP(M2055,INSUMOS!$C$8:$K$928,2,0),"-----")</f>
        <v>-----</v>
      </c>
      <c r="O2055" s="533"/>
      <c r="P2055" s="533"/>
      <c r="Q2055" s="533"/>
      <c r="R2055" s="78" t="str">
        <f>IFERROR(VLOOKUP(M2055,INSUMOS!$C$8:$K$928,6,0),"-----")</f>
        <v>-----</v>
      </c>
      <c r="S2055" s="396"/>
      <c r="T2055" s="387"/>
      <c r="U2055" s="388" t="str">
        <f>IFERROR(VLOOKUP(M2055,INSUMOS!$C$8:$K$928,7,0),"0")</f>
        <v>0</v>
      </c>
      <c r="V2055" s="389">
        <f>+IFERROR(U2055*(S2055*(1+T2055)),0)</f>
        <v>0</v>
      </c>
      <c r="Y2055" s="393">
        <f>+IFERROR(Y2039*(S2055*(1+T2055)),0)</f>
        <v>0</v>
      </c>
      <c r="Z2055" s="391">
        <f>Y2039*V2055</f>
        <v>0</v>
      </c>
      <c r="AA2055" s="394"/>
      <c r="AB2055" s="395">
        <f>+Y2055*U2055</f>
        <v>0</v>
      </c>
      <c r="AC2055" s="93">
        <f>+AB2055-Z2055</f>
        <v>0</v>
      </c>
      <c r="AD2055" s="94"/>
      <c r="AE2055" s="406" t="str">
        <f>+IF(V2055=0,"CERO","NO")</f>
        <v>CERO</v>
      </c>
    </row>
    <row r="2056" spans="3:31" s="260" customFormat="1" ht="15.75" thickBot="1" x14ac:dyDescent="0.3">
      <c r="C2056" s="84"/>
      <c r="D2056" s="85"/>
      <c r="E2056" s="86"/>
      <c r="F2056" s="86"/>
      <c r="G2056" s="86"/>
      <c r="H2056" s="86"/>
      <c r="I2056" s="86"/>
      <c r="J2056" s="87"/>
      <c r="K2056" s="88"/>
      <c r="M2056" s="102">
        <v>0</v>
      </c>
      <c r="N2056" s="564"/>
      <c r="O2056" s="564"/>
      <c r="P2056" s="564"/>
      <c r="Q2056" s="564"/>
      <c r="R2056" s="96"/>
      <c r="S2056" s="79"/>
      <c r="T2056" s="97"/>
      <c r="U2056" s="358"/>
      <c r="V2056" s="397"/>
      <c r="Y2056" s="393">
        <f>+IFERROR(Y2039*(S2056*(1+T2056)),0)</f>
        <v>0</v>
      </c>
      <c r="Z2056" s="391">
        <f>Y2039*V2056</f>
        <v>0</v>
      </c>
      <c r="AA2056" s="394"/>
      <c r="AB2056" s="395">
        <f>+Y2056*U2056</f>
        <v>0</v>
      </c>
      <c r="AC2056" s="93">
        <f>+AB2056-Z2056</f>
        <v>0</v>
      </c>
      <c r="AD2056" s="94"/>
      <c r="AE2056" s="406" t="str">
        <f>+IF(V2056=0,"CERO","NO")</f>
        <v>CERO</v>
      </c>
    </row>
    <row r="2057" spans="3:31" s="260" customFormat="1" ht="15.75" thickBot="1" x14ac:dyDescent="0.3">
      <c r="C2057" s="84"/>
      <c r="D2057" s="375" t="s">
        <v>128</v>
      </c>
      <c r="E2057" s="376" t="s">
        <v>129</v>
      </c>
      <c r="F2057" s="376" t="s">
        <v>130</v>
      </c>
      <c r="G2057" s="376" t="s">
        <v>131</v>
      </c>
      <c r="H2057" s="376" t="s">
        <v>132</v>
      </c>
      <c r="I2057" s="376" t="s">
        <v>133</v>
      </c>
      <c r="J2057" s="377" t="s">
        <v>134</v>
      </c>
      <c r="K2057" s="88"/>
      <c r="M2057" s="534"/>
      <c r="N2057" s="536" t="s">
        <v>106</v>
      </c>
      <c r="O2057" s="536"/>
      <c r="P2057" s="536"/>
      <c r="Q2057" s="536"/>
      <c r="R2057" s="536"/>
      <c r="S2057" s="536"/>
      <c r="T2057" s="536"/>
      <c r="U2057" s="536"/>
      <c r="V2057" s="389">
        <f>+SUM(V2052:V2056)</f>
        <v>9702.3163999999997</v>
      </c>
      <c r="Y2057" s="398" t="s">
        <v>135</v>
      </c>
      <c r="Z2057" s="397">
        <f>+SUM(Z2052:Z2056)</f>
        <v>29106.949199999999</v>
      </c>
      <c r="AA2057" s="86"/>
      <c r="AB2057" s="384"/>
      <c r="AC2057" s="385"/>
      <c r="AD2057" s="94"/>
      <c r="AE2057" s="399"/>
    </row>
    <row r="2058" spans="3:31" s="260" customFormat="1" ht="15.75" thickBot="1" x14ac:dyDescent="0.3">
      <c r="C2058" s="84"/>
      <c r="D2058" s="375"/>
      <c r="E2058" s="407">
        <f>+D2049</f>
        <v>2.3199999999999998</v>
      </c>
      <c r="F2058" s="376"/>
      <c r="G2058" s="376"/>
      <c r="H2058" s="376"/>
      <c r="I2058" s="376"/>
      <c r="J2058" s="377"/>
      <c r="K2058" s="88"/>
      <c r="M2058" s="535"/>
      <c r="N2058" s="537" t="s">
        <v>107</v>
      </c>
      <c r="O2058" s="537"/>
      <c r="P2058" s="537"/>
      <c r="Q2058" s="537"/>
      <c r="R2058" s="537"/>
      <c r="S2058" s="537"/>
      <c r="T2058" s="537"/>
      <c r="U2058" s="537"/>
      <c r="V2058" s="408">
        <f>+ROUND(V2057,$AA$5)</f>
        <v>9702.32</v>
      </c>
      <c r="Y2058" s="401" t="s">
        <v>136</v>
      </c>
      <c r="Z2058" s="402">
        <f>+ROUND(Z2057,$AA$5)</f>
        <v>29106.95</v>
      </c>
      <c r="AA2058" s="86"/>
      <c r="AB2058" s="403">
        <f>+V2058*Y2039</f>
        <v>29106.959999999999</v>
      </c>
      <c r="AC2058" s="404">
        <f>+AB2058-Z2058</f>
        <v>9.9999999983992893E-3</v>
      </c>
      <c r="AD2058" s="94"/>
      <c r="AE2058" s="405"/>
    </row>
    <row r="2059" spans="3:31" s="260" customFormat="1" x14ac:dyDescent="0.25">
      <c r="C2059" s="84"/>
      <c r="D2059" s="380"/>
      <c r="E2059" s="381"/>
      <c r="F2059" s="381"/>
      <c r="G2059" s="381"/>
      <c r="H2059" s="381"/>
      <c r="I2059" s="381"/>
      <c r="J2059" s="382"/>
      <c r="K2059" s="88"/>
      <c r="M2059" s="568" t="s">
        <v>108</v>
      </c>
      <c r="N2059" s="569"/>
      <c r="O2059" s="569"/>
      <c r="P2059" s="569"/>
      <c r="Q2059" s="569"/>
      <c r="R2059" s="569"/>
      <c r="S2059" s="569"/>
      <c r="T2059" s="569"/>
      <c r="U2059" s="569"/>
      <c r="V2059" s="570"/>
      <c r="Y2059" s="378"/>
      <c r="Z2059" s="121"/>
      <c r="AA2059" s="86"/>
      <c r="AB2059" s="409"/>
      <c r="AC2059" s="121"/>
      <c r="AD2059" s="94"/>
      <c r="AE2059" s="126"/>
    </row>
    <row r="2060" spans="3:31" s="260" customFormat="1" ht="25.5" x14ac:dyDescent="0.25">
      <c r="C2060" s="84"/>
      <c r="D2060" s="85"/>
      <c r="E2060" s="86"/>
      <c r="F2060" s="86"/>
      <c r="G2060" s="86"/>
      <c r="H2060" s="86"/>
      <c r="I2060" s="86"/>
      <c r="J2060" s="87"/>
      <c r="K2060" s="88"/>
      <c r="M2060" s="99" t="s">
        <v>94</v>
      </c>
      <c r="N2060" s="561" t="s">
        <v>95</v>
      </c>
      <c r="O2060" s="561"/>
      <c r="P2060" s="561"/>
      <c r="Q2060" s="95" t="s">
        <v>109</v>
      </c>
      <c r="R2060" s="95" t="s">
        <v>110</v>
      </c>
      <c r="S2060" s="95" t="s">
        <v>111</v>
      </c>
      <c r="T2060" s="562" t="s">
        <v>112</v>
      </c>
      <c r="U2060" s="562"/>
      <c r="V2060" s="100" t="s">
        <v>98</v>
      </c>
      <c r="Y2060" s="383" t="s">
        <v>104</v>
      </c>
      <c r="Z2060" s="119" t="s">
        <v>9</v>
      </c>
      <c r="AA2060" s="86"/>
      <c r="AB2060" s="384"/>
      <c r="AC2060" s="385"/>
      <c r="AD2060" s="94"/>
      <c r="AE2060" s="410"/>
    </row>
    <row r="2061" spans="3:31" s="260" customFormat="1" x14ac:dyDescent="0.25">
      <c r="C2061" s="84"/>
      <c r="D2061" s="85"/>
      <c r="E2061" s="86"/>
      <c r="F2061" s="86"/>
      <c r="G2061" s="86"/>
      <c r="H2061" s="86"/>
      <c r="I2061" s="86"/>
      <c r="J2061" s="87"/>
      <c r="K2061" s="88"/>
      <c r="M2061" s="102">
        <v>129</v>
      </c>
      <c r="N2061" s="530" t="str">
        <f>IFERROR(VLOOKUP(M2061,INSUMOS!$C$8:$K$928,2,0),"-----")</f>
        <v>transporte materiales en general</v>
      </c>
      <c r="O2061" s="531"/>
      <c r="P2061" s="532"/>
      <c r="Q2061" s="78" t="str">
        <f>IFERROR(VLOOKUP(M2061,INSUMOS!$C$8:$K$928,5,0),"-----")</f>
        <v>Km</v>
      </c>
      <c r="R2061" s="80">
        <v>1</v>
      </c>
      <c r="S2061" s="80">
        <f>IFERROR(VLOOKUP(M2061,INSUMOS!$C$8:$K$928,6,0),"0")</f>
        <v>348</v>
      </c>
      <c r="T2061" s="529">
        <f>IFERROR(VLOOKUP(M2061,INSUMOS!$C$8:$K$928,7,0),"0")</f>
        <v>0.99776362060288992</v>
      </c>
      <c r="U2061" s="529"/>
      <c r="V2061" s="82">
        <f>+T2061*S2061*R2061</f>
        <v>347.2217399698057</v>
      </c>
      <c r="Y2061" s="393">
        <f>+IFERROR((R2061*S2061)*Y2039,0)</f>
        <v>1044</v>
      </c>
      <c r="Z2061" s="391">
        <f>Y2039*V2061</f>
        <v>1041.6652199094171</v>
      </c>
      <c r="AA2061" s="86"/>
      <c r="AB2061" s="92">
        <f>+Y2061*T2061</f>
        <v>1041.6652199094171</v>
      </c>
      <c r="AC2061" s="93">
        <f>+AB2061-Z2061</f>
        <v>0</v>
      </c>
      <c r="AD2061" s="94"/>
      <c r="AE2061" s="406" t="str">
        <f>+IF(V2061=0,"CERO","NO")</f>
        <v>NO</v>
      </c>
    </row>
    <row r="2062" spans="3:31" s="260" customFormat="1" x14ac:dyDescent="0.25">
      <c r="C2062" s="84"/>
      <c r="D2062" s="85"/>
      <c r="E2062" s="86"/>
      <c r="F2062" s="86"/>
      <c r="G2062" s="86"/>
      <c r="H2062" s="86"/>
      <c r="I2062" s="86"/>
      <c r="J2062" s="87"/>
      <c r="K2062" s="88"/>
      <c r="M2062" s="102">
        <v>0</v>
      </c>
      <c r="N2062" s="530" t="str">
        <f>IFERROR(VLOOKUP(M2062,INSUMOS!$C$8:$K$928,2,0),"-----")</f>
        <v>-----</v>
      </c>
      <c r="O2062" s="531"/>
      <c r="P2062" s="532"/>
      <c r="Q2062" s="78" t="str">
        <f>IFERROR(VLOOKUP(M2062,INSUMOS!$C$8:$K$928,5,0),"-----")</f>
        <v>-----</v>
      </c>
      <c r="R2062" s="80"/>
      <c r="S2062" s="80" t="str">
        <f>IFERROR(VLOOKUP(M2062,INSUMOS!$C$8:$K$928,6,0),"0")</f>
        <v>0</v>
      </c>
      <c r="T2062" s="529" t="str">
        <f>IFERROR(VLOOKUP(M2062,INSUMOS!$C$8:$K$928,7,0),"0")</f>
        <v>0</v>
      </c>
      <c r="U2062" s="529"/>
      <c r="V2062" s="82">
        <f>+T2062*S2062*R2062</f>
        <v>0</v>
      </c>
      <c r="Y2062" s="393">
        <f>+IFERROR((R2062*S2062)*Y2039,0)</f>
        <v>0</v>
      </c>
      <c r="Z2062" s="391">
        <f>Y2039*V2062</f>
        <v>0</v>
      </c>
      <c r="AA2062" s="86"/>
      <c r="AB2062" s="92">
        <f>+Y2062*T2062</f>
        <v>0</v>
      </c>
      <c r="AC2062" s="93">
        <f>+AB2062-Z2062</f>
        <v>0</v>
      </c>
      <c r="AD2062" s="94"/>
      <c r="AE2062" s="406" t="str">
        <f>+IF(V2062=0,"CERO","NO")</f>
        <v>CERO</v>
      </c>
    </row>
    <row r="2063" spans="3:31" s="260" customFormat="1" x14ac:dyDescent="0.25">
      <c r="C2063" s="84"/>
      <c r="D2063" s="85"/>
      <c r="E2063" s="86"/>
      <c r="F2063" s="86"/>
      <c r="G2063" s="86"/>
      <c r="H2063" s="86"/>
      <c r="I2063" s="86"/>
      <c r="J2063" s="87"/>
      <c r="K2063" s="88"/>
      <c r="M2063" s="102">
        <v>0</v>
      </c>
      <c r="N2063" s="530" t="str">
        <f>IFERROR(VLOOKUP(M2063,INSUMOS!$C$8:$K$928,2,0),"-----")</f>
        <v>-----</v>
      </c>
      <c r="O2063" s="531"/>
      <c r="P2063" s="532"/>
      <c r="Q2063" s="78" t="str">
        <f>IFERROR(VLOOKUP(M2063,INSUMOS!$C$8:$K$928,5,0),"-----")</f>
        <v>-----</v>
      </c>
      <c r="R2063" s="80"/>
      <c r="S2063" s="80" t="str">
        <f>IFERROR(VLOOKUP(M2063,INSUMOS!$C$8:$K$928,6,0),"0")</f>
        <v>0</v>
      </c>
      <c r="T2063" s="529" t="str">
        <f>IFERROR(VLOOKUP(M2063,INSUMOS!$C$8:$K$928,7,0),"0")</f>
        <v>0</v>
      </c>
      <c r="U2063" s="529"/>
      <c r="V2063" s="82">
        <f>+T2063*S2063*R2063</f>
        <v>0</v>
      </c>
      <c r="Y2063" s="393">
        <f>+IFERROR((R2063*S2063)*Y2039,0)</f>
        <v>0</v>
      </c>
      <c r="Z2063" s="391">
        <f>Y2039*V2063</f>
        <v>0</v>
      </c>
      <c r="AA2063" s="86"/>
      <c r="AB2063" s="92">
        <f>+Y2063*T2063</f>
        <v>0</v>
      </c>
      <c r="AC2063" s="93">
        <f>+AB2063-Z2063</f>
        <v>0</v>
      </c>
      <c r="AD2063" s="94"/>
      <c r="AE2063" s="406" t="str">
        <f>+IF(V2063=0,"CERO","NO")</f>
        <v>CERO</v>
      </c>
    </row>
    <row r="2064" spans="3:31" s="260" customFormat="1" ht="15.75" thickBot="1" x14ac:dyDescent="0.3">
      <c r="C2064" s="84"/>
      <c r="D2064" s="89"/>
      <c r="E2064" s="90"/>
      <c r="F2064" s="90"/>
      <c r="G2064" s="90"/>
      <c r="H2064" s="90"/>
      <c r="I2064" s="90"/>
      <c r="J2064" s="91"/>
      <c r="K2064" s="88"/>
      <c r="M2064" s="102">
        <v>0</v>
      </c>
      <c r="N2064" s="533"/>
      <c r="O2064" s="533"/>
      <c r="P2064" s="533"/>
      <c r="Q2064" s="79"/>
      <c r="R2064" s="78"/>
      <c r="S2064" s="81"/>
      <c r="T2064" s="529"/>
      <c r="U2064" s="529"/>
      <c r="V2064" s="82"/>
      <c r="Y2064" s="393">
        <f>+IFERROR((R2064*S2064)*Y2039,0)</f>
        <v>0</v>
      </c>
      <c r="Z2064" s="391">
        <f>Y2039*V2064</f>
        <v>0</v>
      </c>
      <c r="AA2064" s="86"/>
      <c r="AB2064" s="92">
        <f>+Y2064*T2064</f>
        <v>0</v>
      </c>
      <c r="AC2064" s="93">
        <f>+AB2064-Z2064</f>
        <v>0</v>
      </c>
      <c r="AD2064" s="94"/>
      <c r="AE2064" s="406" t="str">
        <f>+IF(V2064=0,"CERO","NO")</f>
        <v>CERO</v>
      </c>
    </row>
    <row r="2065" spans="3:31" s="260" customFormat="1" ht="15.75" thickBot="1" x14ac:dyDescent="0.3">
      <c r="C2065" s="84"/>
      <c r="D2065" s="375" t="s">
        <v>128</v>
      </c>
      <c r="E2065" s="376" t="s">
        <v>129</v>
      </c>
      <c r="F2065" s="376" t="s">
        <v>130</v>
      </c>
      <c r="G2065" s="376" t="s">
        <v>131</v>
      </c>
      <c r="H2065" s="376" t="s">
        <v>132</v>
      </c>
      <c r="I2065" s="376" t="s">
        <v>133</v>
      </c>
      <c r="J2065" s="377" t="s">
        <v>134</v>
      </c>
      <c r="K2065" s="88"/>
      <c r="M2065" s="534"/>
      <c r="N2065" s="536" t="s">
        <v>113</v>
      </c>
      <c r="O2065" s="536"/>
      <c r="P2065" s="536"/>
      <c r="Q2065" s="536"/>
      <c r="R2065" s="536"/>
      <c r="S2065" s="536"/>
      <c r="T2065" s="536"/>
      <c r="U2065" s="536"/>
      <c r="V2065" s="411">
        <f>+SUM(V2061:V2064)</f>
        <v>347.2217399698057</v>
      </c>
      <c r="Y2065" s="398" t="s">
        <v>135</v>
      </c>
      <c r="Z2065" s="397">
        <f>+SUM(Z2061:Z2064)</f>
        <v>1041.6652199094171</v>
      </c>
      <c r="AA2065" s="86"/>
      <c r="AB2065" s="384"/>
      <c r="AC2065" s="385"/>
      <c r="AD2065" s="94"/>
      <c r="AE2065" s="399"/>
    </row>
    <row r="2066" spans="3:31" s="260" customFormat="1" ht="15.75" thickBot="1" x14ac:dyDescent="0.3">
      <c r="C2066" s="84"/>
      <c r="D2066" s="355"/>
      <c r="E2066" s="367"/>
      <c r="F2066" s="412">
        <f>+E2058</f>
        <v>2.3199999999999998</v>
      </c>
      <c r="G2066" s="367"/>
      <c r="H2066" s="367"/>
      <c r="I2066" s="367"/>
      <c r="J2066" s="368"/>
      <c r="K2066" s="88"/>
      <c r="M2066" s="535"/>
      <c r="N2066" s="537" t="s">
        <v>114</v>
      </c>
      <c r="O2066" s="537"/>
      <c r="P2066" s="537"/>
      <c r="Q2066" s="537"/>
      <c r="R2066" s="537"/>
      <c r="S2066" s="537"/>
      <c r="T2066" s="537"/>
      <c r="U2066" s="537"/>
      <c r="V2066" s="413">
        <f>+ROUND(V2065,$AA$5)</f>
        <v>347.22</v>
      </c>
      <c r="Y2066" s="401" t="s">
        <v>136</v>
      </c>
      <c r="Z2066" s="402">
        <f>+ROUND(Z2065,$AA$5)</f>
        <v>1041.67</v>
      </c>
      <c r="AA2066" s="86"/>
      <c r="AB2066" s="403">
        <f>+V2066*Y2039</f>
        <v>1041.6600000000001</v>
      </c>
      <c r="AC2066" s="414"/>
      <c r="AD2066" s="94"/>
      <c r="AE2066" s="405"/>
    </row>
    <row r="2067" spans="3:31" s="260" customFormat="1" ht="15.75" thickBot="1" x14ac:dyDescent="0.3">
      <c r="C2067" s="84"/>
      <c r="D2067" s="415"/>
      <c r="E2067" s="416"/>
      <c r="F2067" s="416"/>
      <c r="G2067" s="416"/>
      <c r="H2067" s="416"/>
      <c r="I2067" s="416"/>
      <c r="J2067" s="417"/>
      <c r="K2067" s="88"/>
      <c r="M2067" s="538" t="s">
        <v>115</v>
      </c>
      <c r="N2067" s="539"/>
      <c r="O2067" s="539"/>
      <c r="P2067" s="539"/>
      <c r="Q2067" s="539"/>
      <c r="R2067" s="539"/>
      <c r="S2067" s="539"/>
      <c r="T2067" s="539"/>
      <c r="U2067" s="539"/>
      <c r="V2067" s="540"/>
      <c r="Y2067" s="378"/>
      <c r="Z2067" s="121"/>
      <c r="AA2067" s="86"/>
      <c r="AB2067" s="409"/>
      <c r="AC2067" s="121"/>
      <c r="AD2067" s="94"/>
      <c r="AE2067" s="126"/>
    </row>
    <row r="2068" spans="3:31" s="260" customFormat="1" ht="15.75" thickBot="1" x14ac:dyDescent="0.3">
      <c r="C2068" s="84"/>
      <c r="D2068" s="375" t="s">
        <v>128</v>
      </c>
      <c r="E2068" s="376" t="s">
        <v>129</v>
      </c>
      <c r="F2068" s="376" t="s">
        <v>130</v>
      </c>
      <c r="G2068" s="376" t="s">
        <v>131</v>
      </c>
      <c r="H2068" s="376" t="s">
        <v>132</v>
      </c>
      <c r="I2068" s="376" t="s">
        <v>133</v>
      </c>
      <c r="J2068" s="377" t="s">
        <v>134</v>
      </c>
      <c r="K2068" s="88"/>
      <c r="M2068" s="99" t="s">
        <v>94</v>
      </c>
      <c r="N2068" s="98" t="s">
        <v>95</v>
      </c>
      <c r="O2068" s="95" t="s">
        <v>96</v>
      </c>
      <c r="P2068" s="359" t="s">
        <v>104</v>
      </c>
      <c r="Q2068" s="95" t="s">
        <v>116</v>
      </c>
      <c r="R2068" s="418" t="s">
        <v>117</v>
      </c>
      <c r="S2068" s="95" t="s">
        <v>347</v>
      </c>
      <c r="T2068" s="419" t="s">
        <v>118</v>
      </c>
      <c r="U2068" s="189" t="s">
        <v>119</v>
      </c>
      <c r="V2068" s="100" t="s">
        <v>98</v>
      </c>
      <c r="Y2068" s="383" t="s">
        <v>104</v>
      </c>
      <c r="Z2068" s="119" t="s">
        <v>9</v>
      </c>
      <c r="AA2068" s="86"/>
      <c r="AB2068" s="384"/>
      <c r="AC2068" s="385"/>
      <c r="AD2068" s="94"/>
      <c r="AE2068" s="410"/>
    </row>
    <row r="2069" spans="3:31" s="260" customFormat="1" ht="25.5" x14ac:dyDescent="0.25">
      <c r="C2069" s="84"/>
      <c r="D2069" s="354"/>
      <c r="E2069" s="96"/>
      <c r="F2069" s="96"/>
      <c r="G2069" s="96"/>
      <c r="H2069" s="96"/>
      <c r="I2069" s="96"/>
      <c r="J2069" s="420">
        <f>+F2066</f>
        <v>2.3199999999999998</v>
      </c>
      <c r="K2069" s="88"/>
      <c r="M2069" s="102">
        <v>207</v>
      </c>
      <c r="N2069" s="347" t="str">
        <f>IFERROR(VLOOKUP(M2069,INSUMOS!$C$8:$K$928,2,0),"-----")</f>
        <v>Oficial Hidrosanitario</v>
      </c>
      <c r="O2069" s="78" t="str">
        <f>IFERROR(VLOOKUP(M2069,INSUMOS!$C$8:$K$928,3,0),"-----")</f>
        <v>JORNAL+PS</v>
      </c>
      <c r="P2069" s="80">
        <v>1</v>
      </c>
      <c r="Q2069" s="79">
        <v>30</v>
      </c>
      <c r="R2069" s="190">
        <f>IFERROR(VLOOKUP(M2069,INSUMOS!$C$8:$K$928,4,0),"-----")</f>
        <v>92983</v>
      </c>
      <c r="S2069" s="190">
        <f>IFERROR(VLOOKUP(M2069,INSUMOS!$C$8:$K$928,6,0),"-----")</f>
        <v>74386</v>
      </c>
      <c r="T2069" s="190">
        <f>IFERROR(VLOOKUP(M2069,INSUMOS!$C$8:$K$928,5,0),"-----")</f>
        <v>0</v>
      </c>
      <c r="U2069" s="388">
        <f>SUM(R2069:T2069)</f>
        <v>167369</v>
      </c>
      <c r="V2069" s="82">
        <f>+IFERROR((P2069/Q2069)*U2069,0)</f>
        <v>5578.9666666666662</v>
      </c>
      <c r="Y2069" s="393">
        <f>+IFERROR((Y2039/Q2069*P2069),0)</f>
        <v>0.1</v>
      </c>
      <c r="Z2069" s="391">
        <f>Y2039*V2069</f>
        <v>16736.899999999998</v>
      </c>
      <c r="AA2069" s="86"/>
      <c r="AB2069" s="92">
        <f>+(U2069)*Y2069</f>
        <v>16736.900000000001</v>
      </c>
      <c r="AC2069" s="93">
        <f>+AB2069-Z2069</f>
        <v>0</v>
      </c>
      <c r="AD2069" s="421"/>
      <c r="AE2069" s="410" t="str">
        <f>+IF(V2069=0,"CERO","NO")</f>
        <v>NO</v>
      </c>
    </row>
    <row r="2070" spans="3:31" s="260" customFormat="1" ht="15.75" thickBot="1" x14ac:dyDescent="0.3">
      <c r="C2070" s="84"/>
      <c r="D2070" s="355"/>
      <c r="E2070" s="367"/>
      <c r="F2070" s="367"/>
      <c r="G2070" s="367"/>
      <c r="H2070" s="367"/>
      <c r="I2070" s="367"/>
      <c r="J2070" s="422">
        <f>+J2069</f>
        <v>2.3199999999999998</v>
      </c>
      <c r="K2070" s="88"/>
      <c r="M2070" s="102"/>
      <c r="N2070" s="347" t="str">
        <f>IFERROR(VLOOKUP(M2070,INSUMOS!$C$8:$K$928,2,0),"-----")</f>
        <v>-----</v>
      </c>
      <c r="O2070" s="78" t="str">
        <f>IFERROR(VLOOKUP(M2070,INSUMOS!$C$8:$K$928,3,0),"-----")</f>
        <v>-----</v>
      </c>
      <c r="P2070" s="80"/>
      <c r="Q2070" s="79"/>
      <c r="R2070" s="190" t="str">
        <f>IFERROR(VLOOKUP(M2070,INSUMOS!$C$8:$K$928,4,0),"-----")</f>
        <v>-----</v>
      </c>
      <c r="S2070" s="190" t="str">
        <f>IFERROR(VLOOKUP(M2070,INSUMOS!$C$8:$K$928,6,0),"-----")</f>
        <v>-----</v>
      </c>
      <c r="T2070" s="190" t="str">
        <f>IFERROR(VLOOKUP(M2070,INSUMOS!$C$8:$K$928,5,0),"-----")</f>
        <v>-----</v>
      </c>
      <c r="U2070" s="388">
        <f>SUM(R2070:T2070)</f>
        <v>0</v>
      </c>
      <c r="V2070" s="82">
        <f>+IFERROR((P2070/Q2070)*U2070,0)</f>
        <v>0</v>
      </c>
      <c r="Y2070" s="393">
        <f>+IFERROR((Y2039/Q2070*P2070),0)</f>
        <v>0</v>
      </c>
      <c r="Z2070" s="391">
        <f>Y2039*V2070</f>
        <v>0</v>
      </c>
      <c r="AA2070" s="86"/>
      <c r="AB2070" s="92">
        <f>+U2070*Y2070</f>
        <v>0</v>
      </c>
      <c r="AC2070" s="93">
        <f>+AB2070-Z2070</f>
        <v>0</v>
      </c>
      <c r="AD2070" s="94"/>
      <c r="AE2070" s="410" t="str">
        <f>+IF(V2070=0,"CERO","NO")</f>
        <v>CERO</v>
      </c>
    </row>
    <row r="2071" spans="3:31" s="260" customFormat="1" ht="15.75" thickBot="1" x14ac:dyDescent="0.3">
      <c r="C2071" s="84"/>
      <c r="D2071" s="380"/>
      <c r="E2071" s="381"/>
      <c r="F2071" s="381"/>
      <c r="G2071" s="381"/>
      <c r="H2071" s="381"/>
      <c r="I2071" s="381"/>
      <c r="J2071" s="382"/>
      <c r="K2071" s="88"/>
      <c r="M2071" s="102">
        <v>0</v>
      </c>
      <c r="N2071" s="347"/>
      <c r="O2071" s="79"/>
      <c r="P2071" s="423"/>
      <c r="Q2071" s="81"/>
      <c r="R2071" s="111"/>
      <c r="S2071" s="357"/>
      <c r="T2071" s="111"/>
      <c r="U2071" s="388"/>
      <c r="V2071" s="426"/>
      <c r="Y2071" s="393">
        <f>+IFERROR((Y2039/Q2071*P2071),0)</f>
        <v>0</v>
      </c>
      <c r="Z2071" s="391">
        <f>Y2039*V2071</f>
        <v>0</v>
      </c>
      <c r="AA2071" s="86"/>
      <c r="AB2071" s="92">
        <f>+(U2071)*Y2071*P2071</f>
        <v>0</v>
      </c>
      <c r="AC2071" s="93">
        <f>+AB2071-Z2071</f>
        <v>0</v>
      </c>
      <c r="AD2071" s="94"/>
      <c r="AE2071" s="410" t="str">
        <f>+IF(V2071=0,"CERO","NO")</f>
        <v>CERO</v>
      </c>
    </row>
    <row r="2072" spans="3:31" s="260" customFormat="1" ht="15.75" thickBot="1" x14ac:dyDescent="0.3">
      <c r="C2072" s="84"/>
      <c r="D2072" s="375" t="s">
        <v>128</v>
      </c>
      <c r="E2072" s="376" t="s">
        <v>129</v>
      </c>
      <c r="F2072" s="376" t="s">
        <v>130</v>
      </c>
      <c r="G2072" s="376" t="s">
        <v>131</v>
      </c>
      <c r="H2072" s="376" t="s">
        <v>132</v>
      </c>
      <c r="I2072" s="376" t="s">
        <v>133</v>
      </c>
      <c r="J2072" s="377" t="s">
        <v>134</v>
      </c>
      <c r="K2072" s="88"/>
      <c r="M2072" s="534"/>
      <c r="N2072" s="536" t="s">
        <v>120</v>
      </c>
      <c r="O2072" s="536"/>
      <c r="P2072" s="536"/>
      <c r="Q2072" s="536"/>
      <c r="R2072" s="536"/>
      <c r="S2072" s="536"/>
      <c r="T2072" s="536"/>
      <c r="U2072" s="536"/>
      <c r="V2072" s="82">
        <f>+SUM(V2069:V2071)</f>
        <v>5578.9666666666662</v>
      </c>
      <c r="Y2072" s="398" t="s">
        <v>135</v>
      </c>
      <c r="Z2072" s="397">
        <f>+SUM(Z2069:Z2071)</f>
        <v>16736.899999999998</v>
      </c>
      <c r="AA2072" s="86"/>
      <c r="AB2072" s="384"/>
      <c r="AC2072" s="385"/>
      <c r="AD2072" s="94"/>
      <c r="AE2072" s="399"/>
    </row>
    <row r="2073" spans="3:31" s="260" customFormat="1" ht="15.75" thickBot="1" x14ac:dyDescent="0.3">
      <c r="C2073" s="84"/>
      <c r="D2073" s="354"/>
      <c r="E2073" s="96"/>
      <c r="F2073" s="96"/>
      <c r="G2073" s="107">
        <f>+F2066</f>
        <v>2.3199999999999998</v>
      </c>
      <c r="H2073" s="96"/>
      <c r="I2073" s="96"/>
      <c r="J2073" s="427"/>
      <c r="K2073" s="88"/>
      <c r="M2073" s="535"/>
      <c r="N2073" s="537" t="s">
        <v>121</v>
      </c>
      <c r="O2073" s="537"/>
      <c r="P2073" s="537"/>
      <c r="Q2073" s="537"/>
      <c r="R2073" s="537"/>
      <c r="S2073" s="537"/>
      <c r="T2073" s="537"/>
      <c r="U2073" s="537"/>
      <c r="V2073" s="413">
        <f>+ROUND(V2072,$AA$5)</f>
        <v>5578.97</v>
      </c>
      <c r="Y2073" s="401" t="s">
        <v>136</v>
      </c>
      <c r="Z2073" s="402">
        <f>+ROUND(Z2072,$AA$5)</f>
        <v>16736.900000000001</v>
      </c>
      <c r="AA2073" s="86"/>
      <c r="AB2073" s="403">
        <f>+V2073*Y2039</f>
        <v>16736.91</v>
      </c>
      <c r="AC2073" s="404">
        <f>+AB2073-Z2073</f>
        <v>9.9999999983992893E-3</v>
      </c>
      <c r="AD2073" s="94"/>
      <c r="AE2073" s="405"/>
    </row>
    <row r="2074" spans="3:31" s="260" customFormat="1" ht="15.75" thickBot="1" x14ac:dyDescent="0.3">
      <c r="C2074" s="84"/>
      <c r="D2074" s="375" t="s">
        <v>128</v>
      </c>
      <c r="E2074" s="376" t="s">
        <v>129</v>
      </c>
      <c r="F2074" s="376" t="s">
        <v>130</v>
      </c>
      <c r="G2074" s="376" t="s">
        <v>131</v>
      </c>
      <c r="H2074" s="376" t="s">
        <v>132</v>
      </c>
      <c r="I2074" s="376" t="s">
        <v>133</v>
      </c>
      <c r="J2074" s="377" t="s">
        <v>134</v>
      </c>
      <c r="K2074" s="88"/>
      <c r="M2074" s="541"/>
      <c r="N2074" s="542"/>
      <c r="O2074" s="542"/>
      <c r="P2074" s="542"/>
      <c r="Q2074" s="542"/>
      <c r="R2074" s="542"/>
      <c r="S2074" s="542"/>
      <c r="T2074" s="542"/>
      <c r="U2074" s="542"/>
      <c r="V2074" s="543"/>
      <c r="Y2074" s="378"/>
      <c r="Z2074" s="121"/>
      <c r="AA2074" s="86"/>
      <c r="AB2074" s="409"/>
      <c r="AC2074" s="121"/>
      <c r="AD2074" s="94"/>
      <c r="AE2074" s="428"/>
    </row>
    <row r="2075" spans="3:31" s="260" customFormat="1" ht="15.75" thickBot="1" x14ac:dyDescent="0.3">
      <c r="C2075" s="84"/>
      <c r="D2075" s="355"/>
      <c r="E2075" s="367"/>
      <c r="F2075" s="367"/>
      <c r="G2075" s="367"/>
      <c r="H2075" s="412">
        <f>G2073</f>
        <v>2.3199999999999998</v>
      </c>
      <c r="I2075" s="412"/>
      <c r="J2075" s="422"/>
      <c r="K2075" s="88"/>
      <c r="M2075" s="544" t="s">
        <v>122</v>
      </c>
      <c r="N2075" s="537"/>
      <c r="O2075" s="537"/>
      <c r="P2075" s="537"/>
      <c r="Q2075" s="537"/>
      <c r="R2075" s="537"/>
      <c r="S2075" s="537"/>
      <c r="T2075" s="537"/>
      <c r="U2075" s="545">
        <f>+V2073+V2066+V2058+V2049</f>
        <v>15907.460000000001</v>
      </c>
      <c r="V2075" s="546"/>
      <c r="Y2075" s="429"/>
      <c r="Z2075" s="430">
        <f>+Z2073+Z2066+Z2058+Z2049</f>
        <v>47722.37</v>
      </c>
      <c r="AA2075" s="86"/>
      <c r="AB2075" s="431">
        <f>+AB2073+AB2066+AB2058+AB2049</f>
        <v>47722.38</v>
      </c>
      <c r="AC2075" s="404">
        <f>+AB2075-Z2075</f>
        <v>9.9999999947613105E-3</v>
      </c>
      <c r="AD2075" s="94"/>
      <c r="AE2075" s="432"/>
    </row>
    <row r="2076" spans="3:31" s="260" customFormat="1" ht="15.75" thickBot="1" x14ac:dyDescent="0.3"/>
    <row r="2077" spans="3:31" s="260" customFormat="1" x14ac:dyDescent="0.25">
      <c r="M2077" s="547" t="s">
        <v>348</v>
      </c>
      <c r="N2077" s="548"/>
      <c r="O2077" s="548"/>
      <c r="P2077" s="548"/>
      <c r="Q2077" s="548"/>
      <c r="R2077" s="548"/>
      <c r="S2077" s="548"/>
      <c r="T2077" s="548"/>
      <c r="U2077" s="548"/>
      <c r="V2077" s="549"/>
      <c r="Y2077" s="378"/>
      <c r="Z2077" s="121"/>
      <c r="AA2077" s="86"/>
      <c r="AB2077" s="94"/>
      <c r="AC2077" s="94"/>
      <c r="AD2077" s="94"/>
      <c r="AE2077" s="126" t="s">
        <v>133</v>
      </c>
    </row>
    <row r="2078" spans="3:31" s="260" customFormat="1" x14ac:dyDescent="0.25">
      <c r="M2078" s="515" t="s">
        <v>138</v>
      </c>
      <c r="N2078" s="516"/>
      <c r="O2078" s="516"/>
      <c r="P2078" s="516"/>
      <c r="Q2078" s="516"/>
      <c r="R2078" s="516"/>
      <c r="S2078" s="516"/>
      <c r="T2078" s="437">
        <v>0</v>
      </c>
      <c r="U2078" s="517">
        <f>+ROUND(U2075*T2078,$AA$5)</f>
        <v>0</v>
      </c>
      <c r="V2078" s="518"/>
      <c r="Y2078" s="390"/>
      <c r="Z2078" s="438">
        <f>+Z2075*T2078</f>
        <v>0</v>
      </c>
      <c r="AA2078" s="86"/>
      <c r="AB2078" s="94"/>
      <c r="AC2078" s="94"/>
      <c r="AD2078" s="94"/>
      <c r="AE2078" s="386" t="s">
        <v>133</v>
      </c>
    </row>
    <row r="2079" spans="3:31" s="260" customFormat="1" x14ac:dyDescent="0.25">
      <c r="M2079" s="515" t="s">
        <v>19</v>
      </c>
      <c r="N2079" s="516"/>
      <c r="O2079" s="516"/>
      <c r="P2079" s="516"/>
      <c r="Q2079" s="516"/>
      <c r="R2079" s="516"/>
      <c r="S2079" s="516"/>
      <c r="T2079" s="437">
        <v>0.05</v>
      </c>
      <c r="U2079" s="517">
        <f>+ROUND(U2075*T2079,$AA$5)</f>
        <v>795.37</v>
      </c>
      <c r="V2079" s="518"/>
      <c r="Y2079" s="390"/>
      <c r="Z2079" s="438">
        <f>+Z2075*T2079</f>
        <v>2386.1185</v>
      </c>
      <c r="AA2079" s="86"/>
      <c r="AB2079" s="94"/>
      <c r="AC2079" s="94"/>
      <c r="AD2079" s="94"/>
      <c r="AE2079" s="386" t="s">
        <v>133</v>
      </c>
    </row>
    <row r="2080" spans="3:31" s="260" customFormat="1" x14ac:dyDescent="0.25">
      <c r="M2080" s="515" t="s">
        <v>20</v>
      </c>
      <c r="N2080" s="516"/>
      <c r="O2080" s="516"/>
      <c r="P2080" s="516"/>
      <c r="Q2080" s="516"/>
      <c r="R2080" s="516"/>
      <c r="S2080" s="516"/>
      <c r="T2080" s="437">
        <v>0</v>
      </c>
      <c r="U2080" s="517">
        <f>+ROUND(U2075*T2080,$AA$5)</f>
        <v>0</v>
      </c>
      <c r="V2080" s="518"/>
      <c r="Y2080" s="390"/>
      <c r="Z2080" s="438">
        <f>+Z2075*T2080</f>
        <v>0</v>
      </c>
      <c r="AA2080" s="86"/>
      <c r="AB2080" s="94"/>
      <c r="AC2080" s="94"/>
      <c r="AD2080" s="94"/>
      <c r="AE2080" s="386" t="s">
        <v>133</v>
      </c>
    </row>
    <row r="2081" spans="3:31" s="260" customFormat="1" x14ac:dyDescent="0.25">
      <c r="M2081" s="515" t="s">
        <v>21</v>
      </c>
      <c r="N2081" s="516"/>
      <c r="O2081" s="516"/>
      <c r="P2081" s="516"/>
      <c r="Q2081" s="516"/>
      <c r="R2081" s="516"/>
      <c r="S2081" s="516"/>
      <c r="T2081" s="437">
        <f>$AA$9</f>
        <v>0</v>
      </c>
      <c r="U2081" s="517">
        <f>+ROUND(U2075*T2081,$AA$5)</f>
        <v>0</v>
      </c>
      <c r="V2081" s="518"/>
      <c r="Y2081" s="390"/>
      <c r="Z2081" s="438">
        <f>+Z2080*T2081</f>
        <v>0</v>
      </c>
      <c r="AA2081" s="86"/>
      <c r="AB2081" s="94"/>
      <c r="AC2081" s="94"/>
      <c r="AD2081" s="94"/>
      <c r="AE2081" s="386" t="s">
        <v>133</v>
      </c>
    </row>
    <row r="2082" spans="3:31" s="260" customFormat="1" ht="15.75" thickBot="1" x14ac:dyDescent="0.3">
      <c r="M2082" s="519" t="s">
        <v>349</v>
      </c>
      <c r="N2082" s="520"/>
      <c r="O2082" s="520"/>
      <c r="P2082" s="520"/>
      <c r="Q2082" s="520"/>
      <c r="R2082" s="520"/>
      <c r="S2082" s="520"/>
      <c r="T2082" s="520"/>
      <c r="U2082" s="521">
        <f>+SUM(U2078:V2081)</f>
        <v>795.37</v>
      </c>
      <c r="V2082" s="522"/>
      <c r="Y2082" s="390"/>
      <c r="Z2082" s="439">
        <f>+SUM(Z2078:Z2081)</f>
        <v>2386.1185</v>
      </c>
      <c r="AA2082" s="86"/>
      <c r="AB2082" s="94"/>
      <c r="AC2082" s="94"/>
      <c r="AD2082" s="94"/>
      <c r="AE2082" s="386" t="s">
        <v>133</v>
      </c>
    </row>
    <row r="2083" spans="3:31" s="260" customFormat="1" ht="15.75" thickBot="1" x14ac:dyDescent="0.3">
      <c r="D2083" s="375" t="s">
        <v>128</v>
      </c>
      <c r="E2083" s="376" t="s">
        <v>129</v>
      </c>
      <c r="F2083" s="376" t="s">
        <v>130</v>
      </c>
      <c r="G2083" s="376" t="s">
        <v>131</v>
      </c>
      <c r="H2083" s="376" t="s">
        <v>132</v>
      </c>
      <c r="I2083" s="376" t="s">
        <v>133</v>
      </c>
      <c r="J2083" s="377" t="s">
        <v>134</v>
      </c>
      <c r="M2083" s="86"/>
      <c r="N2083" s="94"/>
      <c r="O2083" s="94"/>
      <c r="P2083" s="94"/>
      <c r="Q2083" s="86"/>
      <c r="R2083" s="86"/>
      <c r="S2083" s="86"/>
      <c r="T2083" s="440"/>
      <c r="U2083" s="523"/>
      <c r="V2083" s="523"/>
      <c r="Y2083" s="390"/>
      <c r="Z2083" s="385"/>
      <c r="AA2083" s="86"/>
      <c r="AB2083" s="94"/>
      <c r="AC2083" s="94"/>
      <c r="AD2083" s="94"/>
      <c r="AE2083" s="386" t="s">
        <v>133</v>
      </c>
    </row>
    <row r="2084" spans="3:31" s="260" customFormat="1" ht="15.75" thickBot="1" x14ac:dyDescent="0.3">
      <c r="D2084" s="355"/>
      <c r="E2084" s="367"/>
      <c r="F2084" s="367"/>
      <c r="G2084" s="367"/>
      <c r="H2084" s="412"/>
      <c r="I2084" s="412">
        <f>H2075</f>
        <v>2.3199999999999998</v>
      </c>
      <c r="J2084" s="422"/>
      <c r="M2084" s="524" t="s">
        <v>11</v>
      </c>
      <c r="N2084" s="525"/>
      <c r="O2084" s="525"/>
      <c r="P2084" s="525"/>
      <c r="Q2084" s="525"/>
      <c r="R2084" s="525"/>
      <c r="S2084" s="525"/>
      <c r="T2084" s="526"/>
      <c r="U2084" s="527">
        <f>+U2082+U2075</f>
        <v>16702.830000000002</v>
      </c>
      <c r="V2084" s="528"/>
      <c r="Y2084" s="429"/>
      <c r="Z2084" s="441">
        <f>+Z2082+Z2075</f>
        <v>50108.488499999999</v>
      </c>
      <c r="AA2084" s="86"/>
      <c r="AB2084" s="94"/>
      <c r="AC2084" s="94"/>
      <c r="AD2084" s="94"/>
      <c r="AE2084" s="405" t="s">
        <v>133</v>
      </c>
    </row>
    <row r="2085" spans="3:31" s="260" customFormat="1" x14ac:dyDescent="0.25"/>
    <row r="2086" spans="3:31" s="260" customFormat="1" ht="15.75" thickBot="1" x14ac:dyDescent="0.3"/>
    <row r="2087" spans="3:31" s="260" customFormat="1" ht="15.75" thickBot="1" x14ac:dyDescent="0.3">
      <c r="M2087" s="363" t="s">
        <v>88</v>
      </c>
      <c r="N2087" s="436" t="str">
        <f>+N2038</f>
        <v>CAP.2</v>
      </c>
      <c r="O2087" s="550" t="str">
        <f>IFERROR(VLOOKUP(N2087,PPTO!C:H,2,0),"----")</f>
        <v>RED HIDRAULICA</v>
      </c>
      <c r="P2087" s="551"/>
      <c r="Q2087" s="551"/>
      <c r="R2087" s="551"/>
      <c r="S2087" s="551"/>
      <c r="T2087" s="551"/>
      <c r="U2087" s="552"/>
      <c r="V2087" s="74" t="s">
        <v>91</v>
      </c>
      <c r="Y2087" s="365" t="s">
        <v>104</v>
      </c>
      <c r="Z2087" s="94"/>
      <c r="AA2087" s="188"/>
      <c r="AB2087" s="553"/>
      <c r="AC2087" s="553"/>
      <c r="AD2087" s="553"/>
      <c r="AE2087" s="94"/>
    </row>
    <row r="2088" spans="3:31" s="260" customFormat="1" ht="15.75" thickBot="1" x14ac:dyDescent="0.3">
      <c r="C2088" s="369">
        <f>+N2088</f>
        <v>2.33</v>
      </c>
      <c r="D2088" s="86"/>
      <c r="E2088" s="86"/>
      <c r="F2088" s="86"/>
      <c r="G2088" s="86"/>
      <c r="H2088" s="86"/>
      <c r="I2088" s="86"/>
      <c r="J2088" s="86"/>
      <c r="K2088" s="370"/>
      <c r="M2088" s="75" t="s">
        <v>92</v>
      </c>
      <c r="N2088" s="371">
        <f>+ROUNDUP(N2039+0.01,2)</f>
        <v>2.33</v>
      </c>
      <c r="O2088" s="554" t="str">
        <f>IFERROR(VLOOKUP(N2088,PPTO!C:H,2,0),"----")</f>
        <v>Reduccion PVC Ø1_1/2" A Ø1_1/4"</v>
      </c>
      <c r="P2088" s="555"/>
      <c r="Q2088" s="555"/>
      <c r="R2088" s="555"/>
      <c r="S2088" s="555"/>
      <c r="T2088" s="555"/>
      <c r="U2088" s="556"/>
      <c r="V2088" s="76" t="str">
        <f>IFERROR(VLOOKUP(N2088,PPTO!C:H,3,0),"----")</f>
        <v>UND</v>
      </c>
      <c r="Y2088" s="373">
        <f>SUMIFS(PPTO!F:F,PPTO!C:C,APUS!N2088)</f>
        <v>7</v>
      </c>
      <c r="Z2088" s="94"/>
      <c r="AA2088" s="86"/>
      <c r="AB2088" s="94"/>
      <c r="AC2088" s="94"/>
      <c r="AD2088" s="94"/>
      <c r="AE2088" s="94"/>
    </row>
    <row r="2089" spans="3:31" s="260" customFormat="1" ht="15.75" thickBot="1" x14ac:dyDescent="0.3">
      <c r="C2089" s="84"/>
      <c r="D2089" s="86"/>
      <c r="E2089" s="86"/>
      <c r="F2089" s="86"/>
      <c r="G2089" s="86"/>
      <c r="H2089" s="86"/>
      <c r="I2089" s="86"/>
      <c r="J2089" s="86"/>
      <c r="K2089" s="88"/>
      <c r="M2089" s="557"/>
      <c r="N2089" s="557"/>
      <c r="O2089" s="557"/>
      <c r="P2089" s="557"/>
      <c r="Q2089" s="557"/>
      <c r="R2089" s="557"/>
      <c r="S2089" s="557"/>
      <c r="T2089" s="557"/>
      <c r="U2089" s="557"/>
      <c r="V2089" s="557"/>
      <c r="Y2089" s="374"/>
      <c r="Z2089" s="94"/>
      <c r="AA2089" s="86"/>
      <c r="AB2089" s="94"/>
      <c r="AC2089" s="94"/>
      <c r="AD2089" s="94"/>
      <c r="AE2089" s="94"/>
    </row>
    <row r="2090" spans="3:31" s="260" customFormat="1" ht="15.75" thickBot="1" x14ac:dyDescent="0.3">
      <c r="C2090" s="84"/>
      <c r="D2090" s="375" t="s">
        <v>128</v>
      </c>
      <c r="E2090" s="376" t="s">
        <v>129</v>
      </c>
      <c r="F2090" s="376" t="s">
        <v>130</v>
      </c>
      <c r="G2090" s="376" t="s">
        <v>131</v>
      </c>
      <c r="H2090" s="376" t="s">
        <v>132</v>
      </c>
      <c r="I2090" s="376" t="s">
        <v>133</v>
      </c>
      <c r="J2090" s="377" t="s">
        <v>134</v>
      </c>
      <c r="K2090" s="88"/>
      <c r="M2090" s="558" t="s">
        <v>93</v>
      </c>
      <c r="N2090" s="559"/>
      <c r="O2090" s="559"/>
      <c r="P2090" s="559"/>
      <c r="Q2090" s="559"/>
      <c r="R2090" s="559"/>
      <c r="S2090" s="559"/>
      <c r="T2090" s="559"/>
      <c r="U2090" s="559"/>
      <c r="V2090" s="560"/>
      <c r="Y2090" s="378"/>
      <c r="Z2090" s="121"/>
      <c r="AA2090" s="86"/>
      <c r="AB2090" s="513"/>
      <c r="AC2090" s="514"/>
      <c r="AD2090" s="94"/>
      <c r="AE2090" s="379"/>
    </row>
    <row r="2091" spans="3:31" s="260" customFormat="1" x14ac:dyDescent="0.25">
      <c r="C2091" s="84"/>
      <c r="D2091" s="380"/>
      <c r="E2091" s="381"/>
      <c r="F2091" s="381"/>
      <c r="G2091" s="381"/>
      <c r="H2091" s="381"/>
      <c r="I2091" s="381"/>
      <c r="J2091" s="382"/>
      <c r="K2091" s="88"/>
      <c r="M2091" s="99" t="s">
        <v>94</v>
      </c>
      <c r="N2091" s="561" t="s">
        <v>95</v>
      </c>
      <c r="O2091" s="561"/>
      <c r="P2091" s="561"/>
      <c r="Q2091" s="561"/>
      <c r="R2091" s="95" t="s">
        <v>96</v>
      </c>
      <c r="S2091" s="95" t="s">
        <v>97</v>
      </c>
      <c r="T2091" s="562" t="s">
        <v>8</v>
      </c>
      <c r="U2091" s="562"/>
      <c r="V2091" s="100" t="s">
        <v>98</v>
      </c>
      <c r="Y2091" s="383" t="s">
        <v>104</v>
      </c>
      <c r="Z2091" s="119" t="s">
        <v>9</v>
      </c>
      <c r="AA2091" s="86"/>
      <c r="AB2091" s="384"/>
      <c r="AC2091" s="385"/>
      <c r="AD2091" s="94"/>
      <c r="AE2091" s="386"/>
    </row>
    <row r="2092" spans="3:31" s="260" customFormat="1" x14ac:dyDescent="0.25">
      <c r="C2092" s="84"/>
      <c r="D2092" s="85"/>
      <c r="E2092" s="86"/>
      <c r="F2092" s="86"/>
      <c r="G2092" s="86"/>
      <c r="H2092" s="86"/>
      <c r="I2092" s="86"/>
      <c r="J2092" s="87"/>
      <c r="K2092" s="88"/>
      <c r="M2092" s="102"/>
      <c r="N2092" s="533" t="s">
        <v>99</v>
      </c>
      <c r="O2092" s="533"/>
      <c r="P2092" s="533"/>
      <c r="Q2092" s="533"/>
      <c r="R2092" s="78" t="s">
        <v>100</v>
      </c>
      <c r="S2092" s="387">
        <f>+$AA$10</f>
        <v>0.05</v>
      </c>
      <c r="T2092" s="563">
        <f>V2122</f>
        <v>5578.97</v>
      </c>
      <c r="U2092" s="563"/>
      <c r="V2092" s="389">
        <f>+IFERROR(T2092*S2092,0)</f>
        <v>278.94850000000002</v>
      </c>
      <c r="Y2092" s="390"/>
      <c r="Z2092" s="391">
        <f>Y2088*V2092</f>
        <v>1952.6395000000002</v>
      </c>
      <c r="AA2092" s="86"/>
      <c r="AB2092" s="384"/>
      <c r="AC2092" s="385"/>
      <c r="AD2092" s="94"/>
      <c r="AE2092" s="386" t="str">
        <f>+IF(V2092=0,"CERO","NO")</f>
        <v>NO</v>
      </c>
    </row>
    <row r="2093" spans="3:31" s="260" customFormat="1" x14ac:dyDescent="0.25">
      <c r="C2093" s="84"/>
      <c r="D2093" s="85"/>
      <c r="E2093" s="86"/>
      <c r="F2093" s="86"/>
      <c r="G2093" s="86"/>
      <c r="H2093" s="86"/>
      <c r="I2093" s="86"/>
      <c r="J2093" s="87"/>
      <c r="K2093" s="88"/>
      <c r="M2093" s="106"/>
      <c r="N2093" s="533" t="str">
        <f>IFERROR(VLOOKUP(M2093,INSUMOS!$C$8:$K$928,2,0),"-----")</f>
        <v>-----</v>
      </c>
      <c r="O2093" s="533"/>
      <c r="P2093" s="533"/>
      <c r="Q2093" s="533"/>
      <c r="R2093" s="78" t="str">
        <f>IFERROR(VLOOKUP(M2093,INSUMOS!$C$8:$K$928,6,0),"-----")</f>
        <v>-----</v>
      </c>
      <c r="S2093" s="392"/>
      <c r="T2093" s="529" t="str">
        <f>IFERROR(VLOOKUP(M2093,INSUMOS!$C$8:$K$928,7,0),"0")</f>
        <v>0</v>
      </c>
      <c r="U2093" s="529"/>
      <c r="V2093" s="389">
        <f>+IFERROR(T2093*S2093,0)</f>
        <v>0</v>
      </c>
      <c r="Y2093" s="393">
        <f>+IFERROR(Y2088*S2093,0)</f>
        <v>0</v>
      </c>
      <c r="Z2093" s="391">
        <f>Y2088*V2093</f>
        <v>0</v>
      </c>
      <c r="AA2093" s="394"/>
      <c r="AB2093" s="395">
        <f>+Y2093*T2093</f>
        <v>0</v>
      </c>
      <c r="AC2093" s="93">
        <f>+AB2093-Z2093</f>
        <v>0</v>
      </c>
      <c r="AD2093" s="94"/>
      <c r="AE2093" s="386" t="str">
        <f>+IF(V2093=0,"CERO","NO")</f>
        <v>CERO</v>
      </c>
    </row>
    <row r="2094" spans="3:31" s="260" customFormat="1" x14ac:dyDescent="0.25">
      <c r="C2094" s="84"/>
      <c r="D2094" s="85"/>
      <c r="E2094" s="86"/>
      <c r="F2094" s="86"/>
      <c r="G2094" s="86"/>
      <c r="H2094" s="86"/>
      <c r="I2094" s="86"/>
      <c r="J2094" s="87"/>
      <c r="K2094" s="88"/>
      <c r="M2094" s="102">
        <v>0</v>
      </c>
      <c r="N2094" s="533"/>
      <c r="O2094" s="533"/>
      <c r="P2094" s="533"/>
      <c r="Q2094" s="533"/>
      <c r="R2094" s="78"/>
      <c r="S2094" s="396"/>
      <c r="T2094" s="529"/>
      <c r="U2094" s="529"/>
      <c r="V2094" s="397"/>
      <c r="Y2094" s="393">
        <f>+IFERROR(Y2088*S2094,0)</f>
        <v>0</v>
      </c>
      <c r="Z2094" s="391">
        <f>Y2088*V2094</f>
        <v>0</v>
      </c>
      <c r="AA2094" s="394"/>
      <c r="AB2094" s="395">
        <f>+Y2094*T2094</f>
        <v>0</v>
      </c>
      <c r="AC2094" s="93">
        <f>+AB2094-Z2094</f>
        <v>0</v>
      </c>
      <c r="AD2094" s="94"/>
      <c r="AE2094" s="386" t="str">
        <f>+IF(V2094=0,"CERO","NO")</f>
        <v>CERO</v>
      </c>
    </row>
    <row r="2095" spans="3:31" s="260" customFormat="1" x14ac:dyDescent="0.25">
      <c r="C2095" s="84"/>
      <c r="D2095" s="85"/>
      <c r="E2095" s="86"/>
      <c r="F2095" s="86"/>
      <c r="G2095" s="86"/>
      <c r="H2095" s="86"/>
      <c r="I2095" s="86"/>
      <c r="J2095" s="87"/>
      <c r="K2095" s="88"/>
      <c r="M2095" s="102">
        <v>0</v>
      </c>
      <c r="N2095" s="533"/>
      <c r="O2095" s="533"/>
      <c r="P2095" s="533"/>
      <c r="Q2095" s="533"/>
      <c r="R2095" s="78"/>
      <c r="S2095" s="396"/>
      <c r="T2095" s="529"/>
      <c r="U2095" s="529"/>
      <c r="V2095" s="397"/>
      <c r="Y2095" s="393">
        <f>+IFERROR(Y2088*S2095,0)</f>
        <v>0</v>
      </c>
      <c r="Z2095" s="391">
        <f>Y2088*V2095</f>
        <v>0</v>
      </c>
      <c r="AA2095" s="394"/>
      <c r="AB2095" s="395">
        <f>+Y2095*T2095</f>
        <v>0</v>
      </c>
      <c r="AC2095" s="93">
        <f>+AB2095-Z2095</f>
        <v>0</v>
      </c>
      <c r="AD2095" s="94"/>
      <c r="AE2095" s="386" t="str">
        <f>+IF(V2095=0,"CERO","NO")</f>
        <v>CERO</v>
      </c>
    </row>
    <row r="2096" spans="3:31" s="260" customFormat="1" ht="15.75" thickBot="1" x14ac:dyDescent="0.3">
      <c r="C2096" s="84"/>
      <c r="D2096" s="85"/>
      <c r="E2096" s="86"/>
      <c r="F2096" s="86"/>
      <c r="G2096" s="86"/>
      <c r="H2096" s="86"/>
      <c r="I2096" s="86"/>
      <c r="J2096" s="87"/>
      <c r="K2096" s="88"/>
      <c r="M2096" s="102">
        <v>0</v>
      </c>
      <c r="N2096" s="564"/>
      <c r="O2096" s="564"/>
      <c r="P2096" s="564"/>
      <c r="Q2096" s="564"/>
      <c r="R2096" s="96"/>
      <c r="S2096" s="96"/>
      <c r="T2096" s="565"/>
      <c r="U2096" s="565"/>
      <c r="V2096" s="101"/>
      <c r="Y2096" s="393">
        <f>+IFERROR(Y2088*S2096,0)</f>
        <v>0</v>
      </c>
      <c r="Z2096" s="391">
        <f>Y2088*V2096</f>
        <v>0</v>
      </c>
      <c r="AA2096" s="394"/>
      <c r="AB2096" s="395">
        <f>+Y2096*T2096</f>
        <v>0</v>
      </c>
      <c r="AC2096" s="93">
        <f>+AB2096-Z2096</f>
        <v>0</v>
      </c>
      <c r="AD2096" s="94"/>
      <c r="AE2096" s="386" t="str">
        <f>+IF(V2096=0,"CERO","NO")</f>
        <v>CERO</v>
      </c>
    </row>
    <row r="2097" spans="3:31" s="260" customFormat="1" ht="15.75" thickBot="1" x14ac:dyDescent="0.3">
      <c r="C2097" s="84"/>
      <c r="D2097" s="375" t="s">
        <v>128</v>
      </c>
      <c r="E2097" s="376" t="s">
        <v>129</v>
      </c>
      <c r="F2097" s="376" t="s">
        <v>130</v>
      </c>
      <c r="G2097" s="376" t="s">
        <v>131</v>
      </c>
      <c r="H2097" s="376" t="s">
        <v>132</v>
      </c>
      <c r="I2097" s="376" t="s">
        <v>133</v>
      </c>
      <c r="J2097" s="377" t="s">
        <v>134</v>
      </c>
      <c r="K2097" s="88"/>
      <c r="M2097" s="534"/>
      <c r="N2097" s="536" t="s">
        <v>101</v>
      </c>
      <c r="O2097" s="536"/>
      <c r="P2097" s="536"/>
      <c r="Q2097" s="536"/>
      <c r="R2097" s="536"/>
      <c r="S2097" s="536"/>
      <c r="T2097" s="536"/>
      <c r="U2097" s="536"/>
      <c r="V2097" s="389">
        <f>+SUM(V2092:V2096)</f>
        <v>278.94850000000002</v>
      </c>
      <c r="Y2097" s="398" t="s">
        <v>135</v>
      </c>
      <c r="Z2097" s="397">
        <f>+SUM(Z2092:Z2096)</f>
        <v>1952.6395000000002</v>
      </c>
      <c r="AA2097" s="86"/>
      <c r="AB2097" s="384"/>
      <c r="AC2097" s="385"/>
      <c r="AD2097" s="94"/>
      <c r="AE2097" s="399"/>
    </row>
    <row r="2098" spans="3:31" s="260" customFormat="1" ht="15.75" thickBot="1" x14ac:dyDescent="0.3">
      <c r="C2098" s="84"/>
      <c r="D2098" s="375">
        <f>C2088</f>
        <v>2.33</v>
      </c>
      <c r="E2098" s="376"/>
      <c r="F2098" s="376"/>
      <c r="G2098" s="376"/>
      <c r="H2098" s="376"/>
      <c r="I2098" s="376"/>
      <c r="J2098" s="377"/>
      <c r="K2098" s="88"/>
      <c r="M2098" s="566"/>
      <c r="N2098" s="567" t="s">
        <v>102</v>
      </c>
      <c r="O2098" s="567"/>
      <c r="P2098" s="567"/>
      <c r="Q2098" s="567"/>
      <c r="R2098" s="567"/>
      <c r="S2098" s="567"/>
      <c r="T2098" s="567"/>
      <c r="U2098" s="567"/>
      <c r="V2098" s="400">
        <f>+ROUND(V2097,$AA$5)</f>
        <v>278.95</v>
      </c>
      <c r="Y2098" s="401" t="s">
        <v>136</v>
      </c>
      <c r="Z2098" s="402">
        <f>+ROUND(Z2097,$AA$5)</f>
        <v>1952.64</v>
      </c>
      <c r="AA2098" s="86"/>
      <c r="AB2098" s="403">
        <f>+V2098*Y2088</f>
        <v>1952.6499999999999</v>
      </c>
      <c r="AC2098" s="404">
        <f>+AB2098-Z2098</f>
        <v>9.9999999997635314E-3</v>
      </c>
      <c r="AD2098" s="94"/>
      <c r="AE2098" s="405"/>
    </row>
    <row r="2099" spans="3:31" s="260" customFormat="1" x14ac:dyDescent="0.25">
      <c r="C2099" s="84"/>
      <c r="D2099" s="380"/>
      <c r="E2099" s="381"/>
      <c r="F2099" s="381"/>
      <c r="G2099" s="381"/>
      <c r="H2099" s="381"/>
      <c r="I2099" s="381"/>
      <c r="J2099" s="382"/>
      <c r="K2099" s="88"/>
      <c r="M2099" s="510" t="s">
        <v>103</v>
      </c>
      <c r="N2099" s="511"/>
      <c r="O2099" s="511"/>
      <c r="P2099" s="511"/>
      <c r="Q2099" s="511"/>
      <c r="R2099" s="511"/>
      <c r="S2099" s="511"/>
      <c r="T2099" s="511"/>
      <c r="U2099" s="511"/>
      <c r="V2099" s="512"/>
      <c r="Y2099" s="378"/>
      <c r="Z2099" s="121"/>
      <c r="AA2099" s="86"/>
      <c r="AB2099" s="513"/>
      <c r="AC2099" s="514"/>
      <c r="AD2099" s="94"/>
      <c r="AE2099" s="126"/>
    </row>
    <row r="2100" spans="3:31" s="260" customFormat="1" x14ac:dyDescent="0.25">
      <c r="C2100" s="84"/>
      <c r="D2100" s="85"/>
      <c r="E2100" s="86"/>
      <c r="F2100" s="86"/>
      <c r="G2100" s="86"/>
      <c r="H2100" s="86"/>
      <c r="I2100" s="86"/>
      <c r="J2100" s="87"/>
      <c r="K2100" s="88"/>
      <c r="M2100" s="99" t="s">
        <v>94</v>
      </c>
      <c r="N2100" s="561" t="s">
        <v>95</v>
      </c>
      <c r="O2100" s="561"/>
      <c r="P2100" s="561"/>
      <c r="Q2100" s="561"/>
      <c r="R2100" s="95" t="s">
        <v>96</v>
      </c>
      <c r="S2100" s="95" t="s">
        <v>104</v>
      </c>
      <c r="T2100" s="356" t="s">
        <v>105</v>
      </c>
      <c r="U2100" s="356" t="s">
        <v>8</v>
      </c>
      <c r="V2100" s="100" t="s">
        <v>98</v>
      </c>
      <c r="Y2100" s="383" t="s">
        <v>104</v>
      </c>
      <c r="Z2100" s="119" t="s">
        <v>9</v>
      </c>
      <c r="AA2100" s="86"/>
      <c r="AB2100" s="384"/>
      <c r="AC2100" s="385"/>
      <c r="AD2100" s="94"/>
      <c r="AE2100" s="406"/>
    </row>
    <row r="2101" spans="3:31" s="260" customFormat="1" x14ac:dyDescent="0.25">
      <c r="C2101" s="84"/>
      <c r="D2101" s="85"/>
      <c r="E2101" s="86"/>
      <c r="F2101" s="86"/>
      <c r="G2101" s="86"/>
      <c r="H2101" s="86"/>
      <c r="I2101" s="86"/>
      <c r="J2101" s="87"/>
      <c r="K2101" s="88"/>
      <c r="M2101" s="102">
        <v>756</v>
      </c>
      <c r="N2101" s="533" t="str">
        <f>IFERROR(VLOOKUP(M2101,INSUMOS!$C$8:$K$928,2,0),"-----")</f>
        <v>BUJES SOLDADO 1 1/2" X 1 1/4"</v>
      </c>
      <c r="O2101" s="533"/>
      <c r="P2101" s="533"/>
      <c r="Q2101" s="533"/>
      <c r="R2101" s="78" t="str">
        <f>IFERROR(VLOOKUP(M2101,INSUMOS!$C$8:$K$928,6,0),"-----")</f>
        <v>und</v>
      </c>
      <c r="S2101" s="396">
        <v>1</v>
      </c>
      <c r="T2101" s="387">
        <v>0</v>
      </c>
      <c r="U2101" s="388">
        <f>IFERROR(VLOOKUP(M2101,INSUMOS!$C$8:$K$928,7,0),"0")</f>
        <v>4928</v>
      </c>
      <c r="V2101" s="389">
        <f>+IFERROR(U2101*(S2101*(1+T2101)),0)</f>
        <v>4928</v>
      </c>
      <c r="Y2101" s="393">
        <f>+IFERROR(Y2088*(S2101*(1+T2101)),0)</f>
        <v>7</v>
      </c>
      <c r="Z2101" s="391">
        <f>Y2088*V2101</f>
        <v>34496</v>
      </c>
      <c r="AA2101" s="394"/>
      <c r="AB2101" s="395">
        <f>+Y2101*U2101</f>
        <v>34496</v>
      </c>
      <c r="AC2101" s="93">
        <f>+AB2101-Z2101</f>
        <v>0</v>
      </c>
      <c r="AD2101" s="94"/>
      <c r="AE2101" s="406" t="str">
        <f>+IF(V2101=0,"CERO","NO")</f>
        <v>NO</v>
      </c>
    </row>
    <row r="2102" spans="3:31" s="260" customFormat="1" x14ac:dyDescent="0.25">
      <c r="C2102" s="84"/>
      <c r="D2102" s="85"/>
      <c r="E2102" s="86"/>
      <c r="F2102" s="86"/>
      <c r="G2102" s="86"/>
      <c r="H2102" s="86"/>
      <c r="I2102" s="86"/>
      <c r="J2102" s="87"/>
      <c r="K2102" s="88"/>
      <c r="M2102" s="102">
        <v>699</v>
      </c>
      <c r="N2102" s="533" t="str">
        <f>IFERROR(VLOOKUP(M2102,INSUMOS!$C$8:$K$928,2,0),"-----")</f>
        <v>SOLDADURA PVC LIQUIDA 1/4"</v>
      </c>
      <c r="O2102" s="533"/>
      <c r="P2102" s="533"/>
      <c r="Q2102" s="533"/>
      <c r="R2102" s="78" t="str">
        <f>IFERROR(VLOOKUP(M2102,INSUMOS!$C$8:$K$928,6,0),"-----")</f>
        <v>und</v>
      </c>
      <c r="S2102" s="392">
        <v>0.01</v>
      </c>
      <c r="T2102" s="387">
        <v>0.02</v>
      </c>
      <c r="U2102" s="388">
        <f>IFERROR(VLOOKUP(M2102,INSUMOS!$C$8:$K$928,7,0),"0")</f>
        <v>146569</v>
      </c>
      <c r="V2102" s="389">
        <f>+IFERROR(U2102*(S2102*(1+T2102)),0)</f>
        <v>1495.0038000000002</v>
      </c>
      <c r="Y2102" s="393">
        <f>+IFERROR(Y2088*(S2102*(1+T2102)),0)</f>
        <v>7.1400000000000005E-2</v>
      </c>
      <c r="Z2102" s="391">
        <f>Y2088*V2102</f>
        <v>10465.026600000001</v>
      </c>
      <c r="AA2102" s="394"/>
      <c r="AB2102" s="395">
        <f>+Y2102*U2102</f>
        <v>10465.026600000001</v>
      </c>
      <c r="AC2102" s="93">
        <f>+AB2102-Z2102</f>
        <v>0</v>
      </c>
      <c r="AD2102" s="94"/>
      <c r="AE2102" s="406" t="str">
        <f>+IF(V2102=0,"CERO","NO")</f>
        <v>NO</v>
      </c>
    </row>
    <row r="2103" spans="3:31" s="260" customFormat="1" x14ac:dyDescent="0.25">
      <c r="C2103" s="84"/>
      <c r="D2103" s="85"/>
      <c r="E2103" s="86"/>
      <c r="F2103" s="86"/>
      <c r="G2103" s="86"/>
      <c r="H2103" s="86"/>
      <c r="I2103" s="86"/>
      <c r="J2103" s="87"/>
      <c r="K2103" s="88"/>
      <c r="M2103" s="102">
        <v>700</v>
      </c>
      <c r="N2103" s="533" t="str">
        <f>IFERROR(VLOOKUP(M2103,INSUMOS!$C$8:$K$928,2,0),"-----")</f>
        <v>LIMPIADOR PVC 1/4</v>
      </c>
      <c r="O2103" s="533"/>
      <c r="P2103" s="533"/>
      <c r="Q2103" s="533"/>
      <c r="R2103" s="78" t="str">
        <f>IFERROR(VLOOKUP(M2103,INSUMOS!$C$8:$K$928,6,0),"-----")</f>
        <v>und</v>
      </c>
      <c r="S2103" s="392">
        <v>0.01</v>
      </c>
      <c r="T2103" s="387">
        <v>0.02</v>
      </c>
      <c r="U2103" s="388">
        <f>IFERROR(VLOOKUP(M2103,INSUMOS!$C$8:$K$928,7,0),"0")</f>
        <v>65913</v>
      </c>
      <c r="V2103" s="389">
        <f>+IFERROR(U2103*(S2103*(1+T2103)),0)</f>
        <v>672.31260000000009</v>
      </c>
      <c r="Y2103" s="393">
        <f>+IFERROR(Y2088*(S2103*(1+T2103)),0)</f>
        <v>7.1400000000000005E-2</v>
      </c>
      <c r="Z2103" s="391">
        <f>Y2088*V2103</f>
        <v>4706.1882000000005</v>
      </c>
      <c r="AA2103" s="394"/>
      <c r="AB2103" s="395">
        <f>+Y2103*U2103</f>
        <v>4706.1882000000005</v>
      </c>
      <c r="AC2103" s="93">
        <f>+AB2103-Z2103</f>
        <v>0</v>
      </c>
      <c r="AD2103" s="94"/>
      <c r="AE2103" s="406" t="str">
        <f>+IF(V2103=0,"CERO","NO")</f>
        <v>NO</v>
      </c>
    </row>
    <row r="2104" spans="3:31" s="260" customFormat="1" x14ac:dyDescent="0.25">
      <c r="C2104" s="84"/>
      <c r="D2104" s="85"/>
      <c r="E2104" s="86"/>
      <c r="F2104" s="86"/>
      <c r="G2104" s="86"/>
      <c r="H2104" s="86"/>
      <c r="I2104" s="86"/>
      <c r="J2104" s="87"/>
      <c r="K2104" s="88"/>
      <c r="M2104" s="102">
        <v>0</v>
      </c>
      <c r="N2104" s="533" t="str">
        <f>IFERROR(VLOOKUP(M2104,INSUMOS!$C$8:$K$928,2,0),"-----")</f>
        <v>-----</v>
      </c>
      <c r="O2104" s="533"/>
      <c r="P2104" s="533"/>
      <c r="Q2104" s="533"/>
      <c r="R2104" s="78" t="str">
        <f>IFERROR(VLOOKUP(M2104,INSUMOS!$C$8:$K$928,6,0),"-----")</f>
        <v>-----</v>
      </c>
      <c r="S2104" s="396"/>
      <c r="T2104" s="387"/>
      <c r="U2104" s="388" t="str">
        <f>IFERROR(VLOOKUP(M2104,INSUMOS!$C$8:$K$928,7,0),"0")</f>
        <v>0</v>
      </c>
      <c r="V2104" s="389">
        <f>+IFERROR(U2104*(S2104*(1+T2104)),0)</f>
        <v>0</v>
      </c>
      <c r="Y2104" s="393">
        <f>+IFERROR(Y2088*(S2104*(1+T2104)),0)</f>
        <v>0</v>
      </c>
      <c r="Z2104" s="391">
        <f>Y2088*V2104</f>
        <v>0</v>
      </c>
      <c r="AA2104" s="394"/>
      <c r="AB2104" s="395">
        <f>+Y2104*U2104</f>
        <v>0</v>
      </c>
      <c r="AC2104" s="93">
        <f>+AB2104-Z2104</f>
        <v>0</v>
      </c>
      <c r="AD2104" s="94"/>
      <c r="AE2104" s="406" t="str">
        <f>+IF(V2104=0,"CERO","NO")</f>
        <v>CERO</v>
      </c>
    </row>
    <row r="2105" spans="3:31" s="260" customFormat="1" ht="15.75" thickBot="1" x14ac:dyDescent="0.3">
      <c r="C2105" s="84"/>
      <c r="D2105" s="85"/>
      <c r="E2105" s="86"/>
      <c r="F2105" s="86"/>
      <c r="G2105" s="86"/>
      <c r="H2105" s="86"/>
      <c r="I2105" s="86"/>
      <c r="J2105" s="87"/>
      <c r="K2105" s="88"/>
      <c r="M2105" s="102">
        <v>0</v>
      </c>
      <c r="N2105" s="564"/>
      <c r="O2105" s="564"/>
      <c r="P2105" s="564"/>
      <c r="Q2105" s="564"/>
      <c r="R2105" s="96"/>
      <c r="S2105" s="79"/>
      <c r="T2105" s="97"/>
      <c r="U2105" s="358"/>
      <c r="V2105" s="397"/>
      <c r="Y2105" s="393">
        <f>+IFERROR(Y2088*(S2105*(1+T2105)),0)</f>
        <v>0</v>
      </c>
      <c r="Z2105" s="391">
        <f>Y2088*V2105</f>
        <v>0</v>
      </c>
      <c r="AA2105" s="394"/>
      <c r="AB2105" s="395">
        <f>+Y2105*U2105</f>
        <v>0</v>
      </c>
      <c r="AC2105" s="93">
        <f>+AB2105-Z2105</f>
        <v>0</v>
      </c>
      <c r="AD2105" s="94"/>
      <c r="AE2105" s="406" t="str">
        <f>+IF(V2105=0,"CERO","NO")</f>
        <v>CERO</v>
      </c>
    </row>
    <row r="2106" spans="3:31" s="260" customFormat="1" ht="15.75" thickBot="1" x14ac:dyDescent="0.3">
      <c r="C2106" s="84"/>
      <c r="D2106" s="375" t="s">
        <v>128</v>
      </c>
      <c r="E2106" s="376" t="s">
        <v>129</v>
      </c>
      <c r="F2106" s="376" t="s">
        <v>130</v>
      </c>
      <c r="G2106" s="376" t="s">
        <v>131</v>
      </c>
      <c r="H2106" s="376" t="s">
        <v>132</v>
      </c>
      <c r="I2106" s="376" t="s">
        <v>133</v>
      </c>
      <c r="J2106" s="377" t="s">
        <v>134</v>
      </c>
      <c r="K2106" s="88"/>
      <c r="M2106" s="534"/>
      <c r="N2106" s="536" t="s">
        <v>106</v>
      </c>
      <c r="O2106" s="536"/>
      <c r="P2106" s="536"/>
      <c r="Q2106" s="536"/>
      <c r="R2106" s="536"/>
      <c r="S2106" s="536"/>
      <c r="T2106" s="536"/>
      <c r="U2106" s="536"/>
      <c r="V2106" s="389">
        <f>+SUM(V2101:V2105)</f>
        <v>7095.3164000000006</v>
      </c>
      <c r="Y2106" s="398" t="s">
        <v>135</v>
      </c>
      <c r="Z2106" s="397">
        <f>+SUM(Z2101:Z2105)</f>
        <v>49667.214800000002</v>
      </c>
      <c r="AA2106" s="86"/>
      <c r="AB2106" s="384"/>
      <c r="AC2106" s="385"/>
      <c r="AD2106" s="94"/>
      <c r="AE2106" s="399"/>
    </row>
    <row r="2107" spans="3:31" s="260" customFormat="1" ht="15.75" thickBot="1" x14ac:dyDescent="0.3">
      <c r="C2107" s="84"/>
      <c r="D2107" s="375"/>
      <c r="E2107" s="407">
        <f>+D2098</f>
        <v>2.33</v>
      </c>
      <c r="F2107" s="376"/>
      <c r="G2107" s="376"/>
      <c r="H2107" s="376"/>
      <c r="I2107" s="376"/>
      <c r="J2107" s="377"/>
      <c r="K2107" s="88"/>
      <c r="M2107" s="535"/>
      <c r="N2107" s="537" t="s">
        <v>107</v>
      </c>
      <c r="O2107" s="537"/>
      <c r="P2107" s="537"/>
      <c r="Q2107" s="537"/>
      <c r="R2107" s="537"/>
      <c r="S2107" s="537"/>
      <c r="T2107" s="537"/>
      <c r="U2107" s="537"/>
      <c r="V2107" s="408">
        <f>+ROUND(V2106,$AA$5)</f>
        <v>7095.32</v>
      </c>
      <c r="Y2107" s="401" t="s">
        <v>136</v>
      </c>
      <c r="Z2107" s="402">
        <f>+ROUND(Z2106,$AA$5)</f>
        <v>49667.21</v>
      </c>
      <c r="AA2107" s="86"/>
      <c r="AB2107" s="403">
        <f>+V2107*Y2088</f>
        <v>49667.24</v>
      </c>
      <c r="AC2107" s="404">
        <f>+AB2107-Z2107</f>
        <v>2.9999999998835847E-2</v>
      </c>
      <c r="AD2107" s="94"/>
      <c r="AE2107" s="405"/>
    </row>
    <row r="2108" spans="3:31" s="260" customFormat="1" x14ac:dyDescent="0.25">
      <c r="C2108" s="84"/>
      <c r="D2108" s="380"/>
      <c r="E2108" s="381"/>
      <c r="F2108" s="381"/>
      <c r="G2108" s="381"/>
      <c r="H2108" s="381"/>
      <c r="I2108" s="381"/>
      <c r="J2108" s="382"/>
      <c r="K2108" s="88"/>
      <c r="M2108" s="568" t="s">
        <v>108</v>
      </c>
      <c r="N2108" s="569"/>
      <c r="O2108" s="569"/>
      <c r="P2108" s="569"/>
      <c r="Q2108" s="569"/>
      <c r="R2108" s="569"/>
      <c r="S2108" s="569"/>
      <c r="T2108" s="569"/>
      <c r="U2108" s="569"/>
      <c r="V2108" s="570"/>
      <c r="Y2108" s="378"/>
      <c r="Z2108" s="121"/>
      <c r="AA2108" s="86"/>
      <c r="AB2108" s="409"/>
      <c r="AC2108" s="121"/>
      <c r="AD2108" s="94"/>
      <c r="AE2108" s="126"/>
    </row>
    <row r="2109" spans="3:31" s="260" customFormat="1" ht="25.5" x14ac:dyDescent="0.25">
      <c r="C2109" s="84"/>
      <c r="D2109" s="85"/>
      <c r="E2109" s="86"/>
      <c r="F2109" s="86"/>
      <c r="G2109" s="86"/>
      <c r="H2109" s="86"/>
      <c r="I2109" s="86"/>
      <c r="J2109" s="87"/>
      <c r="K2109" s="88"/>
      <c r="M2109" s="99" t="s">
        <v>94</v>
      </c>
      <c r="N2109" s="561" t="s">
        <v>95</v>
      </c>
      <c r="O2109" s="561"/>
      <c r="P2109" s="561"/>
      <c r="Q2109" s="95" t="s">
        <v>109</v>
      </c>
      <c r="R2109" s="95" t="s">
        <v>110</v>
      </c>
      <c r="S2109" s="95" t="s">
        <v>111</v>
      </c>
      <c r="T2109" s="562" t="s">
        <v>112</v>
      </c>
      <c r="U2109" s="562"/>
      <c r="V2109" s="100" t="s">
        <v>98</v>
      </c>
      <c r="Y2109" s="383" t="s">
        <v>104</v>
      </c>
      <c r="Z2109" s="119" t="s">
        <v>9</v>
      </c>
      <c r="AA2109" s="86"/>
      <c r="AB2109" s="384"/>
      <c r="AC2109" s="385"/>
      <c r="AD2109" s="94"/>
      <c r="AE2109" s="410"/>
    </row>
    <row r="2110" spans="3:31" s="260" customFormat="1" x14ac:dyDescent="0.25">
      <c r="C2110" s="84"/>
      <c r="D2110" s="85"/>
      <c r="E2110" s="86"/>
      <c r="F2110" s="86"/>
      <c r="G2110" s="86"/>
      <c r="H2110" s="86"/>
      <c r="I2110" s="86"/>
      <c r="J2110" s="87"/>
      <c r="K2110" s="88"/>
      <c r="M2110" s="102">
        <v>129</v>
      </c>
      <c r="N2110" s="530" t="str">
        <f>IFERROR(VLOOKUP(M2110,INSUMOS!$C$8:$K$928,2,0),"-----")</f>
        <v>transporte materiales en general</v>
      </c>
      <c r="O2110" s="531"/>
      <c r="P2110" s="532"/>
      <c r="Q2110" s="78" t="str">
        <f>IFERROR(VLOOKUP(M2110,INSUMOS!$C$8:$K$928,5,0),"-----")</f>
        <v>Km</v>
      </c>
      <c r="R2110" s="80">
        <v>1</v>
      </c>
      <c r="S2110" s="80">
        <f>IFERROR(VLOOKUP(M2110,INSUMOS!$C$8:$K$928,6,0),"0")</f>
        <v>348</v>
      </c>
      <c r="T2110" s="529">
        <f>IFERROR(VLOOKUP(M2110,INSUMOS!$C$8:$K$928,7,0),"0")</f>
        <v>0.99776362060288992</v>
      </c>
      <c r="U2110" s="529"/>
      <c r="V2110" s="82">
        <f>+T2110*S2110*R2110</f>
        <v>347.2217399698057</v>
      </c>
      <c r="Y2110" s="393">
        <f>+IFERROR((R2110*S2110)*Y2088,0)</f>
        <v>2436</v>
      </c>
      <c r="Z2110" s="391">
        <f>Y2088*V2110</f>
        <v>2430.5521797886399</v>
      </c>
      <c r="AA2110" s="86"/>
      <c r="AB2110" s="92">
        <f>+Y2110*T2110</f>
        <v>2430.5521797886399</v>
      </c>
      <c r="AC2110" s="93">
        <f>+AB2110-Z2110</f>
        <v>0</v>
      </c>
      <c r="AD2110" s="94"/>
      <c r="AE2110" s="406" t="str">
        <f>+IF(V2110=0,"CERO","NO")</f>
        <v>NO</v>
      </c>
    </row>
    <row r="2111" spans="3:31" s="260" customFormat="1" x14ac:dyDescent="0.25">
      <c r="C2111" s="84"/>
      <c r="D2111" s="85"/>
      <c r="E2111" s="86"/>
      <c r="F2111" s="86"/>
      <c r="G2111" s="86"/>
      <c r="H2111" s="86"/>
      <c r="I2111" s="86"/>
      <c r="J2111" s="87"/>
      <c r="K2111" s="88"/>
      <c r="M2111" s="102">
        <v>0</v>
      </c>
      <c r="N2111" s="530" t="str">
        <f>IFERROR(VLOOKUP(M2111,INSUMOS!$C$8:$K$928,2,0),"-----")</f>
        <v>-----</v>
      </c>
      <c r="O2111" s="531"/>
      <c r="P2111" s="532"/>
      <c r="Q2111" s="78" t="str">
        <f>IFERROR(VLOOKUP(M2111,INSUMOS!$C$8:$K$928,5,0),"-----")</f>
        <v>-----</v>
      </c>
      <c r="R2111" s="80"/>
      <c r="S2111" s="80" t="str">
        <f>IFERROR(VLOOKUP(M2111,INSUMOS!$C$8:$K$928,6,0),"0")</f>
        <v>0</v>
      </c>
      <c r="T2111" s="529" t="str">
        <f>IFERROR(VLOOKUP(M2111,INSUMOS!$C$8:$K$928,7,0),"0")</f>
        <v>0</v>
      </c>
      <c r="U2111" s="529"/>
      <c r="V2111" s="82">
        <f>+T2111*S2111*R2111</f>
        <v>0</v>
      </c>
      <c r="Y2111" s="393">
        <f>+IFERROR((R2111*S2111)*Y2088,0)</f>
        <v>0</v>
      </c>
      <c r="Z2111" s="391">
        <f>Y2088*V2111</f>
        <v>0</v>
      </c>
      <c r="AA2111" s="86"/>
      <c r="AB2111" s="92">
        <f>+Y2111*T2111</f>
        <v>0</v>
      </c>
      <c r="AC2111" s="93">
        <f>+AB2111-Z2111</f>
        <v>0</v>
      </c>
      <c r="AD2111" s="94"/>
      <c r="AE2111" s="406" t="str">
        <f>+IF(V2111=0,"CERO","NO")</f>
        <v>CERO</v>
      </c>
    </row>
    <row r="2112" spans="3:31" s="260" customFormat="1" x14ac:dyDescent="0.25">
      <c r="C2112" s="84"/>
      <c r="D2112" s="85"/>
      <c r="E2112" s="86"/>
      <c r="F2112" s="86"/>
      <c r="G2112" s="86"/>
      <c r="H2112" s="86"/>
      <c r="I2112" s="86"/>
      <c r="J2112" s="87"/>
      <c r="K2112" s="88"/>
      <c r="M2112" s="102">
        <v>0</v>
      </c>
      <c r="N2112" s="530" t="str">
        <f>IFERROR(VLOOKUP(M2112,INSUMOS!$C$8:$K$928,2,0),"-----")</f>
        <v>-----</v>
      </c>
      <c r="O2112" s="531"/>
      <c r="P2112" s="532"/>
      <c r="Q2112" s="78" t="str">
        <f>IFERROR(VLOOKUP(M2112,INSUMOS!$C$8:$K$928,5,0),"-----")</f>
        <v>-----</v>
      </c>
      <c r="R2112" s="80"/>
      <c r="S2112" s="80" t="str">
        <f>IFERROR(VLOOKUP(M2112,INSUMOS!$C$8:$K$928,6,0),"0")</f>
        <v>0</v>
      </c>
      <c r="T2112" s="529" t="str">
        <f>IFERROR(VLOOKUP(M2112,INSUMOS!$C$8:$K$928,7,0),"0")</f>
        <v>0</v>
      </c>
      <c r="U2112" s="529"/>
      <c r="V2112" s="82">
        <f>+T2112*S2112*R2112</f>
        <v>0</v>
      </c>
      <c r="Y2112" s="393">
        <f>+IFERROR((R2112*S2112)*Y2088,0)</f>
        <v>0</v>
      </c>
      <c r="Z2112" s="391">
        <f>Y2088*V2112</f>
        <v>0</v>
      </c>
      <c r="AA2112" s="86"/>
      <c r="AB2112" s="92">
        <f>+Y2112*T2112</f>
        <v>0</v>
      </c>
      <c r="AC2112" s="93">
        <f>+AB2112-Z2112</f>
        <v>0</v>
      </c>
      <c r="AD2112" s="94"/>
      <c r="AE2112" s="406" t="str">
        <f>+IF(V2112=0,"CERO","NO")</f>
        <v>CERO</v>
      </c>
    </row>
    <row r="2113" spans="3:31" s="260" customFormat="1" ht="15.75" thickBot="1" x14ac:dyDescent="0.3">
      <c r="C2113" s="84"/>
      <c r="D2113" s="89"/>
      <c r="E2113" s="90"/>
      <c r="F2113" s="90"/>
      <c r="G2113" s="90"/>
      <c r="H2113" s="90"/>
      <c r="I2113" s="90"/>
      <c r="J2113" s="91"/>
      <c r="K2113" s="88"/>
      <c r="M2113" s="102">
        <v>0</v>
      </c>
      <c r="N2113" s="533"/>
      <c r="O2113" s="533"/>
      <c r="P2113" s="533"/>
      <c r="Q2113" s="79"/>
      <c r="R2113" s="78"/>
      <c r="S2113" s="81"/>
      <c r="T2113" s="529"/>
      <c r="U2113" s="529"/>
      <c r="V2113" s="82"/>
      <c r="Y2113" s="393">
        <f>+IFERROR((R2113*S2113)*Y2088,0)</f>
        <v>0</v>
      </c>
      <c r="Z2113" s="391">
        <f>Y2088*V2113</f>
        <v>0</v>
      </c>
      <c r="AA2113" s="86"/>
      <c r="AB2113" s="92">
        <f>+Y2113*T2113</f>
        <v>0</v>
      </c>
      <c r="AC2113" s="93">
        <f>+AB2113-Z2113</f>
        <v>0</v>
      </c>
      <c r="AD2113" s="94"/>
      <c r="AE2113" s="406" t="str">
        <f>+IF(V2113=0,"CERO","NO")</f>
        <v>CERO</v>
      </c>
    </row>
    <row r="2114" spans="3:31" s="260" customFormat="1" ht="15.75" thickBot="1" x14ac:dyDescent="0.3">
      <c r="C2114" s="84"/>
      <c r="D2114" s="375" t="s">
        <v>128</v>
      </c>
      <c r="E2114" s="376" t="s">
        <v>129</v>
      </c>
      <c r="F2114" s="376" t="s">
        <v>130</v>
      </c>
      <c r="G2114" s="376" t="s">
        <v>131</v>
      </c>
      <c r="H2114" s="376" t="s">
        <v>132</v>
      </c>
      <c r="I2114" s="376" t="s">
        <v>133</v>
      </c>
      <c r="J2114" s="377" t="s">
        <v>134</v>
      </c>
      <c r="K2114" s="88"/>
      <c r="M2114" s="534"/>
      <c r="N2114" s="536" t="s">
        <v>113</v>
      </c>
      <c r="O2114" s="536"/>
      <c r="P2114" s="536"/>
      <c r="Q2114" s="536"/>
      <c r="R2114" s="536"/>
      <c r="S2114" s="536"/>
      <c r="T2114" s="536"/>
      <c r="U2114" s="536"/>
      <c r="V2114" s="411">
        <f>+SUM(V2110:V2113)</f>
        <v>347.2217399698057</v>
      </c>
      <c r="Y2114" s="398" t="s">
        <v>135</v>
      </c>
      <c r="Z2114" s="397">
        <f>+SUM(Z2110:Z2113)</f>
        <v>2430.5521797886399</v>
      </c>
      <c r="AA2114" s="86"/>
      <c r="AB2114" s="384"/>
      <c r="AC2114" s="385"/>
      <c r="AD2114" s="94"/>
      <c r="AE2114" s="399"/>
    </row>
    <row r="2115" spans="3:31" s="260" customFormat="1" ht="15.75" thickBot="1" x14ac:dyDescent="0.3">
      <c r="C2115" s="84"/>
      <c r="D2115" s="355"/>
      <c r="E2115" s="367"/>
      <c r="F2115" s="412">
        <f>+E2107</f>
        <v>2.33</v>
      </c>
      <c r="G2115" s="367"/>
      <c r="H2115" s="367"/>
      <c r="I2115" s="367"/>
      <c r="J2115" s="368"/>
      <c r="K2115" s="88"/>
      <c r="M2115" s="535"/>
      <c r="N2115" s="537" t="s">
        <v>114</v>
      </c>
      <c r="O2115" s="537"/>
      <c r="P2115" s="537"/>
      <c r="Q2115" s="537"/>
      <c r="R2115" s="537"/>
      <c r="S2115" s="537"/>
      <c r="T2115" s="537"/>
      <c r="U2115" s="537"/>
      <c r="V2115" s="413">
        <f>+ROUND(V2114,$AA$5)</f>
        <v>347.22</v>
      </c>
      <c r="Y2115" s="401" t="s">
        <v>136</v>
      </c>
      <c r="Z2115" s="402">
        <f>+ROUND(Z2114,$AA$5)</f>
        <v>2430.5500000000002</v>
      </c>
      <c r="AA2115" s="86"/>
      <c r="AB2115" s="403">
        <f>+V2115*Y2088</f>
        <v>2430.54</v>
      </c>
      <c r="AC2115" s="414"/>
      <c r="AD2115" s="94"/>
      <c r="AE2115" s="405"/>
    </row>
    <row r="2116" spans="3:31" s="260" customFormat="1" ht="15.75" thickBot="1" x14ac:dyDescent="0.3">
      <c r="C2116" s="84"/>
      <c r="D2116" s="415"/>
      <c r="E2116" s="416"/>
      <c r="F2116" s="416"/>
      <c r="G2116" s="416"/>
      <c r="H2116" s="416"/>
      <c r="I2116" s="416"/>
      <c r="J2116" s="417"/>
      <c r="K2116" s="88"/>
      <c r="M2116" s="538" t="s">
        <v>115</v>
      </c>
      <c r="N2116" s="539"/>
      <c r="O2116" s="539"/>
      <c r="P2116" s="539"/>
      <c r="Q2116" s="539"/>
      <c r="R2116" s="539"/>
      <c r="S2116" s="539"/>
      <c r="T2116" s="539"/>
      <c r="U2116" s="539"/>
      <c r="V2116" s="540"/>
      <c r="Y2116" s="378"/>
      <c r="Z2116" s="121"/>
      <c r="AA2116" s="86"/>
      <c r="AB2116" s="409"/>
      <c r="AC2116" s="121"/>
      <c r="AD2116" s="94"/>
      <c r="AE2116" s="126"/>
    </row>
    <row r="2117" spans="3:31" s="260" customFormat="1" ht="15.75" thickBot="1" x14ac:dyDescent="0.3">
      <c r="C2117" s="84"/>
      <c r="D2117" s="375" t="s">
        <v>128</v>
      </c>
      <c r="E2117" s="376" t="s">
        <v>129</v>
      </c>
      <c r="F2117" s="376" t="s">
        <v>130</v>
      </c>
      <c r="G2117" s="376" t="s">
        <v>131</v>
      </c>
      <c r="H2117" s="376" t="s">
        <v>132</v>
      </c>
      <c r="I2117" s="376" t="s">
        <v>133</v>
      </c>
      <c r="J2117" s="377" t="s">
        <v>134</v>
      </c>
      <c r="K2117" s="88"/>
      <c r="M2117" s="99" t="s">
        <v>94</v>
      </c>
      <c r="N2117" s="98" t="s">
        <v>95</v>
      </c>
      <c r="O2117" s="95" t="s">
        <v>96</v>
      </c>
      <c r="P2117" s="359" t="s">
        <v>104</v>
      </c>
      <c r="Q2117" s="95" t="s">
        <v>116</v>
      </c>
      <c r="R2117" s="418" t="s">
        <v>117</v>
      </c>
      <c r="S2117" s="95" t="s">
        <v>347</v>
      </c>
      <c r="T2117" s="419" t="s">
        <v>118</v>
      </c>
      <c r="U2117" s="189" t="s">
        <v>119</v>
      </c>
      <c r="V2117" s="100" t="s">
        <v>98</v>
      </c>
      <c r="Y2117" s="383" t="s">
        <v>104</v>
      </c>
      <c r="Z2117" s="119" t="s">
        <v>9</v>
      </c>
      <c r="AA2117" s="86"/>
      <c r="AB2117" s="384"/>
      <c r="AC2117" s="385"/>
      <c r="AD2117" s="94"/>
      <c r="AE2117" s="410"/>
    </row>
    <row r="2118" spans="3:31" s="260" customFormat="1" ht="25.5" x14ac:dyDescent="0.25">
      <c r="C2118" s="84"/>
      <c r="D2118" s="354"/>
      <c r="E2118" s="96"/>
      <c r="F2118" s="96"/>
      <c r="G2118" s="96"/>
      <c r="H2118" s="96"/>
      <c r="I2118" s="96"/>
      <c r="J2118" s="420">
        <f>+F2115</f>
        <v>2.33</v>
      </c>
      <c r="K2118" s="88"/>
      <c r="M2118" s="102">
        <v>207</v>
      </c>
      <c r="N2118" s="347" t="str">
        <f>IFERROR(VLOOKUP(M2118,INSUMOS!$C$8:$K$928,2,0),"-----")</f>
        <v>Oficial Hidrosanitario</v>
      </c>
      <c r="O2118" s="78" t="str">
        <f>IFERROR(VLOOKUP(M2118,INSUMOS!$C$8:$K$928,3,0),"-----")</f>
        <v>JORNAL+PS</v>
      </c>
      <c r="P2118" s="80">
        <v>1</v>
      </c>
      <c r="Q2118" s="79">
        <v>30</v>
      </c>
      <c r="R2118" s="190">
        <f>IFERROR(VLOOKUP(M2118,INSUMOS!$C$8:$K$928,4,0),"-----")</f>
        <v>92983</v>
      </c>
      <c r="S2118" s="190">
        <f>IFERROR(VLOOKUP(M2118,INSUMOS!$C$8:$K$928,6,0),"-----")</f>
        <v>74386</v>
      </c>
      <c r="T2118" s="190">
        <f>IFERROR(VLOOKUP(M2118,INSUMOS!$C$8:$K$928,5,0),"-----")</f>
        <v>0</v>
      </c>
      <c r="U2118" s="388">
        <f>SUM(R2118:T2118)</f>
        <v>167369</v>
      </c>
      <c r="V2118" s="82">
        <f>+IFERROR((P2118/Q2118)*U2118,0)</f>
        <v>5578.9666666666662</v>
      </c>
      <c r="Y2118" s="393">
        <f>+IFERROR((Y2088/Q2118*P2118),0)</f>
        <v>0.23333333333333334</v>
      </c>
      <c r="Z2118" s="391">
        <f>Y2088*V2118</f>
        <v>39052.766666666663</v>
      </c>
      <c r="AA2118" s="86"/>
      <c r="AB2118" s="92">
        <f>+(U2118)*Y2118</f>
        <v>39052.76666666667</v>
      </c>
      <c r="AC2118" s="93">
        <f>+AB2118-Z2118</f>
        <v>0</v>
      </c>
      <c r="AD2118" s="421"/>
      <c r="AE2118" s="410" t="str">
        <f>+IF(V2118=0,"CERO","NO")</f>
        <v>NO</v>
      </c>
    </row>
    <row r="2119" spans="3:31" s="260" customFormat="1" ht="15.75" thickBot="1" x14ac:dyDescent="0.3">
      <c r="C2119" s="84"/>
      <c r="D2119" s="355"/>
      <c r="E2119" s="367"/>
      <c r="F2119" s="367"/>
      <c r="G2119" s="367"/>
      <c r="H2119" s="367"/>
      <c r="I2119" s="367"/>
      <c r="J2119" s="422">
        <f>+J2118</f>
        <v>2.33</v>
      </c>
      <c r="K2119" s="88"/>
      <c r="M2119" s="102"/>
      <c r="N2119" s="347" t="str">
        <f>IFERROR(VLOOKUP(M2119,INSUMOS!$C$8:$K$928,2,0),"-----")</f>
        <v>-----</v>
      </c>
      <c r="O2119" s="78" t="str">
        <f>IFERROR(VLOOKUP(M2119,INSUMOS!$C$8:$K$928,3,0),"-----")</f>
        <v>-----</v>
      </c>
      <c r="P2119" s="80"/>
      <c r="Q2119" s="79"/>
      <c r="R2119" s="190" t="str">
        <f>IFERROR(VLOOKUP(M2119,INSUMOS!$C$8:$K$928,4,0),"-----")</f>
        <v>-----</v>
      </c>
      <c r="S2119" s="190" t="str">
        <f>IFERROR(VLOOKUP(M2119,INSUMOS!$C$8:$K$928,6,0),"-----")</f>
        <v>-----</v>
      </c>
      <c r="T2119" s="190" t="str">
        <f>IFERROR(VLOOKUP(M2119,INSUMOS!$C$8:$K$928,5,0),"-----")</f>
        <v>-----</v>
      </c>
      <c r="U2119" s="388">
        <f>SUM(R2119:T2119)</f>
        <v>0</v>
      </c>
      <c r="V2119" s="82">
        <f>+IFERROR((P2119/Q2119)*U2119,0)</f>
        <v>0</v>
      </c>
      <c r="Y2119" s="393">
        <f>+IFERROR((Y2088/Q2119*P2119),0)</f>
        <v>0</v>
      </c>
      <c r="Z2119" s="391">
        <f>Y2088*V2119</f>
        <v>0</v>
      </c>
      <c r="AA2119" s="86"/>
      <c r="AB2119" s="92">
        <f>+U2119*Y2119</f>
        <v>0</v>
      </c>
      <c r="AC2119" s="93">
        <f>+AB2119-Z2119</f>
        <v>0</v>
      </c>
      <c r="AD2119" s="94"/>
      <c r="AE2119" s="410" t="str">
        <f>+IF(V2119=0,"CERO","NO")</f>
        <v>CERO</v>
      </c>
    </row>
    <row r="2120" spans="3:31" s="260" customFormat="1" ht="15.75" thickBot="1" x14ac:dyDescent="0.3">
      <c r="C2120" s="84"/>
      <c r="D2120" s="380"/>
      <c r="E2120" s="381"/>
      <c r="F2120" s="381"/>
      <c r="G2120" s="381"/>
      <c r="H2120" s="381"/>
      <c r="I2120" s="381"/>
      <c r="J2120" s="382"/>
      <c r="K2120" s="88"/>
      <c r="M2120" s="102">
        <v>0</v>
      </c>
      <c r="N2120" s="347"/>
      <c r="O2120" s="79"/>
      <c r="P2120" s="423"/>
      <c r="Q2120" s="81"/>
      <c r="R2120" s="111"/>
      <c r="S2120" s="357"/>
      <c r="T2120" s="111"/>
      <c r="U2120" s="388"/>
      <c r="V2120" s="426"/>
      <c r="Y2120" s="393">
        <f>+IFERROR((Y2088/Q2120*P2120),0)</f>
        <v>0</v>
      </c>
      <c r="Z2120" s="391">
        <f>Y2088*V2120</f>
        <v>0</v>
      </c>
      <c r="AA2120" s="86"/>
      <c r="AB2120" s="92">
        <f>+(U2120)*Y2120*P2120</f>
        <v>0</v>
      </c>
      <c r="AC2120" s="93">
        <f>+AB2120-Z2120</f>
        <v>0</v>
      </c>
      <c r="AD2120" s="94"/>
      <c r="AE2120" s="410" t="str">
        <f>+IF(V2120=0,"CERO","NO")</f>
        <v>CERO</v>
      </c>
    </row>
    <row r="2121" spans="3:31" s="260" customFormat="1" ht="15.75" thickBot="1" x14ac:dyDescent="0.3">
      <c r="C2121" s="84"/>
      <c r="D2121" s="375" t="s">
        <v>128</v>
      </c>
      <c r="E2121" s="376" t="s">
        <v>129</v>
      </c>
      <c r="F2121" s="376" t="s">
        <v>130</v>
      </c>
      <c r="G2121" s="376" t="s">
        <v>131</v>
      </c>
      <c r="H2121" s="376" t="s">
        <v>132</v>
      </c>
      <c r="I2121" s="376" t="s">
        <v>133</v>
      </c>
      <c r="J2121" s="377" t="s">
        <v>134</v>
      </c>
      <c r="K2121" s="88"/>
      <c r="M2121" s="534"/>
      <c r="N2121" s="536" t="s">
        <v>120</v>
      </c>
      <c r="O2121" s="536"/>
      <c r="P2121" s="536"/>
      <c r="Q2121" s="536"/>
      <c r="R2121" s="536"/>
      <c r="S2121" s="536"/>
      <c r="T2121" s="536"/>
      <c r="U2121" s="536"/>
      <c r="V2121" s="82">
        <f>+SUM(V2118:V2120)</f>
        <v>5578.9666666666662</v>
      </c>
      <c r="Y2121" s="398" t="s">
        <v>135</v>
      </c>
      <c r="Z2121" s="397">
        <f>+SUM(Z2118:Z2120)</f>
        <v>39052.766666666663</v>
      </c>
      <c r="AA2121" s="86"/>
      <c r="AB2121" s="384"/>
      <c r="AC2121" s="385"/>
      <c r="AD2121" s="94"/>
      <c r="AE2121" s="399"/>
    </row>
    <row r="2122" spans="3:31" s="260" customFormat="1" ht="15.75" thickBot="1" x14ac:dyDescent="0.3">
      <c r="C2122" s="84"/>
      <c r="D2122" s="354"/>
      <c r="E2122" s="96"/>
      <c r="F2122" s="96"/>
      <c r="G2122" s="107">
        <f>+F2115</f>
        <v>2.33</v>
      </c>
      <c r="H2122" s="96"/>
      <c r="I2122" s="96"/>
      <c r="J2122" s="427"/>
      <c r="K2122" s="88"/>
      <c r="M2122" s="535"/>
      <c r="N2122" s="537" t="s">
        <v>121</v>
      </c>
      <c r="O2122" s="537"/>
      <c r="P2122" s="537"/>
      <c r="Q2122" s="537"/>
      <c r="R2122" s="537"/>
      <c r="S2122" s="537"/>
      <c r="T2122" s="537"/>
      <c r="U2122" s="537"/>
      <c r="V2122" s="413">
        <f>+ROUND(V2121,$AA$5)</f>
        <v>5578.97</v>
      </c>
      <c r="Y2122" s="401" t="s">
        <v>136</v>
      </c>
      <c r="Z2122" s="402">
        <f>+ROUND(Z2121,$AA$5)</f>
        <v>39052.769999999997</v>
      </c>
      <c r="AA2122" s="86"/>
      <c r="AB2122" s="403">
        <f>+V2122*Y2088</f>
        <v>39052.79</v>
      </c>
      <c r="AC2122" s="404">
        <f>+AB2122-Z2122</f>
        <v>2.0000000004074536E-2</v>
      </c>
      <c r="AD2122" s="94"/>
      <c r="AE2122" s="405"/>
    </row>
    <row r="2123" spans="3:31" s="260" customFormat="1" ht="15.75" thickBot="1" x14ac:dyDescent="0.3">
      <c r="C2123" s="84"/>
      <c r="D2123" s="375" t="s">
        <v>128</v>
      </c>
      <c r="E2123" s="376" t="s">
        <v>129</v>
      </c>
      <c r="F2123" s="376" t="s">
        <v>130</v>
      </c>
      <c r="G2123" s="376" t="s">
        <v>131</v>
      </c>
      <c r="H2123" s="376" t="s">
        <v>132</v>
      </c>
      <c r="I2123" s="376" t="s">
        <v>133</v>
      </c>
      <c r="J2123" s="377" t="s">
        <v>134</v>
      </c>
      <c r="K2123" s="88"/>
      <c r="M2123" s="541"/>
      <c r="N2123" s="542"/>
      <c r="O2123" s="542"/>
      <c r="P2123" s="542"/>
      <c r="Q2123" s="542"/>
      <c r="R2123" s="542"/>
      <c r="S2123" s="542"/>
      <c r="T2123" s="542"/>
      <c r="U2123" s="542"/>
      <c r="V2123" s="543"/>
      <c r="Y2123" s="378"/>
      <c r="Z2123" s="121"/>
      <c r="AA2123" s="86"/>
      <c r="AB2123" s="409"/>
      <c r="AC2123" s="121"/>
      <c r="AD2123" s="94"/>
      <c r="AE2123" s="428"/>
    </row>
    <row r="2124" spans="3:31" s="260" customFormat="1" ht="15.75" thickBot="1" x14ac:dyDescent="0.3">
      <c r="C2124" s="84"/>
      <c r="D2124" s="355"/>
      <c r="E2124" s="367"/>
      <c r="F2124" s="367"/>
      <c r="G2124" s="367"/>
      <c r="H2124" s="412">
        <f>G2122</f>
        <v>2.33</v>
      </c>
      <c r="I2124" s="412"/>
      <c r="J2124" s="422"/>
      <c r="K2124" s="88"/>
      <c r="M2124" s="544" t="s">
        <v>122</v>
      </c>
      <c r="N2124" s="537"/>
      <c r="O2124" s="537"/>
      <c r="P2124" s="537"/>
      <c r="Q2124" s="537"/>
      <c r="R2124" s="537"/>
      <c r="S2124" s="537"/>
      <c r="T2124" s="537"/>
      <c r="U2124" s="545">
        <f>+V2122+V2115+V2107+V2098</f>
        <v>13300.460000000001</v>
      </c>
      <c r="V2124" s="546"/>
      <c r="Y2124" s="429"/>
      <c r="Z2124" s="430">
        <f>+Z2122+Z2115+Z2107+Z2098</f>
        <v>93103.17</v>
      </c>
      <c r="AA2124" s="86"/>
      <c r="AB2124" s="431">
        <f>+AB2122+AB2115+AB2107+AB2098</f>
        <v>93103.22</v>
      </c>
      <c r="AC2124" s="404">
        <f>+AB2124-Z2124</f>
        <v>5.0000000002910383E-2</v>
      </c>
      <c r="AD2124" s="94"/>
      <c r="AE2124" s="432"/>
    </row>
    <row r="2125" spans="3:31" s="260" customFormat="1" ht="15.75" thickBot="1" x14ac:dyDescent="0.3"/>
    <row r="2126" spans="3:31" s="260" customFormat="1" x14ac:dyDescent="0.25">
      <c r="M2126" s="547" t="s">
        <v>348</v>
      </c>
      <c r="N2126" s="548"/>
      <c r="O2126" s="548"/>
      <c r="P2126" s="548"/>
      <c r="Q2126" s="548"/>
      <c r="R2126" s="548"/>
      <c r="S2126" s="548"/>
      <c r="T2126" s="548"/>
      <c r="U2126" s="548"/>
      <c r="V2126" s="549"/>
      <c r="Y2126" s="378"/>
      <c r="Z2126" s="121"/>
      <c r="AA2126" s="86"/>
      <c r="AB2126" s="94"/>
      <c r="AC2126" s="94"/>
      <c r="AD2126" s="94"/>
      <c r="AE2126" s="126" t="s">
        <v>133</v>
      </c>
    </row>
    <row r="2127" spans="3:31" s="260" customFormat="1" x14ac:dyDescent="0.25">
      <c r="M2127" s="515" t="s">
        <v>138</v>
      </c>
      <c r="N2127" s="516"/>
      <c r="O2127" s="516"/>
      <c r="P2127" s="516"/>
      <c r="Q2127" s="516"/>
      <c r="R2127" s="516"/>
      <c r="S2127" s="516"/>
      <c r="T2127" s="437">
        <v>0</v>
      </c>
      <c r="U2127" s="517">
        <f>+ROUND(U2124*T2127,$AA$5)</f>
        <v>0</v>
      </c>
      <c r="V2127" s="518"/>
      <c r="Y2127" s="390"/>
      <c r="Z2127" s="438">
        <f>+Z2124*T2127</f>
        <v>0</v>
      </c>
      <c r="AA2127" s="86"/>
      <c r="AB2127" s="94"/>
      <c r="AC2127" s="94"/>
      <c r="AD2127" s="94"/>
      <c r="AE2127" s="386" t="s">
        <v>133</v>
      </c>
    </row>
    <row r="2128" spans="3:31" s="260" customFormat="1" x14ac:dyDescent="0.25">
      <c r="M2128" s="515" t="s">
        <v>19</v>
      </c>
      <c r="N2128" s="516"/>
      <c r="O2128" s="516"/>
      <c r="P2128" s="516"/>
      <c r="Q2128" s="516"/>
      <c r="R2128" s="516"/>
      <c r="S2128" s="516"/>
      <c r="T2128" s="437">
        <v>0.05</v>
      </c>
      <c r="U2128" s="517">
        <f>+ROUND(U2124*T2128,$AA$5)</f>
        <v>665.02</v>
      </c>
      <c r="V2128" s="518"/>
      <c r="Y2128" s="390"/>
      <c r="Z2128" s="438">
        <f>+Z2124*T2128</f>
        <v>4655.1585000000005</v>
      </c>
      <c r="AA2128" s="86"/>
      <c r="AB2128" s="94"/>
      <c r="AC2128" s="94"/>
      <c r="AD2128" s="94"/>
      <c r="AE2128" s="386" t="s">
        <v>133</v>
      </c>
    </row>
    <row r="2129" spans="3:31" s="260" customFormat="1" x14ac:dyDescent="0.25">
      <c r="M2129" s="515" t="s">
        <v>20</v>
      </c>
      <c r="N2129" s="516"/>
      <c r="O2129" s="516"/>
      <c r="P2129" s="516"/>
      <c r="Q2129" s="516"/>
      <c r="R2129" s="516"/>
      <c r="S2129" s="516"/>
      <c r="T2129" s="437">
        <v>0</v>
      </c>
      <c r="U2129" s="517">
        <f>+ROUND(U2124*T2129,$AA$5)</f>
        <v>0</v>
      </c>
      <c r="V2129" s="518"/>
      <c r="Y2129" s="390"/>
      <c r="Z2129" s="438">
        <f>+Z2124*T2129</f>
        <v>0</v>
      </c>
      <c r="AA2129" s="86"/>
      <c r="AB2129" s="94"/>
      <c r="AC2129" s="94"/>
      <c r="AD2129" s="94"/>
      <c r="AE2129" s="386" t="s">
        <v>133</v>
      </c>
    </row>
    <row r="2130" spans="3:31" s="260" customFormat="1" x14ac:dyDescent="0.25">
      <c r="M2130" s="515" t="s">
        <v>21</v>
      </c>
      <c r="N2130" s="516"/>
      <c r="O2130" s="516"/>
      <c r="P2130" s="516"/>
      <c r="Q2130" s="516"/>
      <c r="R2130" s="516"/>
      <c r="S2130" s="516"/>
      <c r="T2130" s="437">
        <f>$AA$9</f>
        <v>0</v>
      </c>
      <c r="U2130" s="517">
        <f>+ROUND(U2124*T2130,$AA$5)</f>
        <v>0</v>
      </c>
      <c r="V2130" s="518"/>
      <c r="Y2130" s="390"/>
      <c r="Z2130" s="438">
        <f>+Z2129*T2130</f>
        <v>0</v>
      </c>
      <c r="AA2130" s="86"/>
      <c r="AB2130" s="94"/>
      <c r="AC2130" s="94"/>
      <c r="AD2130" s="94"/>
      <c r="AE2130" s="386" t="s">
        <v>133</v>
      </c>
    </row>
    <row r="2131" spans="3:31" s="260" customFormat="1" ht="15.75" thickBot="1" x14ac:dyDescent="0.3">
      <c r="M2131" s="519" t="s">
        <v>349</v>
      </c>
      <c r="N2131" s="520"/>
      <c r="O2131" s="520"/>
      <c r="P2131" s="520"/>
      <c r="Q2131" s="520"/>
      <c r="R2131" s="520"/>
      <c r="S2131" s="520"/>
      <c r="T2131" s="520"/>
      <c r="U2131" s="521">
        <f>+SUM(U2127:V2130)</f>
        <v>665.02</v>
      </c>
      <c r="V2131" s="522"/>
      <c r="Y2131" s="390"/>
      <c r="Z2131" s="439">
        <f>+SUM(Z2127:Z2130)</f>
        <v>4655.1585000000005</v>
      </c>
      <c r="AA2131" s="86"/>
      <c r="AB2131" s="94"/>
      <c r="AC2131" s="94"/>
      <c r="AD2131" s="94"/>
      <c r="AE2131" s="386" t="s">
        <v>133</v>
      </c>
    </row>
    <row r="2132" spans="3:31" s="260" customFormat="1" ht="15.75" thickBot="1" x14ac:dyDescent="0.3">
      <c r="D2132" s="375" t="s">
        <v>128</v>
      </c>
      <c r="E2132" s="376" t="s">
        <v>129</v>
      </c>
      <c r="F2132" s="376" t="s">
        <v>130</v>
      </c>
      <c r="G2132" s="376" t="s">
        <v>131</v>
      </c>
      <c r="H2132" s="376" t="s">
        <v>132</v>
      </c>
      <c r="I2132" s="376" t="s">
        <v>133</v>
      </c>
      <c r="J2132" s="377" t="s">
        <v>134</v>
      </c>
      <c r="M2132" s="86"/>
      <c r="N2132" s="94"/>
      <c r="O2132" s="94"/>
      <c r="P2132" s="94"/>
      <c r="Q2132" s="86"/>
      <c r="R2132" s="86"/>
      <c r="S2132" s="86"/>
      <c r="T2132" s="440"/>
      <c r="U2132" s="523"/>
      <c r="V2132" s="523"/>
      <c r="Y2132" s="390"/>
      <c r="Z2132" s="385"/>
      <c r="AA2132" s="86"/>
      <c r="AB2132" s="94"/>
      <c r="AC2132" s="94"/>
      <c r="AD2132" s="94"/>
      <c r="AE2132" s="386" t="s">
        <v>133</v>
      </c>
    </row>
    <row r="2133" spans="3:31" s="260" customFormat="1" ht="15.75" thickBot="1" x14ac:dyDescent="0.3">
      <c r="D2133" s="355"/>
      <c r="E2133" s="367"/>
      <c r="F2133" s="367"/>
      <c r="G2133" s="367"/>
      <c r="H2133" s="412"/>
      <c r="I2133" s="412">
        <f>H2124</f>
        <v>2.33</v>
      </c>
      <c r="J2133" s="422"/>
      <c r="M2133" s="524" t="s">
        <v>11</v>
      </c>
      <c r="N2133" s="525"/>
      <c r="O2133" s="525"/>
      <c r="P2133" s="525"/>
      <c r="Q2133" s="525"/>
      <c r="R2133" s="525"/>
      <c r="S2133" s="525"/>
      <c r="T2133" s="526"/>
      <c r="U2133" s="527">
        <f>+U2131+U2124</f>
        <v>13965.480000000001</v>
      </c>
      <c r="V2133" s="528"/>
      <c r="Y2133" s="429"/>
      <c r="Z2133" s="441">
        <f>+Z2131+Z2124</f>
        <v>97758.328500000003</v>
      </c>
      <c r="AA2133" s="86"/>
      <c r="AB2133" s="94"/>
      <c r="AC2133" s="94"/>
      <c r="AD2133" s="94"/>
      <c r="AE2133" s="405" t="s">
        <v>133</v>
      </c>
    </row>
    <row r="2134" spans="3:31" s="260" customFormat="1" x14ac:dyDescent="0.25"/>
    <row r="2135" spans="3:31" s="260" customFormat="1" ht="15.75" thickBot="1" x14ac:dyDescent="0.3"/>
    <row r="2136" spans="3:31" s="260" customFormat="1" ht="15.75" thickBot="1" x14ac:dyDescent="0.3">
      <c r="M2136" s="363" t="s">
        <v>88</v>
      </c>
      <c r="N2136" s="436" t="str">
        <f>+N2087</f>
        <v>CAP.2</v>
      </c>
      <c r="O2136" s="550" t="str">
        <f>IFERROR(VLOOKUP(N2136,PPTO!C:H,2,0),"----")</f>
        <v>RED HIDRAULICA</v>
      </c>
      <c r="P2136" s="551"/>
      <c r="Q2136" s="551"/>
      <c r="R2136" s="551"/>
      <c r="S2136" s="551"/>
      <c r="T2136" s="551"/>
      <c r="U2136" s="552"/>
      <c r="V2136" s="74" t="s">
        <v>91</v>
      </c>
      <c r="Y2136" s="365" t="s">
        <v>104</v>
      </c>
      <c r="Z2136" s="94"/>
      <c r="AA2136" s="188"/>
      <c r="AB2136" s="553"/>
      <c r="AC2136" s="553"/>
      <c r="AD2136" s="553"/>
      <c r="AE2136" s="94"/>
    </row>
    <row r="2137" spans="3:31" s="260" customFormat="1" ht="15.75" thickBot="1" x14ac:dyDescent="0.3">
      <c r="C2137" s="369">
        <f>+N2137</f>
        <v>2.34</v>
      </c>
      <c r="D2137" s="86"/>
      <c r="E2137" s="86"/>
      <c r="F2137" s="86"/>
      <c r="G2137" s="86"/>
      <c r="H2137" s="86"/>
      <c r="I2137" s="86"/>
      <c r="J2137" s="86"/>
      <c r="K2137" s="370"/>
      <c r="M2137" s="75" t="s">
        <v>92</v>
      </c>
      <c r="N2137" s="371">
        <f>+ROUNDUP(N2088+0.01,2)</f>
        <v>2.34</v>
      </c>
      <c r="O2137" s="554" t="str">
        <f>IFERROR(VLOOKUP(N2137,PPTO!C:H,2,0),"----")</f>
        <v>Reduccion PVC Ø1_1/2" A Ø1"</v>
      </c>
      <c r="P2137" s="555"/>
      <c r="Q2137" s="555"/>
      <c r="R2137" s="555"/>
      <c r="S2137" s="555"/>
      <c r="T2137" s="555"/>
      <c r="U2137" s="556"/>
      <c r="V2137" s="76" t="str">
        <f>IFERROR(VLOOKUP(N2137,PPTO!C:H,3,0),"----")</f>
        <v>UND</v>
      </c>
      <c r="Y2137" s="373">
        <f>SUMIFS(PPTO!F:F,PPTO!C:C,APUS!N2137)</f>
        <v>24</v>
      </c>
      <c r="Z2137" s="94"/>
      <c r="AA2137" s="86"/>
      <c r="AB2137" s="94"/>
      <c r="AC2137" s="94"/>
      <c r="AD2137" s="94"/>
      <c r="AE2137" s="94"/>
    </row>
    <row r="2138" spans="3:31" s="260" customFormat="1" ht="15.75" thickBot="1" x14ac:dyDescent="0.3">
      <c r="C2138" s="84"/>
      <c r="D2138" s="86"/>
      <c r="E2138" s="86"/>
      <c r="F2138" s="86"/>
      <c r="G2138" s="86"/>
      <c r="H2138" s="86"/>
      <c r="I2138" s="86"/>
      <c r="J2138" s="86"/>
      <c r="K2138" s="88"/>
      <c r="M2138" s="557"/>
      <c r="N2138" s="557"/>
      <c r="O2138" s="557"/>
      <c r="P2138" s="557"/>
      <c r="Q2138" s="557"/>
      <c r="R2138" s="557"/>
      <c r="S2138" s="557"/>
      <c r="T2138" s="557"/>
      <c r="U2138" s="557"/>
      <c r="V2138" s="557"/>
      <c r="Y2138" s="374"/>
      <c r="Z2138" s="94"/>
      <c r="AA2138" s="86"/>
      <c r="AB2138" s="94"/>
      <c r="AC2138" s="94"/>
      <c r="AD2138" s="94"/>
      <c r="AE2138" s="94"/>
    </row>
    <row r="2139" spans="3:31" s="260" customFormat="1" ht="15.75" thickBot="1" x14ac:dyDescent="0.3">
      <c r="C2139" s="84"/>
      <c r="D2139" s="375" t="s">
        <v>128</v>
      </c>
      <c r="E2139" s="376" t="s">
        <v>129</v>
      </c>
      <c r="F2139" s="376" t="s">
        <v>130</v>
      </c>
      <c r="G2139" s="376" t="s">
        <v>131</v>
      </c>
      <c r="H2139" s="376" t="s">
        <v>132</v>
      </c>
      <c r="I2139" s="376" t="s">
        <v>133</v>
      </c>
      <c r="J2139" s="377" t="s">
        <v>134</v>
      </c>
      <c r="K2139" s="88"/>
      <c r="M2139" s="558" t="s">
        <v>93</v>
      </c>
      <c r="N2139" s="559"/>
      <c r="O2139" s="559"/>
      <c r="P2139" s="559"/>
      <c r="Q2139" s="559"/>
      <c r="R2139" s="559"/>
      <c r="S2139" s="559"/>
      <c r="T2139" s="559"/>
      <c r="U2139" s="559"/>
      <c r="V2139" s="560"/>
      <c r="Y2139" s="378"/>
      <c r="Z2139" s="121"/>
      <c r="AA2139" s="86"/>
      <c r="AB2139" s="513"/>
      <c r="AC2139" s="514"/>
      <c r="AD2139" s="94"/>
      <c r="AE2139" s="379"/>
    </row>
    <row r="2140" spans="3:31" s="260" customFormat="1" x14ac:dyDescent="0.25">
      <c r="C2140" s="84"/>
      <c r="D2140" s="380"/>
      <c r="E2140" s="381"/>
      <c r="F2140" s="381"/>
      <c r="G2140" s="381"/>
      <c r="H2140" s="381"/>
      <c r="I2140" s="381"/>
      <c r="J2140" s="382"/>
      <c r="K2140" s="88"/>
      <c r="M2140" s="99" t="s">
        <v>94</v>
      </c>
      <c r="N2140" s="561" t="s">
        <v>95</v>
      </c>
      <c r="O2140" s="561"/>
      <c r="P2140" s="561"/>
      <c r="Q2140" s="561"/>
      <c r="R2140" s="95" t="s">
        <v>96</v>
      </c>
      <c r="S2140" s="95" t="s">
        <v>97</v>
      </c>
      <c r="T2140" s="562" t="s">
        <v>8</v>
      </c>
      <c r="U2140" s="562"/>
      <c r="V2140" s="100" t="s">
        <v>98</v>
      </c>
      <c r="Y2140" s="383" t="s">
        <v>104</v>
      </c>
      <c r="Z2140" s="119" t="s">
        <v>9</v>
      </c>
      <c r="AA2140" s="86"/>
      <c r="AB2140" s="384"/>
      <c r="AC2140" s="385"/>
      <c r="AD2140" s="94"/>
      <c r="AE2140" s="386"/>
    </row>
    <row r="2141" spans="3:31" s="260" customFormat="1" x14ac:dyDescent="0.25">
      <c r="C2141" s="84"/>
      <c r="D2141" s="85"/>
      <c r="E2141" s="86"/>
      <c r="F2141" s="86"/>
      <c r="G2141" s="86"/>
      <c r="H2141" s="86"/>
      <c r="I2141" s="86"/>
      <c r="J2141" s="87"/>
      <c r="K2141" s="88"/>
      <c r="M2141" s="102"/>
      <c r="N2141" s="533" t="s">
        <v>99</v>
      </c>
      <c r="O2141" s="533"/>
      <c r="P2141" s="533"/>
      <c r="Q2141" s="533"/>
      <c r="R2141" s="78" t="s">
        <v>100</v>
      </c>
      <c r="S2141" s="387">
        <f>+$AA$10</f>
        <v>0.05</v>
      </c>
      <c r="T2141" s="563">
        <f>V2171</f>
        <v>5578.97</v>
      </c>
      <c r="U2141" s="563"/>
      <c r="V2141" s="389">
        <f>+IFERROR(T2141*S2141,0)</f>
        <v>278.94850000000002</v>
      </c>
      <c r="Y2141" s="390"/>
      <c r="Z2141" s="391">
        <f>Y2137*V2141</f>
        <v>6694.764000000001</v>
      </c>
      <c r="AA2141" s="86"/>
      <c r="AB2141" s="384"/>
      <c r="AC2141" s="385"/>
      <c r="AD2141" s="94"/>
      <c r="AE2141" s="386" t="str">
        <f>+IF(V2141=0,"CERO","NO")</f>
        <v>NO</v>
      </c>
    </row>
    <row r="2142" spans="3:31" s="260" customFormat="1" x14ac:dyDescent="0.25">
      <c r="C2142" s="84"/>
      <c r="D2142" s="85"/>
      <c r="E2142" s="86"/>
      <c r="F2142" s="86"/>
      <c r="G2142" s="86"/>
      <c r="H2142" s="86"/>
      <c r="I2142" s="86"/>
      <c r="J2142" s="87"/>
      <c r="K2142" s="88"/>
      <c r="M2142" s="106"/>
      <c r="N2142" s="533" t="str">
        <f>IFERROR(VLOOKUP(M2142,INSUMOS!$C$8:$K$928,2,0),"-----")</f>
        <v>-----</v>
      </c>
      <c r="O2142" s="533"/>
      <c r="P2142" s="533"/>
      <c r="Q2142" s="533"/>
      <c r="R2142" s="78" t="str">
        <f>IFERROR(VLOOKUP(M2142,INSUMOS!$C$8:$K$928,6,0),"-----")</f>
        <v>-----</v>
      </c>
      <c r="S2142" s="392"/>
      <c r="T2142" s="529" t="str">
        <f>IFERROR(VLOOKUP(M2142,INSUMOS!$C$8:$K$928,7,0),"0")</f>
        <v>0</v>
      </c>
      <c r="U2142" s="529"/>
      <c r="V2142" s="389">
        <f>+IFERROR(T2142*S2142,0)</f>
        <v>0</v>
      </c>
      <c r="Y2142" s="393">
        <f>+IFERROR(Y2137*S2142,0)</f>
        <v>0</v>
      </c>
      <c r="Z2142" s="391">
        <f>Y2137*V2142</f>
        <v>0</v>
      </c>
      <c r="AA2142" s="394"/>
      <c r="AB2142" s="395">
        <f>+Y2142*T2142</f>
        <v>0</v>
      </c>
      <c r="AC2142" s="93">
        <f>+AB2142-Z2142</f>
        <v>0</v>
      </c>
      <c r="AD2142" s="94"/>
      <c r="AE2142" s="386" t="str">
        <f>+IF(V2142=0,"CERO","NO")</f>
        <v>CERO</v>
      </c>
    </row>
    <row r="2143" spans="3:31" s="260" customFormat="1" x14ac:dyDescent="0.25">
      <c r="C2143" s="84"/>
      <c r="D2143" s="85"/>
      <c r="E2143" s="86"/>
      <c r="F2143" s="86"/>
      <c r="G2143" s="86"/>
      <c r="H2143" s="86"/>
      <c r="I2143" s="86"/>
      <c r="J2143" s="87"/>
      <c r="K2143" s="88"/>
      <c r="M2143" s="102">
        <v>0</v>
      </c>
      <c r="N2143" s="533"/>
      <c r="O2143" s="533"/>
      <c r="P2143" s="533"/>
      <c r="Q2143" s="533"/>
      <c r="R2143" s="78"/>
      <c r="S2143" s="396"/>
      <c r="T2143" s="529"/>
      <c r="U2143" s="529"/>
      <c r="V2143" s="397"/>
      <c r="Y2143" s="393">
        <f>+IFERROR(Y2137*S2143,0)</f>
        <v>0</v>
      </c>
      <c r="Z2143" s="391">
        <f>Y2137*V2143</f>
        <v>0</v>
      </c>
      <c r="AA2143" s="394"/>
      <c r="AB2143" s="395">
        <f>+Y2143*T2143</f>
        <v>0</v>
      </c>
      <c r="AC2143" s="93">
        <f>+AB2143-Z2143</f>
        <v>0</v>
      </c>
      <c r="AD2143" s="94"/>
      <c r="AE2143" s="386" t="str">
        <f>+IF(V2143=0,"CERO","NO")</f>
        <v>CERO</v>
      </c>
    </row>
    <row r="2144" spans="3:31" s="260" customFormat="1" x14ac:dyDescent="0.25">
      <c r="C2144" s="84"/>
      <c r="D2144" s="85"/>
      <c r="E2144" s="86"/>
      <c r="F2144" s="86"/>
      <c r="G2144" s="86"/>
      <c r="H2144" s="86"/>
      <c r="I2144" s="86"/>
      <c r="J2144" s="87"/>
      <c r="K2144" s="88"/>
      <c r="M2144" s="102">
        <v>0</v>
      </c>
      <c r="N2144" s="533"/>
      <c r="O2144" s="533"/>
      <c r="P2144" s="533"/>
      <c r="Q2144" s="533"/>
      <c r="R2144" s="78"/>
      <c r="S2144" s="396"/>
      <c r="T2144" s="529"/>
      <c r="U2144" s="529"/>
      <c r="V2144" s="397"/>
      <c r="Y2144" s="393">
        <f>+IFERROR(Y2137*S2144,0)</f>
        <v>0</v>
      </c>
      <c r="Z2144" s="391">
        <f>Y2137*V2144</f>
        <v>0</v>
      </c>
      <c r="AA2144" s="394"/>
      <c r="AB2144" s="395">
        <f>+Y2144*T2144</f>
        <v>0</v>
      </c>
      <c r="AC2144" s="93">
        <f>+AB2144-Z2144</f>
        <v>0</v>
      </c>
      <c r="AD2144" s="94"/>
      <c r="AE2144" s="386" t="str">
        <f>+IF(V2144=0,"CERO","NO")</f>
        <v>CERO</v>
      </c>
    </row>
    <row r="2145" spans="3:31" s="260" customFormat="1" ht="15.75" thickBot="1" x14ac:dyDescent="0.3">
      <c r="C2145" s="84"/>
      <c r="D2145" s="85"/>
      <c r="E2145" s="86"/>
      <c r="F2145" s="86"/>
      <c r="G2145" s="86"/>
      <c r="H2145" s="86"/>
      <c r="I2145" s="86"/>
      <c r="J2145" s="87"/>
      <c r="K2145" s="88"/>
      <c r="M2145" s="102">
        <v>0</v>
      </c>
      <c r="N2145" s="564"/>
      <c r="O2145" s="564"/>
      <c r="P2145" s="564"/>
      <c r="Q2145" s="564"/>
      <c r="R2145" s="96"/>
      <c r="S2145" s="96"/>
      <c r="T2145" s="565"/>
      <c r="U2145" s="565"/>
      <c r="V2145" s="101"/>
      <c r="Y2145" s="393">
        <f>+IFERROR(Y2137*S2145,0)</f>
        <v>0</v>
      </c>
      <c r="Z2145" s="391">
        <f>Y2137*V2145</f>
        <v>0</v>
      </c>
      <c r="AA2145" s="394"/>
      <c r="AB2145" s="395">
        <f>+Y2145*T2145</f>
        <v>0</v>
      </c>
      <c r="AC2145" s="93">
        <f>+AB2145-Z2145</f>
        <v>0</v>
      </c>
      <c r="AD2145" s="94"/>
      <c r="AE2145" s="386" t="str">
        <f>+IF(V2145=0,"CERO","NO")</f>
        <v>CERO</v>
      </c>
    </row>
    <row r="2146" spans="3:31" s="260" customFormat="1" ht="15.75" thickBot="1" x14ac:dyDescent="0.3">
      <c r="C2146" s="84"/>
      <c r="D2146" s="375" t="s">
        <v>128</v>
      </c>
      <c r="E2146" s="376" t="s">
        <v>129</v>
      </c>
      <c r="F2146" s="376" t="s">
        <v>130</v>
      </c>
      <c r="G2146" s="376" t="s">
        <v>131</v>
      </c>
      <c r="H2146" s="376" t="s">
        <v>132</v>
      </c>
      <c r="I2146" s="376" t="s">
        <v>133</v>
      </c>
      <c r="J2146" s="377" t="s">
        <v>134</v>
      </c>
      <c r="K2146" s="88"/>
      <c r="M2146" s="534"/>
      <c r="N2146" s="536" t="s">
        <v>101</v>
      </c>
      <c r="O2146" s="536"/>
      <c r="P2146" s="536"/>
      <c r="Q2146" s="536"/>
      <c r="R2146" s="536"/>
      <c r="S2146" s="536"/>
      <c r="T2146" s="536"/>
      <c r="U2146" s="536"/>
      <c r="V2146" s="389">
        <f>+SUM(V2141:V2145)</f>
        <v>278.94850000000002</v>
      </c>
      <c r="Y2146" s="398" t="s">
        <v>135</v>
      </c>
      <c r="Z2146" s="397">
        <f>+SUM(Z2141:Z2145)</f>
        <v>6694.764000000001</v>
      </c>
      <c r="AA2146" s="86"/>
      <c r="AB2146" s="384"/>
      <c r="AC2146" s="385"/>
      <c r="AD2146" s="94"/>
      <c r="AE2146" s="399"/>
    </row>
    <row r="2147" spans="3:31" s="260" customFormat="1" ht="15.75" thickBot="1" x14ac:dyDescent="0.3">
      <c r="C2147" s="84"/>
      <c r="D2147" s="375">
        <f>C2137</f>
        <v>2.34</v>
      </c>
      <c r="E2147" s="376"/>
      <c r="F2147" s="376"/>
      <c r="G2147" s="376"/>
      <c r="H2147" s="376"/>
      <c r="I2147" s="376"/>
      <c r="J2147" s="377"/>
      <c r="K2147" s="88"/>
      <c r="M2147" s="566"/>
      <c r="N2147" s="567" t="s">
        <v>102</v>
      </c>
      <c r="O2147" s="567"/>
      <c r="P2147" s="567"/>
      <c r="Q2147" s="567"/>
      <c r="R2147" s="567"/>
      <c r="S2147" s="567"/>
      <c r="T2147" s="567"/>
      <c r="U2147" s="567"/>
      <c r="V2147" s="400">
        <f>+ROUND(V2146,$AA$5)</f>
        <v>278.95</v>
      </c>
      <c r="Y2147" s="401" t="s">
        <v>136</v>
      </c>
      <c r="Z2147" s="402">
        <f>+ROUND(Z2146,$AA$5)</f>
        <v>6694.76</v>
      </c>
      <c r="AA2147" s="86"/>
      <c r="AB2147" s="403">
        <f>+V2147*Y2137</f>
        <v>6694.7999999999993</v>
      </c>
      <c r="AC2147" s="404">
        <f>+AB2147-Z2147</f>
        <v>3.9999999999054126E-2</v>
      </c>
      <c r="AD2147" s="94"/>
      <c r="AE2147" s="405"/>
    </row>
    <row r="2148" spans="3:31" s="260" customFormat="1" x14ac:dyDescent="0.25">
      <c r="C2148" s="84"/>
      <c r="D2148" s="380"/>
      <c r="E2148" s="381"/>
      <c r="F2148" s="381"/>
      <c r="G2148" s="381"/>
      <c r="H2148" s="381"/>
      <c r="I2148" s="381"/>
      <c r="J2148" s="382"/>
      <c r="K2148" s="88"/>
      <c r="M2148" s="510" t="s">
        <v>103</v>
      </c>
      <c r="N2148" s="511"/>
      <c r="O2148" s="511"/>
      <c r="P2148" s="511"/>
      <c r="Q2148" s="511"/>
      <c r="R2148" s="511"/>
      <c r="S2148" s="511"/>
      <c r="T2148" s="511"/>
      <c r="U2148" s="511"/>
      <c r="V2148" s="512"/>
      <c r="Y2148" s="378"/>
      <c r="Z2148" s="121"/>
      <c r="AA2148" s="86"/>
      <c r="AB2148" s="513"/>
      <c r="AC2148" s="514"/>
      <c r="AD2148" s="94"/>
      <c r="AE2148" s="126"/>
    </row>
    <row r="2149" spans="3:31" s="260" customFormat="1" x14ac:dyDescent="0.25">
      <c r="C2149" s="84"/>
      <c r="D2149" s="85"/>
      <c r="E2149" s="86"/>
      <c r="F2149" s="86"/>
      <c r="G2149" s="86"/>
      <c r="H2149" s="86"/>
      <c r="I2149" s="86"/>
      <c r="J2149" s="87"/>
      <c r="K2149" s="88"/>
      <c r="M2149" s="99" t="s">
        <v>94</v>
      </c>
      <c r="N2149" s="561" t="s">
        <v>95</v>
      </c>
      <c r="O2149" s="561"/>
      <c r="P2149" s="561"/>
      <c r="Q2149" s="561"/>
      <c r="R2149" s="95" t="s">
        <v>96</v>
      </c>
      <c r="S2149" s="95" t="s">
        <v>104</v>
      </c>
      <c r="T2149" s="356" t="s">
        <v>105</v>
      </c>
      <c r="U2149" s="356" t="s">
        <v>8</v>
      </c>
      <c r="V2149" s="100" t="s">
        <v>98</v>
      </c>
      <c r="Y2149" s="383" t="s">
        <v>104</v>
      </c>
      <c r="Z2149" s="119" t="s">
        <v>9</v>
      </c>
      <c r="AA2149" s="86"/>
      <c r="AB2149" s="384"/>
      <c r="AC2149" s="385"/>
      <c r="AD2149" s="94"/>
      <c r="AE2149" s="406"/>
    </row>
    <row r="2150" spans="3:31" s="260" customFormat="1" x14ac:dyDescent="0.25">
      <c r="C2150" s="84"/>
      <c r="D2150" s="85"/>
      <c r="E2150" s="86"/>
      <c r="F2150" s="86"/>
      <c r="G2150" s="86"/>
      <c r="H2150" s="86"/>
      <c r="I2150" s="86"/>
      <c r="J2150" s="87"/>
      <c r="K2150" s="88"/>
      <c r="M2150" s="102">
        <v>720</v>
      </c>
      <c r="N2150" s="533" t="str">
        <f>IFERROR(VLOOKUP(M2150,INSUMOS!$C$8:$K$928,2,0),"-----")</f>
        <v>BUJES SOLDADO 1 1/2" X 1"</v>
      </c>
      <c r="O2150" s="533"/>
      <c r="P2150" s="533"/>
      <c r="Q2150" s="533"/>
      <c r="R2150" s="78" t="str">
        <f>IFERROR(VLOOKUP(M2150,INSUMOS!$C$8:$K$928,6,0),"-----")</f>
        <v>und</v>
      </c>
      <c r="S2150" s="396">
        <v>1</v>
      </c>
      <c r="T2150" s="387">
        <v>0</v>
      </c>
      <c r="U2150" s="388">
        <f>IFERROR(VLOOKUP(M2150,INSUMOS!$C$8:$K$928,7,0),"0")</f>
        <v>4928</v>
      </c>
      <c r="V2150" s="389">
        <f>+IFERROR(U2150*(S2150*(1+T2150)),0)</f>
        <v>4928</v>
      </c>
      <c r="Y2150" s="393">
        <f>+IFERROR(Y2137*(S2150*(1+T2150)),0)</f>
        <v>24</v>
      </c>
      <c r="Z2150" s="391">
        <f>Y2137*V2150</f>
        <v>118272</v>
      </c>
      <c r="AA2150" s="394"/>
      <c r="AB2150" s="395">
        <f>+Y2150*U2150</f>
        <v>118272</v>
      </c>
      <c r="AC2150" s="93">
        <f>+AB2150-Z2150</f>
        <v>0</v>
      </c>
      <c r="AD2150" s="94"/>
      <c r="AE2150" s="406" t="str">
        <f>+IF(V2150=0,"CERO","NO")</f>
        <v>NO</v>
      </c>
    </row>
    <row r="2151" spans="3:31" s="260" customFormat="1" x14ac:dyDescent="0.25">
      <c r="C2151" s="84"/>
      <c r="D2151" s="85"/>
      <c r="E2151" s="86"/>
      <c r="F2151" s="86"/>
      <c r="G2151" s="86"/>
      <c r="H2151" s="86"/>
      <c r="I2151" s="86"/>
      <c r="J2151" s="87"/>
      <c r="K2151" s="88"/>
      <c r="M2151" s="102">
        <v>699</v>
      </c>
      <c r="N2151" s="533" t="str">
        <f>IFERROR(VLOOKUP(M2151,INSUMOS!$C$8:$K$928,2,0),"-----")</f>
        <v>SOLDADURA PVC LIQUIDA 1/4"</v>
      </c>
      <c r="O2151" s="533"/>
      <c r="P2151" s="533"/>
      <c r="Q2151" s="533"/>
      <c r="R2151" s="78" t="str">
        <f>IFERROR(VLOOKUP(M2151,INSUMOS!$C$8:$K$928,6,0),"-----")</f>
        <v>und</v>
      </c>
      <c r="S2151" s="392">
        <v>0.01</v>
      </c>
      <c r="T2151" s="387">
        <v>0.02</v>
      </c>
      <c r="U2151" s="388">
        <f>IFERROR(VLOOKUP(M2151,INSUMOS!$C$8:$K$928,7,0),"0")</f>
        <v>146569</v>
      </c>
      <c r="V2151" s="389">
        <f>+IFERROR(U2151*(S2151*(1+T2151)),0)</f>
        <v>1495.0038000000002</v>
      </c>
      <c r="Y2151" s="393">
        <f>+IFERROR(Y2137*(S2151*(1+T2151)),0)</f>
        <v>0.24480000000000002</v>
      </c>
      <c r="Z2151" s="391">
        <f>Y2137*V2151</f>
        <v>35880.091200000003</v>
      </c>
      <c r="AA2151" s="394"/>
      <c r="AB2151" s="395">
        <f>+Y2151*U2151</f>
        <v>35880.091200000003</v>
      </c>
      <c r="AC2151" s="93">
        <f>+AB2151-Z2151</f>
        <v>0</v>
      </c>
      <c r="AD2151" s="94"/>
      <c r="AE2151" s="406" t="str">
        <f>+IF(V2151=0,"CERO","NO")</f>
        <v>NO</v>
      </c>
    </row>
    <row r="2152" spans="3:31" s="260" customFormat="1" x14ac:dyDescent="0.25">
      <c r="C2152" s="84"/>
      <c r="D2152" s="85"/>
      <c r="E2152" s="86"/>
      <c r="F2152" s="86"/>
      <c r="G2152" s="86"/>
      <c r="H2152" s="86"/>
      <c r="I2152" s="86"/>
      <c r="J2152" s="87"/>
      <c r="K2152" s="88"/>
      <c r="M2152" s="102">
        <v>700</v>
      </c>
      <c r="N2152" s="533" t="str">
        <f>IFERROR(VLOOKUP(M2152,INSUMOS!$C$8:$K$928,2,0),"-----")</f>
        <v>LIMPIADOR PVC 1/4</v>
      </c>
      <c r="O2152" s="533"/>
      <c r="P2152" s="533"/>
      <c r="Q2152" s="533"/>
      <c r="R2152" s="78" t="str">
        <f>IFERROR(VLOOKUP(M2152,INSUMOS!$C$8:$K$928,6,0),"-----")</f>
        <v>und</v>
      </c>
      <c r="S2152" s="392">
        <v>0.01</v>
      </c>
      <c r="T2152" s="387">
        <v>0.02</v>
      </c>
      <c r="U2152" s="388">
        <f>IFERROR(VLOOKUP(M2152,INSUMOS!$C$8:$K$928,7,0),"0")</f>
        <v>65913</v>
      </c>
      <c r="V2152" s="389">
        <f>+IFERROR(U2152*(S2152*(1+T2152)),0)</f>
        <v>672.31260000000009</v>
      </c>
      <c r="Y2152" s="393">
        <f>+IFERROR(Y2137*(S2152*(1+T2152)),0)</f>
        <v>0.24480000000000002</v>
      </c>
      <c r="Z2152" s="391">
        <f>Y2137*V2152</f>
        <v>16135.502400000001</v>
      </c>
      <c r="AA2152" s="394"/>
      <c r="AB2152" s="395">
        <f>+Y2152*U2152</f>
        <v>16135.502400000001</v>
      </c>
      <c r="AC2152" s="93">
        <f>+AB2152-Z2152</f>
        <v>0</v>
      </c>
      <c r="AD2152" s="94"/>
      <c r="AE2152" s="406" t="str">
        <f>+IF(V2152=0,"CERO","NO")</f>
        <v>NO</v>
      </c>
    </row>
    <row r="2153" spans="3:31" s="260" customFormat="1" x14ac:dyDescent="0.25">
      <c r="C2153" s="84"/>
      <c r="D2153" s="85"/>
      <c r="E2153" s="86"/>
      <c r="F2153" s="86"/>
      <c r="G2153" s="86"/>
      <c r="H2153" s="86"/>
      <c r="I2153" s="86"/>
      <c r="J2153" s="87"/>
      <c r="K2153" s="88"/>
      <c r="M2153" s="102">
        <v>0</v>
      </c>
      <c r="N2153" s="533" t="str">
        <f>IFERROR(VLOOKUP(M2153,INSUMOS!$C$8:$K$928,2,0),"-----")</f>
        <v>-----</v>
      </c>
      <c r="O2153" s="533"/>
      <c r="P2153" s="533"/>
      <c r="Q2153" s="533"/>
      <c r="R2153" s="78" t="str">
        <f>IFERROR(VLOOKUP(M2153,INSUMOS!$C$8:$K$928,6,0),"-----")</f>
        <v>-----</v>
      </c>
      <c r="S2153" s="396"/>
      <c r="T2153" s="387"/>
      <c r="U2153" s="388" t="str">
        <f>IFERROR(VLOOKUP(M2153,INSUMOS!$C$8:$K$928,7,0),"0")</f>
        <v>0</v>
      </c>
      <c r="V2153" s="389">
        <f>+IFERROR(U2153*(S2153*(1+T2153)),0)</f>
        <v>0</v>
      </c>
      <c r="Y2153" s="393">
        <f>+IFERROR(Y2137*(S2153*(1+T2153)),0)</f>
        <v>0</v>
      </c>
      <c r="Z2153" s="391">
        <f>Y2137*V2153</f>
        <v>0</v>
      </c>
      <c r="AA2153" s="394"/>
      <c r="AB2153" s="395">
        <f>+Y2153*U2153</f>
        <v>0</v>
      </c>
      <c r="AC2153" s="93">
        <f>+AB2153-Z2153</f>
        <v>0</v>
      </c>
      <c r="AD2153" s="94"/>
      <c r="AE2153" s="406" t="str">
        <f>+IF(V2153=0,"CERO","NO")</f>
        <v>CERO</v>
      </c>
    </row>
    <row r="2154" spans="3:31" s="260" customFormat="1" ht="15.75" thickBot="1" x14ac:dyDescent="0.3">
      <c r="C2154" s="84"/>
      <c r="D2154" s="85"/>
      <c r="E2154" s="86"/>
      <c r="F2154" s="86"/>
      <c r="G2154" s="86"/>
      <c r="H2154" s="86"/>
      <c r="I2154" s="86"/>
      <c r="J2154" s="87"/>
      <c r="K2154" s="88"/>
      <c r="M2154" s="102">
        <v>0</v>
      </c>
      <c r="N2154" s="564"/>
      <c r="O2154" s="564"/>
      <c r="P2154" s="564"/>
      <c r="Q2154" s="564"/>
      <c r="R2154" s="96"/>
      <c r="S2154" s="79"/>
      <c r="T2154" s="97"/>
      <c r="U2154" s="358"/>
      <c r="V2154" s="397"/>
      <c r="Y2154" s="393">
        <f>+IFERROR(Y2137*(S2154*(1+T2154)),0)</f>
        <v>0</v>
      </c>
      <c r="Z2154" s="391">
        <f>Y2137*V2154</f>
        <v>0</v>
      </c>
      <c r="AA2154" s="394"/>
      <c r="AB2154" s="395">
        <f>+Y2154*U2154</f>
        <v>0</v>
      </c>
      <c r="AC2154" s="93">
        <f>+AB2154-Z2154</f>
        <v>0</v>
      </c>
      <c r="AD2154" s="94"/>
      <c r="AE2154" s="406" t="str">
        <f>+IF(V2154=0,"CERO","NO")</f>
        <v>CERO</v>
      </c>
    </row>
    <row r="2155" spans="3:31" s="260" customFormat="1" ht="15.75" thickBot="1" x14ac:dyDescent="0.3">
      <c r="C2155" s="84"/>
      <c r="D2155" s="375" t="s">
        <v>128</v>
      </c>
      <c r="E2155" s="376" t="s">
        <v>129</v>
      </c>
      <c r="F2155" s="376" t="s">
        <v>130</v>
      </c>
      <c r="G2155" s="376" t="s">
        <v>131</v>
      </c>
      <c r="H2155" s="376" t="s">
        <v>132</v>
      </c>
      <c r="I2155" s="376" t="s">
        <v>133</v>
      </c>
      <c r="J2155" s="377" t="s">
        <v>134</v>
      </c>
      <c r="K2155" s="88"/>
      <c r="M2155" s="534"/>
      <c r="N2155" s="536" t="s">
        <v>106</v>
      </c>
      <c r="O2155" s="536"/>
      <c r="P2155" s="536"/>
      <c r="Q2155" s="536"/>
      <c r="R2155" s="536"/>
      <c r="S2155" s="536"/>
      <c r="T2155" s="536"/>
      <c r="U2155" s="536"/>
      <c r="V2155" s="389">
        <f>+SUM(V2150:V2154)</f>
        <v>7095.3164000000006</v>
      </c>
      <c r="Y2155" s="398" t="s">
        <v>135</v>
      </c>
      <c r="Z2155" s="397">
        <f>+SUM(Z2150:Z2154)</f>
        <v>170287.59359999999</v>
      </c>
      <c r="AA2155" s="86"/>
      <c r="AB2155" s="384"/>
      <c r="AC2155" s="385"/>
      <c r="AD2155" s="94"/>
      <c r="AE2155" s="399"/>
    </row>
    <row r="2156" spans="3:31" s="260" customFormat="1" ht="15.75" thickBot="1" x14ac:dyDescent="0.3">
      <c r="C2156" s="84"/>
      <c r="D2156" s="375"/>
      <c r="E2156" s="407">
        <f>+D2147</f>
        <v>2.34</v>
      </c>
      <c r="F2156" s="376"/>
      <c r="G2156" s="376"/>
      <c r="H2156" s="376"/>
      <c r="I2156" s="376"/>
      <c r="J2156" s="377"/>
      <c r="K2156" s="88"/>
      <c r="M2156" s="535"/>
      <c r="N2156" s="537" t="s">
        <v>107</v>
      </c>
      <c r="O2156" s="537"/>
      <c r="P2156" s="537"/>
      <c r="Q2156" s="537"/>
      <c r="R2156" s="537"/>
      <c r="S2156" s="537"/>
      <c r="T2156" s="537"/>
      <c r="U2156" s="537"/>
      <c r="V2156" s="408">
        <f>+ROUND(V2155,$AA$5)</f>
        <v>7095.32</v>
      </c>
      <c r="Y2156" s="401" t="s">
        <v>136</v>
      </c>
      <c r="Z2156" s="402">
        <f>+ROUND(Z2155,$AA$5)</f>
        <v>170287.59</v>
      </c>
      <c r="AA2156" s="86"/>
      <c r="AB2156" s="403">
        <f>+V2156*Y2137</f>
        <v>170287.68</v>
      </c>
      <c r="AC2156" s="404">
        <f>+AB2156-Z2156</f>
        <v>8.999999999650754E-2</v>
      </c>
      <c r="AD2156" s="94"/>
      <c r="AE2156" s="405"/>
    </row>
    <row r="2157" spans="3:31" s="260" customFormat="1" x14ac:dyDescent="0.25">
      <c r="C2157" s="84"/>
      <c r="D2157" s="380"/>
      <c r="E2157" s="381"/>
      <c r="F2157" s="381"/>
      <c r="G2157" s="381"/>
      <c r="H2157" s="381"/>
      <c r="I2157" s="381"/>
      <c r="J2157" s="382"/>
      <c r="K2157" s="88"/>
      <c r="M2157" s="568" t="s">
        <v>108</v>
      </c>
      <c r="N2157" s="569"/>
      <c r="O2157" s="569"/>
      <c r="P2157" s="569"/>
      <c r="Q2157" s="569"/>
      <c r="R2157" s="569"/>
      <c r="S2157" s="569"/>
      <c r="T2157" s="569"/>
      <c r="U2157" s="569"/>
      <c r="V2157" s="570"/>
      <c r="Y2157" s="378"/>
      <c r="Z2157" s="121"/>
      <c r="AA2157" s="86"/>
      <c r="AB2157" s="409"/>
      <c r="AC2157" s="121"/>
      <c r="AD2157" s="94"/>
      <c r="AE2157" s="126"/>
    </row>
    <row r="2158" spans="3:31" s="260" customFormat="1" ht="25.5" x14ac:dyDescent="0.25">
      <c r="C2158" s="84"/>
      <c r="D2158" s="85"/>
      <c r="E2158" s="86"/>
      <c r="F2158" s="86"/>
      <c r="G2158" s="86"/>
      <c r="H2158" s="86"/>
      <c r="I2158" s="86"/>
      <c r="J2158" s="87"/>
      <c r="K2158" s="88"/>
      <c r="M2158" s="99" t="s">
        <v>94</v>
      </c>
      <c r="N2158" s="561" t="s">
        <v>95</v>
      </c>
      <c r="O2158" s="561"/>
      <c r="P2158" s="561"/>
      <c r="Q2158" s="95" t="s">
        <v>109</v>
      </c>
      <c r="R2158" s="95" t="s">
        <v>110</v>
      </c>
      <c r="S2158" s="95" t="s">
        <v>111</v>
      </c>
      <c r="T2158" s="562" t="s">
        <v>112</v>
      </c>
      <c r="U2158" s="562"/>
      <c r="V2158" s="100" t="s">
        <v>98</v>
      </c>
      <c r="Y2158" s="383" t="s">
        <v>104</v>
      </c>
      <c r="Z2158" s="119" t="s">
        <v>9</v>
      </c>
      <c r="AA2158" s="86"/>
      <c r="AB2158" s="384"/>
      <c r="AC2158" s="385"/>
      <c r="AD2158" s="94"/>
      <c r="AE2158" s="410"/>
    </row>
    <row r="2159" spans="3:31" s="260" customFormat="1" x14ac:dyDescent="0.25">
      <c r="C2159" s="84"/>
      <c r="D2159" s="85"/>
      <c r="E2159" s="86"/>
      <c r="F2159" s="86"/>
      <c r="G2159" s="86"/>
      <c r="H2159" s="86"/>
      <c r="I2159" s="86"/>
      <c r="J2159" s="87"/>
      <c r="K2159" s="88"/>
      <c r="M2159" s="102">
        <v>129</v>
      </c>
      <c r="N2159" s="530" t="str">
        <f>IFERROR(VLOOKUP(M2159,INSUMOS!$C$8:$K$928,2,0),"-----")</f>
        <v>transporte materiales en general</v>
      </c>
      <c r="O2159" s="531"/>
      <c r="P2159" s="532"/>
      <c r="Q2159" s="78" t="str">
        <f>IFERROR(VLOOKUP(M2159,INSUMOS!$C$8:$K$928,5,0),"-----")</f>
        <v>Km</v>
      </c>
      <c r="R2159" s="80">
        <v>1</v>
      </c>
      <c r="S2159" s="80">
        <f>IFERROR(VLOOKUP(M2159,INSUMOS!$C$8:$K$928,6,0),"0")</f>
        <v>348</v>
      </c>
      <c r="T2159" s="529">
        <f>IFERROR(VLOOKUP(M2159,INSUMOS!$C$8:$K$928,7,0),"0")</f>
        <v>0.99776362060288992</v>
      </c>
      <c r="U2159" s="529"/>
      <c r="V2159" s="82">
        <f>+T2159*S2159*R2159</f>
        <v>347.2217399698057</v>
      </c>
      <c r="Y2159" s="393">
        <f>+IFERROR((R2159*S2159)*Y2137,0)</f>
        <v>8352</v>
      </c>
      <c r="Z2159" s="391">
        <f>Y2137*V2159</f>
        <v>8333.3217592753372</v>
      </c>
      <c r="AA2159" s="86"/>
      <c r="AB2159" s="92">
        <f>+Y2159*T2159</f>
        <v>8333.3217592753372</v>
      </c>
      <c r="AC2159" s="93">
        <f>+AB2159-Z2159</f>
        <v>0</v>
      </c>
      <c r="AD2159" s="94"/>
      <c r="AE2159" s="406" t="str">
        <f>+IF(V2159=0,"CERO","NO")</f>
        <v>NO</v>
      </c>
    </row>
    <row r="2160" spans="3:31" s="260" customFormat="1" x14ac:dyDescent="0.25">
      <c r="C2160" s="84"/>
      <c r="D2160" s="85"/>
      <c r="E2160" s="86"/>
      <c r="F2160" s="86"/>
      <c r="G2160" s="86"/>
      <c r="H2160" s="86"/>
      <c r="I2160" s="86"/>
      <c r="J2160" s="87"/>
      <c r="K2160" s="88"/>
      <c r="M2160" s="102">
        <v>0</v>
      </c>
      <c r="N2160" s="530" t="str">
        <f>IFERROR(VLOOKUP(M2160,INSUMOS!$C$8:$K$928,2,0),"-----")</f>
        <v>-----</v>
      </c>
      <c r="O2160" s="531"/>
      <c r="P2160" s="532"/>
      <c r="Q2160" s="78" t="str">
        <f>IFERROR(VLOOKUP(M2160,INSUMOS!$C$8:$K$928,5,0),"-----")</f>
        <v>-----</v>
      </c>
      <c r="R2160" s="80"/>
      <c r="S2160" s="80" t="str">
        <f>IFERROR(VLOOKUP(M2160,INSUMOS!$C$8:$K$928,6,0),"0")</f>
        <v>0</v>
      </c>
      <c r="T2160" s="529" t="str">
        <f>IFERROR(VLOOKUP(M2160,INSUMOS!$C$8:$K$928,7,0),"0")</f>
        <v>0</v>
      </c>
      <c r="U2160" s="529"/>
      <c r="V2160" s="82">
        <f>+T2160*S2160*R2160</f>
        <v>0</v>
      </c>
      <c r="Y2160" s="393">
        <f>+IFERROR((R2160*S2160)*Y2137,0)</f>
        <v>0</v>
      </c>
      <c r="Z2160" s="391">
        <f>Y2137*V2160</f>
        <v>0</v>
      </c>
      <c r="AA2160" s="86"/>
      <c r="AB2160" s="92">
        <f>+Y2160*T2160</f>
        <v>0</v>
      </c>
      <c r="AC2160" s="93">
        <f>+AB2160-Z2160</f>
        <v>0</v>
      </c>
      <c r="AD2160" s="94"/>
      <c r="AE2160" s="406" t="str">
        <f>+IF(V2160=0,"CERO","NO")</f>
        <v>CERO</v>
      </c>
    </row>
    <row r="2161" spans="3:31" s="260" customFormat="1" x14ac:dyDescent="0.25">
      <c r="C2161" s="84"/>
      <c r="D2161" s="85"/>
      <c r="E2161" s="86"/>
      <c r="F2161" s="86"/>
      <c r="G2161" s="86"/>
      <c r="H2161" s="86"/>
      <c r="I2161" s="86"/>
      <c r="J2161" s="87"/>
      <c r="K2161" s="88"/>
      <c r="M2161" s="102">
        <v>0</v>
      </c>
      <c r="N2161" s="530" t="str">
        <f>IFERROR(VLOOKUP(M2161,INSUMOS!$C$8:$K$928,2,0),"-----")</f>
        <v>-----</v>
      </c>
      <c r="O2161" s="531"/>
      <c r="P2161" s="532"/>
      <c r="Q2161" s="78" t="str">
        <f>IFERROR(VLOOKUP(M2161,INSUMOS!$C$8:$K$928,5,0),"-----")</f>
        <v>-----</v>
      </c>
      <c r="R2161" s="80"/>
      <c r="S2161" s="80" t="str">
        <f>IFERROR(VLOOKUP(M2161,INSUMOS!$C$8:$K$928,6,0),"0")</f>
        <v>0</v>
      </c>
      <c r="T2161" s="529" t="str">
        <f>IFERROR(VLOOKUP(M2161,INSUMOS!$C$8:$K$928,7,0),"0")</f>
        <v>0</v>
      </c>
      <c r="U2161" s="529"/>
      <c r="V2161" s="82">
        <f>+T2161*S2161*R2161</f>
        <v>0</v>
      </c>
      <c r="Y2161" s="393">
        <f>+IFERROR((R2161*S2161)*Y2137,0)</f>
        <v>0</v>
      </c>
      <c r="Z2161" s="391">
        <f>Y2137*V2161</f>
        <v>0</v>
      </c>
      <c r="AA2161" s="86"/>
      <c r="AB2161" s="92">
        <f>+Y2161*T2161</f>
        <v>0</v>
      </c>
      <c r="AC2161" s="93">
        <f>+AB2161-Z2161</f>
        <v>0</v>
      </c>
      <c r="AD2161" s="94"/>
      <c r="AE2161" s="406" t="str">
        <f>+IF(V2161=0,"CERO","NO")</f>
        <v>CERO</v>
      </c>
    </row>
    <row r="2162" spans="3:31" s="260" customFormat="1" ht="15.75" thickBot="1" x14ac:dyDescent="0.3">
      <c r="C2162" s="84"/>
      <c r="D2162" s="89"/>
      <c r="E2162" s="90"/>
      <c r="F2162" s="90"/>
      <c r="G2162" s="90"/>
      <c r="H2162" s="90"/>
      <c r="I2162" s="90"/>
      <c r="J2162" s="91"/>
      <c r="K2162" s="88"/>
      <c r="M2162" s="102">
        <v>0</v>
      </c>
      <c r="N2162" s="533"/>
      <c r="O2162" s="533"/>
      <c r="P2162" s="533"/>
      <c r="Q2162" s="79"/>
      <c r="R2162" s="78"/>
      <c r="S2162" s="81"/>
      <c r="T2162" s="529"/>
      <c r="U2162" s="529"/>
      <c r="V2162" s="82"/>
      <c r="Y2162" s="393">
        <f>+IFERROR((R2162*S2162)*Y2137,0)</f>
        <v>0</v>
      </c>
      <c r="Z2162" s="391">
        <f>Y2137*V2162</f>
        <v>0</v>
      </c>
      <c r="AA2162" s="86"/>
      <c r="AB2162" s="92">
        <f>+Y2162*T2162</f>
        <v>0</v>
      </c>
      <c r="AC2162" s="93">
        <f>+AB2162-Z2162</f>
        <v>0</v>
      </c>
      <c r="AD2162" s="94"/>
      <c r="AE2162" s="406" t="str">
        <f>+IF(V2162=0,"CERO","NO")</f>
        <v>CERO</v>
      </c>
    </row>
    <row r="2163" spans="3:31" s="260" customFormat="1" ht="15.75" thickBot="1" x14ac:dyDescent="0.3">
      <c r="C2163" s="84"/>
      <c r="D2163" s="375" t="s">
        <v>128</v>
      </c>
      <c r="E2163" s="376" t="s">
        <v>129</v>
      </c>
      <c r="F2163" s="376" t="s">
        <v>130</v>
      </c>
      <c r="G2163" s="376" t="s">
        <v>131</v>
      </c>
      <c r="H2163" s="376" t="s">
        <v>132</v>
      </c>
      <c r="I2163" s="376" t="s">
        <v>133</v>
      </c>
      <c r="J2163" s="377" t="s">
        <v>134</v>
      </c>
      <c r="K2163" s="88"/>
      <c r="M2163" s="534"/>
      <c r="N2163" s="536" t="s">
        <v>113</v>
      </c>
      <c r="O2163" s="536"/>
      <c r="P2163" s="536"/>
      <c r="Q2163" s="536"/>
      <c r="R2163" s="536"/>
      <c r="S2163" s="536"/>
      <c r="T2163" s="536"/>
      <c r="U2163" s="536"/>
      <c r="V2163" s="411">
        <f>+SUM(V2159:V2162)</f>
        <v>347.2217399698057</v>
      </c>
      <c r="Y2163" s="398" t="s">
        <v>135</v>
      </c>
      <c r="Z2163" s="397">
        <f>+SUM(Z2159:Z2162)</f>
        <v>8333.3217592753372</v>
      </c>
      <c r="AA2163" s="86"/>
      <c r="AB2163" s="384"/>
      <c r="AC2163" s="385"/>
      <c r="AD2163" s="94"/>
      <c r="AE2163" s="399"/>
    </row>
    <row r="2164" spans="3:31" s="260" customFormat="1" ht="15.75" thickBot="1" x14ac:dyDescent="0.3">
      <c r="C2164" s="84"/>
      <c r="D2164" s="355"/>
      <c r="E2164" s="367"/>
      <c r="F2164" s="412">
        <f>+E2156</f>
        <v>2.34</v>
      </c>
      <c r="G2164" s="367"/>
      <c r="H2164" s="367"/>
      <c r="I2164" s="367"/>
      <c r="J2164" s="368"/>
      <c r="K2164" s="88"/>
      <c r="M2164" s="535"/>
      <c r="N2164" s="537" t="s">
        <v>114</v>
      </c>
      <c r="O2164" s="537"/>
      <c r="P2164" s="537"/>
      <c r="Q2164" s="537"/>
      <c r="R2164" s="537"/>
      <c r="S2164" s="537"/>
      <c r="T2164" s="537"/>
      <c r="U2164" s="537"/>
      <c r="V2164" s="413">
        <f>+ROUND(V2163,$AA$5)</f>
        <v>347.22</v>
      </c>
      <c r="Y2164" s="401" t="s">
        <v>136</v>
      </c>
      <c r="Z2164" s="402">
        <f>+ROUND(Z2163,$AA$5)</f>
        <v>8333.32</v>
      </c>
      <c r="AA2164" s="86"/>
      <c r="AB2164" s="403">
        <f>+V2164*Y2137</f>
        <v>8333.2800000000007</v>
      </c>
      <c r="AC2164" s="414"/>
      <c r="AD2164" s="94"/>
      <c r="AE2164" s="405"/>
    </row>
    <row r="2165" spans="3:31" s="260" customFormat="1" ht="15.75" thickBot="1" x14ac:dyDescent="0.3">
      <c r="C2165" s="84"/>
      <c r="D2165" s="415"/>
      <c r="E2165" s="416"/>
      <c r="F2165" s="416"/>
      <c r="G2165" s="416"/>
      <c r="H2165" s="416"/>
      <c r="I2165" s="416"/>
      <c r="J2165" s="417"/>
      <c r="K2165" s="88"/>
      <c r="M2165" s="538" t="s">
        <v>115</v>
      </c>
      <c r="N2165" s="539"/>
      <c r="O2165" s="539"/>
      <c r="P2165" s="539"/>
      <c r="Q2165" s="539"/>
      <c r="R2165" s="539"/>
      <c r="S2165" s="539"/>
      <c r="T2165" s="539"/>
      <c r="U2165" s="539"/>
      <c r="V2165" s="540"/>
      <c r="Y2165" s="378"/>
      <c r="Z2165" s="121"/>
      <c r="AA2165" s="86"/>
      <c r="AB2165" s="409"/>
      <c r="AC2165" s="121"/>
      <c r="AD2165" s="94"/>
      <c r="AE2165" s="126"/>
    </row>
    <row r="2166" spans="3:31" s="260" customFormat="1" ht="15.75" thickBot="1" x14ac:dyDescent="0.3">
      <c r="C2166" s="84"/>
      <c r="D2166" s="375" t="s">
        <v>128</v>
      </c>
      <c r="E2166" s="376" t="s">
        <v>129</v>
      </c>
      <c r="F2166" s="376" t="s">
        <v>130</v>
      </c>
      <c r="G2166" s="376" t="s">
        <v>131</v>
      </c>
      <c r="H2166" s="376" t="s">
        <v>132</v>
      </c>
      <c r="I2166" s="376" t="s">
        <v>133</v>
      </c>
      <c r="J2166" s="377" t="s">
        <v>134</v>
      </c>
      <c r="K2166" s="88"/>
      <c r="M2166" s="99" t="s">
        <v>94</v>
      </c>
      <c r="N2166" s="98" t="s">
        <v>95</v>
      </c>
      <c r="O2166" s="95" t="s">
        <v>96</v>
      </c>
      <c r="P2166" s="359" t="s">
        <v>104</v>
      </c>
      <c r="Q2166" s="95" t="s">
        <v>116</v>
      </c>
      <c r="R2166" s="418" t="s">
        <v>117</v>
      </c>
      <c r="S2166" s="95" t="s">
        <v>347</v>
      </c>
      <c r="T2166" s="419" t="s">
        <v>118</v>
      </c>
      <c r="U2166" s="189" t="s">
        <v>119</v>
      </c>
      <c r="V2166" s="100" t="s">
        <v>98</v>
      </c>
      <c r="Y2166" s="383" t="s">
        <v>104</v>
      </c>
      <c r="Z2166" s="119" t="s">
        <v>9</v>
      </c>
      <c r="AA2166" s="86"/>
      <c r="AB2166" s="384"/>
      <c r="AC2166" s="385"/>
      <c r="AD2166" s="94"/>
      <c r="AE2166" s="410"/>
    </row>
    <row r="2167" spans="3:31" s="260" customFormat="1" ht="25.5" x14ac:dyDescent="0.25">
      <c r="C2167" s="84"/>
      <c r="D2167" s="354"/>
      <c r="E2167" s="96"/>
      <c r="F2167" s="96"/>
      <c r="G2167" s="96"/>
      <c r="H2167" s="96"/>
      <c r="I2167" s="96"/>
      <c r="J2167" s="420">
        <f>+F2164</f>
        <v>2.34</v>
      </c>
      <c r="K2167" s="88"/>
      <c r="M2167" s="102">
        <v>207</v>
      </c>
      <c r="N2167" s="347" t="str">
        <f>IFERROR(VLOOKUP(M2167,INSUMOS!$C$8:$K$928,2,0),"-----")</f>
        <v>Oficial Hidrosanitario</v>
      </c>
      <c r="O2167" s="78" t="str">
        <f>IFERROR(VLOOKUP(M2167,INSUMOS!$C$8:$K$928,3,0),"-----")</f>
        <v>JORNAL+PS</v>
      </c>
      <c r="P2167" s="80">
        <v>1</v>
      </c>
      <c r="Q2167" s="79">
        <v>30</v>
      </c>
      <c r="R2167" s="190">
        <f>IFERROR(VLOOKUP(M2167,INSUMOS!$C$8:$K$928,4,0),"-----")</f>
        <v>92983</v>
      </c>
      <c r="S2167" s="190">
        <f>IFERROR(VLOOKUP(M2167,INSUMOS!$C$8:$K$928,6,0),"-----")</f>
        <v>74386</v>
      </c>
      <c r="T2167" s="190">
        <f>IFERROR(VLOOKUP(M2167,INSUMOS!$C$8:$K$928,5,0),"-----")</f>
        <v>0</v>
      </c>
      <c r="U2167" s="388">
        <f>SUM(R2167:T2167)</f>
        <v>167369</v>
      </c>
      <c r="V2167" s="82">
        <f>+IFERROR((P2167/Q2167)*U2167,0)</f>
        <v>5578.9666666666662</v>
      </c>
      <c r="Y2167" s="393">
        <f>+IFERROR((Y2137/Q2167*P2167),0)</f>
        <v>0.8</v>
      </c>
      <c r="Z2167" s="391">
        <f>Y2137*V2167</f>
        <v>133895.19999999998</v>
      </c>
      <c r="AA2167" s="86"/>
      <c r="AB2167" s="92">
        <f>+(U2167)*Y2167</f>
        <v>133895.20000000001</v>
      </c>
      <c r="AC2167" s="93">
        <f>+AB2167-Z2167</f>
        <v>0</v>
      </c>
      <c r="AD2167" s="421"/>
      <c r="AE2167" s="410" t="str">
        <f>+IF(V2167=0,"CERO","NO")</f>
        <v>NO</v>
      </c>
    </row>
    <row r="2168" spans="3:31" s="260" customFormat="1" ht="15.75" thickBot="1" x14ac:dyDescent="0.3">
      <c r="C2168" s="84"/>
      <c r="D2168" s="355"/>
      <c r="E2168" s="367"/>
      <c r="F2168" s="367"/>
      <c r="G2168" s="367"/>
      <c r="H2168" s="367"/>
      <c r="I2168" s="367"/>
      <c r="J2168" s="422">
        <f>+J2167</f>
        <v>2.34</v>
      </c>
      <c r="K2168" s="88"/>
      <c r="M2168" s="102"/>
      <c r="N2168" s="347" t="str">
        <f>IFERROR(VLOOKUP(M2168,INSUMOS!$C$8:$K$928,2,0),"-----")</f>
        <v>-----</v>
      </c>
      <c r="O2168" s="78" t="str">
        <f>IFERROR(VLOOKUP(M2168,INSUMOS!$C$8:$K$928,3,0),"-----")</f>
        <v>-----</v>
      </c>
      <c r="P2168" s="80"/>
      <c r="Q2168" s="79"/>
      <c r="R2168" s="190" t="str">
        <f>IFERROR(VLOOKUP(M2168,INSUMOS!$C$8:$K$928,4,0),"-----")</f>
        <v>-----</v>
      </c>
      <c r="S2168" s="190" t="str">
        <f>IFERROR(VLOOKUP(M2168,INSUMOS!$C$8:$K$928,6,0),"-----")</f>
        <v>-----</v>
      </c>
      <c r="T2168" s="190" t="str">
        <f>IFERROR(VLOOKUP(M2168,INSUMOS!$C$8:$K$928,5,0),"-----")</f>
        <v>-----</v>
      </c>
      <c r="U2168" s="388">
        <f>SUM(R2168:T2168)</f>
        <v>0</v>
      </c>
      <c r="V2168" s="82">
        <f>+IFERROR((P2168/Q2168)*U2168,0)</f>
        <v>0</v>
      </c>
      <c r="Y2168" s="393">
        <f>+IFERROR((Y2137/Q2168*P2168),0)</f>
        <v>0</v>
      </c>
      <c r="Z2168" s="391">
        <f>Y2137*V2168</f>
        <v>0</v>
      </c>
      <c r="AA2168" s="86"/>
      <c r="AB2168" s="92">
        <f>+U2168*Y2168</f>
        <v>0</v>
      </c>
      <c r="AC2168" s="93">
        <f>+AB2168-Z2168</f>
        <v>0</v>
      </c>
      <c r="AD2168" s="94"/>
      <c r="AE2168" s="410" t="str">
        <f>+IF(V2168=0,"CERO","NO")</f>
        <v>CERO</v>
      </c>
    </row>
    <row r="2169" spans="3:31" s="260" customFormat="1" ht="15.75" thickBot="1" x14ac:dyDescent="0.3">
      <c r="C2169" s="84"/>
      <c r="D2169" s="380"/>
      <c r="E2169" s="381"/>
      <c r="F2169" s="381"/>
      <c r="G2169" s="381"/>
      <c r="H2169" s="381"/>
      <c r="I2169" s="381"/>
      <c r="J2169" s="382"/>
      <c r="K2169" s="88"/>
      <c r="M2169" s="102">
        <v>0</v>
      </c>
      <c r="N2169" s="347"/>
      <c r="O2169" s="79"/>
      <c r="P2169" s="423"/>
      <c r="Q2169" s="81"/>
      <c r="R2169" s="111"/>
      <c r="S2169" s="357"/>
      <c r="T2169" s="111"/>
      <c r="U2169" s="388"/>
      <c r="V2169" s="426"/>
      <c r="Y2169" s="393">
        <f>+IFERROR((Y2137/Q2169*P2169),0)</f>
        <v>0</v>
      </c>
      <c r="Z2169" s="391">
        <f>Y2137*V2169</f>
        <v>0</v>
      </c>
      <c r="AA2169" s="86"/>
      <c r="AB2169" s="92">
        <f>+(U2169)*Y2169*P2169</f>
        <v>0</v>
      </c>
      <c r="AC2169" s="93">
        <f>+AB2169-Z2169</f>
        <v>0</v>
      </c>
      <c r="AD2169" s="94"/>
      <c r="AE2169" s="410" t="str">
        <f>+IF(V2169=0,"CERO","NO")</f>
        <v>CERO</v>
      </c>
    </row>
    <row r="2170" spans="3:31" s="260" customFormat="1" ht="15.75" thickBot="1" x14ac:dyDescent="0.3">
      <c r="C2170" s="84"/>
      <c r="D2170" s="375" t="s">
        <v>128</v>
      </c>
      <c r="E2170" s="376" t="s">
        <v>129</v>
      </c>
      <c r="F2170" s="376" t="s">
        <v>130</v>
      </c>
      <c r="G2170" s="376" t="s">
        <v>131</v>
      </c>
      <c r="H2170" s="376" t="s">
        <v>132</v>
      </c>
      <c r="I2170" s="376" t="s">
        <v>133</v>
      </c>
      <c r="J2170" s="377" t="s">
        <v>134</v>
      </c>
      <c r="K2170" s="88"/>
      <c r="M2170" s="534"/>
      <c r="N2170" s="536" t="s">
        <v>120</v>
      </c>
      <c r="O2170" s="536"/>
      <c r="P2170" s="536"/>
      <c r="Q2170" s="536"/>
      <c r="R2170" s="536"/>
      <c r="S2170" s="536"/>
      <c r="T2170" s="536"/>
      <c r="U2170" s="536"/>
      <c r="V2170" s="82">
        <f>+SUM(V2167:V2169)</f>
        <v>5578.9666666666662</v>
      </c>
      <c r="Y2170" s="398" t="s">
        <v>135</v>
      </c>
      <c r="Z2170" s="397">
        <f>+SUM(Z2167:Z2169)</f>
        <v>133895.19999999998</v>
      </c>
      <c r="AA2170" s="86"/>
      <c r="AB2170" s="384"/>
      <c r="AC2170" s="385"/>
      <c r="AD2170" s="94"/>
      <c r="AE2170" s="399"/>
    </row>
    <row r="2171" spans="3:31" s="260" customFormat="1" ht="15.75" thickBot="1" x14ac:dyDescent="0.3">
      <c r="C2171" s="84"/>
      <c r="D2171" s="354"/>
      <c r="E2171" s="96"/>
      <c r="F2171" s="96"/>
      <c r="G2171" s="107">
        <f>+F2164</f>
        <v>2.34</v>
      </c>
      <c r="H2171" s="96"/>
      <c r="I2171" s="96"/>
      <c r="J2171" s="427"/>
      <c r="K2171" s="88"/>
      <c r="M2171" s="535"/>
      <c r="N2171" s="537" t="s">
        <v>121</v>
      </c>
      <c r="O2171" s="537"/>
      <c r="P2171" s="537"/>
      <c r="Q2171" s="537"/>
      <c r="R2171" s="537"/>
      <c r="S2171" s="537"/>
      <c r="T2171" s="537"/>
      <c r="U2171" s="537"/>
      <c r="V2171" s="413">
        <f>+ROUND(V2170,$AA$5)</f>
        <v>5578.97</v>
      </c>
      <c r="Y2171" s="401" t="s">
        <v>136</v>
      </c>
      <c r="Z2171" s="402">
        <f>+ROUND(Z2170,$AA$5)</f>
        <v>133895.20000000001</v>
      </c>
      <c r="AA2171" s="86"/>
      <c r="AB2171" s="403">
        <f>+V2171*Y2137</f>
        <v>133895.28</v>
      </c>
      <c r="AC2171" s="404">
        <f>+AB2171-Z2171</f>
        <v>7.9999999987194315E-2</v>
      </c>
      <c r="AD2171" s="94"/>
      <c r="AE2171" s="405"/>
    </row>
    <row r="2172" spans="3:31" s="260" customFormat="1" ht="15.75" thickBot="1" x14ac:dyDescent="0.3">
      <c r="C2172" s="84"/>
      <c r="D2172" s="375" t="s">
        <v>128</v>
      </c>
      <c r="E2172" s="376" t="s">
        <v>129</v>
      </c>
      <c r="F2172" s="376" t="s">
        <v>130</v>
      </c>
      <c r="G2172" s="376" t="s">
        <v>131</v>
      </c>
      <c r="H2172" s="376" t="s">
        <v>132</v>
      </c>
      <c r="I2172" s="376" t="s">
        <v>133</v>
      </c>
      <c r="J2172" s="377" t="s">
        <v>134</v>
      </c>
      <c r="K2172" s="88"/>
      <c r="M2172" s="541"/>
      <c r="N2172" s="542"/>
      <c r="O2172" s="542"/>
      <c r="P2172" s="542"/>
      <c r="Q2172" s="542"/>
      <c r="R2172" s="542"/>
      <c r="S2172" s="542"/>
      <c r="T2172" s="542"/>
      <c r="U2172" s="542"/>
      <c r="V2172" s="543"/>
      <c r="Y2172" s="378"/>
      <c r="Z2172" s="121"/>
      <c r="AA2172" s="86"/>
      <c r="AB2172" s="409"/>
      <c r="AC2172" s="121"/>
      <c r="AD2172" s="94"/>
      <c r="AE2172" s="428"/>
    </row>
    <row r="2173" spans="3:31" s="260" customFormat="1" ht="15.75" thickBot="1" x14ac:dyDescent="0.3">
      <c r="C2173" s="84"/>
      <c r="D2173" s="355"/>
      <c r="E2173" s="367"/>
      <c r="F2173" s="367"/>
      <c r="G2173" s="367"/>
      <c r="H2173" s="412">
        <f>G2171</f>
        <v>2.34</v>
      </c>
      <c r="I2173" s="412"/>
      <c r="J2173" s="422"/>
      <c r="K2173" s="88"/>
      <c r="M2173" s="544" t="s">
        <v>122</v>
      </c>
      <c r="N2173" s="537"/>
      <c r="O2173" s="537"/>
      <c r="P2173" s="537"/>
      <c r="Q2173" s="537"/>
      <c r="R2173" s="537"/>
      <c r="S2173" s="537"/>
      <c r="T2173" s="537"/>
      <c r="U2173" s="545">
        <f>+V2171+V2164+V2156+V2147</f>
        <v>13300.460000000001</v>
      </c>
      <c r="V2173" s="546"/>
      <c r="Y2173" s="429"/>
      <c r="Z2173" s="430">
        <f>+Z2171+Z2164+Z2156+Z2147</f>
        <v>319210.87</v>
      </c>
      <c r="AA2173" s="86"/>
      <c r="AB2173" s="431">
        <f>+AB2171+AB2164+AB2156+AB2147</f>
        <v>319211.03999999998</v>
      </c>
      <c r="AC2173" s="404">
        <f>+AB2173-Z2173</f>
        <v>0.16999999998370185</v>
      </c>
      <c r="AD2173" s="94"/>
      <c r="AE2173" s="432"/>
    </row>
    <row r="2174" spans="3:31" s="260" customFormat="1" ht="15.75" thickBot="1" x14ac:dyDescent="0.3"/>
    <row r="2175" spans="3:31" s="260" customFormat="1" x14ac:dyDescent="0.25">
      <c r="M2175" s="547" t="s">
        <v>348</v>
      </c>
      <c r="N2175" s="548"/>
      <c r="O2175" s="548"/>
      <c r="P2175" s="548"/>
      <c r="Q2175" s="548"/>
      <c r="R2175" s="548"/>
      <c r="S2175" s="548"/>
      <c r="T2175" s="548"/>
      <c r="U2175" s="548"/>
      <c r="V2175" s="549"/>
      <c r="Y2175" s="378"/>
      <c r="Z2175" s="121"/>
      <c r="AA2175" s="86"/>
      <c r="AB2175" s="94"/>
      <c r="AC2175" s="94"/>
      <c r="AD2175" s="94"/>
      <c r="AE2175" s="126" t="s">
        <v>133</v>
      </c>
    </row>
    <row r="2176" spans="3:31" s="260" customFormat="1" x14ac:dyDescent="0.25">
      <c r="M2176" s="515" t="s">
        <v>138</v>
      </c>
      <c r="N2176" s="516"/>
      <c r="O2176" s="516"/>
      <c r="P2176" s="516"/>
      <c r="Q2176" s="516"/>
      <c r="R2176" s="516"/>
      <c r="S2176" s="516"/>
      <c r="T2176" s="437">
        <v>0</v>
      </c>
      <c r="U2176" s="517">
        <f>+ROUND(U2173*T2176,$AA$5)</f>
        <v>0</v>
      </c>
      <c r="V2176" s="518"/>
      <c r="Y2176" s="390"/>
      <c r="Z2176" s="438">
        <f>+Z2173*T2176</f>
        <v>0</v>
      </c>
      <c r="AA2176" s="86"/>
      <c r="AB2176" s="94"/>
      <c r="AC2176" s="94"/>
      <c r="AD2176" s="94"/>
      <c r="AE2176" s="386" t="s">
        <v>133</v>
      </c>
    </row>
    <row r="2177" spans="3:31" s="260" customFormat="1" x14ac:dyDescent="0.25">
      <c r="M2177" s="515" t="s">
        <v>19</v>
      </c>
      <c r="N2177" s="516"/>
      <c r="O2177" s="516"/>
      <c r="P2177" s="516"/>
      <c r="Q2177" s="516"/>
      <c r="R2177" s="516"/>
      <c r="S2177" s="516"/>
      <c r="T2177" s="437">
        <v>0.05</v>
      </c>
      <c r="U2177" s="517">
        <f>+ROUND(U2173*T2177,$AA$5)</f>
        <v>665.02</v>
      </c>
      <c r="V2177" s="518"/>
      <c r="Y2177" s="390"/>
      <c r="Z2177" s="438">
        <f>+Z2173*T2177</f>
        <v>15960.5435</v>
      </c>
      <c r="AA2177" s="86"/>
      <c r="AB2177" s="94"/>
      <c r="AC2177" s="94"/>
      <c r="AD2177" s="94"/>
      <c r="AE2177" s="386" t="s">
        <v>133</v>
      </c>
    </row>
    <row r="2178" spans="3:31" s="260" customFormat="1" x14ac:dyDescent="0.25">
      <c r="M2178" s="515" t="s">
        <v>20</v>
      </c>
      <c r="N2178" s="516"/>
      <c r="O2178" s="516"/>
      <c r="P2178" s="516"/>
      <c r="Q2178" s="516"/>
      <c r="R2178" s="516"/>
      <c r="S2178" s="516"/>
      <c r="T2178" s="437">
        <v>0</v>
      </c>
      <c r="U2178" s="517">
        <f>+ROUND(U2173*T2178,$AA$5)</f>
        <v>0</v>
      </c>
      <c r="V2178" s="518"/>
      <c r="Y2178" s="390"/>
      <c r="Z2178" s="438">
        <f>+Z2173*T2178</f>
        <v>0</v>
      </c>
      <c r="AA2178" s="86"/>
      <c r="AB2178" s="94"/>
      <c r="AC2178" s="94"/>
      <c r="AD2178" s="94"/>
      <c r="AE2178" s="386" t="s">
        <v>133</v>
      </c>
    </row>
    <row r="2179" spans="3:31" s="260" customFormat="1" x14ac:dyDescent="0.25">
      <c r="M2179" s="515" t="s">
        <v>21</v>
      </c>
      <c r="N2179" s="516"/>
      <c r="O2179" s="516"/>
      <c r="P2179" s="516"/>
      <c r="Q2179" s="516"/>
      <c r="R2179" s="516"/>
      <c r="S2179" s="516"/>
      <c r="T2179" s="437">
        <f>$AA$9</f>
        <v>0</v>
      </c>
      <c r="U2179" s="517">
        <f>+ROUND(U2173*T2179,$AA$5)</f>
        <v>0</v>
      </c>
      <c r="V2179" s="518"/>
      <c r="Y2179" s="390"/>
      <c r="Z2179" s="438">
        <f>+Z2178*T2179</f>
        <v>0</v>
      </c>
      <c r="AA2179" s="86"/>
      <c r="AB2179" s="94"/>
      <c r="AC2179" s="94"/>
      <c r="AD2179" s="94"/>
      <c r="AE2179" s="386" t="s">
        <v>133</v>
      </c>
    </row>
    <row r="2180" spans="3:31" s="260" customFormat="1" ht="15.75" thickBot="1" x14ac:dyDescent="0.3">
      <c r="M2180" s="519" t="s">
        <v>349</v>
      </c>
      <c r="N2180" s="520"/>
      <c r="O2180" s="520"/>
      <c r="P2180" s="520"/>
      <c r="Q2180" s="520"/>
      <c r="R2180" s="520"/>
      <c r="S2180" s="520"/>
      <c r="T2180" s="520"/>
      <c r="U2180" s="521">
        <f>+SUM(U2176:V2179)</f>
        <v>665.02</v>
      </c>
      <c r="V2180" s="522"/>
      <c r="Y2180" s="390"/>
      <c r="Z2180" s="439">
        <f>+SUM(Z2176:Z2179)</f>
        <v>15960.5435</v>
      </c>
      <c r="AA2180" s="86"/>
      <c r="AB2180" s="94"/>
      <c r="AC2180" s="94"/>
      <c r="AD2180" s="94"/>
      <c r="AE2180" s="386" t="s">
        <v>133</v>
      </c>
    </row>
    <row r="2181" spans="3:31" s="260" customFormat="1" ht="15.75" thickBot="1" x14ac:dyDescent="0.3">
      <c r="D2181" s="375" t="s">
        <v>128</v>
      </c>
      <c r="E2181" s="376" t="s">
        <v>129</v>
      </c>
      <c r="F2181" s="376" t="s">
        <v>130</v>
      </c>
      <c r="G2181" s="376" t="s">
        <v>131</v>
      </c>
      <c r="H2181" s="376" t="s">
        <v>132</v>
      </c>
      <c r="I2181" s="376" t="s">
        <v>133</v>
      </c>
      <c r="J2181" s="377" t="s">
        <v>134</v>
      </c>
      <c r="M2181" s="86"/>
      <c r="N2181" s="94"/>
      <c r="O2181" s="94"/>
      <c r="P2181" s="94"/>
      <c r="Q2181" s="86"/>
      <c r="R2181" s="86"/>
      <c r="S2181" s="86"/>
      <c r="T2181" s="440"/>
      <c r="U2181" s="523"/>
      <c r="V2181" s="523"/>
      <c r="Y2181" s="390"/>
      <c r="Z2181" s="385"/>
      <c r="AA2181" s="86"/>
      <c r="AB2181" s="94"/>
      <c r="AC2181" s="94"/>
      <c r="AD2181" s="94"/>
      <c r="AE2181" s="386" t="s">
        <v>133</v>
      </c>
    </row>
    <row r="2182" spans="3:31" s="260" customFormat="1" ht="15.75" thickBot="1" x14ac:dyDescent="0.3">
      <c r="D2182" s="355"/>
      <c r="E2182" s="367"/>
      <c r="F2182" s="367"/>
      <c r="G2182" s="367"/>
      <c r="H2182" s="412"/>
      <c r="I2182" s="412">
        <f>H2173</f>
        <v>2.34</v>
      </c>
      <c r="J2182" s="422"/>
      <c r="M2182" s="524" t="s">
        <v>11</v>
      </c>
      <c r="N2182" s="525"/>
      <c r="O2182" s="525"/>
      <c r="P2182" s="525"/>
      <c r="Q2182" s="525"/>
      <c r="R2182" s="525"/>
      <c r="S2182" s="525"/>
      <c r="T2182" s="526"/>
      <c r="U2182" s="527">
        <f>+U2180+U2173</f>
        <v>13965.480000000001</v>
      </c>
      <c r="V2182" s="528"/>
      <c r="Y2182" s="429"/>
      <c r="Z2182" s="441">
        <f>+Z2180+Z2173</f>
        <v>335171.41350000002</v>
      </c>
      <c r="AA2182" s="86"/>
      <c r="AB2182" s="94"/>
      <c r="AC2182" s="94"/>
      <c r="AD2182" s="94"/>
      <c r="AE2182" s="405" t="s">
        <v>133</v>
      </c>
    </row>
    <row r="2183" spans="3:31" s="260" customFormat="1" x14ac:dyDescent="0.25"/>
    <row r="2184" spans="3:31" s="260" customFormat="1" ht="15.75" thickBot="1" x14ac:dyDescent="0.3"/>
    <row r="2185" spans="3:31" s="260" customFormat="1" ht="15.75" thickBot="1" x14ac:dyDescent="0.3">
      <c r="M2185" s="363" t="s">
        <v>88</v>
      </c>
      <c r="N2185" s="436" t="str">
        <f>+N2136</f>
        <v>CAP.2</v>
      </c>
      <c r="O2185" s="550" t="str">
        <f>IFERROR(VLOOKUP(N2185,PPTO!C:H,2,0),"----")</f>
        <v>RED HIDRAULICA</v>
      </c>
      <c r="P2185" s="551"/>
      <c r="Q2185" s="551"/>
      <c r="R2185" s="551"/>
      <c r="S2185" s="551"/>
      <c r="T2185" s="551"/>
      <c r="U2185" s="552"/>
      <c r="V2185" s="74" t="s">
        <v>91</v>
      </c>
      <c r="Y2185" s="365" t="s">
        <v>104</v>
      </c>
      <c r="Z2185" s="94"/>
      <c r="AA2185" s="188"/>
      <c r="AB2185" s="553"/>
      <c r="AC2185" s="553"/>
      <c r="AD2185" s="553"/>
      <c r="AE2185" s="94"/>
    </row>
    <row r="2186" spans="3:31" s="260" customFormat="1" ht="15.75" thickBot="1" x14ac:dyDescent="0.3">
      <c r="C2186" s="369">
        <f>+N2186</f>
        <v>2.35</v>
      </c>
      <c r="D2186" s="86"/>
      <c r="E2186" s="86"/>
      <c r="F2186" s="86"/>
      <c r="G2186" s="86"/>
      <c r="H2186" s="86"/>
      <c r="I2186" s="86"/>
      <c r="J2186" s="86"/>
      <c r="K2186" s="370"/>
      <c r="M2186" s="75" t="s">
        <v>92</v>
      </c>
      <c r="N2186" s="371">
        <f>+ROUNDUP(N2137+0.01,2)</f>
        <v>2.35</v>
      </c>
      <c r="O2186" s="554" t="str">
        <f>IFERROR(VLOOKUP(N2186,PPTO!C:H,2,0),"----")</f>
        <v>Reduccion PVC Ø1_1/2" A Ø3/4"</v>
      </c>
      <c r="P2186" s="555"/>
      <c r="Q2186" s="555"/>
      <c r="R2186" s="555"/>
      <c r="S2186" s="555"/>
      <c r="T2186" s="555"/>
      <c r="U2186" s="556"/>
      <c r="V2186" s="76" t="str">
        <f>IFERROR(VLOOKUP(N2186,PPTO!C:H,3,0),"----")</f>
        <v>UND</v>
      </c>
      <c r="Y2186" s="373">
        <f>SUMIFS(PPTO!F:F,PPTO!C:C,APUS!N2186)</f>
        <v>12</v>
      </c>
      <c r="Z2186" s="94"/>
      <c r="AA2186" s="86"/>
      <c r="AB2186" s="94"/>
      <c r="AC2186" s="94"/>
      <c r="AD2186" s="94"/>
      <c r="AE2186" s="94"/>
    </row>
    <row r="2187" spans="3:31" s="260" customFormat="1" ht="15.75" thickBot="1" x14ac:dyDescent="0.3">
      <c r="C2187" s="84"/>
      <c r="D2187" s="86"/>
      <c r="E2187" s="86"/>
      <c r="F2187" s="86"/>
      <c r="G2187" s="86"/>
      <c r="H2187" s="86"/>
      <c r="I2187" s="86"/>
      <c r="J2187" s="86"/>
      <c r="K2187" s="88"/>
      <c r="M2187" s="557"/>
      <c r="N2187" s="557"/>
      <c r="O2187" s="557"/>
      <c r="P2187" s="557"/>
      <c r="Q2187" s="557"/>
      <c r="R2187" s="557"/>
      <c r="S2187" s="557"/>
      <c r="T2187" s="557"/>
      <c r="U2187" s="557"/>
      <c r="V2187" s="557"/>
      <c r="Y2187" s="374"/>
      <c r="Z2187" s="94"/>
      <c r="AA2187" s="86"/>
      <c r="AB2187" s="94"/>
      <c r="AC2187" s="94"/>
      <c r="AD2187" s="94"/>
      <c r="AE2187" s="94"/>
    </row>
    <row r="2188" spans="3:31" s="260" customFormat="1" ht="15.75" thickBot="1" x14ac:dyDescent="0.3">
      <c r="C2188" s="84"/>
      <c r="D2188" s="375" t="s">
        <v>128</v>
      </c>
      <c r="E2188" s="376" t="s">
        <v>129</v>
      </c>
      <c r="F2188" s="376" t="s">
        <v>130</v>
      </c>
      <c r="G2188" s="376" t="s">
        <v>131</v>
      </c>
      <c r="H2188" s="376" t="s">
        <v>132</v>
      </c>
      <c r="I2188" s="376" t="s">
        <v>133</v>
      </c>
      <c r="J2188" s="377" t="s">
        <v>134</v>
      </c>
      <c r="K2188" s="88"/>
      <c r="M2188" s="558" t="s">
        <v>93</v>
      </c>
      <c r="N2188" s="559"/>
      <c r="O2188" s="559"/>
      <c r="P2188" s="559"/>
      <c r="Q2188" s="559"/>
      <c r="R2188" s="559"/>
      <c r="S2188" s="559"/>
      <c r="T2188" s="559"/>
      <c r="U2188" s="559"/>
      <c r="V2188" s="560"/>
      <c r="Y2188" s="378"/>
      <c r="Z2188" s="121"/>
      <c r="AA2188" s="86"/>
      <c r="AB2188" s="513"/>
      <c r="AC2188" s="514"/>
      <c r="AD2188" s="94"/>
      <c r="AE2188" s="379"/>
    </row>
    <row r="2189" spans="3:31" s="260" customFormat="1" x14ac:dyDescent="0.25">
      <c r="C2189" s="84"/>
      <c r="D2189" s="380"/>
      <c r="E2189" s="381"/>
      <c r="F2189" s="381"/>
      <c r="G2189" s="381"/>
      <c r="H2189" s="381"/>
      <c r="I2189" s="381"/>
      <c r="J2189" s="382"/>
      <c r="K2189" s="88"/>
      <c r="M2189" s="99" t="s">
        <v>94</v>
      </c>
      <c r="N2189" s="561" t="s">
        <v>95</v>
      </c>
      <c r="O2189" s="561"/>
      <c r="P2189" s="561"/>
      <c r="Q2189" s="561"/>
      <c r="R2189" s="95" t="s">
        <v>96</v>
      </c>
      <c r="S2189" s="95" t="s">
        <v>97</v>
      </c>
      <c r="T2189" s="562" t="s">
        <v>8</v>
      </c>
      <c r="U2189" s="562"/>
      <c r="V2189" s="100" t="s">
        <v>98</v>
      </c>
      <c r="Y2189" s="383" t="s">
        <v>104</v>
      </c>
      <c r="Z2189" s="119" t="s">
        <v>9</v>
      </c>
      <c r="AA2189" s="86"/>
      <c r="AB2189" s="384"/>
      <c r="AC2189" s="385"/>
      <c r="AD2189" s="94"/>
      <c r="AE2189" s="386"/>
    </row>
    <row r="2190" spans="3:31" s="260" customFormat="1" x14ac:dyDescent="0.25">
      <c r="C2190" s="84"/>
      <c r="D2190" s="85"/>
      <c r="E2190" s="86"/>
      <c r="F2190" s="86"/>
      <c r="G2190" s="86"/>
      <c r="H2190" s="86"/>
      <c r="I2190" s="86"/>
      <c r="J2190" s="87"/>
      <c r="K2190" s="88"/>
      <c r="M2190" s="102"/>
      <c r="N2190" s="533" t="s">
        <v>99</v>
      </c>
      <c r="O2190" s="533"/>
      <c r="P2190" s="533"/>
      <c r="Q2190" s="533"/>
      <c r="R2190" s="78" t="s">
        <v>100</v>
      </c>
      <c r="S2190" s="387">
        <f>+$AA$10</f>
        <v>0.05</v>
      </c>
      <c r="T2190" s="563">
        <f>V2220</f>
        <v>5578.97</v>
      </c>
      <c r="U2190" s="563"/>
      <c r="V2190" s="389">
        <f>+IFERROR(T2190*S2190,0)</f>
        <v>278.94850000000002</v>
      </c>
      <c r="Y2190" s="390"/>
      <c r="Z2190" s="391">
        <f>Y2186*V2190</f>
        <v>3347.3820000000005</v>
      </c>
      <c r="AA2190" s="86"/>
      <c r="AB2190" s="384"/>
      <c r="AC2190" s="385"/>
      <c r="AD2190" s="94"/>
      <c r="AE2190" s="386" t="str">
        <f>+IF(V2190=0,"CERO","NO")</f>
        <v>NO</v>
      </c>
    </row>
    <row r="2191" spans="3:31" s="260" customFormat="1" x14ac:dyDescent="0.25">
      <c r="C2191" s="84"/>
      <c r="D2191" s="85"/>
      <c r="E2191" s="86"/>
      <c r="F2191" s="86"/>
      <c r="G2191" s="86"/>
      <c r="H2191" s="86"/>
      <c r="I2191" s="86"/>
      <c r="J2191" s="87"/>
      <c r="K2191" s="88"/>
      <c r="M2191" s="106"/>
      <c r="N2191" s="533" t="str">
        <f>IFERROR(VLOOKUP(M2191,INSUMOS!$C$8:$K$928,2,0),"-----")</f>
        <v>-----</v>
      </c>
      <c r="O2191" s="533"/>
      <c r="P2191" s="533"/>
      <c r="Q2191" s="533"/>
      <c r="R2191" s="78" t="str">
        <f>IFERROR(VLOOKUP(M2191,INSUMOS!$C$8:$K$928,6,0),"-----")</f>
        <v>-----</v>
      </c>
      <c r="S2191" s="392"/>
      <c r="T2191" s="529" t="str">
        <f>IFERROR(VLOOKUP(M2191,INSUMOS!$C$8:$K$928,7,0),"0")</f>
        <v>0</v>
      </c>
      <c r="U2191" s="529"/>
      <c r="V2191" s="389">
        <f>+IFERROR(T2191*S2191,0)</f>
        <v>0</v>
      </c>
      <c r="Y2191" s="393">
        <f>+IFERROR(Y2186*S2191,0)</f>
        <v>0</v>
      </c>
      <c r="Z2191" s="391">
        <f>Y2186*V2191</f>
        <v>0</v>
      </c>
      <c r="AA2191" s="394"/>
      <c r="AB2191" s="395">
        <f>+Y2191*T2191</f>
        <v>0</v>
      </c>
      <c r="AC2191" s="93">
        <f>+AB2191-Z2191</f>
        <v>0</v>
      </c>
      <c r="AD2191" s="94"/>
      <c r="AE2191" s="386" t="str">
        <f>+IF(V2191=0,"CERO","NO")</f>
        <v>CERO</v>
      </c>
    </row>
    <row r="2192" spans="3:31" s="260" customFormat="1" x14ac:dyDescent="0.25">
      <c r="C2192" s="84"/>
      <c r="D2192" s="85"/>
      <c r="E2192" s="86"/>
      <c r="F2192" s="86"/>
      <c r="G2192" s="86"/>
      <c r="H2192" s="86"/>
      <c r="I2192" s="86"/>
      <c r="J2192" s="87"/>
      <c r="K2192" s="88"/>
      <c r="M2192" s="102">
        <v>0</v>
      </c>
      <c r="N2192" s="533"/>
      <c r="O2192" s="533"/>
      <c r="P2192" s="533"/>
      <c r="Q2192" s="533"/>
      <c r="R2192" s="78"/>
      <c r="S2192" s="396"/>
      <c r="T2192" s="529"/>
      <c r="U2192" s="529"/>
      <c r="V2192" s="397"/>
      <c r="Y2192" s="393">
        <f>+IFERROR(Y2186*S2192,0)</f>
        <v>0</v>
      </c>
      <c r="Z2192" s="391">
        <f>Y2186*V2192</f>
        <v>0</v>
      </c>
      <c r="AA2192" s="394"/>
      <c r="AB2192" s="395">
        <f>+Y2192*T2192</f>
        <v>0</v>
      </c>
      <c r="AC2192" s="93">
        <f>+AB2192-Z2192</f>
        <v>0</v>
      </c>
      <c r="AD2192" s="94"/>
      <c r="AE2192" s="386" t="str">
        <f>+IF(V2192=0,"CERO","NO")</f>
        <v>CERO</v>
      </c>
    </row>
    <row r="2193" spans="3:31" s="260" customFormat="1" x14ac:dyDescent="0.25">
      <c r="C2193" s="84"/>
      <c r="D2193" s="85"/>
      <c r="E2193" s="86"/>
      <c r="F2193" s="86"/>
      <c r="G2193" s="86"/>
      <c r="H2193" s="86"/>
      <c r="I2193" s="86"/>
      <c r="J2193" s="87"/>
      <c r="K2193" s="88"/>
      <c r="M2193" s="102">
        <v>0</v>
      </c>
      <c r="N2193" s="533"/>
      <c r="O2193" s="533"/>
      <c r="P2193" s="533"/>
      <c r="Q2193" s="533"/>
      <c r="R2193" s="78"/>
      <c r="S2193" s="396"/>
      <c r="T2193" s="529"/>
      <c r="U2193" s="529"/>
      <c r="V2193" s="397"/>
      <c r="Y2193" s="393">
        <f>+IFERROR(Y2186*S2193,0)</f>
        <v>0</v>
      </c>
      <c r="Z2193" s="391">
        <f>Y2186*V2193</f>
        <v>0</v>
      </c>
      <c r="AA2193" s="394"/>
      <c r="AB2193" s="395">
        <f>+Y2193*T2193</f>
        <v>0</v>
      </c>
      <c r="AC2193" s="93">
        <f>+AB2193-Z2193</f>
        <v>0</v>
      </c>
      <c r="AD2193" s="94"/>
      <c r="AE2193" s="386" t="str">
        <f>+IF(V2193=0,"CERO","NO")</f>
        <v>CERO</v>
      </c>
    </row>
    <row r="2194" spans="3:31" s="260" customFormat="1" ht="15.75" thickBot="1" x14ac:dyDescent="0.3">
      <c r="C2194" s="84"/>
      <c r="D2194" s="85"/>
      <c r="E2194" s="86"/>
      <c r="F2194" s="86"/>
      <c r="G2194" s="86"/>
      <c r="H2194" s="86"/>
      <c r="I2194" s="86"/>
      <c r="J2194" s="87"/>
      <c r="K2194" s="88"/>
      <c r="M2194" s="102">
        <v>0</v>
      </c>
      <c r="N2194" s="564"/>
      <c r="O2194" s="564"/>
      <c r="P2194" s="564"/>
      <c r="Q2194" s="564"/>
      <c r="R2194" s="96"/>
      <c r="S2194" s="96"/>
      <c r="T2194" s="565"/>
      <c r="U2194" s="565"/>
      <c r="V2194" s="101"/>
      <c r="Y2194" s="393">
        <f>+IFERROR(Y2186*S2194,0)</f>
        <v>0</v>
      </c>
      <c r="Z2194" s="391">
        <f>Y2186*V2194</f>
        <v>0</v>
      </c>
      <c r="AA2194" s="394"/>
      <c r="AB2194" s="395">
        <f>+Y2194*T2194</f>
        <v>0</v>
      </c>
      <c r="AC2194" s="93">
        <f>+AB2194-Z2194</f>
        <v>0</v>
      </c>
      <c r="AD2194" s="94"/>
      <c r="AE2194" s="386" t="str">
        <f>+IF(V2194=0,"CERO","NO")</f>
        <v>CERO</v>
      </c>
    </row>
    <row r="2195" spans="3:31" s="260" customFormat="1" ht="15.75" thickBot="1" x14ac:dyDescent="0.3">
      <c r="C2195" s="84"/>
      <c r="D2195" s="375" t="s">
        <v>128</v>
      </c>
      <c r="E2195" s="376" t="s">
        <v>129</v>
      </c>
      <c r="F2195" s="376" t="s">
        <v>130</v>
      </c>
      <c r="G2195" s="376" t="s">
        <v>131</v>
      </c>
      <c r="H2195" s="376" t="s">
        <v>132</v>
      </c>
      <c r="I2195" s="376" t="s">
        <v>133</v>
      </c>
      <c r="J2195" s="377" t="s">
        <v>134</v>
      </c>
      <c r="K2195" s="88"/>
      <c r="M2195" s="534"/>
      <c r="N2195" s="536" t="s">
        <v>101</v>
      </c>
      <c r="O2195" s="536"/>
      <c r="P2195" s="536"/>
      <c r="Q2195" s="536"/>
      <c r="R2195" s="536"/>
      <c r="S2195" s="536"/>
      <c r="T2195" s="536"/>
      <c r="U2195" s="536"/>
      <c r="V2195" s="389">
        <f>+SUM(V2190:V2194)</f>
        <v>278.94850000000002</v>
      </c>
      <c r="Y2195" s="398" t="s">
        <v>135</v>
      </c>
      <c r="Z2195" s="397">
        <f>+SUM(Z2190:Z2194)</f>
        <v>3347.3820000000005</v>
      </c>
      <c r="AA2195" s="86"/>
      <c r="AB2195" s="384"/>
      <c r="AC2195" s="385"/>
      <c r="AD2195" s="94"/>
      <c r="AE2195" s="399"/>
    </row>
    <row r="2196" spans="3:31" s="260" customFormat="1" ht="15.75" thickBot="1" x14ac:dyDescent="0.3">
      <c r="C2196" s="84"/>
      <c r="D2196" s="375">
        <f>C2186</f>
        <v>2.35</v>
      </c>
      <c r="E2196" s="376"/>
      <c r="F2196" s="376"/>
      <c r="G2196" s="376"/>
      <c r="H2196" s="376"/>
      <c r="I2196" s="376"/>
      <c r="J2196" s="377"/>
      <c r="K2196" s="88"/>
      <c r="M2196" s="566"/>
      <c r="N2196" s="567" t="s">
        <v>102</v>
      </c>
      <c r="O2196" s="567"/>
      <c r="P2196" s="567"/>
      <c r="Q2196" s="567"/>
      <c r="R2196" s="567"/>
      <c r="S2196" s="567"/>
      <c r="T2196" s="567"/>
      <c r="U2196" s="567"/>
      <c r="V2196" s="400">
        <f>+ROUND(V2195,$AA$5)</f>
        <v>278.95</v>
      </c>
      <c r="Y2196" s="401" t="s">
        <v>136</v>
      </c>
      <c r="Z2196" s="402">
        <f>+ROUND(Z2195,$AA$5)</f>
        <v>3347.38</v>
      </c>
      <c r="AA2196" s="86"/>
      <c r="AB2196" s="403">
        <f>+V2196*Y2186</f>
        <v>3347.3999999999996</v>
      </c>
      <c r="AC2196" s="404">
        <f>+AB2196-Z2196</f>
        <v>1.9999999999527063E-2</v>
      </c>
      <c r="AD2196" s="94"/>
      <c r="AE2196" s="405"/>
    </row>
    <row r="2197" spans="3:31" s="260" customFormat="1" x14ac:dyDescent="0.25">
      <c r="C2197" s="84"/>
      <c r="D2197" s="380"/>
      <c r="E2197" s="381"/>
      <c r="F2197" s="381"/>
      <c r="G2197" s="381"/>
      <c r="H2197" s="381"/>
      <c r="I2197" s="381"/>
      <c r="J2197" s="382"/>
      <c r="K2197" s="88"/>
      <c r="M2197" s="510" t="s">
        <v>103</v>
      </c>
      <c r="N2197" s="511"/>
      <c r="O2197" s="511"/>
      <c r="P2197" s="511"/>
      <c r="Q2197" s="511"/>
      <c r="R2197" s="511"/>
      <c r="S2197" s="511"/>
      <c r="T2197" s="511"/>
      <c r="U2197" s="511"/>
      <c r="V2197" s="512"/>
      <c r="Y2197" s="378"/>
      <c r="Z2197" s="121"/>
      <c r="AA2197" s="86"/>
      <c r="AB2197" s="513"/>
      <c r="AC2197" s="514"/>
      <c r="AD2197" s="94"/>
      <c r="AE2197" s="126"/>
    </row>
    <row r="2198" spans="3:31" s="260" customFormat="1" x14ac:dyDescent="0.25">
      <c r="C2198" s="84"/>
      <c r="D2198" s="85"/>
      <c r="E2198" s="86"/>
      <c r="F2198" s="86"/>
      <c r="G2198" s="86"/>
      <c r="H2198" s="86"/>
      <c r="I2198" s="86"/>
      <c r="J2198" s="87"/>
      <c r="K2198" s="88"/>
      <c r="M2198" s="99" t="s">
        <v>94</v>
      </c>
      <c r="N2198" s="561" t="s">
        <v>95</v>
      </c>
      <c r="O2198" s="561"/>
      <c r="P2198" s="561"/>
      <c r="Q2198" s="561"/>
      <c r="R2198" s="95" t="s">
        <v>96</v>
      </c>
      <c r="S2198" s="95" t="s">
        <v>104</v>
      </c>
      <c r="T2198" s="356" t="s">
        <v>105</v>
      </c>
      <c r="U2198" s="356" t="s">
        <v>8</v>
      </c>
      <c r="V2198" s="100" t="s">
        <v>98</v>
      </c>
      <c r="Y2198" s="383" t="s">
        <v>104</v>
      </c>
      <c r="Z2198" s="119" t="s">
        <v>9</v>
      </c>
      <c r="AA2198" s="86"/>
      <c r="AB2198" s="384"/>
      <c r="AC2198" s="385"/>
      <c r="AD2198" s="94"/>
      <c r="AE2198" s="406"/>
    </row>
    <row r="2199" spans="3:31" s="260" customFormat="1" x14ac:dyDescent="0.25">
      <c r="C2199" s="84"/>
      <c r="D2199" s="85"/>
      <c r="E2199" s="86"/>
      <c r="F2199" s="86"/>
      <c r="G2199" s="86"/>
      <c r="H2199" s="86"/>
      <c r="I2199" s="86"/>
      <c r="J2199" s="87"/>
      <c r="K2199" s="88"/>
      <c r="M2199" s="102">
        <v>785</v>
      </c>
      <c r="N2199" s="533" t="str">
        <f>IFERROR(VLOOKUP(M2199,INSUMOS!$C$8:$K$928,2,0),"-----")</f>
        <v>BUJES SOLDADO 1 1/2" X 3/4"</v>
      </c>
      <c r="O2199" s="533"/>
      <c r="P2199" s="533"/>
      <c r="Q2199" s="533"/>
      <c r="R2199" s="78" t="str">
        <f>IFERROR(VLOOKUP(M2199,INSUMOS!$C$8:$K$928,6,0),"-----")</f>
        <v>und</v>
      </c>
      <c r="S2199" s="396">
        <v>1</v>
      </c>
      <c r="T2199" s="387">
        <v>0</v>
      </c>
      <c r="U2199" s="388">
        <f>IFERROR(VLOOKUP(M2199,INSUMOS!$C$8:$K$928,7,0),"0")</f>
        <v>4928</v>
      </c>
      <c r="V2199" s="389">
        <f>+IFERROR(U2199*(S2199*(1+T2199)),0)</f>
        <v>4928</v>
      </c>
      <c r="Y2199" s="393">
        <f>+IFERROR(Y2186*(S2199*(1+T2199)),0)</f>
        <v>12</v>
      </c>
      <c r="Z2199" s="391">
        <f>Y2186*V2199</f>
        <v>59136</v>
      </c>
      <c r="AA2199" s="394"/>
      <c r="AB2199" s="395">
        <f>+Y2199*U2199</f>
        <v>59136</v>
      </c>
      <c r="AC2199" s="93">
        <f>+AB2199-Z2199</f>
        <v>0</v>
      </c>
      <c r="AD2199" s="94"/>
      <c r="AE2199" s="406" t="str">
        <f>+IF(V2199=0,"CERO","NO")</f>
        <v>NO</v>
      </c>
    </row>
    <row r="2200" spans="3:31" s="260" customFormat="1" x14ac:dyDescent="0.25">
      <c r="C2200" s="84"/>
      <c r="D2200" s="85"/>
      <c r="E2200" s="86"/>
      <c r="F2200" s="86"/>
      <c r="G2200" s="86"/>
      <c r="H2200" s="86"/>
      <c r="I2200" s="86"/>
      <c r="J2200" s="87"/>
      <c r="K2200" s="88"/>
      <c r="M2200" s="102">
        <v>699</v>
      </c>
      <c r="N2200" s="533" t="str">
        <f>IFERROR(VLOOKUP(M2200,INSUMOS!$C$8:$K$928,2,0),"-----")</f>
        <v>SOLDADURA PVC LIQUIDA 1/4"</v>
      </c>
      <c r="O2200" s="533"/>
      <c r="P2200" s="533"/>
      <c r="Q2200" s="533"/>
      <c r="R2200" s="78" t="str">
        <f>IFERROR(VLOOKUP(M2200,INSUMOS!$C$8:$K$928,6,0),"-----")</f>
        <v>und</v>
      </c>
      <c r="S2200" s="392">
        <v>0.01</v>
      </c>
      <c r="T2200" s="387">
        <v>0.02</v>
      </c>
      <c r="U2200" s="388">
        <f>IFERROR(VLOOKUP(M2200,INSUMOS!$C$8:$K$928,7,0),"0")</f>
        <v>146569</v>
      </c>
      <c r="V2200" s="389">
        <f>+IFERROR(U2200*(S2200*(1+T2200)),0)</f>
        <v>1495.0038000000002</v>
      </c>
      <c r="Y2200" s="393">
        <f>+IFERROR(Y2186*(S2200*(1+T2200)),0)</f>
        <v>0.12240000000000001</v>
      </c>
      <c r="Z2200" s="391">
        <f>Y2186*V2200</f>
        <v>17940.045600000001</v>
      </c>
      <c r="AA2200" s="394"/>
      <c r="AB2200" s="395">
        <f>+Y2200*U2200</f>
        <v>17940.045600000001</v>
      </c>
      <c r="AC2200" s="93">
        <f>+AB2200-Z2200</f>
        <v>0</v>
      </c>
      <c r="AD2200" s="94"/>
      <c r="AE2200" s="406" t="str">
        <f>+IF(V2200=0,"CERO","NO")</f>
        <v>NO</v>
      </c>
    </row>
    <row r="2201" spans="3:31" s="260" customFormat="1" x14ac:dyDescent="0.25">
      <c r="C2201" s="84"/>
      <c r="D2201" s="85"/>
      <c r="E2201" s="86"/>
      <c r="F2201" s="86"/>
      <c r="G2201" s="86"/>
      <c r="H2201" s="86"/>
      <c r="I2201" s="86"/>
      <c r="J2201" s="87"/>
      <c r="K2201" s="88"/>
      <c r="M2201" s="102">
        <v>700</v>
      </c>
      <c r="N2201" s="533" t="str">
        <f>IFERROR(VLOOKUP(M2201,INSUMOS!$C$8:$K$928,2,0),"-----")</f>
        <v>LIMPIADOR PVC 1/4</v>
      </c>
      <c r="O2201" s="533"/>
      <c r="P2201" s="533"/>
      <c r="Q2201" s="533"/>
      <c r="R2201" s="78" t="str">
        <f>IFERROR(VLOOKUP(M2201,INSUMOS!$C$8:$K$928,6,0),"-----")</f>
        <v>und</v>
      </c>
      <c r="S2201" s="392">
        <v>0.01</v>
      </c>
      <c r="T2201" s="387">
        <v>0.02</v>
      </c>
      <c r="U2201" s="388">
        <f>IFERROR(VLOOKUP(M2201,INSUMOS!$C$8:$K$928,7,0),"0")</f>
        <v>65913</v>
      </c>
      <c r="V2201" s="389">
        <f>+IFERROR(U2201*(S2201*(1+T2201)),0)</f>
        <v>672.31260000000009</v>
      </c>
      <c r="Y2201" s="393">
        <f>+IFERROR(Y2186*(S2201*(1+T2201)),0)</f>
        <v>0.12240000000000001</v>
      </c>
      <c r="Z2201" s="391">
        <f>Y2186*V2201</f>
        <v>8067.7512000000006</v>
      </c>
      <c r="AA2201" s="394"/>
      <c r="AB2201" s="395">
        <f>+Y2201*U2201</f>
        <v>8067.7512000000006</v>
      </c>
      <c r="AC2201" s="93">
        <f>+AB2201-Z2201</f>
        <v>0</v>
      </c>
      <c r="AD2201" s="94"/>
      <c r="AE2201" s="406" t="str">
        <f>+IF(V2201=0,"CERO","NO")</f>
        <v>NO</v>
      </c>
    </row>
    <row r="2202" spans="3:31" s="260" customFormat="1" x14ac:dyDescent="0.25">
      <c r="C2202" s="84"/>
      <c r="D2202" s="85"/>
      <c r="E2202" s="86"/>
      <c r="F2202" s="86"/>
      <c r="G2202" s="86"/>
      <c r="H2202" s="86"/>
      <c r="I2202" s="86"/>
      <c r="J2202" s="87"/>
      <c r="K2202" s="88"/>
      <c r="M2202" s="102">
        <v>0</v>
      </c>
      <c r="N2202" s="533" t="str">
        <f>IFERROR(VLOOKUP(M2202,INSUMOS!$C$8:$K$928,2,0),"-----")</f>
        <v>-----</v>
      </c>
      <c r="O2202" s="533"/>
      <c r="P2202" s="533"/>
      <c r="Q2202" s="533"/>
      <c r="R2202" s="78" t="str">
        <f>IFERROR(VLOOKUP(M2202,INSUMOS!$C$8:$K$928,6,0),"-----")</f>
        <v>-----</v>
      </c>
      <c r="S2202" s="396"/>
      <c r="T2202" s="387"/>
      <c r="U2202" s="388" t="str">
        <f>IFERROR(VLOOKUP(M2202,INSUMOS!$C$8:$K$928,7,0),"0")</f>
        <v>0</v>
      </c>
      <c r="V2202" s="389">
        <f>+IFERROR(U2202*(S2202*(1+T2202)),0)</f>
        <v>0</v>
      </c>
      <c r="Y2202" s="393">
        <f>+IFERROR(Y2186*(S2202*(1+T2202)),0)</f>
        <v>0</v>
      </c>
      <c r="Z2202" s="391">
        <f>Y2186*V2202</f>
        <v>0</v>
      </c>
      <c r="AA2202" s="394"/>
      <c r="AB2202" s="395">
        <f>+Y2202*U2202</f>
        <v>0</v>
      </c>
      <c r="AC2202" s="93">
        <f>+AB2202-Z2202</f>
        <v>0</v>
      </c>
      <c r="AD2202" s="94"/>
      <c r="AE2202" s="406" t="str">
        <f>+IF(V2202=0,"CERO","NO")</f>
        <v>CERO</v>
      </c>
    </row>
    <row r="2203" spans="3:31" s="260" customFormat="1" ht="15.75" thickBot="1" x14ac:dyDescent="0.3">
      <c r="C2203" s="84"/>
      <c r="D2203" s="85"/>
      <c r="E2203" s="86"/>
      <c r="F2203" s="86"/>
      <c r="G2203" s="86"/>
      <c r="H2203" s="86"/>
      <c r="I2203" s="86"/>
      <c r="J2203" s="87"/>
      <c r="K2203" s="88"/>
      <c r="M2203" s="102">
        <v>0</v>
      </c>
      <c r="N2203" s="564"/>
      <c r="O2203" s="564"/>
      <c r="P2203" s="564"/>
      <c r="Q2203" s="564"/>
      <c r="R2203" s="96"/>
      <c r="S2203" s="79"/>
      <c r="T2203" s="97"/>
      <c r="U2203" s="358"/>
      <c r="V2203" s="397"/>
      <c r="Y2203" s="393">
        <f>+IFERROR(Y2186*(S2203*(1+T2203)),0)</f>
        <v>0</v>
      </c>
      <c r="Z2203" s="391">
        <f>Y2186*V2203</f>
        <v>0</v>
      </c>
      <c r="AA2203" s="394"/>
      <c r="AB2203" s="395">
        <f>+Y2203*U2203</f>
        <v>0</v>
      </c>
      <c r="AC2203" s="93">
        <f>+AB2203-Z2203</f>
        <v>0</v>
      </c>
      <c r="AD2203" s="94"/>
      <c r="AE2203" s="406" t="str">
        <f>+IF(V2203=0,"CERO","NO")</f>
        <v>CERO</v>
      </c>
    </row>
    <row r="2204" spans="3:31" s="260" customFormat="1" ht="15.75" thickBot="1" x14ac:dyDescent="0.3">
      <c r="C2204" s="84"/>
      <c r="D2204" s="375" t="s">
        <v>128</v>
      </c>
      <c r="E2204" s="376" t="s">
        <v>129</v>
      </c>
      <c r="F2204" s="376" t="s">
        <v>130</v>
      </c>
      <c r="G2204" s="376" t="s">
        <v>131</v>
      </c>
      <c r="H2204" s="376" t="s">
        <v>132</v>
      </c>
      <c r="I2204" s="376" t="s">
        <v>133</v>
      </c>
      <c r="J2204" s="377" t="s">
        <v>134</v>
      </c>
      <c r="K2204" s="88"/>
      <c r="M2204" s="534"/>
      <c r="N2204" s="536" t="s">
        <v>106</v>
      </c>
      <c r="O2204" s="536"/>
      <c r="P2204" s="536"/>
      <c r="Q2204" s="536"/>
      <c r="R2204" s="536"/>
      <c r="S2204" s="536"/>
      <c r="T2204" s="536"/>
      <c r="U2204" s="536"/>
      <c r="V2204" s="389">
        <f>+SUM(V2199:V2203)</f>
        <v>7095.3164000000006</v>
      </c>
      <c r="Y2204" s="398" t="s">
        <v>135</v>
      </c>
      <c r="Z2204" s="397">
        <f>+SUM(Z2199:Z2203)</f>
        <v>85143.796799999996</v>
      </c>
      <c r="AA2204" s="86"/>
      <c r="AB2204" s="384"/>
      <c r="AC2204" s="385"/>
      <c r="AD2204" s="94"/>
      <c r="AE2204" s="399"/>
    </row>
    <row r="2205" spans="3:31" s="260" customFormat="1" ht="15.75" thickBot="1" x14ac:dyDescent="0.3">
      <c r="C2205" s="84"/>
      <c r="D2205" s="375"/>
      <c r="E2205" s="407">
        <f>+D2196</f>
        <v>2.35</v>
      </c>
      <c r="F2205" s="376"/>
      <c r="G2205" s="376"/>
      <c r="H2205" s="376"/>
      <c r="I2205" s="376"/>
      <c r="J2205" s="377"/>
      <c r="K2205" s="88"/>
      <c r="M2205" s="535"/>
      <c r="N2205" s="537" t="s">
        <v>107</v>
      </c>
      <c r="O2205" s="537"/>
      <c r="P2205" s="537"/>
      <c r="Q2205" s="537"/>
      <c r="R2205" s="537"/>
      <c r="S2205" s="537"/>
      <c r="T2205" s="537"/>
      <c r="U2205" s="537"/>
      <c r="V2205" s="408">
        <f>+ROUND(V2204,$AA$5)</f>
        <v>7095.32</v>
      </c>
      <c r="Y2205" s="401" t="s">
        <v>136</v>
      </c>
      <c r="Z2205" s="402">
        <f>+ROUND(Z2204,$AA$5)</f>
        <v>85143.8</v>
      </c>
      <c r="AA2205" s="86"/>
      <c r="AB2205" s="403">
        <f>+V2205*Y2186</f>
        <v>85143.84</v>
      </c>
      <c r="AC2205" s="404">
        <f>+AB2205-Z2205</f>
        <v>3.9999999993597157E-2</v>
      </c>
      <c r="AD2205" s="94"/>
      <c r="AE2205" s="405"/>
    </row>
    <row r="2206" spans="3:31" s="260" customFormat="1" x14ac:dyDescent="0.25">
      <c r="C2206" s="84"/>
      <c r="D2206" s="380"/>
      <c r="E2206" s="381"/>
      <c r="F2206" s="381"/>
      <c r="G2206" s="381"/>
      <c r="H2206" s="381"/>
      <c r="I2206" s="381"/>
      <c r="J2206" s="382"/>
      <c r="K2206" s="88"/>
      <c r="M2206" s="568" t="s">
        <v>108</v>
      </c>
      <c r="N2206" s="569"/>
      <c r="O2206" s="569"/>
      <c r="P2206" s="569"/>
      <c r="Q2206" s="569"/>
      <c r="R2206" s="569"/>
      <c r="S2206" s="569"/>
      <c r="T2206" s="569"/>
      <c r="U2206" s="569"/>
      <c r="V2206" s="570"/>
      <c r="Y2206" s="378"/>
      <c r="Z2206" s="121"/>
      <c r="AA2206" s="86"/>
      <c r="AB2206" s="409"/>
      <c r="AC2206" s="121"/>
      <c r="AD2206" s="94"/>
      <c r="AE2206" s="126"/>
    </row>
    <row r="2207" spans="3:31" s="260" customFormat="1" ht="25.5" x14ac:dyDescent="0.25">
      <c r="C2207" s="84"/>
      <c r="D2207" s="85"/>
      <c r="E2207" s="86"/>
      <c r="F2207" s="86"/>
      <c r="G2207" s="86"/>
      <c r="H2207" s="86"/>
      <c r="I2207" s="86"/>
      <c r="J2207" s="87"/>
      <c r="K2207" s="88"/>
      <c r="M2207" s="99" t="s">
        <v>94</v>
      </c>
      <c r="N2207" s="561" t="s">
        <v>95</v>
      </c>
      <c r="O2207" s="561"/>
      <c r="P2207" s="561"/>
      <c r="Q2207" s="95" t="s">
        <v>109</v>
      </c>
      <c r="R2207" s="95" t="s">
        <v>110</v>
      </c>
      <c r="S2207" s="95" t="s">
        <v>111</v>
      </c>
      <c r="T2207" s="562" t="s">
        <v>112</v>
      </c>
      <c r="U2207" s="562"/>
      <c r="V2207" s="100" t="s">
        <v>98</v>
      </c>
      <c r="Y2207" s="383" t="s">
        <v>104</v>
      </c>
      <c r="Z2207" s="119" t="s">
        <v>9</v>
      </c>
      <c r="AA2207" s="86"/>
      <c r="AB2207" s="384"/>
      <c r="AC2207" s="385"/>
      <c r="AD2207" s="94"/>
      <c r="AE2207" s="410"/>
    </row>
    <row r="2208" spans="3:31" s="260" customFormat="1" x14ac:dyDescent="0.25">
      <c r="C2208" s="84"/>
      <c r="D2208" s="85"/>
      <c r="E2208" s="86"/>
      <c r="F2208" s="86"/>
      <c r="G2208" s="86"/>
      <c r="H2208" s="86"/>
      <c r="I2208" s="86"/>
      <c r="J2208" s="87"/>
      <c r="K2208" s="88"/>
      <c r="M2208" s="102">
        <v>129</v>
      </c>
      <c r="N2208" s="530" t="str">
        <f>IFERROR(VLOOKUP(M2208,INSUMOS!$C$8:$K$928,2,0),"-----")</f>
        <v>transporte materiales en general</v>
      </c>
      <c r="O2208" s="531"/>
      <c r="P2208" s="532"/>
      <c r="Q2208" s="78" t="str">
        <f>IFERROR(VLOOKUP(M2208,INSUMOS!$C$8:$K$928,5,0),"-----")</f>
        <v>Km</v>
      </c>
      <c r="R2208" s="80">
        <v>1</v>
      </c>
      <c r="S2208" s="80">
        <f>IFERROR(VLOOKUP(M2208,INSUMOS!$C$8:$K$928,6,0),"0")</f>
        <v>348</v>
      </c>
      <c r="T2208" s="529">
        <f>IFERROR(VLOOKUP(M2208,INSUMOS!$C$8:$K$928,7,0),"0")</f>
        <v>0.99776362060288992</v>
      </c>
      <c r="U2208" s="529"/>
      <c r="V2208" s="82">
        <f>+T2208*S2208*R2208</f>
        <v>347.2217399698057</v>
      </c>
      <c r="Y2208" s="393">
        <f>+IFERROR((R2208*S2208)*Y2186,0)</f>
        <v>4176</v>
      </c>
      <c r="Z2208" s="391">
        <f>Y2186*V2208</f>
        <v>4166.6608796376686</v>
      </c>
      <c r="AA2208" s="86"/>
      <c r="AB2208" s="92">
        <f>+Y2208*T2208</f>
        <v>4166.6608796376686</v>
      </c>
      <c r="AC2208" s="93">
        <f>+AB2208-Z2208</f>
        <v>0</v>
      </c>
      <c r="AD2208" s="94"/>
      <c r="AE2208" s="406" t="str">
        <f>+IF(V2208=0,"CERO","NO")</f>
        <v>NO</v>
      </c>
    </row>
    <row r="2209" spans="3:31" s="260" customFormat="1" x14ac:dyDescent="0.25">
      <c r="C2209" s="84"/>
      <c r="D2209" s="85"/>
      <c r="E2209" s="86"/>
      <c r="F2209" s="86"/>
      <c r="G2209" s="86"/>
      <c r="H2209" s="86"/>
      <c r="I2209" s="86"/>
      <c r="J2209" s="87"/>
      <c r="K2209" s="88"/>
      <c r="M2209" s="102">
        <v>0</v>
      </c>
      <c r="N2209" s="530" t="str">
        <f>IFERROR(VLOOKUP(M2209,INSUMOS!$C$8:$K$928,2,0),"-----")</f>
        <v>-----</v>
      </c>
      <c r="O2209" s="531"/>
      <c r="P2209" s="532"/>
      <c r="Q2209" s="78" t="str">
        <f>IFERROR(VLOOKUP(M2209,INSUMOS!$C$8:$K$928,5,0),"-----")</f>
        <v>-----</v>
      </c>
      <c r="R2209" s="80"/>
      <c r="S2209" s="80" t="str">
        <f>IFERROR(VLOOKUP(M2209,INSUMOS!$C$8:$K$928,6,0),"0")</f>
        <v>0</v>
      </c>
      <c r="T2209" s="529" t="str">
        <f>IFERROR(VLOOKUP(M2209,INSUMOS!$C$8:$K$928,7,0),"0")</f>
        <v>0</v>
      </c>
      <c r="U2209" s="529"/>
      <c r="V2209" s="82">
        <f>+T2209*S2209*R2209</f>
        <v>0</v>
      </c>
      <c r="Y2209" s="393">
        <f>+IFERROR((R2209*S2209)*Y2186,0)</f>
        <v>0</v>
      </c>
      <c r="Z2209" s="391">
        <f>Y2186*V2209</f>
        <v>0</v>
      </c>
      <c r="AA2209" s="86"/>
      <c r="AB2209" s="92">
        <f>+Y2209*T2209</f>
        <v>0</v>
      </c>
      <c r="AC2209" s="93">
        <f>+AB2209-Z2209</f>
        <v>0</v>
      </c>
      <c r="AD2209" s="94"/>
      <c r="AE2209" s="406" t="str">
        <f>+IF(V2209=0,"CERO","NO")</f>
        <v>CERO</v>
      </c>
    </row>
    <row r="2210" spans="3:31" s="260" customFormat="1" x14ac:dyDescent="0.25">
      <c r="C2210" s="84"/>
      <c r="D2210" s="85"/>
      <c r="E2210" s="86"/>
      <c r="F2210" s="86"/>
      <c r="G2210" s="86"/>
      <c r="H2210" s="86"/>
      <c r="I2210" s="86"/>
      <c r="J2210" s="87"/>
      <c r="K2210" s="88"/>
      <c r="M2210" s="102">
        <v>0</v>
      </c>
      <c r="N2210" s="530" t="str">
        <f>IFERROR(VLOOKUP(M2210,INSUMOS!$C$8:$K$928,2,0),"-----")</f>
        <v>-----</v>
      </c>
      <c r="O2210" s="531"/>
      <c r="P2210" s="532"/>
      <c r="Q2210" s="78" t="str">
        <f>IFERROR(VLOOKUP(M2210,INSUMOS!$C$8:$K$928,5,0),"-----")</f>
        <v>-----</v>
      </c>
      <c r="R2210" s="80"/>
      <c r="S2210" s="80" t="str">
        <f>IFERROR(VLOOKUP(M2210,INSUMOS!$C$8:$K$928,6,0),"0")</f>
        <v>0</v>
      </c>
      <c r="T2210" s="529" t="str">
        <f>IFERROR(VLOOKUP(M2210,INSUMOS!$C$8:$K$928,7,0),"0")</f>
        <v>0</v>
      </c>
      <c r="U2210" s="529"/>
      <c r="V2210" s="82">
        <f>+T2210*S2210*R2210</f>
        <v>0</v>
      </c>
      <c r="Y2210" s="393">
        <f>+IFERROR((R2210*S2210)*Y2186,0)</f>
        <v>0</v>
      </c>
      <c r="Z2210" s="391">
        <f>Y2186*V2210</f>
        <v>0</v>
      </c>
      <c r="AA2210" s="86"/>
      <c r="AB2210" s="92">
        <f>+Y2210*T2210</f>
        <v>0</v>
      </c>
      <c r="AC2210" s="93">
        <f>+AB2210-Z2210</f>
        <v>0</v>
      </c>
      <c r="AD2210" s="94"/>
      <c r="AE2210" s="406" t="str">
        <f>+IF(V2210=0,"CERO","NO")</f>
        <v>CERO</v>
      </c>
    </row>
    <row r="2211" spans="3:31" s="260" customFormat="1" ht="15.75" thickBot="1" x14ac:dyDescent="0.3">
      <c r="C2211" s="84"/>
      <c r="D2211" s="89"/>
      <c r="E2211" s="90"/>
      <c r="F2211" s="90"/>
      <c r="G2211" s="90"/>
      <c r="H2211" s="90"/>
      <c r="I2211" s="90"/>
      <c r="J2211" s="91"/>
      <c r="K2211" s="88"/>
      <c r="M2211" s="102">
        <v>0</v>
      </c>
      <c r="N2211" s="533"/>
      <c r="O2211" s="533"/>
      <c r="P2211" s="533"/>
      <c r="Q2211" s="79"/>
      <c r="R2211" s="78"/>
      <c r="S2211" s="81"/>
      <c r="T2211" s="529"/>
      <c r="U2211" s="529"/>
      <c r="V2211" s="82"/>
      <c r="Y2211" s="393">
        <f>+IFERROR((R2211*S2211)*Y2186,0)</f>
        <v>0</v>
      </c>
      <c r="Z2211" s="391">
        <f>Y2186*V2211</f>
        <v>0</v>
      </c>
      <c r="AA2211" s="86"/>
      <c r="AB2211" s="92">
        <f>+Y2211*T2211</f>
        <v>0</v>
      </c>
      <c r="AC2211" s="93">
        <f>+AB2211-Z2211</f>
        <v>0</v>
      </c>
      <c r="AD2211" s="94"/>
      <c r="AE2211" s="406" t="str">
        <f>+IF(V2211=0,"CERO","NO")</f>
        <v>CERO</v>
      </c>
    </row>
    <row r="2212" spans="3:31" s="260" customFormat="1" ht="15.75" thickBot="1" x14ac:dyDescent="0.3">
      <c r="C2212" s="84"/>
      <c r="D2212" s="375" t="s">
        <v>128</v>
      </c>
      <c r="E2212" s="376" t="s">
        <v>129</v>
      </c>
      <c r="F2212" s="376" t="s">
        <v>130</v>
      </c>
      <c r="G2212" s="376" t="s">
        <v>131</v>
      </c>
      <c r="H2212" s="376" t="s">
        <v>132</v>
      </c>
      <c r="I2212" s="376" t="s">
        <v>133</v>
      </c>
      <c r="J2212" s="377" t="s">
        <v>134</v>
      </c>
      <c r="K2212" s="88"/>
      <c r="M2212" s="534"/>
      <c r="N2212" s="536" t="s">
        <v>113</v>
      </c>
      <c r="O2212" s="536"/>
      <c r="P2212" s="536"/>
      <c r="Q2212" s="536"/>
      <c r="R2212" s="536"/>
      <c r="S2212" s="536"/>
      <c r="T2212" s="536"/>
      <c r="U2212" s="536"/>
      <c r="V2212" s="411">
        <f>+SUM(V2208:V2211)</f>
        <v>347.2217399698057</v>
      </c>
      <c r="Y2212" s="398" t="s">
        <v>135</v>
      </c>
      <c r="Z2212" s="397">
        <f>+SUM(Z2208:Z2211)</f>
        <v>4166.6608796376686</v>
      </c>
      <c r="AA2212" s="86"/>
      <c r="AB2212" s="384"/>
      <c r="AC2212" s="385"/>
      <c r="AD2212" s="94"/>
      <c r="AE2212" s="399"/>
    </row>
    <row r="2213" spans="3:31" s="260" customFormat="1" ht="15.75" thickBot="1" x14ac:dyDescent="0.3">
      <c r="C2213" s="84"/>
      <c r="D2213" s="355"/>
      <c r="E2213" s="367"/>
      <c r="F2213" s="412">
        <f>+E2205</f>
        <v>2.35</v>
      </c>
      <c r="G2213" s="367"/>
      <c r="H2213" s="367"/>
      <c r="I2213" s="367"/>
      <c r="J2213" s="368"/>
      <c r="K2213" s="88"/>
      <c r="M2213" s="535"/>
      <c r="N2213" s="537" t="s">
        <v>114</v>
      </c>
      <c r="O2213" s="537"/>
      <c r="P2213" s="537"/>
      <c r="Q2213" s="537"/>
      <c r="R2213" s="537"/>
      <c r="S2213" s="537"/>
      <c r="T2213" s="537"/>
      <c r="U2213" s="537"/>
      <c r="V2213" s="413">
        <f>+ROUND(V2212,$AA$5)</f>
        <v>347.22</v>
      </c>
      <c r="Y2213" s="401" t="s">
        <v>136</v>
      </c>
      <c r="Z2213" s="402">
        <f>+ROUND(Z2212,$AA$5)</f>
        <v>4166.66</v>
      </c>
      <c r="AA2213" s="86"/>
      <c r="AB2213" s="403">
        <f>+V2213*Y2186</f>
        <v>4166.6400000000003</v>
      </c>
      <c r="AC2213" s="414"/>
      <c r="AD2213" s="94"/>
      <c r="AE2213" s="405"/>
    </row>
    <row r="2214" spans="3:31" s="260" customFormat="1" ht="15.75" thickBot="1" x14ac:dyDescent="0.3">
      <c r="C2214" s="84"/>
      <c r="D2214" s="415"/>
      <c r="E2214" s="416"/>
      <c r="F2214" s="416"/>
      <c r="G2214" s="416"/>
      <c r="H2214" s="416"/>
      <c r="I2214" s="416"/>
      <c r="J2214" s="417"/>
      <c r="K2214" s="88"/>
      <c r="M2214" s="538" t="s">
        <v>115</v>
      </c>
      <c r="N2214" s="539"/>
      <c r="O2214" s="539"/>
      <c r="P2214" s="539"/>
      <c r="Q2214" s="539"/>
      <c r="R2214" s="539"/>
      <c r="S2214" s="539"/>
      <c r="T2214" s="539"/>
      <c r="U2214" s="539"/>
      <c r="V2214" s="540"/>
      <c r="Y2214" s="378"/>
      <c r="Z2214" s="121"/>
      <c r="AA2214" s="86"/>
      <c r="AB2214" s="409"/>
      <c r="AC2214" s="121"/>
      <c r="AD2214" s="94"/>
      <c r="AE2214" s="126"/>
    </row>
    <row r="2215" spans="3:31" s="260" customFormat="1" ht="15.75" thickBot="1" x14ac:dyDescent="0.3">
      <c r="C2215" s="84"/>
      <c r="D2215" s="375" t="s">
        <v>128</v>
      </c>
      <c r="E2215" s="376" t="s">
        <v>129</v>
      </c>
      <c r="F2215" s="376" t="s">
        <v>130</v>
      </c>
      <c r="G2215" s="376" t="s">
        <v>131</v>
      </c>
      <c r="H2215" s="376" t="s">
        <v>132</v>
      </c>
      <c r="I2215" s="376" t="s">
        <v>133</v>
      </c>
      <c r="J2215" s="377" t="s">
        <v>134</v>
      </c>
      <c r="K2215" s="88"/>
      <c r="M2215" s="99" t="s">
        <v>94</v>
      </c>
      <c r="N2215" s="98" t="s">
        <v>95</v>
      </c>
      <c r="O2215" s="95" t="s">
        <v>96</v>
      </c>
      <c r="P2215" s="359" t="s">
        <v>104</v>
      </c>
      <c r="Q2215" s="95" t="s">
        <v>116</v>
      </c>
      <c r="R2215" s="418" t="s">
        <v>117</v>
      </c>
      <c r="S2215" s="95" t="s">
        <v>347</v>
      </c>
      <c r="T2215" s="419" t="s">
        <v>118</v>
      </c>
      <c r="U2215" s="189" t="s">
        <v>119</v>
      </c>
      <c r="V2215" s="100" t="s">
        <v>98</v>
      </c>
      <c r="Y2215" s="383" t="s">
        <v>104</v>
      </c>
      <c r="Z2215" s="119" t="s">
        <v>9</v>
      </c>
      <c r="AA2215" s="86"/>
      <c r="AB2215" s="384"/>
      <c r="AC2215" s="385"/>
      <c r="AD2215" s="94"/>
      <c r="AE2215" s="410"/>
    </row>
    <row r="2216" spans="3:31" s="260" customFormat="1" ht="25.5" x14ac:dyDescent="0.25">
      <c r="C2216" s="84"/>
      <c r="D2216" s="354"/>
      <c r="E2216" s="96"/>
      <c r="F2216" s="96"/>
      <c r="G2216" s="96"/>
      <c r="H2216" s="96"/>
      <c r="I2216" s="96"/>
      <c r="J2216" s="420">
        <f>+F2213</f>
        <v>2.35</v>
      </c>
      <c r="K2216" s="88"/>
      <c r="M2216" s="102">
        <v>207</v>
      </c>
      <c r="N2216" s="347" t="str">
        <f>IFERROR(VLOOKUP(M2216,INSUMOS!$C$8:$K$928,2,0),"-----")</f>
        <v>Oficial Hidrosanitario</v>
      </c>
      <c r="O2216" s="78" t="str">
        <f>IFERROR(VLOOKUP(M2216,INSUMOS!$C$8:$K$928,3,0),"-----")</f>
        <v>JORNAL+PS</v>
      </c>
      <c r="P2216" s="80">
        <v>1</v>
      </c>
      <c r="Q2216" s="79">
        <v>30</v>
      </c>
      <c r="R2216" s="190">
        <f>IFERROR(VLOOKUP(M2216,INSUMOS!$C$8:$K$928,4,0),"-----")</f>
        <v>92983</v>
      </c>
      <c r="S2216" s="190">
        <f>IFERROR(VLOOKUP(M2216,INSUMOS!$C$8:$K$928,6,0),"-----")</f>
        <v>74386</v>
      </c>
      <c r="T2216" s="190">
        <f>IFERROR(VLOOKUP(M2216,INSUMOS!$C$8:$K$928,5,0),"-----")</f>
        <v>0</v>
      </c>
      <c r="U2216" s="388">
        <f>SUM(R2216:T2216)</f>
        <v>167369</v>
      </c>
      <c r="V2216" s="82">
        <f>+IFERROR((P2216/Q2216)*U2216,0)</f>
        <v>5578.9666666666662</v>
      </c>
      <c r="Y2216" s="393">
        <f>+IFERROR((Y2186/Q2216*P2216),0)</f>
        <v>0.4</v>
      </c>
      <c r="Z2216" s="391">
        <f>Y2186*V2216</f>
        <v>66947.599999999991</v>
      </c>
      <c r="AA2216" s="86"/>
      <c r="AB2216" s="92">
        <f>+(U2216)*Y2216</f>
        <v>66947.600000000006</v>
      </c>
      <c r="AC2216" s="93">
        <f>+AB2216-Z2216</f>
        <v>0</v>
      </c>
      <c r="AD2216" s="421"/>
      <c r="AE2216" s="410" t="str">
        <f>+IF(V2216=0,"CERO","NO")</f>
        <v>NO</v>
      </c>
    </row>
    <row r="2217" spans="3:31" s="260" customFormat="1" ht="15.75" thickBot="1" x14ac:dyDescent="0.3">
      <c r="C2217" s="84"/>
      <c r="D2217" s="355"/>
      <c r="E2217" s="367"/>
      <c r="F2217" s="367"/>
      <c r="G2217" s="367"/>
      <c r="H2217" s="367"/>
      <c r="I2217" s="367"/>
      <c r="J2217" s="422">
        <f>+J2216</f>
        <v>2.35</v>
      </c>
      <c r="K2217" s="88"/>
      <c r="M2217" s="102"/>
      <c r="N2217" s="347" t="str">
        <f>IFERROR(VLOOKUP(M2217,INSUMOS!$C$8:$K$928,2,0),"-----")</f>
        <v>-----</v>
      </c>
      <c r="O2217" s="78" t="str">
        <f>IFERROR(VLOOKUP(M2217,INSUMOS!$C$8:$K$928,3,0),"-----")</f>
        <v>-----</v>
      </c>
      <c r="P2217" s="80"/>
      <c r="Q2217" s="79"/>
      <c r="R2217" s="190" t="str">
        <f>IFERROR(VLOOKUP(M2217,INSUMOS!$C$8:$K$928,4,0),"-----")</f>
        <v>-----</v>
      </c>
      <c r="S2217" s="190" t="str">
        <f>IFERROR(VLOOKUP(M2217,INSUMOS!$C$8:$K$928,6,0),"-----")</f>
        <v>-----</v>
      </c>
      <c r="T2217" s="190" t="str">
        <f>IFERROR(VLOOKUP(M2217,INSUMOS!$C$8:$K$928,5,0),"-----")</f>
        <v>-----</v>
      </c>
      <c r="U2217" s="388">
        <f>SUM(R2217:T2217)</f>
        <v>0</v>
      </c>
      <c r="V2217" s="82">
        <f>+IFERROR((P2217/Q2217)*U2217,0)</f>
        <v>0</v>
      </c>
      <c r="Y2217" s="393">
        <f>+IFERROR((Y2186/Q2217*P2217),0)</f>
        <v>0</v>
      </c>
      <c r="Z2217" s="391">
        <f>Y2186*V2217</f>
        <v>0</v>
      </c>
      <c r="AA2217" s="86"/>
      <c r="AB2217" s="92">
        <f>+U2217*Y2217</f>
        <v>0</v>
      </c>
      <c r="AC2217" s="93">
        <f>+AB2217-Z2217</f>
        <v>0</v>
      </c>
      <c r="AD2217" s="94"/>
      <c r="AE2217" s="410" t="str">
        <f>+IF(V2217=0,"CERO","NO")</f>
        <v>CERO</v>
      </c>
    </row>
    <row r="2218" spans="3:31" s="260" customFormat="1" ht="15.75" thickBot="1" x14ac:dyDescent="0.3">
      <c r="C2218" s="84"/>
      <c r="D2218" s="380"/>
      <c r="E2218" s="381"/>
      <c r="F2218" s="381"/>
      <c r="G2218" s="381"/>
      <c r="H2218" s="381"/>
      <c r="I2218" s="381"/>
      <c r="J2218" s="382"/>
      <c r="K2218" s="88"/>
      <c r="M2218" s="102">
        <v>0</v>
      </c>
      <c r="N2218" s="347"/>
      <c r="O2218" s="79"/>
      <c r="P2218" s="423"/>
      <c r="Q2218" s="81"/>
      <c r="R2218" s="111"/>
      <c r="S2218" s="357"/>
      <c r="T2218" s="111"/>
      <c r="U2218" s="388"/>
      <c r="V2218" s="426"/>
      <c r="Y2218" s="393">
        <f>+IFERROR((Y2186/Q2218*P2218),0)</f>
        <v>0</v>
      </c>
      <c r="Z2218" s="391">
        <f>Y2186*V2218</f>
        <v>0</v>
      </c>
      <c r="AA2218" s="86"/>
      <c r="AB2218" s="92">
        <f>+(U2218)*Y2218*P2218</f>
        <v>0</v>
      </c>
      <c r="AC2218" s="93">
        <f>+AB2218-Z2218</f>
        <v>0</v>
      </c>
      <c r="AD2218" s="94"/>
      <c r="AE2218" s="410" t="str">
        <f>+IF(V2218=0,"CERO","NO")</f>
        <v>CERO</v>
      </c>
    </row>
    <row r="2219" spans="3:31" s="260" customFormat="1" ht="15.75" thickBot="1" x14ac:dyDescent="0.3">
      <c r="C2219" s="84"/>
      <c r="D2219" s="375" t="s">
        <v>128</v>
      </c>
      <c r="E2219" s="376" t="s">
        <v>129</v>
      </c>
      <c r="F2219" s="376" t="s">
        <v>130</v>
      </c>
      <c r="G2219" s="376" t="s">
        <v>131</v>
      </c>
      <c r="H2219" s="376" t="s">
        <v>132</v>
      </c>
      <c r="I2219" s="376" t="s">
        <v>133</v>
      </c>
      <c r="J2219" s="377" t="s">
        <v>134</v>
      </c>
      <c r="K2219" s="88"/>
      <c r="M2219" s="534"/>
      <c r="N2219" s="536" t="s">
        <v>120</v>
      </c>
      <c r="O2219" s="536"/>
      <c r="P2219" s="536"/>
      <c r="Q2219" s="536"/>
      <c r="R2219" s="536"/>
      <c r="S2219" s="536"/>
      <c r="T2219" s="536"/>
      <c r="U2219" s="536"/>
      <c r="V2219" s="82">
        <f>+SUM(V2216:V2218)</f>
        <v>5578.9666666666662</v>
      </c>
      <c r="Y2219" s="398" t="s">
        <v>135</v>
      </c>
      <c r="Z2219" s="397">
        <f>+SUM(Z2216:Z2218)</f>
        <v>66947.599999999991</v>
      </c>
      <c r="AA2219" s="86"/>
      <c r="AB2219" s="384"/>
      <c r="AC2219" s="385"/>
      <c r="AD2219" s="94"/>
      <c r="AE2219" s="399"/>
    </row>
    <row r="2220" spans="3:31" s="260" customFormat="1" ht="15.75" thickBot="1" x14ac:dyDescent="0.3">
      <c r="C2220" s="84"/>
      <c r="D2220" s="354"/>
      <c r="E2220" s="96"/>
      <c r="F2220" s="96"/>
      <c r="G2220" s="107">
        <f>+F2213</f>
        <v>2.35</v>
      </c>
      <c r="H2220" s="96"/>
      <c r="I2220" s="96"/>
      <c r="J2220" s="427"/>
      <c r="K2220" s="88"/>
      <c r="M2220" s="535"/>
      <c r="N2220" s="537" t="s">
        <v>121</v>
      </c>
      <c r="O2220" s="537"/>
      <c r="P2220" s="537"/>
      <c r="Q2220" s="537"/>
      <c r="R2220" s="537"/>
      <c r="S2220" s="537"/>
      <c r="T2220" s="537"/>
      <c r="U2220" s="537"/>
      <c r="V2220" s="413">
        <f>+ROUND(V2219,$AA$5)</f>
        <v>5578.97</v>
      </c>
      <c r="Y2220" s="401" t="s">
        <v>136</v>
      </c>
      <c r="Z2220" s="402">
        <f>+ROUND(Z2219,$AA$5)</f>
        <v>66947.600000000006</v>
      </c>
      <c r="AA2220" s="86"/>
      <c r="AB2220" s="403">
        <f>+V2220*Y2186</f>
        <v>66947.64</v>
      </c>
      <c r="AC2220" s="404">
        <f>+AB2220-Z2220</f>
        <v>3.9999999993597157E-2</v>
      </c>
      <c r="AD2220" s="94"/>
      <c r="AE2220" s="405"/>
    </row>
    <row r="2221" spans="3:31" s="260" customFormat="1" ht="15.75" thickBot="1" x14ac:dyDescent="0.3">
      <c r="C2221" s="84"/>
      <c r="D2221" s="375" t="s">
        <v>128</v>
      </c>
      <c r="E2221" s="376" t="s">
        <v>129</v>
      </c>
      <c r="F2221" s="376" t="s">
        <v>130</v>
      </c>
      <c r="G2221" s="376" t="s">
        <v>131</v>
      </c>
      <c r="H2221" s="376" t="s">
        <v>132</v>
      </c>
      <c r="I2221" s="376" t="s">
        <v>133</v>
      </c>
      <c r="J2221" s="377" t="s">
        <v>134</v>
      </c>
      <c r="K2221" s="88"/>
      <c r="M2221" s="541"/>
      <c r="N2221" s="542"/>
      <c r="O2221" s="542"/>
      <c r="P2221" s="542"/>
      <c r="Q2221" s="542"/>
      <c r="R2221" s="542"/>
      <c r="S2221" s="542"/>
      <c r="T2221" s="542"/>
      <c r="U2221" s="542"/>
      <c r="V2221" s="543"/>
      <c r="Y2221" s="378"/>
      <c r="Z2221" s="121"/>
      <c r="AA2221" s="86"/>
      <c r="AB2221" s="409"/>
      <c r="AC2221" s="121"/>
      <c r="AD2221" s="94"/>
      <c r="AE2221" s="428"/>
    </row>
    <row r="2222" spans="3:31" s="260" customFormat="1" ht="15.75" thickBot="1" x14ac:dyDescent="0.3">
      <c r="C2222" s="84"/>
      <c r="D2222" s="355"/>
      <c r="E2222" s="367"/>
      <c r="F2222" s="367"/>
      <c r="G2222" s="367"/>
      <c r="H2222" s="412">
        <f>G2220</f>
        <v>2.35</v>
      </c>
      <c r="I2222" s="412"/>
      <c r="J2222" s="422"/>
      <c r="K2222" s="88"/>
      <c r="M2222" s="544" t="s">
        <v>122</v>
      </c>
      <c r="N2222" s="537"/>
      <c r="O2222" s="537"/>
      <c r="P2222" s="537"/>
      <c r="Q2222" s="537"/>
      <c r="R2222" s="537"/>
      <c r="S2222" s="537"/>
      <c r="T2222" s="537"/>
      <c r="U2222" s="545">
        <f>+V2220+V2213+V2205+V2196</f>
        <v>13300.460000000001</v>
      </c>
      <c r="V2222" s="546"/>
      <c r="Y2222" s="429"/>
      <c r="Z2222" s="430">
        <f>+Z2220+Z2213+Z2205+Z2196</f>
        <v>159605.44</v>
      </c>
      <c r="AA2222" s="86"/>
      <c r="AB2222" s="431">
        <f>+AB2220+AB2213+AB2205+AB2196</f>
        <v>159605.51999999999</v>
      </c>
      <c r="AC2222" s="404">
        <f>+AB2222-Z2222</f>
        <v>7.9999999987194315E-2</v>
      </c>
      <c r="AD2222" s="94"/>
      <c r="AE2222" s="432"/>
    </row>
    <row r="2223" spans="3:31" s="260" customFormat="1" ht="15.75" thickBot="1" x14ac:dyDescent="0.3"/>
    <row r="2224" spans="3:31" s="260" customFormat="1" x14ac:dyDescent="0.25">
      <c r="M2224" s="547" t="s">
        <v>348</v>
      </c>
      <c r="N2224" s="548"/>
      <c r="O2224" s="548"/>
      <c r="P2224" s="548"/>
      <c r="Q2224" s="548"/>
      <c r="R2224" s="548"/>
      <c r="S2224" s="548"/>
      <c r="T2224" s="548"/>
      <c r="U2224" s="548"/>
      <c r="V2224" s="549"/>
      <c r="Y2224" s="378"/>
      <c r="Z2224" s="121"/>
      <c r="AA2224" s="86"/>
      <c r="AB2224" s="94"/>
      <c r="AC2224" s="94"/>
      <c r="AD2224" s="94"/>
      <c r="AE2224" s="126" t="s">
        <v>133</v>
      </c>
    </row>
    <row r="2225" spans="3:31" s="260" customFormat="1" x14ac:dyDescent="0.25">
      <c r="M2225" s="515" t="s">
        <v>138</v>
      </c>
      <c r="N2225" s="516"/>
      <c r="O2225" s="516"/>
      <c r="P2225" s="516"/>
      <c r="Q2225" s="516"/>
      <c r="R2225" s="516"/>
      <c r="S2225" s="516"/>
      <c r="T2225" s="437">
        <v>0</v>
      </c>
      <c r="U2225" s="517">
        <f>+ROUND(U2222*T2225,$AA$5)</f>
        <v>0</v>
      </c>
      <c r="V2225" s="518"/>
      <c r="Y2225" s="390"/>
      <c r="Z2225" s="438">
        <f>+Z2222*T2225</f>
        <v>0</v>
      </c>
      <c r="AA2225" s="86"/>
      <c r="AB2225" s="94"/>
      <c r="AC2225" s="94"/>
      <c r="AD2225" s="94"/>
      <c r="AE2225" s="386" t="s">
        <v>133</v>
      </c>
    </row>
    <row r="2226" spans="3:31" s="260" customFormat="1" x14ac:dyDescent="0.25">
      <c r="M2226" s="515" t="s">
        <v>19</v>
      </c>
      <c r="N2226" s="516"/>
      <c r="O2226" s="516"/>
      <c r="P2226" s="516"/>
      <c r="Q2226" s="516"/>
      <c r="R2226" s="516"/>
      <c r="S2226" s="516"/>
      <c r="T2226" s="437">
        <v>0.05</v>
      </c>
      <c r="U2226" s="517">
        <f>+ROUND(U2222*T2226,$AA$5)</f>
        <v>665.02</v>
      </c>
      <c r="V2226" s="518"/>
      <c r="Y2226" s="390"/>
      <c r="Z2226" s="438">
        <f>+Z2222*T2226</f>
        <v>7980.2720000000008</v>
      </c>
      <c r="AA2226" s="86"/>
      <c r="AB2226" s="94"/>
      <c r="AC2226" s="94"/>
      <c r="AD2226" s="94"/>
      <c r="AE2226" s="386" t="s">
        <v>133</v>
      </c>
    </row>
    <row r="2227" spans="3:31" s="260" customFormat="1" x14ac:dyDescent="0.25">
      <c r="M2227" s="515" t="s">
        <v>20</v>
      </c>
      <c r="N2227" s="516"/>
      <c r="O2227" s="516"/>
      <c r="P2227" s="516"/>
      <c r="Q2227" s="516"/>
      <c r="R2227" s="516"/>
      <c r="S2227" s="516"/>
      <c r="T2227" s="437">
        <v>0</v>
      </c>
      <c r="U2227" s="517">
        <f>+ROUND(U2222*T2227,$AA$5)</f>
        <v>0</v>
      </c>
      <c r="V2227" s="518"/>
      <c r="Y2227" s="390"/>
      <c r="Z2227" s="438">
        <f>+Z2222*T2227</f>
        <v>0</v>
      </c>
      <c r="AA2227" s="86"/>
      <c r="AB2227" s="94"/>
      <c r="AC2227" s="94"/>
      <c r="AD2227" s="94"/>
      <c r="AE2227" s="386" t="s">
        <v>133</v>
      </c>
    </row>
    <row r="2228" spans="3:31" s="260" customFormat="1" x14ac:dyDescent="0.25">
      <c r="M2228" s="515" t="s">
        <v>21</v>
      </c>
      <c r="N2228" s="516"/>
      <c r="O2228" s="516"/>
      <c r="P2228" s="516"/>
      <c r="Q2228" s="516"/>
      <c r="R2228" s="516"/>
      <c r="S2228" s="516"/>
      <c r="T2228" s="437">
        <f>$AA$9</f>
        <v>0</v>
      </c>
      <c r="U2228" s="517">
        <f>+ROUND(U2222*T2228,$AA$5)</f>
        <v>0</v>
      </c>
      <c r="V2228" s="518"/>
      <c r="Y2228" s="390"/>
      <c r="Z2228" s="438">
        <f>+Z2227*T2228</f>
        <v>0</v>
      </c>
      <c r="AA2228" s="86"/>
      <c r="AB2228" s="94"/>
      <c r="AC2228" s="94"/>
      <c r="AD2228" s="94"/>
      <c r="AE2228" s="386" t="s">
        <v>133</v>
      </c>
    </row>
    <row r="2229" spans="3:31" s="260" customFormat="1" ht="15.75" thickBot="1" x14ac:dyDescent="0.3">
      <c r="M2229" s="519" t="s">
        <v>349</v>
      </c>
      <c r="N2229" s="520"/>
      <c r="O2229" s="520"/>
      <c r="P2229" s="520"/>
      <c r="Q2229" s="520"/>
      <c r="R2229" s="520"/>
      <c r="S2229" s="520"/>
      <c r="T2229" s="520"/>
      <c r="U2229" s="521">
        <f>+SUM(U2225:V2228)</f>
        <v>665.02</v>
      </c>
      <c r="V2229" s="522"/>
      <c r="Y2229" s="390"/>
      <c r="Z2229" s="439">
        <f>+SUM(Z2225:Z2228)</f>
        <v>7980.2720000000008</v>
      </c>
      <c r="AA2229" s="86"/>
      <c r="AB2229" s="94"/>
      <c r="AC2229" s="94"/>
      <c r="AD2229" s="94"/>
      <c r="AE2229" s="386" t="s">
        <v>133</v>
      </c>
    </row>
    <row r="2230" spans="3:31" s="260" customFormat="1" ht="15.75" thickBot="1" x14ac:dyDescent="0.3">
      <c r="D2230" s="375" t="s">
        <v>128</v>
      </c>
      <c r="E2230" s="376" t="s">
        <v>129</v>
      </c>
      <c r="F2230" s="376" t="s">
        <v>130</v>
      </c>
      <c r="G2230" s="376" t="s">
        <v>131</v>
      </c>
      <c r="H2230" s="376" t="s">
        <v>132</v>
      </c>
      <c r="I2230" s="376" t="s">
        <v>133</v>
      </c>
      <c r="J2230" s="377" t="s">
        <v>134</v>
      </c>
      <c r="M2230" s="86"/>
      <c r="N2230" s="94"/>
      <c r="O2230" s="94"/>
      <c r="P2230" s="94"/>
      <c r="Q2230" s="86"/>
      <c r="R2230" s="86"/>
      <c r="S2230" s="86"/>
      <c r="T2230" s="440"/>
      <c r="U2230" s="523"/>
      <c r="V2230" s="523"/>
      <c r="Y2230" s="390"/>
      <c r="Z2230" s="385"/>
      <c r="AA2230" s="86"/>
      <c r="AB2230" s="94"/>
      <c r="AC2230" s="94"/>
      <c r="AD2230" s="94"/>
      <c r="AE2230" s="386" t="s">
        <v>133</v>
      </c>
    </row>
    <row r="2231" spans="3:31" s="260" customFormat="1" ht="15.75" thickBot="1" x14ac:dyDescent="0.3">
      <c r="D2231" s="355"/>
      <c r="E2231" s="367"/>
      <c r="F2231" s="367"/>
      <c r="G2231" s="367"/>
      <c r="H2231" s="412"/>
      <c r="I2231" s="412">
        <f>H2222</f>
        <v>2.35</v>
      </c>
      <c r="J2231" s="422"/>
      <c r="M2231" s="524" t="s">
        <v>11</v>
      </c>
      <c r="N2231" s="525"/>
      <c r="O2231" s="525"/>
      <c r="P2231" s="525"/>
      <c r="Q2231" s="525"/>
      <c r="R2231" s="525"/>
      <c r="S2231" s="525"/>
      <c r="T2231" s="526"/>
      <c r="U2231" s="527">
        <f>+U2229+U2222</f>
        <v>13965.480000000001</v>
      </c>
      <c r="V2231" s="528"/>
      <c r="Y2231" s="429"/>
      <c r="Z2231" s="441">
        <f>+Z2229+Z2222</f>
        <v>167585.712</v>
      </c>
      <c r="AA2231" s="86"/>
      <c r="AB2231" s="94"/>
      <c r="AC2231" s="94"/>
      <c r="AD2231" s="94"/>
      <c r="AE2231" s="405" t="s">
        <v>133</v>
      </c>
    </row>
    <row r="2232" spans="3:31" s="260" customFormat="1" x14ac:dyDescent="0.25"/>
    <row r="2233" spans="3:31" s="260" customFormat="1" ht="15.75" thickBot="1" x14ac:dyDescent="0.3"/>
    <row r="2234" spans="3:31" s="260" customFormat="1" ht="15.75" thickBot="1" x14ac:dyDescent="0.3">
      <c r="M2234" s="363" t="s">
        <v>88</v>
      </c>
      <c r="N2234" s="436" t="str">
        <f>+N2185</f>
        <v>CAP.2</v>
      </c>
      <c r="O2234" s="550" t="str">
        <f>IFERROR(VLOOKUP(N2234,PPTO!C:H,2,0),"----")</f>
        <v>RED HIDRAULICA</v>
      </c>
      <c r="P2234" s="551"/>
      <c r="Q2234" s="551"/>
      <c r="R2234" s="551"/>
      <c r="S2234" s="551"/>
      <c r="T2234" s="551"/>
      <c r="U2234" s="552"/>
      <c r="V2234" s="74" t="s">
        <v>91</v>
      </c>
      <c r="Y2234" s="365" t="s">
        <v>104</v>
      </c>
      <c r="Z2234" s="94"/>
      <c r="AA2234" s="188"/>
      <c r="AB2234" s="553"/>
      <c r="AC2234" s="553"/>
      <c r="AD2234" s="553"/>
      <c r="AE2234" s="94"/>
    </row>
    <row r="2235" spans="3:31" s="260" customFormat="1" ht="15.75" thickBot="1" x14ac:dyDescent="0.3">
      <c r="C2235" s="369">
        <f>+N2235</f>
        <v>2.36</v>
      </c>
      <c r="D2235" s="86"/>
      <c r="E2235" s="86"/>
      <c r="F2235" s="86"/>
      <c r="G2235" s="86"/>
      <c r="H2235" s="86"/>
      <c r="I2235" s="86"/>
      <c r="J2235" s="86"/>
      <c r="K2235" s="370"/>
      <c r="M2235" s="75" t="s">
        <v>92</v>
      </c>
      <c r="N2235" s="371">
        <f>+ROUNDUP(N2186+0.01,2)</f>
        <v>2.36</v>
      </c>
      <c r="O2235" s="554" t="str">
        <f>IFERROR(VLOOKUP(N2235,PPTO!C:H,2,0),"----")</f>
        <v>Reduccion PVC Ø1_1/4" A Ø1"</v>
      </c>
      <c r="P2235" s="555"/>
      <c r="Q2235" s="555"/>
      <c r="R2235" s="555"/>
      <c r="S2235" s="555"/>
      <c r="T2235" s="555"/>
      <c r="U2235" s="556"/>
      <c r="V2235" s="76" t="str">
        <f>IFERROR(VLOOKUP(N2235,PPTO!C:H,3,0),"----")</f>
        <v>UND</v>
      </c>
      <c r="Y2235" s="373">
        <f>SUMIFS(PPTO!F:F,PPTO!C:C,APUS!N2235)</f>
        <v>7</v>
      </c>
      <c r="Z2235" s="94"/>
      <c r="AA2235" s="86"/>
      <c r="AB2235" s="94"/>
      <c r="AC2235" s="94"/>
      <c r="AD2235" s="94"/>
      <c r="AE2235" s="94"/>
    </row>
    <row r="2236" spans="3:31" s="260" customFormat="1" ht="15.75" thickBot="1" x14ac:dyDescent="0.3">
      <c r="C2236" s="84"/>
      <c r="D2236" s="86"/>
      <c r="E2236" s="86"/>
      <c r="F2236" s="86"/>
      <c r="G2236" s="86"/>
      <c r="H2236" s="86"/>
      <c r="I2236" s="86"/>
      <c r="J2236" s="86"/>
      <c r="K2236" s="88"/>
      <c r="M2236" s="557"/>
      <c r="N2236" s="557"/>
      <c r="O2236" s="557"/>
      <c r="P2236" s="557"/>
      <c r="Q2236" s="557"/>
      <c r="R2236" s="557"/>
      <c r="S2236" s="557"/>
      <c r="T2236" s="557"/>
      <c r="U2236" s="557"/>
      <c r="V2236" s="557"/>
      <c r="Y2236" s="374"/>
      <c r="Z2236" s="94"/>
      <c r="AA2236" s="86"/>
      <c r="AB2236" s="94"/>
      <c r="AC2236" s="94"/>
      <c r="AD2236" s="94"/>
      <c r="AE2236" s="94"/>
    </row>
    <row r="2237" spans="3:31" s="260" customFormat="1" ht="15.75" thickBot="1" x14ac:dyDescent="0.3">
      <c r="C2237" s="84"/>
      <c r="D2237" s="375" t="s">
        <v>128</v>
      </c>
      <c r="E2237" s="376" t="s">
        <v>129</v>
      </c>
      <c r="F2237" s="376" t="s">
        <v>130</v>
      </c>
      <c r="G2237" s="376" t="s">
        <v>131</v>
      </c>
      <c r="H2237" s="376" t="s">
        <v>132</v>
      </c>
      <c r="I2237" s="376" t="s">
        <v>133</v>
      </c>
      <c r="J2237" s="377" t="s">
        <v>134</v>
      </c>
      <c r="K2237" s="88"/>
      <c r="M2237" s="558" t="s">
        <v>93</v>
      </c>
      <c r="N2237" s="559"/>
      <c r="O2237" s="559"/>
      <c r="P2237" s="559"/>
      <c r="Q2237" s="559"/>
      <c r="R2237" s="559"/>
      <c r="S2237" s="559"/>
      <c r="T2237" s="559"/>
      <c r="U2237" s="559"/>
      <c r="V2237" s="560"/>
      <c r="Y2237" s="378"/>
      <c r="Z2237" s="121"/>
      <c r="AA2237" s="86"/>
      <c r="AB2237" s="513"/>
      <c r="AC2237" s="514"/>
      <c r="AD2237" s="94"/>
      <c r="AE2237" s="379"/>
    </row>
    <row r="2238" spans="3:31" s="260" customFormat="1" x14ac:dyDescent="0.25">
      <c r="C2238" s="84"/>
      <c r="D2238" s="380"/>
      <c r="E2238" s="381"/>
      <c r="F2238" s="381"/>
      <c r="G2238" s="381"/>
      <c r="H2238" s="381"/>
      <c r="I2238" s="381"/>
      <c r="J2238" s="382"/>
      <c r="K2238" s="88"/>
      <c r="M2238" s="99" t="s">
        <v>94</v>
      </c>
      <c r="N2238" s="561" t="s">
        <v>95</v>
      </c>
      <c r="O2238" s="561"/>
      <c r="P2238" s="561"/>
      <c r="Q2238" s="561"/>
      <c r="R2238" s="95" t="s">
        <v>96</v>
      </c>
      <c r="S2238" s="95" t="s">
        <v>97</v>
      </c>
      <c r="T2238" s="562" t="s">
        <v>8</v>
      </c>
      <c r="U2238" s="562"/>
      <c r="V2238" s="100" t="s">
        <v>98</v>
      </c>
      <c r="Y2238" s="383" t="s">
        <v>104</v>
      </c>
      <c r="Z2238" s="119" t="s">
        <v>9</v>
      </c>
      <c r="AA2238" s="86"/>
      <c r="AB2238" s="384"/>
      <c r="AC2238" s="385"/>
      <c r="AD2238" s="94"/>
      <c r="AE2238" s="386"/>
    </row>
    <row r="2239" spans="3:31" s="260" customFormat="1" x14ac:dyDescent="0.25">
      <c r="C2239" s="84"/>
      <c r="D2239" s="85"/>
      <c r="E2239" s="86"/>
      <c r="F2239" s="86"/>
      <c r="G2239" s="86"/>
      <c r="H2239" s="86"/>
      <c r="I2239" s="86"/>
      <c r="J2239" s="87"/>
      <c r="K2239" s="88"/>
      <c r="M2239" s="102"/>
      <c r="N2239" s="533" t="s">
        <v>99</v>
      </c>
      <c r="O2239" s="533"/>
      <c r="P2239" s="533"/>
      <c r="Q2239" s="533"/>
      <c r="R2239" s="78" t="s">
        <v>100</v>
      </c>
      <c r="S2239" s="387">
        <f>+$AA$10</f>
        <v>0.05</v>
      </c>
      <c r="T2239" s="563">
        <f>V2269</f>
        <v>5578.97</v>
      </c>
      <c r="U2239" s="563"/>
      <c r="V2239" s="389">
        <f>+IFERROR(T2239*S2239,0)</f>
        <v>278.94850000000002</v>
      </c>
      <c r="Y2239" s="390"/>
      <c r="Z2239" s="391">
        <f>Y2235*V2239</f>
        <v>1952.6395000000002</v>
      </c>
      <c r="AA2239" s="86"/>
      <c r="AB2239" s="384"/>
      <c r="AC2239" s="385"/>
      <c r="AD2239" s="94"/>
      <c r="AE2239" s="386" t="str">
        <f>+IF(V2239=0,"CERO","NO")</f>
        <v>NO</v>
      </c>
    </row>
    <row r="2240" spans="3:31" s="260" customFormat="1" x14ac:dyDescent="0.25">
      <c r="C2240" s="84"/>
      <c r="D2240" s="85"/>
      <c r="E2240" s="86"/>
      <c r="F2240" s="86"/>
      <c r="G2240" s="86"/>
      <c r="H2240" s="86"/>
      <c r="I2240" s="86"/>
      <c r="J2240" s="87"/>
      <c r="K2240" s="88"/>
      <c r="M2240" s="106"/>
      <c r="N2240" s="533" t="str">
        <f>IFERROR(VLOOKUP(M2240,INSUMOS!$C$8:$K$928,2,0),"-----")</f>
        <v>-----</v>
      </c>
      <c r="O2240" s="533"/>
      <c r="P2240" s="533"/>
      <c r="Q2240" s="533"/>
      <c r="R2240" s="78" t="str">
        <f>IFERROR(VLOOKUP(M2240,INSUMOS!$C$8:$K$928,6,0),"-----")</f>
        <v>-----</v>
      </c>
      <c r="S2240" s="392"/>
      <c r="T2240" s="529" t="str">
        <f>IFERROR(VLOOKUP(M2240,INSUMOS!$C$8:$K$928,7,0),"0")</f>
        <v>0</v>
      </c>
      <c r="U2240" s="529"/>
      <c r="V2240" s="389">
        <f>+IFERROR(T2240*S2240,0)</f>
        <v>0</v>
      </c>
      <c r="Y2240" s="393">
        <f>+IFERROR(Y2235*S2240,0)</f>
        <v>0</v>
      </c>
      <c r="Z2240" s="391">
        <f>Y2235*V2240</f>
        <v>0</v>
      </c>
      <c r="AA2240" s="394"/>
      <c r="AB2240" s="395">
        <f>+Y2240*T2240</f>
        <v>0</v>
      </c>
      <c r="AC2240" s="93">
        <f>+AB2240-Z2240</f>
        <v>0</v>
      </c>
      <c r="AD2240" s="94"/>
      <c r="AE2240" s="386" t="str">
        <f>+IF(V2240=0,"CERO","NO")</f>
        <v>CERO</v>
      </c>
    </row>
    <row r="2241" spans="3:31" s="260" customFormat="1" x14ac:dyDescent="0.25">
      <c r="C2241" s="84"/>
      <c r="D2241" s="85"/>
      <c r="E2241" s="86"/>
      <c r="F2241" s="86"/>
      <c r="G2241" s="86"/>
      <c r="H2241" s="86"/>
      <c r="I2241" s="86"/>
      <c r="J2241" s="87"/>
      <c r="K2241" s="88"/>
      <c r="M2241" s="102">
        <v>0</v>
      </c>
      <c r="N2241" s="533"/>
      <c r="O2241" s="533"/>
      <c r="P2241" s="533"/>
      <c r="Q2241" s="533"/>
      <c r="R2241" s="78"/>
      <c r="S2241" s="396"/>
      <c r="T2241" s="529"/>
      <c r="U2241" s="529"/>
      <c r="V2241" s="397"/>
      <c r="Y2241" s="393">
        <f>+IFERROR(Y2235*S2241,0)</f>
        <v>0</v>
      </c>
      <c r="Z2241" s="391">
        <f>Y2235*V2241</f>
        <v>0</v>
      </c>
      <c r="AA2241" s="394"/>
      <c r="AB2241" s="395">
        <f>+Y2241*T2241</f>
        <v>0</v>
      </c>
      <c r="AC2241" s="93">
        <f>+AB2241-Z2241</f>
        <v>0</v>
      </c>
      <c r="AD2241" s="94"/>
      <c r="AE2241" s="386" t="str">
        <f>+IF(V2241=0,"CERO","NO")</f>
        <v>CERO</v>
      </c>
    </row>
    <row r="2242" spans="3:31" s="260" customFormat="1" x14ac:dyDescent="0.25">
      <c r="C2242" s="84"/>
      <c r="D2242" s="85"/>
      <c r="E2242" s="86"/>
      <c r="F2242" s="86"/>
      <c r="G2242" s="86"/>
      <c r="H2242" s="86"/>
      <c r="I2242" s="86"/>
      <c r="J2242" s="87"/>
      <c r="K2242" s="88"/>
      <c r="M2242" s="102">
        <v>0</v>
      </c>
      <c r="N2242" s="533"/>
      <c r="O2242" s="533"/>
      <c r="P2242" s="533"/>
      <c r="Q2242" s="533"/>
      <c r="R2242" s="78"/>
      <c r="S2242" s="396"/>
      <c r="T2242" s="529"/>
      <c r="U2242" s="529"/>
      <c r="V2242" s="397"/>
      <c r="Y2242" s="393">
        <f>+IFERROR(Y2235*S2242,0)</f>
        <v>0</v>
      </c>
      <c r="Z2242" s="391">
        <f>Y2235*V2242</f>
        <v>0</v>
      </c>
      <c r="AA2242" s="394"/>
      <c r="AB2242" s="395">
        <f>+Y2242*T2242</f>
        <v>0</v>
      </c>
      <c r="AC2242" s="93">
        <f>+AB2242-Z2242</f>
        <v>0</v>
      </c>
      <c r="AD2242" s="94"/>
      <c r="AE2242" s="386" t="str">
        <f>+IF(V2242=0,"CERO","NO")</f>
        <v>CERO</v>
      </c>
    </row>
    <row r="2243" spans="3:31" s="260" customFormat="1" ht="15.75" thickBot="1" x14ac:dyDescent="0.3">
      <c r="C2243" s="84"/>
      <c r="D2243" s="85"/>
      <c r="E2243" s="86"/>
      <c r="F2243" s="86"/>
      <c r="G2243" s="86"/>
      <c r="H2243" s="86"/>
      <c r="I2243" s="86"/>
      <c r="J2243" s="87"/>
      <c r="K2243" s="88"/>
      <c r="M2243" s="102">
        <v>0</v>
      </c>
      <c r="N2243" s="564"/>
      <c r="O2243" s="564"/>
      <c r="P2243" s="564"/>
      <c r="Q2243" s="564"/>
      <c r="R2243" s="96"/>
      <c r="S2243" s="96"/>
      <c r="T2243" s="565"/>
      <c r="U2243" s="565"/>
      <c r="V2243" s="101"/>
      <c r="Y2243" s="393">
        <f>+IFERROR(Y2235*S2243,0)</f>
        <v>0</v>
      </c>
      <c r="Z2243" s="391">
        <f>Y2235*V2243</f>
        <v>0</v>
      </c>
      <c r="AA2243" s="394"/>
      <c r="AB2243" s="395">
        <f>+Y2243*T2243</f>
        <v>0</v>
      </c>
      <c r="AC2243" s="93">
        <f>+AB2243-Z2243</f>
        <v>0</v>
      </c>
      <c r="AD2243" s="94"/>
      <c r="AE2243" s="386" t="str">
        <f>+IF(V2243=0,"CERO","NO")</f>
        <v>CERO</v>
      </c>
    </row>
    <row r="2244" spans="3:31" s="260" customFormat="1" ht="15.75" thickBot="1" x14ac:dyDescent="0.3">
      <c r="C2244" s="84"/>
      <c r="D2244" s="375" t="s">
        <v>128</v>
      </c>
      <c r="E2244" s="376" t="s">
        <v>129</v>
      </c>
      <c r="F2244" s="376" t="s">
        <v>130</v>
      </c>
      <c r="G2244" s="376" t="s">
        <v>131</v>
      </c>
      <c r="H2244" s="376" t="s">
        <v>132</v>
      </c>
      <c r="I2244" s="376" t="s">
        <v>133</v>
      </c>
      <c r="J2244" s="377" t="s">
        <v>134</v>
      </c>
      <c r="K2244" s="88"/>
      <c r="M2244" s="534"/>
      <c r="N2244" s="536" t="s">
        <v>101</v>
      </c>
      <c r="O2244" s="536"/>
      <c r="P2244" s="536"/>
      <c r="Q2244" s="536"/>
      <c r="R2244" s="536"/>
      <c r="S2244" s="536"/>
      <c r="T2244" s="536"/>
      <c r="U2244" s="536"/>
      <c r="V2244" s="389">
        <f>+SUM(V2239:V2243)</f>
        <v>278.94850000000002</v>
      </c>
      <c r="Y2244" s="398" t="s">
        <v>135</v>
      </c>
      <c r="Z2244" s="397">
        <f>+SUM(Z2239:Z2243)</f>
        <v>1952.6395000000002</v>
      </c>
      <c r="AA2244" s="86"/>
      <c r="AB2244" s="384"/>
      <c r="AC2244" s="385"/>
      <c r="AD2244" s="94"/>
      <c r="AE2244" s="399"/>
    </row>
    <row r="2245" spans="3:31" s="260" customFormat="1" ht="15.75" thickBot="1" x14ac:dyDescent="0.3">
      <c r="C2245" s="84"/>
      <c r="D2245" s="375">
        <f>C2235</f>
        <v>2.36</v>
      </c>
      <c r="E2245" s="376"/>
      <c r="F2245" s="376"/>
      <c r="G2245" s="376"/>
      <c r="H2245" s="376"/>
      <c r="I2245" s="376"/>
      <c r="J2245" s="377"/>
      <c r="K2245" s="88"/>
      <c r="M2245" s="566"/>
      <c r="N2245" s="567" t="s">
        <v>102</v>
      </c>
      <c r="O2245" s="567"/>
      <c r="P2245" s="567"/>
      <c r="Q2245" s="567"/>
      <c r="R2245" s="567"/>
      <c r="S2245" s="567"/>
      <c r="T2245" s="567"/>
      <c r="U2245" s="567"/>
      <c r="V2245" s="400">
        <f>+ROUND(V2244,$AA$5)</f>
        <v>278.95</v>
      </c>
      <c r="Y2245" s="401" t="s">
        <v>136</v>
      </c>
      <c r="Z2245" s="402">
        <f>+ROUND(Z2244,$AA$5)</f>
        <v>1952.64</v>
      </c>
      <c r="AA2245" s="86"/>
      <c r="AB2245" s="403">
        <f>+V2245*Y2235</f>
        <v>1952.6499999999999</v>
      </c>
      <c r="AC2245" s="404">
        <f>+AB2245-Z2245</f>
        <v>9.9999999997635314E-3</v>
      </c>
      <c r="AD2245" s="94"/>
      <c r="AE2245" s="405"/>
    </row>
    <row r="2246" spans="3:31" s="260" customFormat="1" x14ac:dyDescent="0.25">
      <c r="C2246" s="84"/>
      <c r="D2246" s="380"/>
      <c r="E2246" s="381"/>
      <c r="F2246" s="381"/>
      <c r="G2246" s="381"/>
      <c r="H2246" s="381"/>
      <c r="I2246" s="381"/>
      <c r="J2246" s="382"/>
      <c r="K2246" s="88"/>
      <c r="M2246" s="510" t="s">
        <v>103</v>
      </c>
      <c r="N2246" s="511"/>
      <c r="O2246" s="511"/>
      <c r="P2246" s="511"/>
      <c r="Q2246" s="511"/>
      <c r="R2246" s="511"/>
      <c r="S2246" s="511"/>
      <c r="T2246" s="511"/>
      <c r="U2246" s="511"/>
      <c r="V2246" s="512"/>
      <c r="Y2246" s="378"/>
      <c r="Z2246" s="121"/>
      <c r="AA2246" s="86"/>
      <c r="AB2246" s="513"/>
      <c r="AC2246" s="514"/>
      <c r="AD2246" s="94"/>
      <c r="AE2246" s="126"/>
    </row>
    <row r="2247" spans="3:31" s="260" customFormat="1" x14ac:dyDescent="0.25">
      <c r="C2247" s="84"/>
      <c r="D2247" s="85"/>
      <c r="E2247" s="86"/>
      <c r="F2247" s="86"/>
      <c r="G2247" s="86"/>
      <c r="H2247" s="86"/>
      <c r="I2247" s="86"/>
      <c r="J2247" s="87"/>
      <c r="K2247" s="88"/>
      <c r="M2247" s="99" t="s">
        <v>94</v>
      </c>
      <c r="N2247" s="561" t="s">
        <v>95</v>
      </c>
      <c r="O2247" s="561"/>
      <c r="P2247" s="561"/>
      <c r="Q2247" s="561"/>
      <c r="R2247" s="95" t="s">
        <v>96</v>
      </c>
      <c r="S2247" s="95" t="s">
        <v>104</v>
      </c>
      <c r="T2247" s="356" t="s">
        <v>105</v>
      </c>
      <c r="U2247" s="356" t="s">
        <v>8</v>
      </c>
      <c r="V2247" s="100" t="s">
        <v>98</v>
      </c>
      <c r="Y2247" s="383" t="s">
        <v>104</v>
      </c>
      <c r="Z2247" s="119" t="s">
        <v>9</v>
      </c>
      <c r="AA2247" s="86"/>
      <c r="AB2247" s="384"/>
      <c r="AC2247" s="385"/>
      <c r="AD2247" s="94"/>
      <c r="AE2247" s="406"/>
    </row>
    <row r="2248" spans="3:31" s="260" customFormat="1" x14ac:dyDescent="0.25">
      <c r="C2248" s="84"/>
      <c r="D2248" s="85"/>
      <c r="E2248" s="86"/>
      <c r="F2248" s="86"/>
      <c r="G2248" s="86"/>
      <c r="H2248" s="86"/>
      <c r="I2248" s="86"/>
      <c r="J2248" s="87"/>
      <c r="K2248" s="88"/>
      <c r="M2248" s="102">
        <v>798</v>
      </c>
      <c r="N2248" s="533" t="str">
        <f>IFERROR(VLOOKUP(M2248,INSUMOS!$C$8:$K$928,2,0),"-----")</f>
        <v>BUJES SOLDADO 1 1/4" X 1"</v>
      </c>
      <c r="O2248" s="533"/>
      <c r="P2248" s="533"/>
      <c r="Q2248" s="533"/>
      <c r="R2248" s="78" t="str">
        <f>IFERROR(VLOOKUP(M2248,INSUMOS!$C$8:$K$928,6,0),"-----")</f>
        <v>und</v>
      </c>
      <c r="S2248" s="396">
        <v>1</v>
      </c>
      <c r="T2248" s="387">
        <v>0</v>
      </c>
      <c r="U2248" s="388">
        <f>IFERROR(VLOOKUP(M2248,INSUMOS!$C$8:$K$928,7,0),"0")</f>
        <v>3193</v>
      </c>
      <c r="V2248" s="389">
        <f>+IFERROR(U2248*(S2248*(1+T2248)),0)</f>
        <v>3193</v>
      </c>
      <c r="Y2248" s="393">
        <f>+IFERROR(Y2235*(S2248*(1+T2248)),0)</f>
        <v>7</v>
      </c>
      <c r="Z2248" s="391">
        <f>Y2235*V2248</f>
        <v>22351</v>
      </c>
      <c r="AA2248" s="394"/>
      <c r="AB2248" s="395">
        <f>+Y2248*U2248</f>
        <v>22351</v>
      </c>
      <c r="AC2248" s="93">
        <f>+AB2248-Z2248</f>
        <v>0</v>
      </c>
      <c r="AD2248" s="94"/>
      <c r="AE2248" s="406" t="str">
        <f>+IF(V2248=0,"CERO","NO")</f>
        <v>NO</v>
      </c>
    </row>
    <row r="2249" spans="3:31" s="260" customFormat="1" x14ac:dyDescent="0.25">
      <c r="C2249" s="84"/>
      <c r="D2249" s="85"/>
      <c r="E2249" s="86"/>
      <c r="F2249" s="86"/>
      <c r="G2249" s="86"/>
      <c r="H2249" s="86"/>
      <c r="I2249" s="86"/>
      <c r="J2249" s="87"/>
      <c r="K2249" s="88"/>
      <c r="M2249" s="102">
        <v>699</v>
      </c>
      <c r="N2249" s="533" t="str">
        <f>IFERROR(VLOOKUP(M2249,INSUMOS!$C$8:$K$928,2,0),"-----")</f>
        <v>SOLDADURA PVC LIQUIDA 1/4"</v>
      </c>
      <c r="O2249" s="533"/>
      <c r="P2249" s="533"/>
      <c r="Q2249" s="533"/>
      <c r="R2249" s="78" t="str">
        <f>IFERROR(VLOOKUP(M2249,INSUMOS!$C$8:$K$928,6,0),"-----")</f>
        <v>und</v>
      </c>
      <c r="S2249" s="392">
        <v>0.01</v>
      </c>
      <c r="T2249" s="387">
        <v>0.02</v>
      </c>
      <c r="U2249" s="388">
        <f>IFERROR(VLOOKUP(M2249,INSUMOS!$C$8:$K$928,7,0),"0")</f>
        <v>146569</v>
      </c>
      <c r="V2249" s="389">
        <f>+IFERROR(U2249*(S2249*(1+T2249)),0)</f>
        <v>1495.0038000000002</v>
      </c>
      <c r="Y2249" s="393">
        <f>+IFERROR(Y2235*(S2249*(1+T2249)),0)</f>
        <v>7.1400000000000005E-2</v>
      </c>
      <c r="Z2249" s="391">
        <f>Y2235*V2249</f>
        <v>10465.026600000001</v>
      </c>
      <c r="AA2249" s="394"/>
      <c r="AB2249" s="395">
        <f>+Y2249*U2249</f>
        <v>10465.026600000001</v>
      </c>
      <c r="AC2249" s="93">
        <f>+AB2249-Z2249</f>
        <v>0</v>
      </c>
      <c r="AD2249" s="94"/>
      <c r="AE2249" s="406" t="str">
        <f>+IF(V2249=0,"CERO","NO")</f>
        <v>NO</v>
      </c>
    </row>
    <row r="2250" spans="3:31" s="260" customFormat="1" x14ac:dyDescent="0.25">
      <c r="C2250" s="84"/>
      <c r="D2250" s="85"/>
      <c r="E2250" s="86"/>
      <c r="F2250" s="86"/>
      <c r="G2250" s="86"/>
      <c r="H2250" s="86"/>
      <c r="I2250" s="86"/>
      <c r="J2250" s="87"/>
      <c r="K2250" s="88"/>
      <c r="M2250" s="102">
        <v>700</v>
      </c>
      <c r="N2250" s="533" t="str">
        <f>IFERROR(VLOOKUP(M2250,INSUMOS!$C$8:$K$928,2,0),"-----")</f>
        <v>LIMPIADOR PVC 1/4</v>
      </c>
      <c r="O2250" s="533"/>
      <c r="P2250" s="533"/>
      <c r="Q2250" s="533"/>
      <c r="R2250" s="78" t="str">
        <f>IFERROR(VLOOKUP(M2250,INSUMOS!$C$8:$K$928,6,0),"-----")</f>
        <v>und</v>
      </c>
      <c r="S2250" s="392">
        <v>0.01</v>
      </c>
      <c r="T2250" s="387">
        <v>0.02</v>
      </c>
      <c r="U2250" s="388">
        <f>IFERROR(VLOOKUP(M2250,INSUMOS!$C$8:$K$928,7,0),"0")</f>
        <v>65913</v>
      </c>
      <c r="V2250" s="389">
        <f>+IFERROR(U2250*(S2250*(1+T2250)),0)</f>
        <v>672.31260000000009</v>
      </c>
      <c r="Y2250" s="393">
        <f>+IFERROR(Y2235*(S2250*(1+T2250)),0)</f>
        <v>7.1400000000000005E-2</v>
      </c>
      <c r="Z2250" s="391">
        <f>Y2235*V2250</f>
        <v>4706.1882000000005</v>
      </c>
      <c r="AA2250" s="394"/>
      <c r="AB2250" s="395">
        <f>+Y2250*U2250</f>
        <v>4706.1882000000005</v>
      </c>
      <c r="AC2250" s="93">
        <f>+AB2250-Z2250</f>
        <v>0</v>
      </c>
      <c r="AD2250" s="94"/>
      <c r="AE2250" s="406" t="str">
        <f>+IF(V2250=0,"CERO","NO")</f>
        <v>NO</v>
      </c>
    </row>
    <row r="2251" spans="3:31" s="260" customFormat="1" x14ac:dyDescent="0.25">
      <c r="C2251" s="84"/>
      <c r="D2251" s="85"/>
      <c r="E2251" s="86"/>
      <c r="F2251" s="86"/>
      <c r="G2251" s="86"/>
      <c r="H2251" s="86"/>
      <c r="I2251" s="86"/>
      <c r="J2251" s="87"/>
      <c r="K2251" s="88"/>
      <c r="M2251" s="102">
        <v>0</v>
      </c>
      <c r="N2251" s="533" t="str">
        <f>IFERROR(VLOOKUP(M2251,INSUMOS!$C$8:$K$928,2,0),"-----")</f>
        <v>-----</v>
      </c>
      <c r="O2251" s="533"/>
      <c r="P2251" s="533"/>
      <c r="Q2251" s="533"/>
      <c r="R2251" s="78" t="str">
        <f>IFERROR(VLOOKUP(M2251,INSUMOS!$C$8:$K$928,6,0),"-----")</f>
        <v>-----</v>
      </c>
      <c r="S2251" s="396"/>
      <c r="T2251" s="387"/>
      <c r="U2251" s="388" t="str">
        <f>IFERROR(VLOOKUP(M2251,INSUMOS!$C$8:$K$928,7,0),"0")</f>
        <v>0</v>
      </c>
      <c r="V2251" s="389">
        <f>+IFERROR(U2251*(S2251*(1+T2251)),0)</f>
        <v>0</v>
      </c>
      <c r="Y2251" s="393">
        <f>+IFERROR(Y2235*(S2251*(1+T2251)),0)</f>
        <v>0</v>
      </c>
      <c r="Z2251" s="391">
        <f>Y2235*V2251</f>
        <v>0</v>
      </c>
      <c r="AA2251" s="394"/>
      <c r="AB2251" s="395">
        <f>+Y2251*U2251</f>
        <v>0</v>
      </c>
      <c r="AC2251" s="93">
        <f>+AB2251-Z2251</f>
        <v>0</v>
      </c>
      <c r="AD2251" s="94"/>
      <c r="AE2251" s="406" t="str">
        <f>+IF(V2251=0,"CERO","NO")</f>
        <v>CERO</v>
      </c>
    </row>
    <row r="2252" spans="3:31" s="260" customFormat="1" ht="15.75" thickBot="1" x14ac:dyDescent="0.3">
      <c r="C2252" s="84"/>
      <c r="D2252" s="85"/>
      <c r="E2252" s="86"/>
      <c r="F2252" s="86"/>
      <c r="G2252" s="86"/>
      <c r="H2252" s="86"/>
      <c r="I2252" s="86"/>
      <c r="J2252" s="87"/>
      <c r="K2252" s="88"/>
      <c r="M2252" s="102">
        <v>0</v>
      </c>
      <c r="N2252" s="564"/>
      <c r="O2252" s="564"/>
      <c r="P2252" s="564"/>
      <c r="Q2252" s="564"/>
      <c r="R2252" s="96"/>
      <c r="S2252" s="79"/>
      <c r="T2252" s="97"/>
      <c r="U2252" s="358"/>
      <c r="V2252" s="397"/>
      <c r="Y2252" s="393">
        <f>+IFERROR(Y2235*(S2252*(1+T2252)),0)</f>
        <v>0</v>
      </c>
      <c r="Z2252" s="391">
        <f>Y2235*V2252</f>
        <v>0</v>
      </c>
      <c r="AA2252" s="394"/>
      <c r="AB2252" s="395">
        <f>+Y2252*U2252</f>
        <v>0</v>
      </c>
      <c r="AC2252" s="93">
        <f>+AB2252-Z2252</f>
        <v>0</v>
      </c>
      <c r="AD2252" s="94"/>
      <c r="AE2252" s="406" t="str">
        <f>+IF(V2252=0,"CERO","NO")</f>
        <v>CERO</v>
      </c>
    </row>
    <row r="2253" spans="3:31" s="260" customFormat="1" ht="15.75" thickBot="1" x14ac:dyDescent="0.3">
      <c r="C2253" s="84"/>
      <c r="D2253" s="375" t="s">
        <v>128</v>
      </c>
      <c r="E2253" s="376" t="s">
        <v>129</v>
      </c>
      <c r="F2253" s="376" t="s">
        <v>130</v>
      </c>
      <c r="G2253" s="376" t="s">
        <v>131</v>
      </c>
      <c r="H2253" s="376" t="s">
        <v>132</v>
      </c>
      <c r="I2253" s="376" t="s">
        <v>133</v>
      </c>
      <c r="J2253" s="377" t="s">
        <v>134</v>
      </c>
      <c r="K2253" s="88"/>
      <c r="M2253" s="534"/>
      <c r="N2253" s="536" t="s">
        <v>106</v>
      </c>
      <c r="O2253" s="536"/>
      <c r="P2253" s="536"/>
      <c r="Q2253" s="536"/>
      <c r="R2253" s="536"/>
      <c r="S2253" s="536"/>
      <c r="T2253" s="536"/>
      <c r="U2253" s="536"/>
      <c r="V2253" s="389">
        <f>+SUM(V2248:V2252)</f>
        <v>5360.3164000000006</v>
      </c>
      <c r="Y2253" s="398" t="s">
        <v>135</v>
      </c>
      <c r="Z2253" s="397">
        <f>+SUM(Z2248:Z2252)</f>
        <v>37522.214800000002</v>
      </c>
      <c r="AA2253" s="86"/>
      <c r="AB2253" s="384"/>
      <c r="AC2253" s="385"/>
      <c r="AD2253" s="94"/>
      <c r="AE2253" s="399"/>
    </row>
    <row r="2254" spans="3:31" s="260" customFormat="1" ht="15.75" thickBot="1" x14ac:dyDescent="0.3">
      <c r="C2254" s="84"/>
      <c r="D2254" s="375"/>
      <c r="E2254" s="407">
        <f>+D2245</f>
        <v>2.36</v>
      </c>
      <c r="F2254" s="376"/>
      <c r="G2254" s="376"/>
      <c r="H2254" s="376"/>
      <c r="I2254" s="376"/>
      <c r="J2254" s="377"/>
      <c r="K2254" s="88"/>
      <c r="M2254" s="535"/>
      <c r="N2254" s="537" t="s">
        <v>107</v>
      </c>
      <c r="O2254" s="537"/>
      <c r="P2254" s="537"/>
      <c r="Q2254" s="537"/>
      <c r="R2254" s="537"/>
      <c r="S2254" s="537"/>
      <c r="T2254" s="537"/>
      <c r="U2254" s="537"/>
      <c r="V2254" s="408">
        <f>+ROUND(V2253,$AA$5)</f>
        <v>5360.32</v>
      </c>
      <c r="Y2254" s="401" t="s">
        <v>136</v>
      </c>
      <c r="Z2254" s="402">
        <f>+ROUND(Z2253,$AA$5)</f>
        <v>37522.21</v>
      </c>
      <c r="AA2254" s="86"/>
      <c r="AB2254" s="403">
        <f>+V2254*Y2235</f>
        <v>37522.239999999998</v>
      </c>
      <c r="AC2254" s="404">
        <f>+AB2254-Z2254</f>
        <v>2.9999999998835847E-2</v>
      </c>
      <c r="AD2254" s="94"/>
      <c r="AE2254" s="405"/>
    </row>
    <row r="2255" spans="3:31" s="260" customFormat="1" x14ac:dyDescent="0.25">
      <c r="C2255" s="84"/>
      <c r="D2255" s="380"/>
      <c r="E2255" s="381"/>
      <c r="F2255" s="381"/>
      <c r="G2255" s="381"/>
      <c r="H2255" s="381"/>
      <c r="I2255" s="381"/>
      <c r="J2255" s="382"/>
      <c r="K2255" s="88"/>
      <c r="M2255" s="568" t="s">
        <v>108</v>
      </c>
      <c r="N2255" s="569"/>
      <c r="O2255" s="569"/>
      <c r="P2255" s="569"/>
      <c r="Q2255" s="569"/>
      <c r="R2255" s="569"/>
      <c r="S2255" s="569"/>
      <c r="T2255" s="569"/>
      <c r="U2255" s="569"/>
      <c r="V2255" s="570"/>
      <c r="Y2255" s="378"/>
      <c r="Z2255" s="121"/>
      <c r="AA2255" s="86"/>
      <c r="AB2255" s="409"/>
      <c r="AC2255" s="121"/>
      <c r="AD2255" s="94"/>
      <c r="AE2255" s="126"/>
    </row>
    <row r="2256" spans="3:31" s="260" customFormat="1" ht="25.5" x14ac:dyDescent="0.25">
      <c r="C2256" s="84"/>
      <c r="D2256" s="85"/>
      <c r="E2256" s="86"/>
      <c r="F2256" s="86"/>
      <c r="G2256" s="86"/>
      <c r="H2256" s="86"/>
      <c r="I2256" s="86"/>
      <c r="J2256" s="87"/>
      <c r="K2256" s="88"/>
      <c r="M2256" s="99" t="s">
        <v>94</v>
      </c>
      <c r="N2256" s="561" t="s">
        <v>95</v>
      </c>
      <c r="O2256" s="561"/>
      <c r="P2256" s="561"/>
      <c r="Q2256" s="95" t="s">
        <v>109</v>
      </c>
      <c r="R2256" s="95" t="s">
        <v>110</v>
      </c>
      <c r="S2256" s="95" t="s">
        <v>111</v>
      </c>
      <c r="T2256" s="562" t="s">
        <v>112</v>
      </c>
      <c r="U2256" s="562"/>
      <c r="V2256" s="100" t="s">
        <v>98</v>
      </c>
      <c r="Y2256" s="383" t="s">
        <v>104</v>
      </c>
      <c r="Z2256" s="119" t="s">
        <v>9</v>
      </c>
      <c r="AA2256" s="86"/>
      <c r="AB2256" s="384"/>
      <c r="AC2256" s="385"/>
      <c r="AD2256" s="94"/>
      <c r="AE2256" s="410"/>
    </row>
    <row r="2257" spans="3:31" s="260" customFormat="1" x14ac:dyDescent="0.25">
      <c r="C2257" s="84"/>
      <c r="D2257" s="85"/>
      <c r="E2257" s="86"/>
      <c r="F2257" s="86"/>
      <c r="G2257" s="86"/>
      <c r="H2257" s="86"/>
      <c r="I2257" s="86"/>
      <c r="J2257" s="87"/>
      <c r="K2257" s="88"/>
      <c r="M2257" s="102">
        <v>129</v>
      </c>
      <c r="N2257" s="530" t="str">
        <f>IFERROR(VLOOKUP(M2257,INSUMOS!$C$8:$K$928,2,0),"-----")</f>
        <v>transporte materiales en general</v>
      </c>
      <c r="O2257" s="531"/>
      <c r="P2257" s="532"/>
      <c r="Q2257" s="78" t="str">
        <f>IFERROR(VLOOKUP(M2257,INSUMOS!$C$8:$K$928,5,0),"-----")</f>
        <v>Km</v>
      </c>
      <c r="R2257" s="80">
        <v>1</v>
      </c>
      <c r="S2257" s="80">
        <f>IFERROR(VLOOKUP(M2257,INSUMOS!$C$8:$K$928,6,0),"0")</f>
        <v>348</v>
      </c>
      <c r="T2257" s="529">
        <f>IFERROR(VLOOKUP(M2257,INSUMOS!$C$8:$K$928,7,0),"0")</f>
        <v>0.99776362060288992</v>
      </c>
      <c r="U2257" s="529"/>
      <c r="V2257" s="82">
        <f>+T2257*S2257*R2257</f>
        <v>347.2217399698057</v>
      </c>
      <c r="Y2257" s="393">
        <f>+IFERROR((R2257*S2257)*Y2235,0)</f>
        <v>2436</v>
      </c>
      <c r="Z2257" s="391">
        <f>Y2235*V2257</f>
        <v>2430.5521797886399</v>
      </c>
      <c r="AA2257" s="86"/>
      <c r="AB2257" s="92">
        <f>+Y2257*T2257</f>
        <v>2430.5521797886399</v>
      </c>
      <c r="AC2257" s="93">
        <f>+AB2257-Z2257</f>
        <v>0</v>
      </c>
      <c r="AD2257" s="94"/>
      <c r="AE2257" s="406" t="str">
        <f>+IF(V2257=0,"CERO","NO")</f>
        <v>NO</v>
      </c>
    </row>
    <row r="2258" spans="3:31" s="260" customFormat="1" x14ac:dyDescent="0.25">
      <c r="C2258" s="84"/>
      <c r="D2258" s="85"/>
      <c r="E2258" s="86"/>
      <c r="F2258" s="86"/>
      <c r="G2258" s="86"/>
      <c r="H2258" s="86"/>
      <c r="I2258" s="86"/>
      <c r="J2258" s="87"/>
      <c r="K2258" s="88"/>
      <c r="M2258" s="102">
        <v>0</v>
      </c>
      <c r="N2258" s="530" t="str">
        <f>IFERROR(VLOOKUP(M2258,INSUMOS!$C$8:$K$928,2,0),"-----")</f>
        <v>-----</v>
      </c>
      <c r="O2258" s="531"/>
      <c r="P2258" s="532"/>
      <c r="Q2258" s="78" t="str">
        <f>IFERROR(VLOOKUP(M2258,INSUMOS!$C$8:$K$928,5,0),"-----")</f>
        <v>-----</v>
      </c>
      <c r="R2258" s="80"/>
      <c r="S2258" s="80" t="str">
        <f>IFERROR(VLOOKUP(M2258,INSUMOS!$C$8:$K$928,6,0),"0")</f>
        <v>0</v>
      </c>
      <c r="T2258" s="529" t="str">
        <f>IFERROR(VLOOKUP(M2258,INSUMOS!$C$8:$K$928,7,0),"0")</f>
        <v>0</v>
      </c>
      <c r="U2258" s="529"/>
      <c r="V2258" s="82">
        <f>+T2258*S2258*R2258</f>
        <v>0</v>
      </c>
      <c r="Y2258" s="393">
        <f>+IFERROR((R2258*S2258)*Y2235,0)</f>
        <v>0</v>
      </c>
      <c r="Z2258" s="391">
        <f>Y2235*V2258</f>
        <v>0</v>
      </c>
      <c r="AA2258" s="86"/>
      <c r="AB2258" s="92">
        <f>+Y2258*T2258</f>
        <v>0</v>
      </c>
      <c r="AC2258" s="93">
        <f>+AB2258-Z2258</f>
        <v>0</v>
      </c>
      <c r="AD2258" s="94"/>
      <c r="AE2258" s="406" t="str">
        <f>+IF(V2258=0,"CERO","NO")</f>
        <v>CERO</v>
      </c>
    </row>
    <row r="2259" spans="3:31" s="260" customFormat="1" x14ac:dyDescent="0.25">
      <c r="C2259" s="84"/>
      <c r="D2259" s="85"/>
      <c r="E2259" s="86"/>
      <c r="F2259" s="86"/>
      <c r="G2259" s="86"/>
      <c r="H2259" s="86"/>
      <c r="I2259" s="86"/>
      <c r="J2259" s="87"/>
      <c r="K2259" s="88"/>
      <c r="M2259" s="102">
        <v>0</v>
      </c>
      <c r="N2259" s="530" t="str">
        <f>IFERROR(VLOOKUP(M2259,INSUMOS!$C$8:$K$928,2,0),"-----")</f>
        <v>-----</v>
      </c>
      <c r="O2259" s="531"/>
      <c r="P2259" s="532"/>
      <c r="Q2259" s="78" t="str">
        <f>IFERROR(VLOOKUP(M2259,INSUMOS!$C$8:$K$928,5,0),"-----")</f>
        <v>-----</v>
      </c>
      <c r="R2259" s="80"/>
      <c r="S2259" s="80" t="str">
        <f>IFERROR(VLOOKUP(M2259,INSUMOS!$C$8:$K$928,6,0),"0")</f>
        <v>0</v>
      </c>
      <c r="T2259" s="529" t="str">
        <f>IFERROR(VLOOKUP(M2259,INSUMOS!$C$8:$K$928,7,0),"0")</f>
        <v>0</v>
      </c>
      <c r="U2259" s="529"/>
      <c r="V2259" s="82">
        <f>+T2259*S2259*R2259</f>
        <v>0</v>
      </c>
      <c r="Y2259" s="393">
        <f>+IFERROR((R2259*S2259)*Y2235,0)</f>
        <v>0</v>
      </c>
      <c r="Z2259" s="391">
        <f>Y2235*V2259</f>
        <v>0</v>
      </c>
      <c r="AA2259" s="86"/>
      <c r="AB2259" s="92">
        <f>+Y2259*T2259</f>
        <v>0</v>
      </c>
      <c r="AC2259" s="93">
        <f>+AB2259-Z2259</f>
        <v>0</v>
      </c>
      <c r="AD2259" s="94"/>
      <c r="AE2259" s="406" t="str">
        <f>+IF(V2259=0,"CERO","NO")</f>
        <v>CERO</v>
      </c>
    </row>
    <row r="2260" spans="3:31" s="260" customFormat="1" ht="15.75" thickBot="1" x14ac:dyDescent="0.3">
      <c r="C2260" s="84"/>
      <c r="D2260" s="89"/>
      <c r="E2260" s="90"/>
      <c r="F2260" s="90"/>
      <c r="G2260" s="90"/>
      <c r="H2260" s="90"/>
      <c r="I2260" s="90"/>
      <c r="J2260" s="91"/>
      <c r="K2260" s="88"/>
      <c r="M2260" s="102">
        <v>0</v>
      </c>
      <c r="N2260" s="533"/>
      <c r="O2260" s="533"/>
      <c r="P2260" s="533"/>
      <c r="Q2260" s="79"/>
      <c r="R2260" s="78"/>
      <c r="S2260" s="81"/>
      <c r="T2260" s="529"/>
      <c r="U2260" s="529"/>
      <c r="V2260" s="82"/>
      <c r="Y2260" s="393">
        <f>+IFERROR((R2260*S2260)*Y2235,0)</f>
        <v>0</v>
      </c>
      <c r="Z2260" s="391">
        <f>Y2235*V2260</f>
        <v>0</v>
      </c>
      <c r="AA2260" s="86"/>
      <c r="AB2260" s="92">
        <f>+Y2260*T2260</f>
        <v>0</v>
      </c>
      <c r="AC2260" s="93">
        <f>+AB2260-Z2260</f>
        <v>0</v>
      </c>
      <c r="AD2260" s="94"/>
      <c r="AE2260" s="406" t="str">
        <f>+IF(V2260=0,"CERO","NO")</f>
        <v>CERO</v>
      </c>
    </row>
    <row r="2261" spans="3:31" s="260" customFormat="1" ht="15.75" thickBot="1" x14ac:dyDescent="0.3">
      <c r="C2261" s="84"/>
      <c r="D2261" s="375" t="s">
        <v>128</v>
      </c>
      <c r="E2261" s="376" t="s">
        <v>129</v>
      </c>
      <c r="F2261" s="376" t="s">
        <v>130</v>
      </c>
      <c r="G2261" s="376" t="s">
        <v>131</v>
      </c>
      <c r="H2261" s="376" t="s">
        <v>132</v>
      </c>
      <c r="I2261" s="376" t="s">
        <v>133</v>
      </c>
      <c r="J2261" s="377" t="s">
        <v>134</v>
      </c>
      <c r="K2261" s="88"/>
      <c r="M2261" s="534"/>
      <c r="N2261" s="536" t="s">
        <v>113</v>
      </c>
      <c r="O2261" s="536"/>
      <c r="P2261" s="536"/>
      <c r="Q2261" s="536"/>
      <c r="R2261" s="536"/>
      <c r="S2261" s="536"/>
      <c r="T2261" s="536"/>
      <c r="U2261" s="536"/>
      <c r="V2261" s="411">
        <f>+SUM(V2257:V2260)</f>
        <v>347.2217399698057</v>
      </c>
      <c r="Y2261" s="398" t="s">
        <v>135</v>
      </c>
      <c r="Z2261" s="397">
        <f>+SUM(Z2257:Z2260)</f>
        <v>2430.5521797886399</v>
      </c>
      <c r="AA2261" s="86"/>
      <c r="AB2261" s="384"/>
      <c r="AC2261" s="385"/>
      <c r="AD2261" s="94"/>
      <c r="AE2261" s="399"/>
    </row>
    <row r="2262" spans="3:31" s="260" customFormat="1" ht="15.75" thickBot="1" x14ac:dyDescent="0.3">
      <c r="C2262" s="84"/>
      <c r="D2262" s="355"/>
      <c r="E2262" s="367"/>
      <c r="F2262" s="412">
        <f>+E2254</f>
        <v>2.36</v>
      </c>
      <c r="G2262" s="367"/>
      <c r="H2262" s="367"/>
      <c r="I2262" s="367"/>
      <c r="J2262" s="368"/>
      <c r="K2262" s="88"/>
      <c r="M2262" s="535"/>
      <c r="N2262" s="537" t="s">
        <v>114</v>
      </c>
      <c r="O2262" s="537"/>
      <c r="P2262" s="537"/>
      <c r="Q2262" s="537"/>
      <c r="R2262" s="537"/>
      <c r="S2262" s="537"/>
      <c r="T2262" s="537"/>
      <c r="U2262" s="537"/>
      <c r="V2262" s="413">
        <f>+ROUND(V2261,$AA$5)</f>
        <v>347.22</v>
      </c>
      <c r="Y2262" s="401" t="s">
        <v>136</v>
      </c>
      <c r="Z2262" s="402">
        <f>+ROUND(Z2261,$AA$5)</f>
        <v>2430.5500000000002</v>
      </c>
      <c r="AA2262" s="86"/>
      <c r="AB2262" s="403">
        <f>+V2262*Y2235</f>
        <v>2430.54</v>
      </c>
      <c r="AC2262" s="414"/>
      <c r="AD2262" s="94"/>
      <c r="AE2262" s="405"/>
    </row>
    <row r="2263" spans="3:31" s="260" customFormat="1" ht="15.75" thickBot="1" x14ac:dyDescent="0.3">
      <c r="C2263" s="84"/>
      <c r="D2263" s="415"/>
      <c r="E2263" s="416"/>
      <c r="F2263" s="416"/>
      <c r="G2263" s="416"/>
      <c r="H2263" s="416"/>
      <c r="I2263" s="416"/>
      <c r="J2263" s="417"/>
      <c r="K2263" s="88"/>
      <c r="M2263" s="538" t="s">
        <v>115</v>
      </c>
      <c r="N2263" s="539"/>
      <c r="O2263" s="539"/>
      <c r="P2263" s="539"/>
      <c r="Q2263" s="539"/>
      <c r="R2263" s="539"/>
      <c r="S2263" s="539"/>
      <c r="T2263" s="539"/>
      <c r="U2263" s="539"/>
      <c r="V2263" s="540"/>
      <c r="Y2263" s="378"/>
      <c r="Z2263" s="121"/>
      <c r="AA2263" s="86"/>
      <c r="AB2263" s="409"/>
      <c r="AC2263" s="121"/>
      <c r="AD2263" s="94"/>
      <c r="AE2263" s="126"/>
    </row>
    <row r="2264" spans="3:31" s="260" customFormat="1" ht="15.75" thickBot="1" x14ac:dyDescent="0.3">
      <c r="C2264" s="84"/>
      <c r="D2264" s="375" t="s">
        <v>128</v>
      </c>
      <c r="E2264" s="376" t="s">
        <v>129</v>
      </c>
      <c r="F2264" s="376" t="s">
        <v>130</v>
      </c>
      <c r="G2264" s="376" t="s">
        <v>131</v>
      </c>
      <c r="H2264" s="376" t="s">
        <v>132</v>
      </c>
      <c r="I2264" s="376" t="s">
        <v>133</v>
      </c>
      <c r="J2264" s="377" t="s">
        <v>134</v>
      </c>
      <c r="K2264" s="88"/>
      <c r="M2264" s="99" t="s">
        <v>94</v>
      </c>
      <c r="N2264" s="98" t="s">
        <v>95</v>
      </c>
      <c r="O2264" s="95" t="s">
        <v>96</v>
      </c>
      <c r="P2264" s="359" t="s">
        <v>104</v>
      </c>
      <c r="Q2264" s="95" t="s">
        <v>116</v>
      </c>
      <c r="R2264" s="418" t="s">
        <v>117</v>
      </c>
      <c r="S2264" s="95" t="s">
        <v>347</v>
      </c>
      <c r="T2264" s="419" t="s">
        <v>118</v>
      </c>
      <c r="U2264" s="189" t="s">
        <v>119</v>
      </c>
      <c r="V2264" s="100" t="s">
        <v>98</v>
      </c>
      <c r="Y2264" s="383" t="s">
        <v>104</v>
      </c>
      <c r="Z2264" s="119" t="s">
        <v>9</v>
      </c>
      <c r="AA2264" s="86"/>
      <c r="AB2264" s="384"/>
      <c r="AC2264" s="385"/>
      <c r="AD2264" s="94"/>
      <c r="AE2264" s="410"/>
    </row>
    <row r="2265" spans="3:31" s="260" customFormat="1" ht="25.5" x14ac:dyDescent="0.25">
      <c r="C2265" s="84"/>
      <c r="D2265" s="354"/>
      <c r="E2265" s="96"/>
      <c r="F2265" s="96"/>
      <c r="G2265" s="96"/>
      <c r="H2265" s="96"/>
      <c r="I2265" s="96"/>
      <c r="J2265" s="420">
        <f>+F2262</f>
        <v>2.36</v>
      </c>
      <c r="K2265" s="88"/>
      <c r="M2265" s="102">
        <v>207</v>
      </c>
      <c r="N2265" s="347" t="str">
        <f>IFERROR(VLOOKUP(M2265,INSUMOS!$C$8:$K$928,2,0),"-----")</f>
        <v>Oficial Hidrosanitario</v>
      </c>
      <c r="O2265" s="78" t="str">
        <f>IFERROR(VLOOKUP(M2265,INSUMOS!$C$8:$K$928,3,0),"-----")</f>
        <v>JORNAL+PS</v>
      </c>
      <c r="P2265" s="80">
        <v>1</v>
      </c>
      <c r="Q2265" s="79">
        <v>30</v>
      </c>
      <c r="R2265" s="190">
        <f>IFERROR(VLOOKUP(M2265,INSUMOS!$C$8:$K$928,4,0),"-----")</f>
        <v>92983</v>
      </c>
      <c r="S2265" s="190">
        <f>IFERROR(VLOOKUP(M2265,INSUMOS!$C$8:$K$928,6,0),"-----")</f>
        <v>74386</v>
      </c>
      <c r="T2265" s="190">
        <f>IFERROR(VLOOKUP(M2265,INSUMOS!$C$8:$K$928,5,0),"-----")</f>
        <v>0</v>
      </c>
      <c r="U2265" s="388">
        <f>SUM(R2265:T2265)</f>
        <v>167369</v>
      </c>
      <c r="V2265" s="82">
        <f>+IFERROR((P2265/Q2265)*U2265,0)</f>
        <v>5578.9666666666662</v>
      </c>
      <c r="Y2265" s="393">
        <f>+IFERROR((Y2235/Q2265*P2265),0)</f>
        <v>0.23333333333333334</v>
      </c>
      <c r="Z2265" s="391">
        <f>Y2235*V2265</f>
        <v>39052.766666666663</v>
      </c>
      <c r="AA2265" s="86"/>
      <c r="AB2265" s="92">
        <f>+(U2265)*Y2265</f>
        <v>39052.76666666667</v>
      </c>
      <c r="AC2265" s="93">
        <f>+AB2265-Z2265</f>
        <v>0</v>
      </c>
      <c r="AD2265" s="421"/>
      <c r="AE2265" s="410" t="str">
        <f>+IF(V2265=0,"CERO","NO")</f>
        <v>NO</v>
      </c>
    </row>
    <row r="2266" spans="3:31" s="260" customFormat="1" ht="15.75" thickBot="1" x14ac:dyDescent="0.3">
      <c r="C2266" s="84"/>
      <c r="D2266" s="355"/>
      <c r="E2266" s="367"/>
      <c r="F2266" s="367"/>
      <c r="G2266" s="367"/>
      <c r="H2266" s="367"/>
      <c r="I2266" s="367"/>
      <c r="J2266" s="422">
        <f>+J2265</f>
        <v>2.36</v>
      </c>
      <c r="K2266" s="88"/>
      <c r="M2266" s="102"/>
      <c r="N2266" s="347" t="str">
        <f>IFERROR(VLOOKUP(M2266,INSUMOS!$C$8:$K$928,2,0),"-----")</f>
        <v>-----</v>
      </c>
      <c r="O2266" s="78" t="str">
        <f>IFERROR(VLOOKUP(M2266,INSUMOS!$C$8:$K$928,3,0),"-----")</f>
        <v>-----</v>
      </c>
      <c r="P2266" s="80"/>
      <c r="Q2266" s="79"/>
      <c r="R2266" s="190" t="str">
        <f>IFERROR(VLOOKUP(M2266,INSUMOS!$C$8:$K$928,4,0),"-----")</f>
        <v>-----</v>
      </c>
      <c r="S2266" s="190" t="str">
        <f>IFERROR(VLOOKUP(M2266,INSUMOS!$C$8:$K$928,6,0),"-----")</f>
        <v>-----</v>
      </c>
      <c r="T2266" s="190" t="str">
        <f>IFERROR(VLOOKUP(M2266,INSUMOS!$C$8:$K$928,5,0),"-----")</f>
        <v>-----</v>
      </c>
      <c r="U2266" s="388">
        <f>SUM(R2266:T2266)</f>
        <v>0</v>
      </c>
      <c r="V2266" s="82">
        <f>+IFERROR((P2266/Q2266)*U2266,0)</f>
        <v>0</v>
      </c>
      <c r="Y2266" s="393">
        <f>+IFERROR((Y2235/Q2266*P2266),0)</f>
        <v>0</v>
      </c>
      <c r="Z2266" s="391">
        <f>Y2235*V2266</f>
        <v>0</v>
      </c>
      <c r="AA2266" s="86"/>
      <c r="AB2266" s="92">
        <f>+U2266*Y2266</f>
        <v>0</v>
      </c>
      <c r="AC2266" s="93">
        <f>+AB2266-Z2266</f>
        <v>0</v>
      </c>
      <c r="AD2266" s="94"/>
      <c r="AE2266" s="410" t="str">
        <f>+IF(V2266=0,"CERO","NO")</f>
        <v>CERO</v>
      </c>
    </row>
    <row r="2267" spans="3:31" s="260" customFormat="1" ht="15.75" thickBot="1" x14ac:dyDescent="0.3">
      <c r="C2267" s="84"/>
      <c r="D2267" s="380"/>
      <c r="E2267" s="381"/>
      <c r="F2267" s="381"/>
      <c r="G2267" s="381"/>
      <c r="H2267" s="381"/>
      <c r="I2267" s="381"/>
      <c r="J2267" s="382"/>
      <c r="K2267" s="88"/>
      <c r="M2267" s="102">
        <v>0</v>
      </c>
      <c r="N2267" s="347"/>
      <c r="O2267" s="79"/>
      <c r="P2267" s="423"/>
      <c r="Q2267" s="81"/>
      <c r="R2267" s="111"/>
      <c r="S2267" s="357"/>
      <c r="T2267" s="111"/>
      <c r="U2267" s="388"/>
      <c r="V2267" s="426"/>
      <c r="Y2267" s="393">
        <f>+IFERROR((Y2235/Q2267*P2267),0)</f>
        <v>0</v>
      </c>
      <c r="Z2267" s="391">
        <f>Y2235*V2267</f>
        <v>0</v>
      </c>
      <c r="AA2267" s="86"/>
      <c r="AB2267" s="92">
        <f>+(U2267)*Y2267*P2267</f>
        <v>0</v>
      </c>
      <c r="AC2267" s="93">
        <f>+AB2267-Z2267</f>
        <v>0</v>
      </c>
      <c r="AD2267" s="94"/>
      <c r="AE2267" s="410" t="str">
        <f>+IF(V2267=0,"CERO","NO")</f>
        <v>CERO</v>
      </c>
    </row>
    <row r="2268" spans="3:31" s="260" customFormat="1" ht="15.75" thickBot="1" x14ac:dyDescent="0.3">
      <c r="C2268" s="84"/>
      <c r="D2268" s="375" t="s">
        <v>128</v>
      </c>
      <c r="E2268" s="376" t="s">
        <v>129</v>
      </c>
      <c r="F2268" s="376" t="s">
        <v>130</v>
      </c>
      <c r="G2268" s="376" t="s">
        <v>131</v>
      </c>
      <c r="H2268" s="376" t="s">
        <v>132</v>
      </c>
      <c r="I2268" s="376" t="s">
        <v>133</v>
      </c>
      <c r="J2268" s="377" t="s">
        <v>134</v>
      </c>
      <c r="K2268" s="88"/>
      <c r="M2268" s="534"/>
      <c r="N2268" s="536" t="s">
        <v>120</v>
      </c>
      <c r="O2268" s="536"/>
      <c r="P2268" s="536"/>
      <c r="Q2268" s="536"/>
      <c r="R2268" s="536"/>
      <c r="S2268" s="536"/>
      <c r="T2268" s="536"/>
      <c r="U2268" s="536"/>
      <c r="V2268" s="82">
        <f>+SUM(V2265:V2267)</f>
        <v>5578.9666666666662</v>
      </c>
      <c r="Y2268" s="398" t="s">
        <v>135</v>
      </c>
      <c r="Z2268" s="397">
        <f>+SUM(Z2265:Z2267)</f>
        <v>39052.766666666663</v>
      </c>
      <c r="AA2268" s="86"/>
      <c r="AB2268" s="384"/>
      <c r="AC2268" s="385"/>
      <c r="AD2268" s="94"/>
      <c r="AE2268" s="399"/>
    </row>
    <row r="2269" spans="3:31" s="260" customFormat="1" ht="15.75" thickBot="1" x14ac:dyDescent="0.3">
      <c r="C2269" s="84"/>
      <c r="D2269" s="354"/>
      <c r="E2269" s="96"/>
      <c r="F2269" s="96"/>
      <c r="G2269" s="107">
        <f>+F2262</f>
        <v>2.36</v>
      </c>
      <c r="H2269" s="96"/>
      <c r="I2269" s="96"/>
      <c r="J2269" s="427"/>
      <c r="K2269" s="88"/>
      <c r="M2269" s="535"/>
      <c r="N2269" s="537" t="s">
        <v>121</v>
      </c>
      <c r="O2269" s="537"/>
      <c r="P2269" s="537"/>
      <c r="Q2269" s="537"/>
      <c r="R2269" s="537"/>
      <c r="S2269" s="537"/>
      <c r="T2269" s="537"/>
      <c r="U2269" s="537"/>
      <c r="V2269" s="413">
        <f>+ROUND(V2268,$AA$5)</f>
        <v>5578.97</v>
      </c>
      <c r="Y2269" s="401" t="s">
        <v>136</v>
      </c>
      <c r="Z2269" s="402">
        <f>+ROUND(Z2268,$AA$5)</f>
        <v>39052.769999999997</v>
      </c>
      <c r="AA2269" s="86"/>
      <c r="AB2269" s="403">
        <f>+V2269*Y2235</f>
        <v>39052.79</v>
      </c>
      <c r="AC2269" s="404">
        <f>+AB2269-Z2269</f>
        <v>2.0000000004074536E-2</v>
      </c>
      <c r="AD2269" s="94"/>
      <c r="AE2269" s="405"/>
    </row>
    <row r="2270" spans="3:31" s="260" customFormat="1" ht="15.75" thickBot="1" x14ac:dyDescent="0.3">
      <c r="C2270" s="84"/>
      <c r="D2270" s="375" t="s">
        <v>128</v>
      </c>
      <c r="E2270" s="376" t="s">
        <v>129</v>
      </c>
      <c r="F2270" s="376" t="s">
        <v>130</v>
      </c>
      <c r="G2270" s="376" t="s">
        <v>131</v>
      </c>
      <c r="H2270" s="376" t="s">
        <v>132</v>
      </c>
      <c r="I2270" s="376" t="s">
        <v>133</v>
      </c>
      <c r="J2270" s="377" t="s">
        <v>134</v>
      </c>
      <c r="K2270" s="88"/>
      <c r="M2270" s="541"/>
      <c r="N2270" s="542"/>
      <c r="O2270" s="542"/>
      <c r="P2270" s="542"/>
      <c r="Q2270" s="542"/>
      <c r="R2270" s="542"/>
      <c r="S2270" s="542"/>
      <c r="T2270" s="542"/>
      <c r="U2270" s="542"/>
      <c r="V2270" s="543"/>
      <c r="Y2270" s="378"/>
      <c r="Z2270" s="121"/>
      <c r="AA2270" s="86"/>
      <c r="AB2270" s="409"/>
      <c r="AC2270" s="121"/>
      <c r="AD2270" s="94"/>
      <c r="AE2270" s="428"/>
    </row>
    <row r="2271" spans="3:31" s="260" customFormat="1" ht="15.75" thickBot="1" x14ac:dyDescent="0.3">
      <c r="C2271" s="84"/>
      <c r="D2271" s="355"/>
      <c r="E2271" s="367"/>
      <c r="F2271" s="367"/>
      <c r="G2271" s="367"/>
      <c r="H2271" s="412">
        <f>G2269</f>
        <v>2.36</v>
      </c>
      <c r="I2271" s="412"/>
      <c r="J2271" s="422"/>
      <c r="K2271" s="88"/>
      <c r="M2271" s="544" t="s">
        <v>122</v>
      </c>
      <c r="N2271" s="537"/>
      <c r="O2271" s="537"/>
      <c r="P2271" s="537"/>
      <c r="Q2271" s="537"/>
      <c r="R2271" s="537"/>
      <c r="S2271" s="537"/>
      <c r="T2271" s="537"/>
      <c r="U2271" s="545">
        <f>+V2269+V2262+V2254+V2245</f>
        <v>11565.460000000001</v>
      </c>
      <c r="V2271" s="546"/>
      <c r="Y2271" s="429"/>
      <c r="Z2271" s="430">
        <f>+Z2269+Z2262+Z2254+Z2245</f>
        <v>80958.17</v>
      </c>
      <c r="AA2271" s="86"/>
      <c r="AB2271" s="431">
        <f>+AB2269+AB2262+AB2254+AB2245</f>
        <v>80958.22</v>
      </c>
      <c r="AC2271" s="404">
        <f>+AB2271-Z2271</f>
        <v>5.0000000002910383E-2</v>
      </c>
      <c r="AD2271" s="94"/>
      <c r="AE2271" s="432"/>
    </row>
    <row r="2272" spans="3:31" s="260" customFormat="1" ht="15.75" thickBot="1" x14ac:dyDescent="0.3"/>
    <row r="2273" spans="3:31" s="260" customFormat="1" x14ac:dyDescent="0.25">
      <c r="M2273" s="547" t="s">
        <v>348</v>
      </c>
      <c r="N2273" s="548"/>
      <c r="O2273" s="548"/>
      <c r="P2273" s="548"/>
      <c r="Q2273" s="548"/>
      <c r="R2273" s="548"/>
      <c r="S2273" s="548"/>
      <c r="T2273" s="548"/>
      <c r="U2273" s="548"/>
      <c r="V2273" s="549"/>
      <c r="Y2273" s="378"/>
      <c r="Z2273" s="121"/>
      <c r="AA2273" s="86"/>
      <c r="AB2273" s="94"/>
      <c r="AC2273" s="94"/>
      <c r="AD2273" s="94"/>
      <c r="AE2273" s="126" t="s">
        <v>133</v>
      </c>
    </row>
    <row r="2274" spans="3:31" s="260" customFormat="1" x14ac:dyDescent="0.25">
      <c r="M2274" s="515" t="s">
        <v>138</v>
      </c>
      <c r="N2274" s="516"/>
      <c r="O2274" s="516"/>
      <c r="P2274" s="516"/>
      <c r="Q2274" s="516"/>
      <c r="R2274" s="516"/>
      <c r="S2274" s="516"/>
      <c r="T2274" s="437">
        <v>0</v>
      </c>
      <c r="U2274" s="517">
        <f>+ROUND(U2271*T2274,$AA$5)</f>
        <v>0</v>
      </c>
      <c r="V2274" s="518"/>
      <c r="Y2274" s="390"/>
      <c r="Z2274" s="438">
        <f>+Z2271*T2274</f>
        <v>0</v>
      </c>
      <c r="AA2274" s="86"/>
      <c r="AB2274" s="94"/>
      <c r="AC2274" s="94"/>
      <c r="AD2274" s="94"/>
      <c r="AE2274" s="386" t="s">
        <v>133</v>
      </c>
    </row>
    <row r="2275" spans="3:31" s="260" customFormat="1" x14ac:dyDescent="0.25">
      <c r="M2275" s="515" t="s">
        <v>19</v>
      </c>
      <c r="N2275" s="516"/>
      <c r="O2275" s="516"/>
      <c r="P2275" s="516"/>
      <c r="Q2275" s="516"/>
      <c r="R2275" s="516"/>
      <c r="S2275" s="516"/>
      <c r="T2275" s="437">
        <v>0.05</v>
      </c>
      <c r="U2275" s="517">
        <f>+ROUND(U2271*T2275,$AA$5)</f>
        <v>578.27</v>
      </c>
      <c r="V2275" s="518"/>
      <c r="Y2275" s="390"/>
      <c r="Z2275" s="438">
        <f>+Z2271*T2275</f>
        <v>4047.9085</v>
      </c>
      <c r="AA2275" s="86"/>
      <c r="AB2275" s="94"/>
      <c r="AC2275" s="94"/>
      <c r="AD2275" s="94"/>
      <c r="AE2275" s="386" t="s">
        <v>133</v>
      </c>
    </row>
    <row r="2276" spans="3:31" s="260" customFormat="1" x14ac:dyDescent="0.25">
      <c r="M2276" s="515" t="s">
        <v>20</v>
      </c>
      <c r="N2276" s="516"/>
      <c r="O2276" s="516"/>
      <c r="P2276" s="516"/>
      <c r="Q2276" s="516"/>
      <c r="R2276" s="516"/>
      <c r="S2276" s="516"/>
      <c r="T2276" s="437">
        <v>0</v>
      </c>
      <c r="U2276" s="517">
        <f>+ROUND(U2271*T2276,$AA$5)</f>
        <v>0</v>
      </c>
      <c r="V2276" s="518"/>
      <c r="Y2276" s="390"/>
      <c r="Z2276" s="438">
        <f>+Z2271*T2276</f>
        <v>0</v>
      </c>
      <c r="AA2276" s="86"/>
      <c r="AB2276" s="94"/>
      <c r="AC2276" s="94"/>
      <c r="AD2276" s="94"/>
      <c r="AE2276" s="386" t="s">
        <v>133</v>
      </c>
    </row>
    <row r="2277" spans="3:31" s="260" customFormat="1" x14ac:dyDescent="0.25">
      <c r="M2277" s="515" t="s">
        <v>21</v>
      </c>
      <c r="N2277" s="516"/>
      <c r="O2277" s="516"/>
      <c r="P2277" s="516"/>
      <c r="Q2277" s="516"/>
      <c r="R2277" s="516"/>
      <c r="S2277" s="516"/>
      <c r="T2277" s="437">
        <f>$AA$9</f>
        <v>0</v>
      </c>
      <c r="U2277" s="517">
        <f>+ROUND(U2271*T2277,$AA$5)</f>
        <v>0</v>
      </c>
      <c r="V2277" s="518"/>
      <c r="Y2277" s="390"/>
      <c r="Z2277" s="438">
        <f>+Z2276*T2277</f>
        <v>0</v>
      </c>
      <c r="AA2277" s="86"/>
      <c r="AB2277" s="94"/>
      <c r="AC2277" s="94"/>
      <c r="AD2277" s="94"/>
      <c r="AE2277" s="386" t="s">
        <v>133</v>
      </c>
    </row>
    <row r="2278" spans="3:31" s="260" customFormat="1" ht="15.75" thickBot="1" x14ac:dyDescent="0.3">
      <c r="M2278" s="519" t="s">
        <v>349</v>
      </c>
      <c r="N2278" s="520"/>
      <c r="O2278" s="520"/>
      <c r="P2278" s="520"/>
      <c r="Q2278" s="520"/>
      <c r="R2278" s="520"/>
      <c r="S2278" s="520"/>
      <c r="T2278" s="520"/>
      <c r="U2278" s="521">
        <f>+SUM(U2274:V2277)</f>
        <v>578.27</v>
      </c>
      <c r="V2278" s="522"/>
      <c r="Y2278" s="390"/>
      <c r="Z2278" s="439">
        <f>+SUM(Z2274:Z2277)</f>
        <v>4047.9085</v>
      </c>
      <c r="AA2278" s="86"/>
      <c r="AB2278" s="94"/>
      <c r="AC2278" s="94"/>
      <c r="AD2278" s="94"/>
      <c r="AE2278" s="386" t="s">
        <v>133</v>
      </c>
    </row>
    <row r="2279" spans="3:31" s="260" customFormat="1" ht="15.75" thickBot="1" x14ac:dyDescent="0.3">
      <c r="D2279" s="375" t="s">
        <v>128</v>
      </c>
      <c r="E2279" s="376" t="s">
        <v>129</v>
      </c>
      <c r="F2279" s="376" t="s">
        <v>130</v>
      </c>
      <c r="G2279" s="376" t="s">
        <v>131</v>
      </c>
      <c r="H2279" s="376" t="s">
        <v>132</v>
      </c>
      <c r="I2279" s="376" t="s">
        <v>133</v>
      </c>
      <c r="J2279" s="377" t="s">
        <v>134</v>
      </c>
      <c r="M2279" s="86"/>
      <c r="N2279" s="94"/>
      <c r="O2279" s="94"/>
      <c r="P2279" s="94"/>
      <c r="Q2279" s="86"/>
      <c r="R2279" s="86"/>
      <c r="S2279" s="86"/>
      <c r="T2279" s="440"/>
      <c r="U2279" s="523"/>
      <c r="V2279" s="523"/>
      <c r="Y2279" s="390"/>
      <c r="Z2279" s="385"/>
      <c r="AA2279" s="86"/>
      <c r="AB2279" s="94"/>
      <c r="AC2279" s="94"/>
      <c r="AD2279" s="94"/>
      <c r="AE2279" s="386" t="s">
        <v>133</v>
      </c>
    </row>
    <row r="2280" spans="3:31" s="260" customFormat="1" ht="15.75" thickBot="1" x14ac:dyDescent="0.3">
      <c r="D2280" s="355"/>
      <c r="E2280" s="367"/>
      <c r="F2280" s="367"/>
      <c r="G2280" s="367"/>
      <c r="H2280" s="412"/>
      <c r="I2280" s="412">
        <f>H2271</f>
        <v>2.36</v>
      </c>
      <c r="J2280" s="422"/>
      <c r="M2280" s="524" t="s">
        <v>11</v>
      </c>
      <c r="N2280" s="525"/>
      <c r="O2280" s="525"/>
      <c r="P2280" s="525"/>
      <c r="Q2280" s="525"/>
      <c r="R2280" s="525"/>
      <c r="S2280" s="525"/>
      <c r="T2280" s="526"/>
      <c r="U2280" s="527">
        <f>+U2278+U2271</f>
        <v>12143.730000000001</v>
      </c>
      <c r="V2280" s="528"/>
      <c r="Y2280" s="429"/>
      <c r="Z2280" s="441">
        <f>+Z2278+Z2271</f>
        <v>85006.078500000003</v>
      </c>
      <c r="AA2280" s="86"/>
      <c r="AB2280" s="94"/>
      <c r="AC2280" s="94"/>
      <c r="AD2280" s="94"/>
      <c r="AE2280" s="405" t="s">
        <v>133</v>
      </c>
    </row>
    <row r="2281" spans="3:31" s="260" customFormat="1" x14ac:dyDescent="0.25"/>
    <row r="2282" spans="3:31" s="260" customFormat="1" ht="15.75" thickBot="1" x14ac:dyDescent="0.3"/>
    <row r="2283" spans="3:31" s="260" customFormat="1" ht="15.75" thickBot="1" x14ac:dyDescent="0.3">
      <c r="M2283" s="363" t="s">
        <v>88</v>
      </c>
      <c r="N2283" s="436" t="str">
        <f>+N2234</f>
        <v>CAP.2</v>
      </c>
      <c r="O2283" s="550" t="str">
        <f>IFERROR(VLOOKUP(N2283,PPTO!C:H,2,0),"----")</f>
        <v>RED HIDRAULICA</v>
      </c>
      <c r="P2283" s="551"/>
      <c r="Q2283" s="551"/>
      <c r="R2283" s="551"/>
      <c r="S2283" s="551"/>
      <c r="T2283" s="551"/>
      <c r="U2283" s="552"/>
      <c r="V2283" s="74" t="s">
        <v>91</v>
      </c>
      <c r="Y2283" s="365" t="s">
        <v>104</v>
      </c>
      <c r="Z2283" s="94"/>
      <c r="AA2283" s="188"/>
      <c r="AB2283" s="553"/>
      <c r="AC2283" s="553"/>
      <c r="AD2283" s="553"/>
      <c r="AE2283" s="94"/>
    </row>
    <row r="2284" spans="3:31" s="260" customFormat="1" ht="15.75" thickBot="1" x14ac:dyDescent="0.3">
      <c r="C2284" s="369">
        <f>+N2284</f>
        <v>2.37</v>
      </c>
      <c r="D2284" s="86"/>
      <c r="E2284" s="86"/>
      <c r="F2284" s="86"/>
      <c r="G2284" s="86"/>
      <c r="H2284" s="86"/>
      <c r="I2284" s="86"/>
      <c r="J2284" s="86"/>
      <c r="K2284" s="370"/>
      <c r="M2284" s="75" t="s">
        <v>92</v>
      </c>
      <c r="N2284" s="371">
        <f>+ROUNDUP(N2235+0.01,2)</f>
        <v>2.37</v>
      </c>
      <c r="O2284" s="554" t="str">
        <f>IFERROR(VLOOKUP(N2284,PPTO!C:H,2,0),"----")</f>
        <v>Reduccion PVC Ø1_1/4" A Ø1/2"</v>
      </c>
      <c r="P2284" s="555"/>
      <c r="Q2284" s="555"/>
      <c r="R2284" s="555"/>
      <c r="S2284" s="555"/>
      <c r="T2284" s="555"/>
      <c r="U2284" s="556"/>
      <c r="V2284" s="76" t="str">
        <f>IFERROR(VLOOKUP(N2284,PPTO!C:H,3,0),"----")</f>
        <v>UND</v>
      </c>
      <c r="Y2284" s="373">
        <f>SUMIFS(PPTO!F:F,PPTO!C:C,APUS!N2284)</f>
        <v>7</v>
      </c>
      <c r="Z2284" s="94"/>
      <c r="AA2284" s="86"/>
      <c r="AB2284" s="94"/>
      <c r="AC2284" s="94"/>
      <c r="AD2284" s="94"/>
      <c r="AE2284" s="94"/>
    </row>
    <row r="2285" spans="3:31" s="260" customFormat="1" ht="15.75" thickBot="1" x14ac:dyDescent="0.3">
      <c r="C2285" s="84"/>
      <c r="D2285" s="86"/>
      <c r="E2285" s="86"/>
      <c r="F2285" s="86"/>
      <c r="G2285" s="86"/>
      <c r="H2285" s="86"/>
      <c r="I2285" s="86"/>
      <c r="J2285" s="86"/>
      <c r="K2285" s="88"/>
      <c r="M2285" s="557"/>
      <c r="N2285" s="557"/>
      <c r="O2285" s="557"/>
      <c r="P2285" s="557"/>
      <c r="Q2285" s="557"/>
      <c r="R2285" s="557"/>
      <c r="S2285" s="557"/>
      <c r="T2285" s="557"/>
      <c r="U2285" s="557"/>
      <c r="V2285" s="557"/>
      <c r="Y2285" s="374"/>
      <c r="Z2285" s="94"/>
      <c r="AA2285" s="86"/>
      <c r="AB2285" s="94"/>
      <c r="AC2285" s="94"/>
      <c r="AD2285" s="94"/>
      <c r="AE2285" s="94"/>
    </row>
    <row r="2286" spans="3:31" s="260" customFormat="1" ht="15.75" thickBot="1" x14ac:dyDescent="0.3">
      <c r="C2286" s="84"/>
      <c r="D2286" s="375" t="s">
        <v>128</v>
      </c>
      <c r="E2286" s="376" t="s">
        <v>129</v>
      </c>
      <c r="F2286" s="376" t="s">
        <v>130</v>
      </c>
      <c r="G2286" s="376" t="s">
        <v>131</v>
      </c>
      <c r="H2286" s="376" t="s">
        <v>132</v>
      </c>
      <c r="I2286" s="376" t="s">
        <v>133</v>
      </c>
      <c r="J2286" s="377" t="s">
        <v>134</v>
      </c>
      <c r="K2286" s="88"/>
      <c r="M2286" s="558" t="s">
        <v>93</v>
      </c>
      <c r="N2286" s="559"/>
      <c r="O2286" s="559"/>
      <c r="P2286" s="559"/>
      <c r="Q2286" s="559"/>
      <c r="R2286" s="559"/>
      <c r="S2286" s="559"/>
      <c r="T2286" s="559"/>
      <c r="U2286" s="559"/>
      <c r="V2286" s="560"/>
      <c r="Y2286" s="378"/>
      <c r="Z2286" s="121"/>
      <c r="AA2286" s="86"/>
      <c r="AB2286" s="513"/>
      <c r="AC2286" s="514"/>
      <c r="AD2286" s="94"/>
      <c r="AE2286" s="379"/>
    </row>
    <row r="2287" spans="3:31" s="260" customFormat="1" x14ac:dyDescent="0.25">
      <c r="C2287" s="84"/>
      <c r="D2287" s="380"/>
      <c r="E2287" s="381"/>
      <c r="F2287" s="381"/>
      <c r="G2287" s="381"/>
      <c r="H2287" s="381"/>
      <c r="I2287" s="381"/>
      <c r="J2287" s="382"/>
      <c r="K2287" s="88"/>
      <c r="M2287" s="99" t="s">
        <v>94</v>
      </c>
      <c r="N2287" s="561" t="s">
        <v>95</v>
      </c>
      <c r="O2287" s="561"/>
      <c r="P2287" s="561"/>
      <c r="Q2287" s="561"/>
      <c r="R2287" s="95" t="s">
        <v>96</v>
      </c>
      <c r="S2287" s="95" t="s">
        <v>97</v>
      </c>
      <c r="T2287" s="562" t="s">
        <v>8</v>
      </c>
      <c r="U2287" s="562"/>
      <c r="V2287" s="100" t="s">
        <v>98</v>
      </c>
      <c r="Y2287" s="383" t="s">
        <v>104</v>
      </c>
      <c r="Z2287" s="119" t="s">
        <v>9</v>
      </c>
      <c r="AA2287" s="86"/>
      <c r="AB2287" s="384"/>
      <c r="AC2287" s="385"/>
      <c r="AD2287" s="94"/>
      <c r="AE2287" s="386"/>
    </row>
    <row r="2288" spans="3:31" s="260" customFormat="1" x14ac:dyDescent="0.25">
      <c r="C2288" s="84"/>
      <c r="D2288" s="85"/>
      <c r="E2288" s="86"/>
      <c r="F2288" s="86"/>
      <c r="G2288" s="86"/>
      <c r="H2288" s="86"/>
      <c r="I2288" s="86"/>
      <c r="J2288" s="87"/>
      <c r="K2288" s="88"/>
      <c r="M2288" s="102"/>
      <c r="N2288" s="533" t="s">
        <v>99</v>
      </c>
      <c r="O2288" s="533"/>
      <c r="P2288" s="533"/>
      <c r="Q2288" s="533"/>
      <c r="R2288" s="78" t="s">
        <v>100</v>
      </c>
      <c r="S2288" s="387">
        <f>+$AA$10</f>
        <v>0.05</v>
      </c>
      <c r="T2288" s="563">
        <f>V2318</f>
        <v>5578.97</v>
      </c>
      <c r="U2288" s="563"/>
      <c r="V2288" s="389">
        <f>+IFERROR(T2288*S2288,0)</f>
        <v>278.94850000000002</v>
      </c>
      <c r="Y2288" s="390"/>
      <c r="Z2288" s="391">
        <f>Y2284*V2288</f>
        <v>1952.6395000000002</v>
      </c>
      <c r="AA2288" s="86"/>
      <c r="AB2288" s="384"/>
      <c r="AC2288" s="385"/>
      <c r="AD2288" s="94"/>
      <c r="AE2288" s="386" t="str">
        <f>+IF(V2288=0,"CERO","NO")</f>
        <v>NO</v>
      </c>
    </row>
    <row r="2289" spans="3:31" s="260" customFormat="1" x14ac:dyDescent="0.25">
      <c r="C2289" s="84"/>
      <c r="D2289" s="85"/>
      <c r="E2289" s="86"/>
      <c r="F2289" s="86"/>
      <c r="G2289" s="86"/>
      <c r="H2289" s="86"/>
      <c r="I2289" s="86"/>
      <c r="J2289" s="87"/>
      <c r="K2289" s="88"/>
      <c r="M2289" s="106"/>
      <c r="N2289" s="533" t="str">
        <f>IFERROR(VLOOKUP(M2289,INSUMOS!$C$8:$K$928,2,0),"-----")</f>
        <v>-----</v>
      </c>
      <c r="O2289" s="533"/>
      <c r="P2289" s="533"/>
      <c r="Q2289" s="533"/>
      <c r="R2289" s="78" t="str">
        <f>IFERROR(VLOOKUP(M2289,INSUMOS!$C$8:$K$928,6,0),"-----")</f>
        <v>-----</v>
      </c>
      <c r="S2289" s="392"/>
      <c r="T2289" s="529" t="str">
        <f>IFERROR(VLOOKUP(M2289,INSUMOS!$C$8:$K$928,7,0),"0")</f>
        <v>0</v>
      </c>
      <c r="U2289" s="529"/>
      <c r="V2289" s="389">
        <f>+IFERROR(T2289*S2289,0)</f>
        <v>0</v>
      </c>
      <c r="Y2289" s="393">
        <f>+IFERROR(Y2284*S2289,0)</f>
        <v>0</v>
      </c>
      <c r="Z2289" s="391">
        <f>Y2284*V2289</f>
        <v>0</v>
      </c>
      <c r="AA2289" s="394"/>
      <c r="AB2289" s="395">
        <f>+Y2289*T2289</f>
        <v>0</v>
      </c>
      <c r="AC2289" s="93">
        <f>+AB2289-Z2289</f>
        <v>0</v>
      </c>
      <c r="AD2289" s="94"/>
      <c r="AE2289" s="386" t="str">
        <f>+IF(V2289=0,"CERO","NO")</f>
        <v>CERO</v>
      </c>
    </row>
    <row r="2290" spans="3:31" s="260" customFormat="1" x14ac:dyDescent="0.25">
      <c r="C2290" s="84"/>
      <c r="D2290" s="85"/>
      <c r="E2290" s="86"/>
      <c r="F2290" s="86"/>
      <c r="G2290" s="86"/>
      <c r="H2290" s="86"/>
      <c r="I2290" s="86"/>
      <c r="J2290" s="87"/>
      <c r="K2290" s="88"/>
      <c r="M2290" s="102">
        <v>0</v>
      </c>
      <c r="N2290" s="533"/>
      <c r="O2290" s="533"/>
      <c r="P2290" s="533"/>
      <c r="Q2290" s="533"/>
      <c r="R2290" s="78"/>
      <c r="S2290" s="396"/>
      <c r="T2290" s="529"/>
      <c r="U2290" s="529"/>
      <c r="V2290" s="397"/>
      <c r="Y2290" s="393">
        <f>+IFERROR(Y2284*S2290,0)</f>
        <v>0</v>
      </c>
      <c r="Z2290" s="391">
        <f>Y2284*V2290</f>
        <v>0</v>
      </c>
      <c r="AA2290" s="394"/>
      <c r="AB2290" s="395">
        <f>+Y2290*T2290</f>
        <v>0</v>
      </c>
      <c r="AC2290" s="93">
        <f>+AB2290-Z2290</f>
        <v>0</v>
      </c>
      <c r="AD2290" s="94"/>
      <c r="AE2290" s="386" t="str">
        <f>+IF(V2290=0,"CERO","NO")</f>
        <v>CERO</v>
      </c>
    </row>
    <row r="2291" spans="3:31" s="260" customFormat="1" x14ac:dyDescent="0.25">
      <c r="C2291" s="84"/>
      <c r="D2291" s="85"/>
      <c r="E2291" s="86"/>
      <c r="F2291" s="86"/>
      <c r="G2291" s="86"/>
      <c r="H2291" s="86"/>
      <c r="I2291" s="86"/>
      <c r="J2291" s="87"/>
      <c r="K2291" s="88"/>
      <c r="M2291" s="102">
        <v>0</v>
      </c>
      <c r="N2291" s="533"/>
      <c r="O2291" s="533"/>
      <c r="P2291" s="533"/>
      <c r="Q2291" s="533"/>
      <c r="R2291" s="78"/>
      <c r="S2291" s="396"/>
      <c r="T2291" s="529"/>
      <c r="U2291" s="529"/>
      <c r="V2291" s="397"/>
      <c r="Y2291" s="393">
        <f>+IFERROR(Y2284*S2291,0)</f>
        <v>0</v>
      </c>
      <c r="Z2291" s="391">
        <f>Y2284*V2291</f>
        <v>0</v>
      </c>
      <c r="AA2291" s="394"/>
      <c r="AB2291" s="395">
        <f>+Y2291*T2291</f>
        <v>0</v>
      </c>
      <c r="AC2291" s="93">
        <f>+AB2291-Z2291</f>
        <v>0</v>
      </c>
      <c r="AD2291" s="94"/>
      <c r="AE2291" s="386" t="str">
        <f>+IF(V2291=0,"CERO","NO")</f>
        <v>CERO</v>
      </c>
    </row>
    <row r="2292" spans="3:31" s="260" customFormat="1" ht="15.75" thickBot="1" x14ac:dyDescent="0.3">
      <c r="C2292" s="84"/>
      <c r="D2292" s="85"/>
      <c r="E2292" s="86"/>
      <c r="F2292" s="86"/>
      <c r="G2292" s="86"/>
      <c r="H2292" s="86"/>
      <c r="I2292" s="86"/>
      <c r="J2292" s="87"/>
      <c r="K2292" s="88"/>
      <c r="M2292" s="102">
        <v>0</v>
      </c>
      <c r="N2292" s="564"/>
      <c r="O2292" s="564"/>
      <c r="P2292" s="564"/>
      <c r="Q2292" s="564"/>
      <c r="R2292" s="96"/>
      <c r="S2292" s="96"/>
      <c r="T2292" s="565"/>
      <c r="U2292" s="565"/>
      <c r="V2292" s="101"/>
      <c r="Y2292" s="393">
        <f>+IFERROR(Y2284*S2292,0)</f>
        <v>0</v>
      </c>
      <c r="Z2292" s="391">
        <f>Y2284*V2292</f>
        <v>0</v>
      </c>
      <c r="AA2292" s="394"/>
      <c r="AB2292" s="395">
        <f>+Y2292*T2292</f>
        <v>0</v>
      </c>
      <c r="AC2292" s="93">
        <f>+AB2292-Z2292</f>
        <v>0</v>
      </c>
      <c r="AD2292" s="94"/>
      <c r="AE2292" s="386" t="str">
        <f>+IF(V2292=0,"CERO","NO")</f>
        <v>CERO</v>
      </c>
    </row>
    <row r="2293" spans="3:31" s="260" customFormat="1" ht="15.75" thickBot="1" x14ac:dyDescent="0.3">
      <c r="C2293" s="84"/>
      <c r="D2293" s="375" t="s">
        <v>128</v>
      </c>
      <c r="E2293" s="376" t="s">
        <v>129</v>
      </c>
      <c r="F2293" s="376" t="s">
        <v>130</v>
      </c>
      <c r="G2293" s="376" t="s">
        <v>131</v>
      </c>
      <c r="H2293" s="376" t="s">
        <v>132</v>
      </c>
      <c r="I2293" s="376" t="s">
        <v>133</v>
      </c>
      <c r="J2293" s="377" t="s">
        <v>134</v>
      </c>
      <c r="K2293" s="88"/>
      <c r="M2293" s="534"/>
      <c r="N2293" s="536" t="s">
        <v>101</v>
      </c>
      <c r="O2293" s="536"/>
      <c r="P2293" s="536"/>
      <c r="Q2293" s="536"/>
      <c r="R2293" s="536"/>
      <c r="S2293" s="536"/>
      <c r="T2293" s="536"/>
      <c r="U2293" s="536"/>
      <c r="V2293" s="389">
        <f>+SUM(V2288:V2292)</f>
        <v>278.94850000000002</v>
      </c>
      <c r="Y2293" s="398" t="s">
        <v>135</v>
      </c>
      <c r="Z2293" s="397">
        <f>+SUM(Z2288:Z2292)</f>
        <v>1952.6395000000002</v>
      </c>
      <c r="AA2293" s="86"/>
      <c r="AB2293" s="384"/>
      <c r="AC2293" s="385"/>
      <c r="AD2293" s="94"/>
      <c r="AE2293" s="399"/>
    </row>
    <row r="2294" spans="3:31" s="260" customFormat="1" ht="15.75" thickBot="1" x14ac:dyDescent="0.3">
      <c r="C2294" s="84"/>
      <c r="D2294" s="375">
        <f>C2284</f>
        <v>2.37</v>
      </c>
      <c r="E2294" s="376"/>
      <c r="F2294" s="376"/>
      <c r="G2294" s="376"/>
      <c r="H2294" s="376"/>
      <c r="I2294" s="376"/>
      <c r="J2294" s="377"/>
      <c r="K2294" s="88"/>
      <c r="M2294" s="566"/>
      <c r="N2294" s="567" t="s">
        <v>102</v>
      </c>
      <c r="O2294" s="567"/>
      <c r="P2294" s="567"/>
      <c r="Q2294" s="567"/>
      <c r="R2294" s="567"/>
      <c r="S2294" s="567"/>
      <c r="T2294" s="567"/>
      <c r="U2294" s="567"/>
      <c r="V2294" s="400">
        <f>+ROUND(V2293,$AA$5)</f>
        <v>278.95</v>
      </c>
      <c r="Y2294" s="401" t="s">
        <v>136</v>
      </c>
      <c r="Z2294" s="402">
        <f>+ROUND(Z2293,$AA$5)</f>
        <v>1952.64</v>
      </c>
      <c r="AA2294" s="86"/>
      <c r="AB2294" s="403">
        <f>+V2294*Y2284</f>
        <v>1952.6499999999999</v>
      </c>
      <c r="AC2294" s="404">
        <f>+AB2294-Z2294</f>
        <v>9.9999999997635314E-3</v>
      </c>
      <c r="AD2294" s="94"/>
      <c r="AE2294" s="405"/>
    </row>
    <row r="2295" spans="3:31" s="260" customFormat="1" x14ac:dyDescent="0.25">
      <c r="C2295" s="84"/>
      <c r="D2295" s="380"/>
      <c r="E2295" s="381"/>
      <c r="F2295" s="381"/>
      <c r="G2295" s="381"/>
      <c r="H2295" s="381"/>
      <c r="I2295" s="381"/>
      <c r="J2295" s="382"/>
      <c r="K2295" s="88"/>
      <c r="M2295" s="510" t="s">
        <v>103</v>
      </c>
      <c r="N2295" s="511"/>
      <c r="O2295" s="511"/>
      <c r="P2295" s="511"/>
      <c r="Q2295" s="511"/>
      <c r="R2295" s="511"/>
      <c r="S2295" s="511"/>
      <c r="T2295" s="511"/>
      <c r="U2295" s="511"/>
      <c r="V2295" s="512"/>
      <c r="Y2295" s="378"/>
      <c r="Z2295" s="121"/>
      <c r="AA2295" s="86"/>
      <c r="AB2295" s="513"/>
      <c r="AC2295" s="514"/>
      <c r="AD2295" s="94"/>
      <c r="AE2295" s="126"/>
    </row>
    <row r="2296" spans="3:31" s="260" customFormat="1" x14ac:dyDescent="0.25">
      <c r="C2296" s="84"/>
      <c r="D2296" s="85"/>
      <c r="E2296" s="86"/>
      <c r="F2296" s="86"/>
      <c r="G2296" s="86"/>
      <c r="H2296" s="86"/>
      <c r="I2296" s="86"/>
      <c r="J2296" s="87"/>
      <c r="K2296" s="88"/>
      <c r="M2296" s="99" t="s">
        <v>94</v>
      </c>
      <c r="N2296" s="561" t="s">
        <v>95</v>
      </c>
      <c r="O2296" s="561"/>
      <c r="P2296" s="561"/>
      <c r="Q2296" s="561"/>
      <c r="R2296" s="95" t="s">
        <v>96</v>
      </c>
      <c r="S2296" s="95" t="s">
        <v>104</v>
      </c>
      <c r="T2296" s="356" t="s">
        <v>105</v>
      </c>
      <c r="U2296" s="356" t="s">
        <v>8</v>
      </c>
      <c r="V2296" s="100" t="s">
        <v>98</v>
      </c>
      <c r="Y2296" s="383" t="s">
        <v>104</v>
      </c>
      <c r="Z2296" s="119" t="s">
        <v>9</v>
      </c>
      <c r="AA2296" s="86"/>
      <c r="AB2296" s="384"/>
      <c r="AC2296" s="385"/>
      <c r="AD2296" s="94"/>
      <c r="AE2296" s="406"/>
    </row>
    <row r="2297" spans="3:31" s="260" customFormat="1" x14ac:dyDescent="0.25">
      <c r="C2297" s="84"/>
      <c r="D2297" s="85"/>
      <c r="E2297" s="86"/>
      <c r="F2297" s="86"/>
      <c r="G2297" s="86"/>
      <c r="H2297" s="86"/>
      <c r="I2297" s="86"/>
      <c r="J2297" s="87"/>
      <c r="K2297" s="88"/>
      <c r="M2297" s="102">
        <v>810</v>
      </c>
      <c r="N2297" s="533" t="str">
        <f>IFERROR(VLOOKUP(M2297,INSUMOS!$C$8:$K$928,2,0),"-----")</f>
        <v>BUJES SOLDADO 1 1/4" X 1/2"</v>
      </c>
      <c r="O2297" s="533"/>
      <c r="P2297" s="533"/>
      <c r="Q2297" s="533"/>
      <c r="R2297" s="78" t="str">
        <f>IFERROR(VLOOKUP(M2297,INSUMOS!$C$8:$K$928,6,0),"-----")</f>
        <v>und</v>
      </c>
      <c r="S2297" s="396">
        <v>1</v>
      </c>
      <c r="T2297" s="387">
        <v>0</v>
      </c>
      <c r="U2297" s="388">
        <f>IFERROR(VLOOKUP(M2297,INSUMOS!$C$8:$K$928,7,0),"0")</f>
        <v>3193</v>
      </c>
      <c r="V2297" s="389">
        <f>+IFERROR(U2297*(S2297*(1+T2297)),0)</f>
        <v>3193</v>
      </c>
      <c r="Y2297" s="393">
        <f>+IFERROR(Y2284*(S2297*(1+T2297)),0)</f>
        <v>7</v>
      </c>
      <c r="Z2297" s="391">
        <f>Y2284*V2297</f>
        <v>22351</v>
      </c>
      <c r="AA2297" s="394"/>
      <c r="AB2297" s="395">
        <f>+Y2297*U2297</f>
        <v>22351</v>
      </c>
      <c r="AC2297" s="93">
        <f>+AB2297-Z2297</f>
        <v>0</v>
      </c>
      <c r="AD2297" s="94"/>
      <c r="AE2297" s="406" t="str">
        <f>+IF(V2297=0,"CERO","NO")</f>
        <v>NO</v>
      </c>
    </row>
    <row r="2298" spans="3:31" s="260" customFormat="1" x14ac:dyDescent="0.25">
      <c r="C2298" s="84"/>
      <c r="D2298" s="85"/>
      <c r="E2298" s="86"/>
      <c r="F2298" s="86"/>
      <c r="G2298" s="86"/>
      <c r="H2298" s="86"/>
      <c r="I2298" s="86"/>
      <c r="J2298" s="87"/>
      <c r="K2298" s="88"/>
      <c r="M2298" s="102">
        <v>699</v>
      </c>
      <c r="N2298" s="533" t="str">
        <f>IFERROR(VLOOKUP(M2298,INSUMOS!$C$8:$K$928,2,0),"-----")</f>
        <v>SOLDADURA PVC LIQUIDA 1/4"</v>
      </c>
      <c r="O2298" s="533"/>
      <c r="P2298" s="533"/>
      <c r="Q2298" s="533"/>
      <c r="R2298" s="78" t="str">
        <f>IFERROR(VLOOKUP(M2298,INSUMOS!$C$8:$K$928,6,0),"-----")</f>
        <v>und</v>
      </c>
      <c r="S2298" s="392">
        <v>0.01</v>
      </c>
      <c r="T2298" s="387">
        <v>0.02</v>
      </c>
      <c r="U2298" s="388">
        <f>IFERROR(VLOOKUP(M2298,INSUMOS!$C$8:$K$928,7,0),"0")</f>
        <v>146569</v>
      </c>
      <c r="V2298" s="389">
        <f>+IFERROR(U2298*(S2298*(1+T2298)),0)</f>
        <v>1495.0038000000002</v>
      </c>
      <c r="Y2298" s="393">
        <f>+IFERROR(Y2284*(S2298*(1+T2298)),0)</f>
        <v>7.1400000000000005E-2</v>
      </c>
      <c r="Z2298" s="391">
        <f>Y2284*V2298</f>
        <v>10465.026600000001</v>
      </c>
      <c r="AA2298" s="394"/>
      <c r="AB2298" s="395">
        <f>+Y2298*U2298</f>
        <v>10465.026600000001</v>
      </c>
      <c r="AC2298" s="93">
        <f>+AB2298-Z2298</f>
        <v>0</v>
      </c>
      <c r="AD2298" s="94"/>
      <c r="AE2298" s="406" t="str">
        <f>+IF(V2298=0,"CERO","NO")</f>
        <v>NO</v>
      </c>
    </row>
    <row r="2299" spans="3:31" s="260" customFormat="1" x14ac:dyDescent="0.25">
      <c r="C2299" s="84"/>
      <c r="D2299" s="85"/>
      <c r="E2299" s="86"/>
      <c r="F2299" s="86"/>
      <c r="G2299" s="86"/>
      <c r="H2299" s="86"/>
      <c r="I2299" s="86"/>
      <c r="J2299" s="87"/>
      <c r="K2299" s="88"/>
      <c r="M2299" s="102">
        <v>700</v>
      </c>
      <c r="N2299" s="533" t="str">
        <f>IFERROR(VLOOKUP(M2299,INSUMOS!$C$8:$K$928,2,0),"-----")</f>
        <v>LIMPIADOR PVC 1/4</v>
      </c>
      <c r="O2299" s="533"/>
      <c r="P2299" s="533"/>
      <c r="Q2299" s="533"/>
      <c r="R2299" s="78" t="str">
        <f>IFERROR(VLOOKUP(M2299,INSUMOS!$C$8:$K$928,6,0),"-----")</f>
        <v>und</v>
      </c>
      <c r="S2299" s="392">
        <v>0.01</v>
      </c>
      <c r="T2299" s="387">
        <v>0.02</v>
      </c>
      <c r="U2299" s="388">
        <f>IFERROR(VLOOKUP(M2299,INSUMOS!$C$8:$K$928,7,0),"0")</f>
        <v>65913</v>
      </c>
      <c r="V2299" s="389">
        <f>+IFERROR(U2299*(S2299*(1+T2299)),0)</f>
        <v>672.31260000000009</v>
      </c>
      <c r="Y2299" s="393">
        <f>+IFERROR(Y2284*(S2299*(1+T2299)),0)</f>
        <v>7.1400000000000005E-2</v>
      </c>
      <c r="Z2299" s="391">
        <f>Y2284*V2299</f>
        <v>4706.1882000000005</v>
      </c>
      <c r="AA2299" s="394"/>
      <c r="AB2299" s="395">
        <f>+Y2299*U2299</f>
        <v>4706.1882000000005</v>
      </c>
      <c r="AC2299" s="93">
        <f>+AB2299-Z2299</f>
        <v>0</v>
      </c>
      <c r="AD2299" s="94"/>
      <c r="AE2299" s="406" t="str">
        <f>+IF(V2299=0,"CERO","NO")</f>
        <v>NO</v>
      </c>
    </row>
    <row r="2300" spans="3:31" s="260" customFormat="1" x14ac:dyDescent="0.25">
      <c r="C2300" s="84"/>
      <c r="D2300" s="85"/>
      <c r="E2300" s="86"/>
      <c r="F2300" s="86"/>
      <c r="G2300" s="86"/>
      <c r="H2300" s="86"/>
      <c r="I2300" s="86"/>
      <c r="J2300" s="87"/>
      <c r="K2300" s="88"/>
      <c r="M2300" s="102">
        <v>0</v>
      </c>
      <c r="N2300" s="533" t="str">
        <f>IFERROR(VLOOKUP(M2300,INSUMOS!$C$8:$K$928,2,0),"-----")</f>
        <v>-----</v>
      </c>
      <c r="O2300" s="533"/>
      <c r="P2300" s="533"/>
      <c r="Q2300" s="533"/>
      <c r="R2300" s="78" t="str">
        <f>IFERROR(VLOOKUP(M2300,INSUMOS!$C$8:$K$928,6,0),"-----")</f>
        <v>-----</v>
      </c>
      <c r="S2300" s="396"/>
      <c r="T2300" s="387"/>
      <c r="U2300" s="388" t="str">
        <f>IFERROR(VLOOKUP(M2300,INSUMOS!$C$8:$K$928,7,0),"0")</f>
        <v>0</v>
      </c>
      <c r="V2300" s="389">
        <f>+IFERROR(U2300*(S2300*(1+T2300)),0)</f>
        <v>0</v>
      </c>
      <c r="Y2300" s="393">
        <f>+IFERROR(Y2284*(S2300*(1+T2300)),0)</f>
        <v>0</v>
      </c>
      <c r="Z2300" s="391">
        <f>Y2284*V2300</f>
        <v>0</v>
      </c>
      <c r="AA2300" s="394"/>
      <c r="AB2300" s="395">
        <f>+Y2300*U2300</f>
        <v>0</v>
      </c>
      <c r="AC2300" s="93">
        <f>+AB2300-Z2300</f>
        <v>0</v>
      </c>
      <c r="AD2300" s="94"/>
      <c r="AE2300" s="406" t="str">
        <f>+IF(V2300=0,"CERO","NO")</f>
        <v>CERO</v>
      </c>
    </row>
    <row r="2301" spans="3:31" s="260" customFormat="1" ht="15.75" thickBot="1" x14ac:dyDescent="0.3">
      <c r="C2301" s="84"/>
      <c r="D2301" s="85"/>
      <c r="E2301" s="86"/>
      <c r="F2301" s="86"/>
      <c r="G2301" s="86"/>
      <c r="H2301" s="86"/>
      <c r="I2301" s="86"/>
      <c r="J2301" s="87"/>
      <c r="K2301" s="88"/>
      <c r="M2301" s="102">
        <v>0</v>
      </c>
      <c r="N2301" s="564"/>
      <c r="O2301" s="564"/>
      <c r="P2301" s="564"/>
      <c r="Q2301" s="564"/>
      <c r="R2301" s="96"/>
      <c r="S2301" s="79"/>
      <c r="T2301" s="97"/>
      <c r="U2301" s="358"/>
      <c r="V2301" s="397"/>
      <c r="Y2301" s="393">
        <f>+IFERROR(Y2284*(S2301*(1+T2301)),0)</f>
        <v>0</v>
      </c>
      <c r="Z2301" s="391">
        <f>Y2284*V2301</f>
        <v>0</v>
      </c>
      <c r="AA2301" s="394"/>
      <c r="AB2301" s="395">
        <f>+Y2301*U2301</f>
        <v>0</v>
      </c>
      <c r="AC2301" s="93">
        <f>+AB2301-Z2301</f>
        <v>0</v>
      </c>
      <c r="AD2301" s="94"/>
      <c r="AE2301" s="406" t="str">
        <f>+IF(V2301=0,"CERO","NO")</f>
        <v>CERO</v>
      </c>
    </row>
    <row r="2302" spans="3:31" s="260" customFormat="1" ht="15.75" thickBot="1" x14ac:dyDescent="0.3">
      <c r="C2302" s="84"/>
      <c r="D2302" s="375" t="s">
        <v>128</v>
      </c>
      <c r="E2302" s="376" t="s">
        <v>129</v>
      </c>
      <c r="F2302" s="376" t="s">
        <v>130</v>
      </c>
      <c r="G2302" s="376" t="s">
        <v>131</v>
      </c>
      <c r="H2302" s="376" t="s">
        <v>132</v>
      </c>
      <c r="I2302" s="376" t="s">
        <v>133</v>
      </c>
      <c r="J2302" s="377" t="s">
        <v>134</v>
      </c>
      <c r="K2302" s="88"/>
      <c r="M2302" s="534"/>
      <c r="N2302" s="536" t="s">
        <v>106</v>
      </c>
      <c r="O2302" s="536"/>
      <c r="P2302" s="536"/>
      <c r="Q2302" s="536"/>
      <c r="R2302" s="536"/>
      <c r="S2302" s="536"/>
      <c r="T2302" s="536"/>
      <c r="U2302" s="536"/>
      <c r="V2302" s="389">
        <f>+SUM(V2297:V2301)</f>
        <v>5360.3164000000006</v>
      </c>
      <c r="Y2302" s="398" t="s">
        <v>135</v>
      </c>
      <c r="Z2302" s="397">
        <f>+SUM(Z2297:Z2301)</f>
        <v>37522.214800000002</v>
      </c>
      <c r="AA2302" s="86"/>
      <c r="AB2302" s="384"/>
      <c r="AC2302" s="385"/>
      <c r="AD2302" s="94"/>
      <c r="AE2302" s="399"/>
    </row>
    <row r="2303" spans="3:31" s="260" customFormat="1" ht="15.75" thickBot="1" x14ac:dyDescent="0.3">
      <c r="C2303" s="84"/>
      <c r="D2303" s="375"/>
      <c r="E2303" s="407">
        <f>+D2294</f>
        <v>2.37</v>
      </c>
      <c r="F2303" s="376"/>
      <c r="G2303" s="376"/>
      <c r="H2303" s="376"/>
      <c r="I2303" s="376"/>
      <c r="J2303" s="377"/>
      <c r="K2303" s="88"/>
      <c r="M2303" s="535"/>
      <c r="N2303" s="537" t="s">
        <v>107</v>
      </c>
      <c r="O2303" s="537"/>
      <c r="P2303" s="537"/>
      <c r="Q2303" s="537"/>
      <c r="R2303" s="537"/>
      <c r="S2303" s="537"/>
      <c r="T2303" s="537"/>
      <c r="U2303" s="537"/>
      <c r="V2303" s="408">
        <f>+ROUND(V2302,$AA$5)</f>
        <v>5360.32</v>
      </c>
      <c r="Y2303" s="401" t="s">
        <v>136</v>
      </c>
      <c r="Z2303" s="402">
        <f>+ROUND(Z2302,$AA$5)</f>
        <v>37522.21</v>
      </c>
      <c r="AA2303" s="86"/>
      <c r="AB2303" s="403">
        <f>+V2303*Y2284</f>
        <v>37522.239999999998</v>
      </c>
      <c r="AC2303" s="404">
        <f>+AB2303-Z2303</f>
        <v>2.9999999998835847E-2</v>
      </c>
      <c r="AD2303" s="94"/>
      <c r="AE2303" s="405"/>
    </row>
    <row r="2304" spans="3:31" s="260" customFormat="1" x14ac:dyDescent="0.25">
      <c r="C2304" s="84"/>
      <c r="D2304" s="380"/>
      <c r="E2304" s="381"/>
      <c r="F2304" s="381"/>
      <c r="G2304" s="381"/>
      <c r="H2304" s="381"/>
      <c r="I2304" s="381"/>
      <c r="J2304" s="382"/>
      <c r="K2304" s="88"/>
      <c r="M2304" s="568" t="s">
        <v>108</v>
      </c>
      <c r="N2304" s="569"/>
      <c r="O2304" s="569"/>
      <c r="P2304" s="569"/>
      <c r="Q2304" s="569"/>
      <c r="R2304" s="569"/>
      <c r="S2304" s="569"/>
      <c r="T2304" s="569"/>
      <c r="U2304" s="569"/>
      <c r="V2304" s="570"/>
      <c r="Y2304" s="378"/>
      <c r="Z2304" s="121"/>
      <c r="AA2304" s="86"/>
      <c r="AB2304" s="409"/>
      <c r="AC2304" s="121"/>
      <c r="AD2304" s="94"/>
      <c r="AE2304" s="126"/>
    </row>
    <row r="2305" spans="3:31" s="260" customFormat="1" ht="25.5" x14ac:dyDescent="0.25">
      <c r="C2305" s="84"/>
      <c r="D2305" s="85"/>
      <c r="E2305" s="86"/>
      <c r="F2305" s="86"/>
      <c r="G2305" s="86"/>
      <c r="H2305" s="86"/>
      <c r="I2305" s="86"/>
      <c r="J2305" s="87"/>
      <c r="K2305" s="88"/>
      <c r="M2305" s="99" t="s">
        <v>94</v>
      </c>
      <c r="N2305" s="561" t="s">
        <v>95</v>
      </c>
      <c r="O2305" s="561"/>
      <c r="P2305" s="561"/>
      <c r="Q2305" s="95" t="s">
        <v>109</v>
      </c>
      <c r="R2305" s="95" t="s">
        <v>110</v>
      </c>
      <c r="S2305" s="95" t="s">
        <v>111</v>
      </c>
      <c r="T2305" s="562" t="s">
        <v>112</v>
      </c>
      <c r="U2305" s="562"/>
      <c r="V2305" s="100" t="s">
        <v>98</v>
      </c>
      <c r="Y2305" s="383" t="s">
        <v>104</v>
      </c>
      <c r="Z2305" s="119" t="s">
        <v>9</v>
      </c>
      <c r="AA2305" s="86"/>
      <c r="AB2305" s="384"/>
      <c r="AC2305" s="385"/>
      <c r="AD2305" s="94"/>
      <c r="AE2305" s="410"/>
    </row>
    <row r="2306" spans="3:31" s="260" customFormat="1" x14ac:dyDescent="0.25">
      <c r="C2306" s="84"/>
      <c r="D2306" s="85"/>
      <c r="E2306" s="86"/>
      <c r="F2306" s="86"/>
      <c r="G2306" s="86"/>
      <c r="H2306" s="86"/>
      <c r="I2306" s="86"/>
      <c r="J2306" s="87"/>
      <c r="K2306" s="88"/>
      <c r="M2306" s="102">
        <v>129</v>
      </c>
      <c r="N2306" s="530" t="str">
        <f>IFERROR(VLOOKUP(M2306,INSUMOS!$C$8:$K$928,2,0),"-----")</f>
        <v>transporte materiales en general</v>
      </c>
      <c r="O2306" s="531"/>
      <c r="P2306" s="532"/>
      <c r="Q2306" s="78" t="str">
        <f>IFERROR(VLOOKUP(M2306,INSUMOS!$C$8:$K$928,5,0),"-----")</f>
        <v>Km</v>
      </c>
      <c r="R2306" s="80">
        <v>1</v>
      </c>
      <c r="S2306" s="80">
        <f>IFERROR(VLOOKUP(M2306,INSUMOS!$C$8:$K$928,6,0),"0")</f>
        <v>348</v>
      </c>
      <c r="T2306" s="529">
        <f>IFERROR(VLOOKUP(M2306,INSUMOS!$C$8:$K$928,7,0),"0")</f>
        <v>0.99776362060288992</v>
      </c>
      <c r="U2306" s="529"/>
      <c r="V2306" s="82">
        <f>+T2306*S2306*R2306</f>
        <v>347.2217399698057</v>
      </c>
      <c r="Y2306" s="393">
        <f>+IFERROR((R2306*S2306)*Y2284,0)</f>
        <v>2436</v>
      </c>
      <c r="Z2306" s="391">
        <f>Y2284*V2306</f>
        <v>2430.5521797886399</v>
      </c>
      <c r="AA2306" s="86"/>
      <c r="AB2306" s="92">
        <f>+Y2306*T2306</f>
        <v>2430.5521797886399</v>
      </c>
      <c r="AC2306" s="93">
        <f>+AB2306-Z2306</f>
        <v>0</v>
      </c>
      <c r="AD2306" s="94"/>
      <c r="AE2306" s="406" t="str">
        <f>+IF(V2306=0,"CERO","NO")</f>
        <v>NO</v>
      </c>
    </row>
    <row r="2307" spans="3:31" s="260" customFormat="1" x14ac:dyDescent="0.25">
      <c r="C2307" s="84"/>
      <c r="D2307" s="85"/>
      <c r="E2307" s="86"/>
      <c r="F2307" s="86"/>
      <c r="G2307" s="86"/>
      <c r="H2307" s="86"/>
      <c r="I2307" s="86"/>
      <c r="J2307" s="87"/>
      <c r="K2307" s="88"/>
      <c r="M2307" s="102">
        <v>0</v>
      </c>
      <c r="N2307" s="530" t="str">
        <f>IFERROR(VLOOKUP(M2307,INSUMOS!$C$8:$K$928,2,0),"-----")</f>
        <v>-----</v>
      </c>
      <c r="O2307" s="531"/>
      <c r="P2307" s="532"/>
      <c r="Q2307" s="78" t="str">
        <f>IFERROR(VLOOKUP(M2307,INSUMOS!$C$8:$K$928,5,0),"-----")</f>
        <v>-----</v>
      </c>
      <c r="R2307" s="80"/>
      <c r="S2307" s="80" t="str">
        <f>IFERROR(VLOOKUP(M2307,INSUMOS!$C$8:$K$928,6,0),"0")</f>
        <v>0</v>
      </c>
      <c r="T2307" s="529" t="str">
        <f>IFERROR(VLOOKUP(M2307,INSUMOS!$C$8:$K$928,7,0),"0")</f>
        <v>0</v>
      </c>
      <c r="U2307" s="529"/>
      <c r="V2307" s="82">
        <f>+T2307*S2307*R2307</f>
        <v>0</v>
      </c>
      <c r="Y2307" s="393">
        <f>+IFERROR((R2307*S2307)*Y2284,0)</f>
        <v>0</v>
      </c>
      <c r="Z2307" s="391">
        <f>Y2284*V2307</f>
        <v>0</v>
      </c>
      <c r="AA2307" s="86"/>
      <c r="AB2307" s="92">
        <f>+Y2307*T2307</f>
        <v>0</v>
      </c>
      <c r="AC2307" s="93">
        <f>+AB2307-Z2307</f>
        <v>0</v>
      </c>
      <c r="AD2307" s="94"/>
      <c r="AE2307" s="406" t="str">
        <f>+IF(V2307=0,"CERO","NO")</f>
        <v>CERO</v>
      </c>
    </row>
    <row r="2308" spans="3:31" s="260" customFormat="1" x14ac:dyDescent="0.25">
      <c r="C2308" s="84"/>
      <c r="D2308" s="85"/>
      <c r="E2308" s="86"/>
      <c r="F2308" s="86"/>
      <c r="G2308" s="86"/>
      <c r="H2308" s="86"/>
      <c r="I2308" s="86"/>
      <c r="J2308" s="87"/>
      <c r="K2308" s="88"/>
      <c r="M2308" s="102">
        <v>0</v>
      </c>
      <c r="N2308" s="530" t="str">
        <f>IFERROR(VLOOKUP(M2308,INSUMOS!$C$8:$K$928,2,0),"-----")</f>
        <v>-----</v>
      </c>
      <c r="O2308" s="531"/>
      <c r="P2308" s="532"/>
      <c r="Q2308" s="78" t="str">
        <f>IFERROR(VLOOKUP(M2308,INSUMOS!$C$8:$K$928,5,0),"-----")</f>
        <v>-----</v>
      </c>
      <c r="R2308" s="80"/>
      <c r="S2308" s="80" t="str">
        <f>IFERROR(VLOOKUP(M2308,INSUMOS!$C$8:$K$928,6,0),"0")</f>
        <v>0</v>
      </c>
      <c r="T2308" s="529" t="str">
        <f>IFERROR(VLOOKUP(M2308,INSUMOS!$C$8:$K$928,7,0),"0")</f>
        <v>0</v>
      </c>
      <c r="U2308" s="529"/>
      <c r="V2308" s="82">
        <f>+T2308*S2308*R2308</f>
        <v>0</v>
      </c>
      <c r="Y2308" s="393">
        <f>+IFERROR((R2308*S2308)*Y2284,0)</f>
        <v>0</v>
      </c>
      <c r="Z2308" s="391">
        <f>Y2284*V2308</f>
        <v>0</v>
      </c>
      <c r="AA2308" s="86"/>
      <c r="AB2308" s="92">
        <f>+Y2308*T2308</f>
        <v>0</v>
      </c>
      <c r="AC2308" s="93">
        <f>+AB2308-Z2308</f>
        <v>0</v>
      </c>
      <c r="AD2308" s="94"/>
      <c r="AE2308" s="406" t="str">
        <f>+IF(V2308=0,"CERO","NO")</f>
        <v>CERO</v>
      </c>
    </row>
    <row r="2309" spans="3:31" s="260" customFormat="1" ht="15.75" thickBot="1" x14ac:dyDescent="0.3">
      <c r="C2309" s="84"/>
      <c r="D2309" s="89"/>
      <c r="E2309" s="90"/>
      <c r="F2309" s="90"/>
      <c r="G2309" s="90"/>
      <c r="H2309" s="90"/>
      <c r="I2309" s="90"/>
      <c r="J2309" s="91"/>
      <c r="K2309" s="88"/>
      <c r="M2309" s="102">
        <v>0</v>
      </c>
      <c r="N2309" s="533"/>
      <c r="O2309" s="533"/>
      <c r="P2309" s="533"/>
      <c r="Q2309" s="79"/>
      <c r="R2309" s="78"/>
      <c r="S2309" s="81"/>
      <c r="T2309" s="529"/>
      <c r="U2309" s="529"/>
      <c r="V2309" s="82"/>
      <c r="Y2309" s="393">
        <f>+IFERROR((R2309*S2309)*Y2284,0)</f>
        <v>0</v>
      </c>
      <c r="Z2309" s="391">
        <f>Y2284*V2309</f>
        <v>0</v>
      </c>
      <c r="AA2309" s="86"/>
      <c r="AB2309" s="92">
        <f>+Y2309*T2309</f>
        <v>0</v>
      </c>
      <c r="AC2309" s="93">
        <f>+AB2309-Z2309</f>
        <v>0</v>
      </c>
      <c r="AD2309" s="94"/>
      <c r="AE2309" s="406" t="str">
        <f>+IF(V2309=0,"CERO","NO")</f>
        <v>CERO</v>
      </c>
    </row>
    <row r="2310" spans="3:31" s="260" customFormat="1" ht="15.75" thickBot="1" x14ac:dyDescent="0.3">
      <c r="C2310" s="84"/>
      <c r="D2310" s="375" t="s">
        <v>128</v>
      </c>
      <c r="E2310" s="376" t="s">
        <v>129</v>
      </c>
      <c r="F2310" s="376" t="s">
        <v>130</v>
      </c>
      <c r="G2310" s="376" t="s">
        <v>131</v>
      </c>
      <c r="H2310" s="376" t="s">
        <v>132</v>
      </c>
      <c r="I2310" s="376" t="s">
        <v>133</v>
      </c>
      <c r="J2310" s="377" t="s">
        <v>134</v>
      </c>
      <c r="K2310" s="88"/>
      <c r="M2310" s="534"/>
      <c r="N2310" s="536" t="s">
        <v>113</v>
      </c>
      <c r="O2310" s="536"/>
      <c r="P2310" s="536"/>
      <c r="Q2310" s="536"/>
      <c r="R2310" s="536"/>
      <c r="S2310" s="536"/>
      <c r="T2310" s="536"/>
      <c r="U2310" s="536"/>
      <c r="V2310" s="411">
        <f>+SUM(V2306:V2309)</f>
        <v>347.2217399698057</v>
      </c>
      <c r="Y2310" s="398" t="s">
        <v>135</v>
      </c>
      <c r="Z2310" s="397">
        <f>+SUM(Z2306:Z2309)</f>
        <v>2430.5521797886399</v>
      </c>
      <c r="AA2310" s="86"/>
      <c r="AB2310" s="384"/>
      <c r="AC2310" s="385"/>
      <c r="AD2310" s="94"/>
      <c r="AE2310" s="399"/>
    </row>
    <row r="2311" spans="3:31" s="260" customFormat="1" ht="15.75" thickBot="1" x14ac:dyDescent="0.3">
      <c r="C2311" s="84"/>
      <c r="D2311" s="355"/>
      <c r="E2311" s="367"/>
      <c r="F2311" s="412">
        <f>+E2303</f>
        <v>2.37</v>
      </c>
      <c r="G2311" s="367"/>
      <c r="H2311" s="367"/>
      <c r="I2311" s="367"/>
      <c r="J2311" s="368"/>
      <c r="K2311" s="88"/>
      <c r="M2311" s="535"/>
      <c r="N2311" s="537" t="s">
        <v>114</v>
      </c>
      <c r="O2311" s="537"/>
      <c r="P2311" s="537"/>
      <c r="Q2311" s="537"/>
      <c r="R2311" s="537"/>
      <c r="S2311" s="537"/>
      <c r="T2311" s="537"/>
      <c r="U2311" s="537"/>
      <c r="V2311" s="413">
        <f>+ROUND(V2310,$AA$5)</f>
        <v>347.22</v>
      </c>
      <c r="Y2311" s="401" t="s">
        <v>136</v>
      </c>
      <c r="Z2311" s="402">
        <f>+ROUND(Z2310,$AA$5)</f>
        <v>2430.5500000000002</v>
      </c>
      <c r="AA2311" s="86"/>
      <c r="AB2311" s="403">
        <f>+V2311*Y2284</f>
        <v>2430.54</v>
      </c>
      <c r="AC2311" s="414"/>
      <c r="AD2311" s="94"/>
      <c r="AE2311" s="405"/>
    </row>
    <row r="2312" spans="3:31" s="260" customFormat="1" ht="15.75" thickBot="1" x14ac:dyDescent="0.3">
      <c r="C2312" s="84"/>
      <c r="D2312" s="415"/>
      <c r="E2312" s="416"/>
      <c r="F2312" s="416"/>
      <c r="G2312" s="416"/>
      <c r="H2312" s="416"/>
      <c r="I2312" s="416"/>
      <c r="J2312" s="417"/>
      <c r="K2312" s="88"/>
      <c r="M2312" s="538" t="s">
        <v>115</v>
      </c>
      <c r="N2312" s="539"/>
      <c r="O2312" s="539"/>
      <c r="P2312" s="539"/>
      <c r="Q2312" s="539"/>
      <c r="R2312" s="539"/>
      <c r="S2312" s="539"/>
      <c r="T2312" s="539"/>
      <c r="U2312" s="539"/>
      <c r="V2312" s="540"/>
      <c r="Y2312" s="378"/>
      <c r="Z2312" s="121"/>
      <c r="AA2312" s="86"/>
      <c r="AB2312" s="409"/>
      <c r="AC2312" s="121"/>
      <c r="AD2312" s="94"/>
      <c r="AE2312" s="126"/>
    </row>
    <row r="2313" spans="3:31" s="260" customFormat="1" ht="15.75" thickBot="1" x14ac:dyDescent="0.3">
      <c r="C2313" s="84"/>
      <c r="D2313" s="375" t="s">
        <v>128</v>
      </c>
      <c r="E2313" s="376" t="s">
        <v>129</v>
      </c>
      <c r="F2313" s="376" t="s">
        <v>130</v>
      </c>
      <c r="G2313" s="376" t="s">
        <v>131</v>
      </c>
      <c r="H2313" s="376" t="s">
        <v>132</v>
      </c>
      <c r="I2313" s="376" t="s">
        <v>133</v>
      </c>
      <c r="J2313" s="377" t="s">
        <v>134</v>
      </c>
      <c r="K2313" s="88"/>
      <c r="M2313" s="99" t="s">
        <v>94</v>
      </c>
      <c r="N2313" s="98" t="s">
        <v>95</v>
      </c>
      <c r="O2313" s="95" t="s">
        <v>96</v>
      </c>
      <c r="P2313" s="359" t="s">
        <v>104</v>
      </c>
      <c r="Q2313" s="95" t="s">
        <v>116</v>
      </c>
      <c r="R2313" s="418" t="s">
        <v>117</v>
      </c>
      <c r="S2313" s="95" t="s">
        <v>347</v>
      </c>
      <c r="T2313" s="419" t="s">
        <v>118</v>
      </c>
      <c r="U2313" s="189" t="s">
        <v>119</v>
      </c>
      <c r="V2313" s="100" t="s">
        <v>98</v>
      </c>
      <c r="Y2313" s="383" t="s">
        <v>104</v>
      </c>
      <c r="Z2313" s="119" t="s">
        <v>9</v>
      </c>
      <c r="AA2313" s="86"/>
      <c r="AB2313" s="384"/>
      <c r="AC2313" s="385"/>
      <c r="AD2313" s="94"/>
      <c r="AE2313" s="410"/>
    </row>
    <row r="2314" spans="3:31" s="260" customFormat="1" ht="25.5" x14ac:dyDescent="0.25">
      <c r="C2314" s="84"/>
      <c r="D2314" s="354"/>
      <c r="E2314" s="96"/>
      <c r="F2314" s="96"/>
      <c r="G2314" s="96"/>
      <c r="H2314" s="96"/>
      <c r="I2314" s="96"/>
      <c r="J2314" s="420">
        <f>+F2311</f>
        <v>2.37</v>
      </c>
      <c r="K2314" s="88"/>
      <c r="M2314" s="102">
        <v>207</v>
      </c>
      <c r="N2314" s="347" t="str">
        <f>IFERROR(VLOOKUP(M2314,INSUMOS!$C$8:$K$928,2,0),"-----")</f>
        <v>Oficial Hidrosanitario</v>
      </c>
      <c r="O2314" s="78" t="str">
        <f>IFERROR(VLOOKUP(M2314,INSUMOS!$C$8:$K$928,3,0),"-----")</f>
        <v>JORNAL+PS</v>
      </c>
      <c r="P2314" s="80">
        <v>1</v>
      </c>
      <c r="Q2314" s="79">
        <v>30</v>
      </c>
      <c r="R2314" s="190">
        <f>IFERROR(VLOOKUP(M2314,INSUMOS!$C$8:$K$928,4,0),"-----")</f>
        <v>92983</v>
      </c>
      <c r="S2314" s="190">
        <f>IFERROR(VLOOKUP(M2314,INSUMOS!$C$8:$K$928,6,0),"-----")</f>
        <v>74386</v>
      </c>
      <c r="T2314" s="190">
        <f>IFERROR(VLOOKUP(M2314,INSUMOS!$C$8:$K$928,5,0),"-----")</f>
        <v>0</v>
      </c>
      <c r="U2314" s="388">
        <f>SUM(R2314:T2314)</f>
        <v>167369</v>
      </c>
      <c r="V2314" s="82">
        <f>+IFERROR((P2314/Q2314)*U2314,0)</f>
        <v>5578.9666666666662</v>
      </c>
      <c r="Y2314" s="393">
        <f>+IFERROR((Y2284/Q2314*P2314),0)</f>
        <v>0.23333333333333334</v>
      </c>
      <c r="Z2314" s="391">
        <f>Y2284*V2314</f>
        <v>39052.766666666663</v>
      </c>
      <c r="AA2314" s="86"/>
      <c r="AB2314" s="92">
        <f>+(U2314)*Y2314</f>
        <v>39052.76666666667</v>
      </c>
      <c r="AC2314" s="93">
        <f>+AB2314-Z2314</f>
        <v>0</v>
      </c>
      <c r="AD2314" s="421"/>
      <c r="AE2314" s="410" t="str">
        <f>+IF(V2314=0,"CERO","NO")</f>
        <v>NO</v>
      </c>
    </row>
    <row r="2315" spans="3:31" s="260" customFormat="1" ht="15.75" thickBot="1" x14ac:dyDescent="0.3">
      <c r="C2315" s="84"/>
      <c r="D2315" s="355"/>
      <c r="E2315" s="367"/>
      <c r="F2315" s="367"/>
      <c r="G2315" s="367"/>
      <c r="H2315" s="367"/>
      <c r="I2315" s="367"/>
      <c r="J2315" s="422">
        <f>+J2314</f>
        <v>2.37</v>
      </c>
      <c r="K2315" s="88"/>
      <c r="M2315" s="102"/>
      <c r="N2315" s="347" t="str">
        <f>IFERROR(VLOOKUP(M2315,INSUMOS!$C$8:$K$928,2,0),"-----")</f>
        <v>-----</v>
      </c>
      <c r="O2315" s="78" t="str">
        <f>IFERROR(VLOOKUP(M2315,INSUMOS!$C$8:$K$928,3,0),"-----")</f>
        <v>-----</v>
      </c>
      <c r="P2315" s="80"/>
      <c r="Q2315" s="79"/>
      <c r="R2315" s="190" t="str">
        <f>IFERROR(VLOOKUP(M2315,INSUMOS!$C$8:$K$928,4,0),"-----")</f>
        <v>-----</v>
      </c>
      <c r="S2315" s="190" t="str">
        <f>IFERROR(VLOOKUP(M2315,INSUMOS!$C$8:$K$928,6,0),"-----")</f>
        <v>-----</v>
      </c>
      <c r="T2315" s="190" t="str">
        <f>IFERROR(VLOOKUP(M2315,INSUMOS!$C$8:$K$928,5,0),"-----")</f>
        <v>-----</v>
      </c>
      <c r="U2315" s="388">
        <f>SUM(R2315:T2315)</f>
        <v>0</v>
      </c>
      <c r="V2315" s="82">
        <f>+IFERROR((P2315/Q2315)*U2315,0)</f>
        <v>0</v>
      </c>
      <c r="Y2315" s="393">
        <f>+IFERROR((Y2284/Q2315*P2315),0)</f>
        <v>0</v>
      </c>
      <c r="Z2315" s="391">
        <f>Y2284*V2315</f>
        <v>0</v>
      </c>
      <c r="AA2315" s="86"/>
      <c r="AB2315" s="92">
        <f>+U2315*Y2315</f>
        <v>0</v>
      </c>
      <c r="AC2315" s="93">
        <f>+AB2315-Z2315</f>
        <v>0</v>
      </c>
      <c r="AD2315" s="94"/>
      <c r="AE2315" s="410" t="str">
        <f>+IF(V2315=0,"CERO","NO")</f>
        <v>CERO</v>
      </c>
    </row>
    <row r="2316" spans="3:31" s="260" customFormat="1" ht="15.75" thickBot="1" x14ac:dyDescent="0.3">
      <c r="C2316" s="84"/>
      <c r="D2316" s="380"/>
      <c r="E2316" s="381"/>
      <c r="F2316" s="381"/>
      <c r="G2316" s="381"/>
      <c r="H2316" s="381"/>
      <c r="I2316" s="381"/>
      <c r="J2316" s="382"/>
      <c r="K2316" s="88"/>
      <c r="M2316" s="102">
        <v>0</v>
      </c>
      <c r="N2316" s="347"/>
      <c r="O2316" s="79"/>
      <c r="P2316" s="423"/>
      <c r="Q2316" s="81"/>
      <c r="R2316" s="111"/>
      <c r="S2316" s="357"/>
      <c r="T2316" s="111"/>
      <c r="U2316" s="388"/>
      <c r="V2316" s="426"/>
      <c r="Y2316" s="393">
        <f>+IFERROR((Y2284/Q2316*P2316),0)</f>
        <v>0</v>
      </c>
      <c r="Z2316" s="391">
        <f>Y2284*V2316</f>
        <v>0</v>
      </c>
      <c r="AA2316" s="86"/>
      <c r="AB2316" s="92">
        <f>+(U2316)*Y2316*P2316</f>
        <v>0</v>
      </c>
      <c r="AC2316" s="93">
        <f>+AB2316-Z2316</f>
        <v>0</v>
      </c>
      <c r="AD2316" s="94"/>
      <c r="AE2316" s="410" t="str">
        <f>+IF(V2316=0,"CERO","NO")</f>
        <v>CERO</v>
      </c>
    </row>
    <row r="2317" spans="3:31" s="260" customFormat="1" ht="15.75" thickBot="1" x14ac:dyDescent="0.3">
      <c r="C2317" s="84"/>
      <c r="D2317" s="375" t="s">
        <v>128</v>
      </c>
      <c r="E2317" s="376" t="s">
        <v>129</v>
      </c>
      <c r="F2317" s="376" t="s">
        <v>130</v>
      </c>
      <c r="G2317" s="376" t="s">
        <v>131</v>
      </c>
      <c r="H2317" s="376" t="s">
        <v>132</v>
      </c>
      <c r="I2317" s="376" t="s">
        <v>133</v>
      </c>
      <c r="J2317" s="377" t="s">
        <v>134</v>
      </c>
      <c r="K2317" s="88"/>
      <c r="M2317" s="534"/>
      <c r="N2317" s="536" t="s">
        <v>120</v>
      </c>
      <c r="O2317" s="536"/>
      <c r="P2317" s="536"/>
      <c r="Q2317" s="536"/>
      <c r="R2317" s="536"/>
      <c r="S2317" s="536"/>
      <c r="T2317" s="536"/>
      <c r="U2317" s="536"/>
      <c r="V2317" s="82">
        <f>+SUM(V2314:V2316)</f>
        <v>5578.9666666666662</v>
      </c>
      <c r="Y2317" s="398" t="s">
        <v>135</v>
      </c>
      <c r="Z2317" s="397">
        <f>+SUM(Z2314:Z2316)</f>
        <v>39052.766666666663</v>
      </c>
      <c r="AA2317" s="86"/>
      <c r="AB2317" s="384"/>
      <c r="AC2317" s="385"/>
      <c r="AD2317" s="94"/>
      <c r="AE2317" s="399"/>
    </row>
    <row r="2318" spans="3:31" s="260" customFormat="1" ht="15.75" thickBot="1" x14ac:dyDescent="0.3">
      <c r="C2318" s="84"/>
      <c r="D2318" s="354"/>
      <c r="E2318" s="96"/>
      <c r="F2318" s="96"/>
      <c r="G2318" s="107">
        <f>+F2311</f>
        <v>2.37</v>
      </c>
      <c r="H2318" s="96"/>
      <c r="I2318" s="96"/>
      <c r="J2318" s="427"/>
      <c r="K2318" s="88"/>
      <c r="M2318" s="535"/>
      <c r="N2318" s="537" t="s">
        <v>121</v>
      </c>
      <c r="O2318" s="537"/>
      <c r="P2318" s="537"/>
      <c r="Q2318" s="537"/>
      <c r="R2318" s="537"/>
      <c r="S2318" s="537"/>
      <c r="T2318" s="537"/>
      <c r="U2318" s="537"/>
      <c r="V2318" s="413">
        <f>+ROUND(V2317,$AA$5)</f>
        <v>5578.97</v>
      </c>
      <c r="Y2318" s="401" t="s">
        <v>136</v>
      </c>
      <c r="Z2318" s="402">
        <f>+ROUND(Z2317,$AA$5)</f>
        <v>39052.769999999997</v>
      </c>
      <c r="AA2318" s="86"/>
      <c r="AB2318" s="403">
        <f>+V2318*Y2284</f>
        <v>39052.79</v>
      </c>
      <c r="AC2318" s="404">
        <f>+AB2318-Z2318</f>
        <v>2.0000000004074536E-2</v>
      </c>
      <c r="AD2318" s="94"/>
      <c r="AE2318" s="405"/>
    </row>
    <row r="2319" spans="3:31" s="260" customFormat="1" ht="15.75" thickBot="1" x14ac:dyDescent="0.3">
      <c r="C2319" s="84"/>
      <c r="D2319" s="375" t="s">
        <v>128</v>
      </c>
      <c r="E2319" s="376" t="s">
        <v>129</v>
      </c>
      <c r="F2319" s="376" t="s">
        <v>130</v>
      </c>
      <c r="G2319" s="376" t="s">
        <v>131</v>
      </c>
      <c r="H2319" s="376" t="s">
        <v>132</v>
      </c>
      <c r="I2319" s="376" t="s">
        <v>133</v>
      </c>
      <c r="J2319" s="377" t="s">
        <v>134</v>
      </c>
      <c r="K2319" s="88"/>
      <c r="M2319" s="541"/>
      <c r="N2319" s="542"/>
      <c r="O2319" s="542"/>
      <c r="P2319" s="542"/>
      <c r="Q2319" s="542"/>
      <c r="R2319" s="542"/>
      <c r="S2319" s="542"/>
      <c r="T2319" s="542"/>
      <c r="U2319" s="542"/>
      <c r="V2319" s="543"/>
      <c r="Y2319" s="378"/>
      <c r="Z2319" s="121"/>
      <c r="AA2319" s="86"/>
      <c r="AB2319" s="409"/>
      <c r="AC2319" s="121"/>
      <c r="AD2319" s="94"/>
      <c r="AE2319" s="428"/>
    </row>
    <row r="2320" spans="3:31" s="260" customFormat="1" ht="15.75" thickBot="1" x14ac:dyDescent="0.3">
      <c r="C2320" s="84"/>
      <c r="D2320" s="355"/>
      <c r="E2320" s="367"/>
      <c r="F2320" s="367"/>
      <c r="G2320" s="367"/>
      <c r="H2320" s="412">
        <f>G2318</f>
        <v>2.37</v>
      </c>
      <c r="I2320" s="412"/>
      <c r="J2320" s="422"/>
      <c r="K2320" s="88"/>
      <c r="M2320" s="544" t="s">
        <v>122</v>
      </c>
      <c r="N2320" s="537"/>
      <c r="O2320" s="537"/>
      <c r="P2320" s="537"/>
      <c r="Q2320" s="537"/>
      <c r="R2320" s="537"/>
      <c r="S2320" s="537"/>
      <c r="T2320" s="537"/>
      <c r="U2320" s="545">
        <f>+V2318+V2311+V2303+V2294</f>
        <v>11565.460000000001</v>
      </c>
      <c r="V2320" s="546"/>
      <c r="Y2320" s="429"/>
      <c r="Z2320" s="430">
        <f>+Z2318+Z2311+Z2303+Z2294</f>
        <v>80958.17</v>
      </c>
      <c r="AA2320" s="86"/>
      <c r="AB2320" s="431">
        <f>+AB2318+AB2311+AB2303+AB2294</f>
        <v>80958.22</v>
      </c>
      <c r="AC2320" s="404">
        <f>+AB2320-Z2320</f>
        <v>5.0000000002910383E-2</v>
      </c>
      <c r="AD2320" s="94"/>
      <c r="AE2320" s="432"/>
    </row>
    <row r="2321" spans="3:31" s="260" customFormat="1" ht="15.75" thickBot="1" x14ac:dyDescent="0.3"/>
    <row r="2322" spans="3:31" s="260" customFormat="1" x14ac:dyDescent="0.25">
      <c r="M2322" s="547" t="s">
        <v>348</v>
      </c>
      <c r="N2322" s="548"/>
      <c r="O2322" s="548"/>
      <c r="P2322" s="548"/>
      <c r="Q2322" s="548"/>
      <c r="R2322" s="548"/>
      <c r="S2322" s="548"/>
      <c r="T2322" s="548"/>
      <c r="U2322" s="548"/>
      <c r="V2322" s="549"/>
      <c r="Y2322" s="378"/>
      <c r="Z2322" s="121"/>
      <c r="AA2322" s="86"/>
      <c r="AB2322" s="94"/>
      <c r="AC2322" s="94"/>
      <c r="AD2322" s="94"/>
      <c r="AE2322" s="126" t="s">
        <v>133</v>
      </c>
    </row>
    <row r="2323" spans="3:31" s="260" customFormat="1" x14ac:dyDescent="0.25">
      <c r="M2323" s="515" t="s">
        <v>138</v>
      </c>
      <c r="N2323" s="516"/>
      <c r="O2323" s="516"/>
      <c r="P2323" s="516"/>
      <c r="Q2323" s="516"/>
      <c r="R2323" s="516"/>
      <c r="S2323" s="516"/>
      <c r="T2323" s="437">
        <v>0</v>
      </c>
      <c r="U2323" s="517">
        <f>+ROUND(U2320*T2323,$AA$5)</f>
        <v>0</v>
      </c>
      <c r="V2323" s="518"/>
      <c r="Y2323" s="390"/>
      <c r="Z2323" s="438">
        <f>+Z2320*T2323</f>
        <v>0</v>
      </c>
      <c r="AA2323" s="86"/>
      <c r="AB2323" s="94"/>
      <c r="AC2323" s="94"/>
      <c r="AD2323" s="94"/>
      <c r="AE2323" s="386" t="s">
        <v>133</v>
      </c>
    </row>
    <row r="2324" spans="3:31" s="260" customFormat="1" x14ac:dyDescent="0.25">
      <c r="M2324" s="515" t="s">
        <v>19</v>
      </c>
      <c r="N2324" s="516"/>
      <c r="O2324" s="516"/>
      <c r="P2324" s="516"/>
      <c r="Q2324" s="516"/>
      <c r="R2324" s="516"/>
      <c r="S2324" s="516"/>
      <c r="T2324" s="437">
        <v>0.05</v>
      </c>
      <c r="U2324" s="517">
        <f>+ROUND(U2320*T2324,$AA$5)</f>
        <v>578.27</v>
      </c>
      <c r="V2324" s="518"/>
      <c r="Y2324" s="390"/>
      <c r="Z2324" s="438">
        <f>+Z2320*T2324</f>
        <v>4047.9085</v>
      </c>
      <c r="AA2324" s="86"/>
      <c r="AB2324" s="94"/>
      <c r="AC2324" s="94"/>
      <c r="AD2324" s="94"/>
      <c r="AE2324" s="386" t="s">
        <v>133</v>
      </c>
    </row>
    <row r="2325" spans="3:31" s="260" customFormat="1" x14ac:dyDescent="0.25">
      <c r="M2325" s="515" t="s">
        <v>20</v>
      </c>
      <c r="N2325" s="516"/>
      <c r="O2325" s="516"/>
      <c r="P2325" s="516"/>
      <c r="Q2325" s="516"/>
      <c r="R2325" s="516"/>
      <c r="S2325" s="516"/>
      <c r="T2325" s="437">
        <v>0</v>
      </c>
      <c r="U2325" s="517">
        <f>+ROUND(U2320*T2325,$AA$5)</f>
        <v>0</v>
      </c>
      <c r="V2325" s="518"/>
      <c r="Y2325" s="390"/>
      <c r="Z2325" s="438">
        <f>+Z2320*T2325</f>
        <v>0</v>
      </c>
      <c r="AA2325" s="86"/>
      <c r="AB2325" s="94"/>
      <c r="AC2325" s="94"/>
      <c r="AD2325" s="94"/>
      <c r="AE2325" s="386" t="s">
        <v>133</v>
      </c>
    </row>
    <row r="2326" spans="3:31" s="260" customFormat="1" x14ac:dyDescent="0.25">
      <c r="M2326" s="515" t="s">
        <v>21</v>
      </c>
      <c r="N2326" s="516"/>
      <c r="O2326" s="516"/>
      <c r="P2326" s="516"/>
      <c r="Q2326" s="516"/>
      <c r="R2326" s="516"/>
      <c r="S2326" s="516"/>
      <c r="T2326" s="437">
        <f>$AA$9</f>
        <v>0</v>
      </c>
      <c r="U2326" s="517">
        <f>+ROUND(U2320*T2326,$AA$5)</f>
        <v>0</v>
      </c>
      <c r="V2326" s="518"/>
      <c r="Y2326" s="390"/>
      <c r="Z2326" s="438">
        <f>+Z2325*T2326</f>
        <v>0</v>
      </c>
      <c r="AA2326" s="86"/>
      <c r="AB2326" s="94"/>
      <c r="AC2326" s="94"/>
      <c r="AD2326" s="94"/>
      <c r="AE2326" s="386" t="s">
        <v>133</v>
      </c>
    </row>
    <row r="2327" spans="3:31" s="260" customFormat="1" ht="15.75" thickBot="1" x14ac:dyDescent="0.3">
      <c r="M2327" s="519" t="s">
        <v>349</v>
      </c>
      <c r="N2327" s="520"/>
      <c r="O2327" s="520"/>
      <c r="P2327" s="520"/>
      <c r="Q2327" s="520"/>
      <c r="R2327" s="520"/>
      <c r="S2327" s="520"/>
      <c r="T2327" s="520"/>
      <c r="U2327" s="521">
        <f>+SUM(U2323:V2326)</f>
        <v>578.27</v>
      </c>
      <c r="V2327" s="522"/>
      <c r="Y2327" s="390"/>
      <c r="Z2327" s="439">
        <f>+SUM(Z2323:Z2326)</f>
        <v>4047.9085</v>
      </c>
      <c r="AA2327" s="86"/>
      <c r="AB2327" s="94"/>
      <c r="AC2327" s="94"/>
      <c r="AD2327" s="94"/>
      <c r="AE2327" s="386" t="s">
        <v>133</v>
      </c>
    </row>
    <row r="2328" spans="3:31" s="260" customFormat="1" ht="15.75" thickBot="1" x14ac:dyDescent="0.3">
      <c r="D2328" s="375" t="s">
        <v>128</v>
      </c>
      <c r="E2328" s="376" t="s">
        <v>129</v>
      </c>
      <c r="F2328" s="376" t="s">
        <v>130</v>
      </c>
      <c r="G2328" s="376" t="s">
        <v>131</v>
      </c>
      <c r="H2328" s="376" t="s">
        <v>132</v>
      </c>
      <c r="I2328" s="376" t="s">
        <v>133</v>
      </c>
      <c r="J2328" s="377" t="s">
        <v>134</v>
      </c>
      <c r="M2328" s="86"/>
      <c r="N2328" s="94"/>
      <c r="O2328" s="94"/>
      <c r="P2328" s="94"/>
      <c r="Q2328" s="86"/>
      <c r="R2328" s="86"/>
      <c r="S2328" s="86"/>
      <c r="T2328" s="440"/>
      <c r="U2328" s="523"/>
      <c r="V2328" s="523"/>
      <c r="Y2328" s="390"/>
      <c r="Z2328" s="385"/>
      <c r="AA2328" s="86"/>
      <c r="AB2328" s="94"/>
      <c r="AC2328" s="94"/>
      <c r="AD2328" s="94"/>
      <c r="AE2328" s="386" t="s">
        <v>133</v>
      </c>
    </row>
    <row r="2329" spans="3:31" s="260" customFormat="1" ht="15.75" thickBot="1" x14ac:dyDescent="0.3">
      <c r="D2329" s="355"/>
      <c r="E2329" s="367"/>
      <c r="F2329" s="367"/>
      <c r="G2329" s="367"/>
      <c r="H2329" s="412"/>
      <c r="I2329" s="412">
        <f>H2320</f>
        <v>2.37</v>
      </c>
      <c r="J2329" s="422"/>
      <c r="M2329" s="524" t="s">
        <v>11</v>
      </c>
      <c r="N2329" s="525"/>
      <c r="O2329" s="525"/>
      <c r="P2329" s="525"/>
      <c r="Q2329" s="525"/>
      <c r="R2329" s="525"/>
      <c r="S2329" s="525"/>
      <c r="T2329" s="526"/>
      <c r="U2329" s="527">
        <f>+U2327+U2320</f>
        <v>12143.730000000001</v>
      </c>
      <c r="V2329" s="528"/>
      <c r="Y2329" s="429"/>
      <c r="Z2329" s="441">
        <f>+Z2327+Z2320</f>
        <v>85006.078500000003</v>
      </c>
      <c r="AA2329" s="86"/>
      <c r="AB2329" s="94"/>
      <c r="AC2329" s="94"/>
      <c r="AD2329" s="94"/>
      <c r="AE2329" s="405" t="s">
        <v>133</v>
      </c>
    </row>
    <row r="2330" spans="3:31" s="260" customFormat="1" x14ac:dyDescent="0.25"/>
    <row r="2331" spans="3:31" s="260" customFormat="1" ht="15.75" thickBot="1" x14ac:dyDescent="0.3"/>
    <row r="2332" spans="3:31" s="260" customFormat="1" ht="15.75" thickBot="1" x14ac:dyDescent="0.3">
      <c r="M2332" s="363" t="s">
        <v>88</v>
      </c>
      <c r="N2332" s="436" t="str">
        <f>+N2283</f>
        <v>CAP.2</v>
      </c>
      <c r="O2332" s="550" t="str">
        <f>IFERROR(VLOOKUP(N2332,PPTO!C:H,2,0),"----")</f>
        <v>RED HIDRAULICA</v>
      </c>
      <c r="P2332" s="551"/>
      <c r="Q2332" s="551"/>
      <c r="R2332" s="551"/>
      <c r="S2332" s="551"/>
      <c r="T2332" s="551"/>
      <c r="U2332" s="552"/>
      <c r="V2332" s="74" t="s">
        <v>91</v>
      </c>
      <c r="Y2332" s="365" t="s">
        <v>104</v>
      </c>
      <c r="Z2332" s="94"/>
      <c r="AA2332" s="188"/>
      <c r="AB2332" s="553"/>
      <c r="AC2332" s="553"/>
      <c r="AD2332" s="553"/>
      <c r="AE2332" s="94"/>
    </row>
    <row r="2333" spans="3:31" s="260" customFormat="1" ht="15.75" thickBot="1" x14ac:dyDescent="0.3">
      <c r="C2333" s="369">
        <f>+N2333</f>
        <v>2.38</v>
      </c>
      <c r="D2333" s="86"/>
      <c r="E2333" s="86"/>
      <c r="F2333" s="86"/>
      <c r="G2333" s="86"/>
      <c r="H2333" s="86"/>
      <c r="I2333" s="86"/>
      <c r="J2333" s="86"/>
      <c r="K2333" s="370"/>
      <c r="M2333" s="75" t="s">
        <v>92</v>
      </c>
      <c r="N2333" s="371">
        <f>+ROUNDUP(N2284+0.01,2)</f>
        <v>2.38</v>
      </c>
      <c r="O2333" s="554" t="str">
        <f>IFERROR(VLOOKUP(N2333,PPTO!C:H,2,0),"----")</f>
        <v>Reduccion PVC Ø3/4" A Ø1/2"</v>
      </c>
      <c r="P2333" s="555"/>
      <c r="Q2333" s="555"/>
      <c r="R2333" s="555"/>
      <c r="S2333" s="555"/>
      <c r="T2333" s="555"/>
      <c r="U2333" s="556"/>
      <c r="V2333" s="76" t="str">
        <f>IFERROR(VLOOKUP(N2333,PPTO!C:H,3,0),"----")</f>
        <v>UND</v>
      </c>
      <c r="Y2333" s="373">
        <f>SUMIFS(PPTO!F:F,PPTO!C:C,APUS!N2333)</f>
        <v>35</v>
      </c>
      <c r="Z2333" s="94"/>
      <c r="AA2333" s="86"/>
      <c r="AB2333" s="94"/>
      <c r="AC2333" s="94"/>
      <c r="AD2333" s="94"/>
      <c r="AE2333" s="94"/>
    </row>
    <row r="2334" spans="3:31" s="260" customFormat="1" ht="15.75" thickBot="1" x14ac:dyDescent="0.3">
      <c r="C2334" s="84"/>
      <c r="D2334" s="86"/>
      <c r="E2334" s="86"/>
      <c r="F2334" s="86"/>
      <c r="G2334" s="86"/>
      <c r="H2334" s="86"/>
      <c r="I2334" s="86"/>
      <c r="J2334" s="86"/>
      <c r="K2334" s="88"/>
      <c r="M2334" s="557"/>
      <c r="N2334" s="557"/>
      <c r="O2334" s="557"/>
      <c r="P2334" s="557"/>
      <c r="Q2334" s="557"/>
      <c r="R2334" s="557"/>
      <c r="S2334" s="557"/>
      <c r="T2334" s="557"/>
      <c r="U2334" s="557"/>
      <c r="V2334" s="557"/>
      <c r="Y2334" s="374"/>
      <c r="Z2334" s="94"/>
      <c r="AA2334" s="86"/>
      <c r="AB2334" s="94"/>
      <c r="AC2334" s="94"/>
      <c r="AD2334" s="94"/>
      <c r="AE2334" s="94"/>
    </row>
    <row r="2335" spans="3:31" s="260" customFormat="1" ht="15.75" thickBot="1" x14ac:dyDescent="0.3">
      <c r="C2335" s="84"/>
      <c r="D2335" s="375" t="s">
        <v>128</v>
      </c>
      <c r="E2335" s="376" t="s">
        <v>129</v>
      </c>
      <c r="F2335" s="376" t="s">
        <v>130</v>
      </c>
      <c r="G2335" s="376" t="s">
        <v>131</v>
      </c>
      <c r="H2335" s="376" t="s">
        <v>132</v>
      </c>
      <c r="I2335" s="376" t="s">
        <v>133</v>
      </c>
      <c r="J2335" s="377" t="s">
        <v>134</v>
      </c>
      <c r="K2335" s="88"/>
      <c r="M2335" s="558" t="s">
        <v>93</v>
      </c>
      <c r="N2335" s="559"/>
      <c r="O2335" s="559"/>
      <c r="P2335" s="559"/>
      <c r="Q2335" s="559"/>
      <c r="R2335" s="559"/>
      <c r="S2335" s="559"/>
      <c r="T2335" s="559"/>
      <c r="U2335" s="559"/>
      <c r="V2335" s="560"/>
      <c r="Y2335" s="378"/>
      <c r="Z2335" s="121"/>
      <c r="AA2335" s="86"/>
      <c r="AB2335" s="513"/>
      <c r="AC2335" s="514"/>
      <c r="AD2335" s="94"/>
      <c r="AE2335" s="379"/>
    </row>
    <row r="2336" spans="3:31" s="260" customFormat="1" x14ac:dyDescent="0.25">
      <c r="C2336" s="84"/>
      <c r="D2336" s="380"/>
      <c r="E2336" s="381"/>
      <c r="F2336" s="381"/>
      <c r="G2336" s="381"/>
      <c r="H2336" s="381"/>
      <c r="I2336" s="381"/>
      <c r="J2336" s="382"/>
      <c r="K2336" s="88"/>
      <c r="M2336" s="99" t="s">
        <v>94</v>
      </c>
      <c r="N2336" s="561" t="s">
        <v>95</v>
      </c>
      <c r="O2336" s="561"/>
      <c r="P2336" s="561"/>
      <c r="Q2336" s="561"/>
      <c r="R2336" s="95" t="s">
        <v>96</v>
      </c>
      <c r="S2336" s="95" t="s">
        <v>97</v>
      </c>
      <c r="T2336" s="562" t="s">
        <v>8</v>
      </c>
      <c r="U2336" s="562"/>
      <c r="V2336" s="100" t="s">
        <v>98</v>
      </c>
      <c r="Y2336" s="383" t="s">
        <v>104</v>
      </c>
      <c r="Z2336" s="119" t="s">
        <v>9</v>
      </c>
      <c r="AA2336" s="86"/>
      <c r="AB2336" s="384"/>
      <c r="AC2336" s="385"/>
      <c r="AD2336" s="94"/>
      <c r="AE2336" s="386"/>
    </row>
    <row r="2337" spans="3:31" s="260" customFormat="1" x14ac:dyDescent="0.25">
      <c r="C2337" s="84"/>
      <c r="D2337" s="85"/>
      <c r="E2337" s="86"/>
      <c r="F2337" s="86"/>
      <c r="G2337" s="86"/>
      <c r="H2337" s="86"/>
      <c r="I2337" s="86"/>
      <c r="J2337" s="87"/>
      <c r="K2337" s="88"/>
      <c r="M2337" s="102"/>
      <c r="N2337" s="533" t="s">
        <v>99</v>
      </c>
      <c r="O2337" s="533"/>
      <c r="P2337" s="533"/>
      <c r="Q2337" s="533"/>
      <c r="R2337" s="78" t="s">
        <v>100</v>
      </c>
      <c r="S2337" s="387">
        <f>+$AA$10</f>
        <v>0.05</v>
      </c>
      <c r="T2337" s="563">
        <f>V2367</f>
        <v>4781.97</v>
      </c>
      <c r="U2337" s="563"/>
      <c r="V2337" s="389">
        <f>+IFERROR(T2337*S2337,0)</f>
        <v>239.09850000000003</v>
      </c>
      <c r="Y2337" s="390"/>
      <c r="Z2337" s="391">
        <f>Y2333*V2337</f>
        <v>8368.4475000000002</v>
      </c>
      <c r="AA2337" s="86"/>
      <c r="AB2337" s="384"/>
      <c r="AC2337" s="385"/>
      <c r="AD2337" s="94"/>
      <c r="AE2337" s="386" t="str">
        <f>+IF(V2337=0,"CERO","NO")</f>
        <v>NO</v>
      </c>
    </row>
    <row r="2338" spans="3:31" s="260" customFormat="1" x14ac:dyDescent="0.25">
      <c r="C2338" s="84"/>
      <c r="D2338" s="85"/>
      <c r="E2338" s="86"/>
      <c r="F2338" s="86"/>
      <c r="G2338" s="86"/>
      <c r="H2338" s="86"/>
      <c r="I2338" s="86"/>
      <c r="J2338" s="87"/>
      <c r="K2338" s="88"/>
      <c r="M2338" s="106"/>
      <c r="N2338" s="533" t="str">
        <f>IFERROR(VLOOKUP(M2338,INSUMOS!$C$8:$K$928,2,0),"-----")</f>
        <v>-----</v>
      </c>
      <c r="O2338" s="533"/>
      <c r="P2338" s="533"/>
      <c r="Q2338" s="533"/>
      <c r="R2338" s="78" t="str">
        <f>IFERROR(VLOOKUP(M2338,INSUMOS!$C$8:$K$928,6,0),"-----")</f>
        <v>-----</v>
      </c>
      <c r="S2338" s="392"/>
      <c r="T2338" s="529" t="str">
        <f>IFERROR(VLOOKUP(M2338,INSUMOS!$C$8:$K$928,7,0),"0")</f>
        <v>0</v>
      </c>
      <c r="U2338" s="529"/>
      <c r="V2338" s="389">
        <f>+IFERROR(T2338*S2338,0)</f>
        <v>0</v>
      </c>
      <c r="Y2338" s="393">
        <f>+IFERROR(Y2333*S2338,0)</f>
        <v>0</v>
      </c>
      <c r="Z2338" s="391">
        <f>Y2333*V2338</f>
        <v>0</v>
      </c>
      <c r="AA2338" s="394"/>
      <c r="AB2338" s="395">
        <f>+Y2338*T2338</f>
        <v>0</v>
      </c>
      <c r="AC2338" s="93">
        <f>+AB2338-Z2338</f>
        <v>0</v>
      </c>
      <c r="AD2338" s="94"/>
      <c r="AE2338" s="386" t="str">
        <f>+IF(V2338=0,"CERO","NO")</f>
        <v>CERO</v>
      </c>
    </row>
    <row r="2339" spans="3:31" s="260" customFormat="1" x14ac:dyDescent="0.25">
      <c r="C2339" s="84"/>
      <c r="D2339" s="85"/>
      <c r="E2339" s="86"/>
      <c r="F2339" s="86"/>
      <c r="G2339" s="86"/>
      <c r="H2339" s="86"/>
      <c r="I2339" s="86"/>
      <c r="J2339" s="87"/>
      <c r="K2339" s="88"/>
      <c r="M2339" s="102">
        <v>0</v>
      </c>
      <c r="N2339" s="533"/>
      <c r="O2339" s="533"/>
      <c r="P2339" s="533"/>
      <c r="Q2339" s="533"/>
      <c r="R2339" s="78"/>
      <c r="S2339" s="396"/>
      <c r="T2339" s="529"/>
      <c r="U2339" s="529"/>
      <c r="V2339" s="397"/>
      <c r="Y2339" s="393">
        <f>+IFERROR(Y2333*S2339,0)</f>
        <v>0</v>
      </c>
      <c r="Z2339" s="391">
        <f>Y2333*V2339</f>
        <v>0</v>
      </c>
      <c r="AA2339" s="394"/>
      <c r="AB2339" s="395">
        <f>+Y2339*T2339</f>
        <v>0</v>
      </c>
      <c r="AC2339" s="93">
        <f>+AB2339-Z2339</f>
        <v>0</v>
      </c>
      <c r="AD2339" s="94"/>
      <c r="AE2339" s="386" t="str">
        <f>+IF(V2339=0,"CERO","NO")</f>
        <v>CERO</v>
      </c>
    </row>
    <row r="2340" spans="3:31" s="260" customFormat="1" x14ac:dyDescent="0.25">
      <c r="C2340" s="84"/>
      <c r="D2340" s="85"/>
      <c r="E2340" s="86"/>
      <c r="F2340" s="86"/>
      <c r="G2340" s="86"/>
      <c r="H2340" s="86"/>
      <c r="I2340" s="86"/>
      <c r="J2340" s="87"/>
      <c r="K2340" s="88"/>
      <c r="M2340" s="102">
        <v>0</v>
      </c>
      <c r="N2340" s="533"/>
      <c r="O2340" s="533"/>
      <c r="P2340" s="533"/>
      <c r="Q2340" s="533"/>
      <c r="R2340" s="78"/>
      <c r="S2340" s="396"/>
      <c r="T2340" s="529"/>
      <c r="U2340" s="529"/>
      <c r="V2340" s="397"/>
      <c r="Y2340" s="393">
        <f>+IFERROR(Y2333*S2340,0)</f>
        <v>0</v>
      </c>
      <c r="Z2340" s="391">
        <f>Y2333*V2340</f>
        <v>0</v>
      </c>
      <c r="AA2340" s="394"/>
      <c r="AB2340" s="395">
        <f>+Y2340*T2340</f>
        <v>0</v>
      </c>
      <c r="AC2340" s="93">
        <f>+AB2340-Z2340</f>
        <v>0</v>
      </c>
      <c r="AD2340" s="94"/>
      <c r="AE2340" s="386" t="str">
        <f>+IF(V2340=0,"CERO","NO")</f>
        <v>CERO</v>
      </c>
    </row>
    <row r="2341" spans="3:31" s="260" customFormat="1" ht="15.75" thickBot="1" x14ac:dyDescent="0.3">
      <c r="C2341" s="84"/>
      <c r="D2341" s="85"/>
      <c r="E2341" s="86"/>
      <c r="F2341" s="86"/>
      <c r="G2341" s="86"/>
      <c r="H2341" s="86"/>
      <c r="I2341" s="86"/>
      <c r="J2341" s="87"/>
      <c r="K2341" s="88"/>
      <c r="M2341" s="102">
        <v>0</v>
      </c>
      <c r="N2341" s="564"/>
      <c r="O2341" s="564"/>
      <c r="P2341" s="564"/>
      <c r="Q2341" s="564"/>
      <c r="R2341" s="96"/>
      <c r="S2341" s="96"/>
      <c r="T2341" s="565"/>
      <c r="U2341" s="565"/>
      <c r="V2341" s="101"/>
      <c r="Y2341" s="393">
        <f>+IFERROR(Y2333*S2341,0)</f>
        <v>0</v>
      </c>
      <c r="Z2341" s="391">
        <f>Y2333*V2341</f>
        <v>0</v>
      </c>
      <c r="AA2341" s="394"/>
      <c r="AB2341" s="395">
        <f>+Y2341*T2341</f>
        <v>0</v>
      </c>
      <c r="AC2341" s="93">
        <f>+AB2341-Z2341</f>
        <v>0</v>
      </c>
      <c r="AD2341" s="94"/>
      <c r="AE2341" s="386" t="str">
        <f>+IF(V2341=0,"CERO","NO")</f>
        <v>CERO</v>
      </c>
    </row>
    <row r="2342" spans="3:31" s="260" customFormat="1" ht="15.75" thickBot="1" x14ac:dyDescent="0.3">
      <c r="C2342" s="84"/>
      <c r="D2342" s="375" t="s">
        <v>128</v>
      </c>
      <c r="E2342" s="376" t="s">
        <v>129</v>
      </c>
      <c r="F2342" s="376" t="s">
        <v>130</v>
      </c>
      <c r="G2342" s="376" t="s">
        <v>131</v>
      </c>
      <c r="H2342" s="376" t="s">
        <v>132</v>
      </c>
      <c r="I2342" s="376" t="s">
        <v>133</v>
      </c>
      <c r="J2342" s="377" t="s">
        <v>134</v>
      </c>
      <c r="K2342" s="88"/>
      <c r="M2342" s="534"/>
      <c r="N2342" s="536" t="s">
        <v>101</v>
      </c>
      <c r="O2342" s="536"/>
      <c r="P2342" s="536"/>
      <c r="Q2342" s="536"/>
      <c r="R2342" s="536"/>
      <c r="S2342" s="536"/>
      <c r="T2342" s="536"/>
      <c r="U2342" s="536"/>
      <c r="V2342" s="389">
        <f>+SUM(V2337:V2341)</f>
        <v>239.09850000000003</v>
      </c>
      <c r="Y2342" s="398" t="s">
        <v>135</v>
      </c>
      <c r="Z2342" s="397">
        <f>+SUM(Z2337:Z2341)</f>
        <v>8368.4475000000002</v>
      </c>
      <c r="AA2342" s="86"/>
      <c r="AB2342" s="384"/>
      <c r="AC2342" s="385"/>
      <c r="AD2342" s="94"/>
      <c r="AE2342" s="399"/>
    </row>
    <row r="2343" spans="3:31" s="260" customFormat="1" ht="15.75" thickBot="1" x14ac:dyDescent="0.3">
      <c r="C2343" s="84"/>
      <c r="D2343" s="375">
        <f>C2333</f>
        <v>2.38</v>
      </c>
      <c r="E2343" s="376"/>
      <c r="F2343" s="376"/>
      <c r="G2343" s="376"/>
      <c r="H2343" s="376"/>
      <c r="I2343" s="376"/>
      <c r="J2343" s="377"/>
      <c r="K2343" s="88"/>
      <c r="M2343" s="566"/>
      <c r="N2343" s="567" t="s">
        <v>102</v>
      </c>
      <c r="O2343" s="567"/>
      <c r="P2343" s="567"/>
      <c r="Q2343" s="567"/>
      <c r="R2343" s="567"/>
      <c r="S2343" s="567"/>
      <c r="T2343" s="567"/>
      <c r="U2343" s="567"/>
      <c r="V2343" s="400">
        <f>+ROUND(V2342,$AA$5)</f>
        <v>239.1</v>
      </c>
      <c r="Y2343" s="401" t="s">
        <v>136</v>
      </c>
      <c r="Z2343" s="402">
        <f>+ROUND(Z2342,$AA$5)</f>
        <v>8368.4500000000007</v>
      </c>
      <c r="AA2343" s="86"/>
      <c r="AB2343" s="403">
        <f>+V2343*Y2333</f>
        <v>8368.5</v>
      </c>
      <c r="AC2343" s="404">
        <f>+AB2343-Z2343</f>
        <v>4.9999999999272404E-2</v>
      </c>
      <c r="AD2343" s="94"/>
      <c r="AE2343" s="405"/>
    </row>
    <row r="2344" spans="3:31" s="260" customFormat="1" x14ac:dyDescent="0.25">
      <c r="C2344" s="84"/>
      <c r="D2344" s="380"/>
      <c r="E2344" s="381"/>
      <c r="F2344" s="381"/>
      <c r="G2344" s="381"/>
      <c r="H2344" s="381"/>
      <c r="I2344" s="381"/>
      <c r="J2344" s="382"/>
      <c r="K2344" s="88"/>
      <c r="M2344" s="510" t="s">
        <v>103</v>
      </c>
      <c r="N2344" s="511"/>
      <c r="O2344" s="511"/>
      <c r="P2344" s="511"/>
      <c r="Q2344" s="511"/>
      <c r="R2344" s="511"/>
      <c r="S2344" s="511"/>
      <c r="T2344" s="511"/>
      <c r="U2344" s="511"/>
      <c r="V2344" s="512"/>
      <c r="Y2344" s="378"/>
      <c r="Z2344" s="121"/>
      <c r="AA2344" s="86"/>
      <c r="AB2344" s="513"/>
      <c r="AC2344" s="514"/>
      <c r="AD2344" s="94"/>
      <c r="AE2344" s="126"/>
    </row>
    <row r="2345" spans="3:31" s="260" customFormat="1" x14ac:dyDescent="0.25">
      <c r="C2345" s="84"/>
      <c r="D2345" s="85"/>
      <c r="E2345" s="86"/>
      <c r="F2345" s="86"/>
      <c r="G2345" s="86"/>
      <c r="H2345" s="86"/>
      <c r="I2345" s="86"/>
      <c r="J2345" s="87"/>
      <c r="K2345" s="88"/>
      <c r="M2345" s="99" t="s">
        <v>94</v>
      </c>
      <c r="N2345" s="561" t="s">
        <v>95</v>
      </c>
      <c r="O2345" s="561"/>
      <c r="P2345" s="561"/>
      <c r="Q2345" s="561"/>
      <c r="R2345" s="95" t="s">
        <v>96</v>
      </c>
      <c r="S2345" s="95" t="s">
        <v>104</v>
      </c>
      <c r="T2345" s="356" t="s">
        <v>105</v>
      </c>
      <c r="U2345" s="356" t="s">
        <v>8</v>
      </c>
      <c r="V2345" s="100" t="s">
        <v>98</v>
      </c>
      <c r="Y2345" s="383" t="s">
        <v>104</v>
      </c>
      <c r="Z2345" s="119" t="s">
        <v>9</v>
      </c>
      <c r="AA2345" s="86"/>
      <c r="AB2345" s="384"/>
      <c r="AC2345" s="385"/>
      <c r="AD2345" s="94"/>
      <c r="AE2345" s="406"/>
    </row>
    <row r="2346" spans="3:31" s="260" customFormat="1" x14ac:dyDescent="0.25">
      <c r="C2346" s="84"/>
      <c r="D2346" s="85"/>
      <c r="E2346" s="86"/>
      <c r="F2346" s="86"/>
      <c r="G2346" s="86"/>
      <c r="H2346" s="86"/>
      <c r="I2346" s="86"/>
      <c r="J2346" s="87"/>
      <c r="K2346" s="88"/>
      <c r="M2346" s="102">
        <v>723</v>
      </c>
      <c r="N2346" s="533" t="str">
        <f>IFERROR(VLOOKUP(M2346,INSUMOS!$C$8:$K$928,2,0),"-----")</f>
        <v>BUJES SOLDADO 3/4" X 1/2"</v>
      </c>
      <c r="O2346" s="533"/>
      <c r="P2346" s="533"/>
      <c r="Q2346" s="533"/>
      <c r="R2346" s="78" t="str">
        <f>IFERROR(VLOOKUP(M2346,INSUMOS!$C$8:$K$928,6,0),"-----")</f>
        <v>und</v>
      </c>
      <c r="S2346" s="396">
        <v>1</v>
      </c>
      <c r="T2346" s="387">
        <v>0</v>
      </c>
      <c r="U2346" s="388">
        <f>IFERROR(VLOOKUP(M2346,INSUMOS!$C$8:$K$928,7,0),"0")</f>
        <v>835</v>
      </c>
      <c r="V2346" s="389">
        <f>+IFERROR(U2346*(S2346*(1+T2346)),0)</f>
        <v>835</v>
      </c>
      <c r="Y2346" s="393">
        <f>+IFERROR(Y2333*(S2346*(1+T2346)),0)</f>
        <v>35</v>
      </c>
      <c r="Z2346" s="391">
        <f>Y2333*V2346</f>
        <v>29225</v>
      </c>
      <c r="AA2346" s="394"/>
      <c r="AB2346" s="395">
        <f>+Y2346*U2346</f>
        <v>29225</v>
      </c>
      <c r="AC2346" s="93">
        <f>+AB2346-Z2346</f>
        <v>0</v>
      </c>
      <c r="AD2346" s="94"/>
      <c r="AE2346" s="406" t="str">
        <f>+IF(V2346=0,"CERO","NO")</f>
        <v>NO</v>
      </c>
    </row>
    <row r="2347" spans="3:31" s="260" customFormat="1" x14ac:dyDescent="0.25">
      <c r="C2347" s="84"/>
      <c r="D2347" s="85"/>
      <c r="E2347" s="86"/>
      <c r="F2347" s="86"/>
      <c r="G2347" s="86"/>
      <c r="H2347" s="86"/>
      <c r="I2347" s="86"/>
      <c r="J2347" s="87"/>
      <c r="K2347" s="88"/>
      <c r="M2347" s="102">
        <v>699</v>
      </c>
      <c r="N2347" s="533" t="str">
        <f>IFERROR(VLOOKUP(M2347,INSUMOS!$C$8:$K$928,2,0),"-----")</f>
        <v>SOLDADURA PVC LIQUIDA 1/4"</v>
      </c>
      <c r="O2347" s="533"/>
      <c r="P2347" s="533"/>
      <c r="Q2347" s="533"/>
      <c r="R2347" s="78" t="str">
        <f>IFERROR(VLOOKUP(M2347,INSUMOS!$C$8:$K$928,6,0),"-----")</f>
        <v>und</v>
      </c>
      <c r="S2347" s="392">
        <v>0.01</v>
      </c>
      <c r="T2347" s="387">
        <v>0.02</v>
      </c>
      <c r="U2347" s="388">
        <f>IFERROR(VLOOKUP(M2347,INSUMOS!$C$8:$K$928,7,0),"0")</f>
        <v>146569</v>
      </c>
      <c r="V2347" s="389">
        <f>+IFERROR(U2347*(S2347*(1+T2347)),0)</f>
        <v>1495.0038000000002</v>
      </c>
      <c r="Y2347" s="393">
        <f>+IFERROR(Y2333*(S2347*(1+T2347)),0)</f>
        <v>0.35700000000000004</v>
      </c>
      <c r="Z2347" s="391">
        <f>Y2333*V2347</f>
        <v>52325.133000000009</v>
      </c>
      <c r="AA2347" s="394"/>
      <c r="AB2347" s="395">
        <f>+Y2347*U2347</f>
        <v>52325.133000000009</v>
      </c>
      <c r="AC2347" s="93">
        <f>+AB2347-Z2347</f>
        <v>0</v>
      </c>
      <c r="AD2347" s="94"/>
      <c r="AE2347" s="406" t="str">
        <f>+IF(V2347=0,"CERO","NO")</f>
        <v>NO</v>
      </c>
    </row>
    <row r="2348" spans="3:31" s="260" customFormat="1" x14ac:dyDescent="0.25">
      <c r="C2348" s="84"/>
      <c r="D2348" s="85"/>
      <c r="E2348" s="86"/>
      <c r="F2348" s="86"/>
      <c r="G2348" s="86"/>
      <c r="H2348" s="86"/>
      <c r="I2348" s="86"/>
      <c r="J2348" s="87"/>
      <c r="K2348" s="88"/>
      <c r="M2348" s="102">
        <v>700</v>
      </c>
      <c r="N2348" s="533" t="str">
        <f>IFERROR(VLOOKUP(M2348,INSUMOS!$C$8:$K$928,2,0),"-----")</f>
        <v>LIMPIADOR PVC 1/4</v>
      </c>
      <c r="O2348" s="533"/>
      <c r="P2348" s="533"/>
      <c r="Q2348" s="533"/>
      <c r="R2348" s="78" t="str">
        <f>IFERROR(VLOOKUP(M2348,INSUMOS!$C$8:$K$928,6,0),"-----")</f>
        <v>und</v>
      </c>
      <c r="S2348" s="392">
        <v>0.01</v>
      </c>
      <c r="T2348" s="387">
        <v>0.02</v>
      </c>
      <c r="U2348" s="388">
        <f>IFERROR(VLOOKUP(M2348,INSUMOS!$C$8:$K$928,7,0),"0")</f>
        <v>65913</v>
      </c>
      <c r="V2348" s="389">
        <f>+IFERROR(U2348*(S2348*(1+T2348)),0)</f>
        <v>672.31260000000009</v>
      </c>
      <c r="Y2348" s="393">
        <f>+IFERROR(Y2333*(S2348*(1+T2348)),0)</f>
        <v>0.35700000000000004</v>
      </c>
      <c r="Z2348" s="391">
        <f>Y2333*V2348</f>
        <v>23530.941000000003</v>
      </c>
      <c r="AA2348" s="394"/>
      <c r="AB2348" s="395">
        <f>+Y2348*U2348</f>
        <v>23530.941000000003</v>
      </c>
      <c r="AC2348" s="93">
        <f>+AB2348-Z2348</f>
        <v>0</v>
      </c>
      <c r="AD2348" s="94"/>
      <c r="AE2348" s="406" t="str">
        <f>+IF(V2348=0,"CERO","NO")</f>
        <v>NO</v>
      </c>
    </row>
    <row r="2349" spans="3:31" s="260" customFormat="1" x14ac:dyDescent="0.25">
      <c r="C2349" s="84"/>
      <c r="D2349" s="85"/>
      <c r="E2349" s="86"/>
      <c r="F2349" s="86"/>
      <c r="G2349" s="86"/>
      <c r="H2349" s="86"/>
      <c r="I2349" s="86"/>
      <c r="J2349" s="87"/>
      <c r="K2349" s="88"/>
      <c r="M2349" s="102">
        <v>0</v>
      </c>
      <c r="N2349" s="533" t="str">
        <f>IFERROR(VLOOKUP(M2349,INSUMOS!$C$8:$K$928,2,0),"-----")</f>
        <v>-----</v>
      </c>
      <c r="O2349" s="533"/>
      <c r="P2349" s="533"/>
      <c r="Q2349" s="533"/>
      <c r="R2349" s="78" t="str">
        <f>IFERROR(VLOOKUP(M2349,INSUMOS!$C$8:$K$928,6,0),"-----")</f>
        <v>-----</v>
      </c>
      <c r="S2349" s="396"/>
      <c r="T2349" s="387"/>
      <c r="U2349" s="388" t="str">
        <f>IFERROR(VLOOKUP(M2349,INSUMOS!$C$8:$K$928,7,0),"0")</f>
        <v>0</v>
      </c>
      <c r="V2349" s="389">
        <f>+IFERROR(U2349*(S2349*(1+T2349)),0)</f>
        <v>0</v>
      </c>
      <c r="Y2349" s="393">
        <f>+IFERROR(Y2333*(S2349*(1+T2349)),0)</f>
        <v>0</v>
      </c>
      <c r="Z2349" s="391">
        <f>Y2333*V2349</f>
        <v>0</v>
      </c>
      <c r="AA2349" s="394"/>
      <c r="AB2349" s="395">
        <f>+Y2349*U2349</f>
        <v>0</v>
      </c>
      <c r="AC2349" s="93">
        <f>+AB2349-Z2349</f>
        <v>0</v>
      </c>
      <c r="AD2349" s="94"/>
      <c r="AE2349" s="406" t="str">
        <f>+IF(V2349=0,"CERO","NO")</f>
        <v>CERO</v>
      </c>
    </row>
    <row r="2350" spans="3:31" s="260" customFormat="1" ht="15.75" thickBot="1" x14ac:dyDescent="0.3">
      <c r="C2350" s="84"/>
      <c r="D2350" s="85"/>
      <c r="E2350" s="86"/>
      <c r="F2350" s="86"/>
      <c r="G2350" s="86"/>
      <c r="H2350" s="86"/>
      <c r="I2350" s="86"/>
      <c r="J2350" s="87"/>
      <c r="K2350" s="88"/>
      <c r="M2350" s="102">
        <v>0</v>
      </c>
      <c r="N2350" s="564"/>
      <c r="O2350" s="564"/>
      <c r="P2350" s="564"/>
      <c r="Q2350" s="564"/>
      <c r="R2350" s="96"/>
      <c r="S2350" s="79"/>
      <c r="T2350" s="97"/>
      <c r="U2350" s="358"/>
      <c r="V2350" s="397"/>
      <c r="Y2350" s="393">
        <f>+IFERROR(Y2333*(S2350*(1+T2350)),0)</f>
        <v>0</v>
      </c>
      <c r="Z2350" s="391">
        <f>Y2333*V2350</f>
        <v>0</v>
      </c>
      <c r="AA2350" s="394"/>
      <c r="AB2350" s="395">
        <f>+Y2350*U2350</f>
        <v>0</v>
      </c>
      <c r="AC2350" s="93">
        <f>+AB2350-Z2350</f>
        <v>0</v>
      </c>
      <c r="AD2350" s="94"/>
      <c r="AE2350" s="406" t="str">
        <f>+IF(V2350=0,"CERO","NO")</f>
        <v>CERO</v>
      </c>
    </row>
    <row r="2351" spans="3:31" s="260" customFormat="1" ht="15.75" thickBot="1" x14ac:dyDescent="0.3">
      <c r="C2351" s="84"/>
      <c r="D2351" s="375" t="s">
        <v>128</v>
      </c>
      <c r="E2351" s="376" t="s">
        <v>129</v>
      </c>
      <c r="F2351" s="376" t="s">
        <v>130</v>
      </c>
      <c r="G2351" s="376" t="s">
        <v>131</v>
      </c>
      <c r="H2351" s="376" t="s">
        <v>132</v>
      </c>
      <c r="I2351" s="376" t="s">
        <v>133</v>
      </c>
      <c r="J2351" s="377" t="s">
        <v>134</v>
      </c>
      <c r="K2351" s="88"/>
      <c r="M2351" s="534"/>
      <c r="N2351" s="536" t="s">
        <v>106</v>
      </c>
      <c r="O2351" s="536"/>
      <c r="P2351" s="536"/>
      <c r="Q2351" s="536"/>
      <c r="R2351" s="536"/>
      <c r="S2351" s="536"/>
      <c r="T2351" s="536"/>
      <c r="U2351" s="536"/>
      <c r="V2351" s="389">
        <f>+SUM(V2346:V2350)</f>
        <v>3002.3164000000006</v>
      </c>
      <c r="Y2351" s="398" t="s">
        <v>135</v>
      </c>
      <c r="Z2351" s="397">
        <f>+SUM(Z2346:Z2350)</f>
        <v>105081.07400000001</v>
      </c>
      <c r="AA2351" s="86"/>
      <c r="AB2351" s="384"/>
      <c r="AC2351" s="385"/>
      <c r="AD2351" s="94"/>
      <c r="AE2351" s="399"/>
    </row>
    <row r="2352" spans="3:31" s="260" customFormat="1" ht="15.75" thickBot="1" x14ac:dyDescent="0.3">
      <c r="C2352" s="84"/>
      <c r="D2352" s="375"/>
      <c r="E2352" s="407">
        <f>+D2343</f>
        <v>2.38</v>
      </c>
      <c r="F2352" s="376"/>
      <c r="G2352" s="376"/>
      <c r="H2352" s="376"/>
      <c r="I2352" s="376"/>
      <c r="J2352" s="377"/>
      <c r="K2352" s="88"/>
      <c r="M2352" s="535"/>
      <c r="N2352" s="537" t="s">
        <v>107</v>
      </c>
      <c r="O2352" s="537"/>
      <c r="P2352" s="537"/>
      <c r="Q2352" s="537"/>
      <c r="R2352" s="537"/>
      <c r="S2352" s="537"/>
      <c r="T2352" s="537"/>
      <c r="U2352" s="537"/>
      <c r="V2352" s="408">
        <f>+ROUND(V2351,$AA$5)</f>
        <v>3002.32</v>
      </c>
      <c r="Y2352" s="401" t="s">
        <v>136</v>
      </c>
      <c r="Z2352" s="402">
        <f>+ROUND(Z2351,$AA$5)</f>
        <v>105081.07</v>
      </c>
      <c r="AA2352" s="86"/>
      <c r="AB2352" s="403">
        <f>+V2352*Y2333</f>
        <v>105081.20000000001</v>
      </c>
      <c r="AC2352" s="404">
        <f>+AB2352-Z2352</f>
        <v>0.13000000000465661</v>
      </c>
      <c r="AD2352" s="94"/>
      <c r="AE2352" s="405"/>
    </row>
    <row r="2353" spans="3:31" s="260" customFormat="1" x14ac:dyDescent="0.25">
      <c r="C2353" s="84"/>
      <c r="D2353" s="380"/>
      <c r="E2353" s="381"/>
      <c r="F2353" s="381"/>
      <c r="G2353" s="381"/>
      <c r="H2353" s="381"/>
      <c r="I2353" s="381"/>
      <c r="J2353" s="382"/>
      <c r="K2353" s="88"/>
      <c r="M2353" s="568" t="s">
        <v>108</v>
      </c>
      <c r="N2353" s="569"/>
      <c r="O2353" s="569"/>
      <c r="P2353" s="569"/>
      <c r="Q2353" s="569"/>
      <c r="R2353" s="569"/>
      <c r="S2353" s="569"/>
      <c r="T2353" s="569"/>
      <c r="U2353" s="569"/>
      <c r="V2353" s="570"/>
      <c r="Y2353" s="378"/>
      <c r="Z2353" s="121"/>
      <c r="AA2353" s="86"/>
      <c r="AB2353" s="409"/>
      <c r="AC2353" s="121"/>
      <c r="AD2353" s="94"/>
      <c r="AE2353" s="126"/>
    </row>
    <row r="2354" spans="3:31" s="260" customFormat="1" ht="25.5" x14ac:dyDescent="0.25">
      <c r="C2354" s="84"/>
      <c r="D2354" s="85"/>
      <c r="E2354" s="86"/>
      <c r="F2354" s="86"/>
      <c r="G2354" s="86"/>
      <c r="H2354" s="86"/>
      <c r="I2354" s="86"/>
      <c r="J2354" s="87"/>
      <c r="K2354" s="88"/>
      <c r="M2354" s="99" t="s">
        <v>94</v>
      </c>
      <c r="N2354" s="561" t="s">
        <v>95</v>
      </c>
      <c r="O2354" s="561"/>
      <c r="P2354" s="561"/>
      <c r="Q2354" s="95" t="s">
        <v>109</v>
      </c>
      <c r="R2354" s="95" t="s">
        <v>110</v>
      </c>
      <c r="S2354" s="95" t="s">
        <v>111</v>
      </c>
      <c r="T2354" s="562" t="s">
        <v>112</v>
      </c>
      <c r="U2354" s="562"/>
      <c r="V2354" s="100" t="s">
        <v>98</v>
      </c>
      <c r="Y2354" s="383" t="s">
        <v>104</v>
      </c>
      <c r="Z2354" s="119" t="s">
        <v>9</v>
      </c>
      <c r="AA2354" s="86"/>
      <c r="AB2354" s="384"/>
      <c r="AC2354" s="385"/>
      <c r="AD2354" s="94"/>
      <c r="AE2354" s="410"/>
    </row>
    <row r="2355" spans="3:31" s="260" customFormat="1" x14ac:dyDescent="0.25">
      <c r="C2355" s="84"/>
      <c r="D2355" s="85"/>
      <c r="E2355" s="86"/>
      <c r="F2355" s="86"/>
      <c r="G2355" s="86"/>
      <c r="H2355" s="86"/>
      <c r="I2355" s="86"/>
      <c r="J2355" s="87"/>
      <c r="K2355" s="88"/>
      <c r="M2355" s="102">
        <v>129</v>
      </c>
      <c r="N2355" s="530" t="str">
        <f>IFERROR(VLOOKUP(M2355,INSUMOS!$C$8:$K$928,2,0),"-----")</f>
        <v>transporte materiales en general</v>
      </c>
      <c r="O2355" s="531"/>
      <c r="P2355" s="532"/>
      <c r="Q2355" s="78" t="str">
        <f>IFERROR(VLOOKUP(M2355,INSUMOS!$C$8:$K$928,5,0),"-----")</f>
        <v>Km</v>
      </c>
      <c r="R2355" s="80">
        <v>1</v>
      </c>
      <c r="S2355" s="80">
        <f>IFERROR(VLOOKUP(M2355,INSUMOS!$C$8:$K$928,6,0),"0")</f>
        <v>348</v>
      </c>
      <c r="T2355" s="529">
        <f>IFERROR(VLOOKUP(M2355,INSUMOS!$C$8:$K$928,7,0),"0")</f>
        <v>0.99776362060288992</v>
      </c>
      <c r="U2355" s="529"/>
      <c r="V2355" s="82">
        <f>+T2355*S2355*R2355</f>
        <v>347.2217399698057</v>
      </c>
      <c r="Y2355" s="393">
        <f>+IFERROR((R2355*S2355)*Y2333,0)</f>
        <v>12180</v>
      </c>
      <c r="Z2355" s="391">
        <f>Y2333*V2355</f>
        <v>12152.760898943199</v>
      </c>
      <c r="AA2355" s="86"/>
      <c r="AB2355" s="92">
        <f>+Y2355*T2355</f>
        <v>12152.760898943199</v>
      </c>
      <c r="AC2355" s="93">
        <f>+AB2355-Z2355</f>
        <v>0</v>
      </c>
      <c r="AD2355" s="94"/>
      <c r="AE2355" s="406" t="str">
        <f>+IF(V2355=0,"CERO","NO")</f>
        <v>NO</v>
      </c>
    </row>
    <row r="2356" spans="3:31" s="260" customFormat="1" x14ac:dyDescent="0.25">
      <c r="C2356" s="84"/>
      <c r="D2356" s="85"/>
      <c r="E2356" s="86"/>
      <c r="F2356" s="86"/>
      <c r="G2356" s="86"/>
      <c r="H2356" s="86"/>
      <c r="I2356" s="86"/>
      <c r="J2356" s="87"/>
      <c r="K2356" s="88"/>
      <c r="M2356" s="102">
        <v>0</v>
      </c>
      <c r="N2356" s="530" t="str">
        <f>IFERROR(VLOOKUP(M2356,INSUMOS!$C$8:$K$928,2,0),"-----")</f>
        <v>-----</v>
      </c>
      <c r="O2356" s="531"/>
      <c r="P2356" s="532"/>
      <c r="Q2356" s="78" t="str">
        <f>IFERROR(VLOOKUP(M2356,INSUMOS!$C$8:$K$928,5,0),"-----")</f>
        <v>-----</v>
      </c>
      <c r="R2356" s="80"/>
      <c r="S2356" s="80" t="str">
        <f>IFERROR(VLOOKUP(M2356,INSUMOS!$C$8:$K$928,6,0),"0")</f>
        <v>0</v>
      </c>
      <c r="T2356" s="529" t="str">
        <f>IFERROR(VLOOKUP(M2356,INSUMOS!$C$8:$K$928,7,0),"0")</f>
        <v>0</v>
      </c>
      <c r="U2356" s="529"/>
      <c r="V2356" s="82">
        <f>+T2356*S2356*R2356</f>
        <v>0</v>
      </c>
      <c r="Y2356" s="393">
        <f>+IFERROR((R2356*S2356)*Y2333,0)</f>
        <v>0</v>
      </c>
      <c r="Z2356" s="391">
        <f>Y2333*V2356</f>
        <v>0</v>
      </c>
      <c r="AA2356" s="86"/>
      <c r="AB2356" s="92">
        <f>+Y2356*T2356</f>
        <v>0</v>
      </c>
      <c r="AC2356" s="93">
        <f>+AB2356-Z2356</f>
        <v>0</v>
      </c>
      <c r="AD2356" s="94"/>
      <c r="AE2356" s="406" t="str">
        <f>+IF(V2356=0,"CERO","NO")</f>
        <v>CERO</v>
      </c>
    </row>
    <row r="2357" spans="3:31" s="260" customFormat="1" x14ac:dyDescent="0.25">
      <c r="C2357" s="84"/>
      <c r="D2357" s="85"/>
      <c r="E2357" s="86"/>
      <c r="F2357" s="86"/>
      <c r="G2357" s="86"/>
      <c r="H2357" s="86"/>
      <c r="I2357" s="86"/>
      <c r="J2357" s="87"/>
      <c r="K2357" s="88"/>
      <c r="M2357" s="102">
        <v>0</v>
      </c>
      <c r="N2357" s="530" t="str">
        <f>IFERROR(VLOOKUP(M2357,INSUMOS!$C$8:$K$928,2,0),"-----")</f>
        <v>-----</v>
      </c>
      <c r="O2357" s="531"/>
      <c r="P2357" s="532"/>
      <c r="Q2357" s="78" t="str">
        <f>IFERROR(VLOOKUP(M2357,INSUMOS!$C$8:$K$928,5,0),"-----")</f>
        <v>-----</v>
      </c>
      <c r="R2357" s="80"/>
      <c r="S2357" s="80" t="str">
        <f>IFERROR(VLOOKUP(M2357,INSUMOS!$C$8:$K$928,6,0),"0")</f>
        <v>0</v>
      </c>
      <c r="T2357" s="529" t="str">
        <f>IFERROR(VLOOKUP(M2357,INSUMOS!$C$8:$K$928,7,0),"0")</f>
        <v>0</v>
      </c>
      <c r="U2357" s="529"/>
      <c r="V2357" s="82">
        <f>+T2357*S2357*R2357</f>
        <v>0</v>
      </c>
      <c r="Y2357" s="393">
        <f>+IFERROR((R2357*S2357)*Y2333,0)</f>
        <v>0</v>
      </c>
      <c r="Z2357" s="391">
        <f>Y2333*V2357</f>
        <v>0</v>
      </c>
      <c r="AA2357" s="86"/>
      <c r="AB2357" s="92">
        <f>+Y2357*T2357</f>
        <v>0</v>
      </c>
      <c r="AC2357" s="93">
        <f>+AB2357-Z2357</f>
        <v>0</v>
      </c>
      <c r="AD2357" s="94"/>
      <c r="AE2357" s="406" t="str">
        <f>+IF(V2357=0,"CERO","NO")</f>
        <v>CERO</v>
      </c>
    </row>
    <row r="2358" spans="3:31" s="260" customFormat="1" ht="15.75" thickBot="1" x14ac:dyDescent="0.3">
      <c r="C2358" s="84"/>
      <c r="D2358" s="89"/>
      <c r="E2358" s="90"/>
      <c r="F2358" s="90"/>
      <c r="G2358" s="90"/>
      <c r="H2358" s="90"/>
      <c r="I2358" s="90"/>
      <c r="J2358" s="91"/>
      <c r="K2358" s="88"/>
      <c r="M2358" s="102">
        <v>0</v>
      </c>
      <c r="N2358" s="533"/>
      <c r="O2358" s="533"/>
      <c r="P2358" s="533"/>
      <c r="Q2358" s="79"/>
      <c r="R2358" s="78"/>
      <c r="S2358" s="81"/>
      <c r="T2358" s="529"/>
      <c r="U2358" s="529"/>
      <c r="V2358" s="82"/>
      <c r="Y2358" s="393">
        <f>+IFERROR((R2358*S2358)*Y2333,0)</f>
        <v>0</v>
      </c>
      <c r="Z2358" s="391">
        <f>Y2333*V2358</f>
        <v>0</v>
      </c>
      <c r="AA2358" s="86"/>
      <c r="AB2358" s="92">
        <f>+Y2358*T2358</f>
        <v>0</v>
      </c>
      <c r="AC2358" s="93">
        <f>+AB2358-Z2358</f>
        <v>0</v>
      </c>
      <c r="AD2358" s="94"/>
      <c r="AE2358" s="406" t="str">
        <f>+IF(V2358=0,"CERO","NO")</f>
        <v>CERO</v>
      </c>
    </row>
    <row r="2359" spans="3:31" s="260" customFormat="1" ht="15.75" thickBot="1" x14ac:dyDescent="0.3">
      <c r="C2359" s="84"/>
      <c r="D2359" s="375" t="s">
        <v>128</v>
      </c>
      <c r="E2359" s="376" t="s">
        <v>129</v>
      </c>
      <c r="F2359" s="376" t="s">
        <v>130</v>
      </c>
      <c r="G2359" s="376" t="s">
        <v>131</v>
      </c>
      <c r="H2359" s="376" t="s">
        <v>132</v>
      </c>
      <c r="I2359" s="376" t="s">
        <v>133</v>
      </c>
      <c r="J2359" s="377" t="s">
        <v>134</v>
      </c>
      <c r="K2359" s="88"/>
      <c r="M2359" s="534"/>
      <c r="N2359" s="536" t="s">
        <v>113</v>
      </c>
      <c r="O2359" s="536"/>
      <c r="P2359" s="536"/>
      <c r="Q2359" s="536"/>
      <c r="R2359" s="536"/>
      <c r="S2359" s="536"/>
      <c r="T2359" s="536"/>
      <c r="U2359" s="536"/>
      <c r="V2359" s="411">
        <f>+SUM(V2355:V2358)</f>
        <v>347.2217399698057</v>
      </c>
      <c r="Y2359" s="398" t="s">
        <v>135</v>
      </c>
      <c r="Z2359" s="397">
        <f>+SUM(Z2355:Z2358)</f>
        <v>12152.760898943199</v>
      </c>
      <c r="AA2359" s="86"/>
      <c r="AB2359" s="384"/>
      <c r="AC2359" s="385"/>
      <c r="AD2359" s="94"/>
      <c r="AE2359" s="399"/>
    </row>
    <row r="2360" spans="3:31" s="260" customFormat="1" ht="15.75" thickBot="1" x14ac:dyDescent="0.3">
      <c r="C2360" s="84"/>
      <c r="D2360" s="355"/>
      <c r="E2360" s="367"/>
      <c r="F2360" s="412">
        <f>+E2352</f>
        <v>2.38</v>
      </c>
      <c r="G2360" s="367"/>
      <c r="H2360" s="367"/>
      <c r="I2360" s="367"/>
      <c r="J2360" s="368"/>
      <c r="K2360" s="88"/>
      <c r="M2360" s="535"/>
      <c r="N2360" s="537" t="s">
        <v>114</v>
      </c>
      <c r="O2360" s="537"/>
      <c r="P2360" s="537"/>
      <c r="Q2360" s="537"/>
      <c r="R2360" s="537"/>
      <c r="S2360" s="537"/>
      <c r="T2360" s="537"/>
      <c r="U2360" s="537"/>
      <c r="V2360" s="413">
        <f>+ROUND(V2359,$AA$5)</f>
        <v>347.22</v>
      </c>
      <c r="Y2360" s="401" t="s">
        <v>136</v>
      </c>
      <c r="Z2360" s="402">
        <f>+ROUND(Z2359,$AA$5)</f>
        <v>12152.76</v>
      </c>
      <c r="AA2360" s="86"/>
      <c r="AB2360" s="403">
        <f>+V2360*Y2333</f>
        <v>12152.7</v>
      </c>
      <c r="AC2360" s="414"/>
      <c r="AD2360" s="94"/>
      <c r="AE2360" s="405"/>
    </row>
    <row r="2361" spans="3:31" s="260" customFormat="1" ht="15.75" thickBot="1" x14ac:dyDescent="0.3">
      <c r="C2361" s="84"/>
      <c r="D2361" s="415"/>
      <c r="E2361" s="416"/>
      <c r="F2361" s="416"/>
      <c r="G2361" s="416"/>
      <c r="H2361" s="416"/>
      <c r="I2361" s="416"/>
      <c r="J2361" s="417"/>
      <c r="K2361" s="88"/>
      <c r="M2361" s="538" t="s">
        <v>115</v>
      </c>
      <c r="N2361" s="539"/>
      <c r="O2361" s="539"/>
      <c r="P2361" s="539"/>
      <c r="Q2361" s="539"/>
      <c r="R2361" s="539"/>
      <c r="S2361" s="539"/>
      <c r="T2361" s="539"/>
      <c r="U2361" s="539"/>
      <c r="V2361" s="540"/>
      <c r="Y2361" s="378"/>
      <c r="Z2361" s="121"/>
      <c r="AA2361" s="86"/>
      <c r="AB2361" s="409"/>
      <c r="AC2361" s="121"/>
      <c r="AD2361" s="94"/>
      <c r="AE2361" s="126"/>
    </row>
    <row r="2362" spans="3:31" s="260" customFormat="1" ht="15.75" thickBot="1" x14ac:dyDescent="0.3">
      <c r="C2362" s="84"/>
      <c r="D2362" s="375" t="s">
        <v>128</v>
      </c>
      <c r="E2362" s="376" t="s">
        <v>129</v>
      </c>
      <c r="F2362" s="376" t="s">
        <v>130</v>
      </c>
      <c r="G2362" s="376" t="s">
        <v>131</v>
      </c>
      <c r="H2362" s="376" t="s">
        <v>132</v>
      </c>
      <c r="I2362" s="376" t="s">
        <v>133</v>
      </c>
      <c r="J2362" s="377" t="s">
        <v>134</v>
      </c>
      <c r="K2362" s="88"/>
      <c r="M2362" s="99" t="s">
        <v>94</v>
      </c>
      <c r="N2362" s="98" t="s">
        <v>95</v>
      </c>
      <c r="O2362" s="95" t="s">
        <v>96</v>
      </c>
      <c r="P2362" s="359" t="s">
        <v>104</v>
      </c>
      <c r="Q2362" s="95" t="s">
        <v>116</v>
      </c>
      <c r="R2362" s="418" t="s">
        <v>117</v>
      </c>
      <c r="S2362" s="95" t="s">
        <v>347</v>
      </c>
      <c r="T2362" s="419" t="s">
        <v>118</v>
      </c>
      <c r="U2362" s="189" t="s">
        <v>119</v>
      </c>
      <c r="V2362" s="100" t="s">
        <v>98</v>
      </c>
      <c r="Y2362" s="383" t="s">
        <v>104</v>
      </c>
      <c r="Z2362" s="119" t="s">
        <v>9</v>
      </c>
      <c r="AA2362" s="86"/>
      <c r="AB2362" s="384"/>
      <c r="AC2362" s="385"/>
      <c r="AD2362" s="94"/>
      <c r="AE2362" s="410"/>
    </row>
    <row r="2363" spans="3:31" s="260" customFormat="1" ht="25.5" x14ac:dyDescent="0.25">
      <c r="C2363" s="84"/>
      <c r="D2363" s="354"/>
      <c r="E2363" s="96"/>
      <c r="F2363" s="96"/>
      <c r="G2363" s="96"/>
      <c r="H2363" s="96"/>
      <c r="I2363" s="96"/>
      <c r="J2363" s="420">
        <f>+F2360</f>
        <v>2.38</v>
      </c>
      <c r="K2363" s="88"/>
      <c r="M2363" s="102">
        <v>207</v>
      </c>
      <c r="N2363" s="347" t="str">
        <f>IFERROR(VLOOKUP(M2363,INSUMOS!$C$8:$K$928,2,0),"-----")</f>
        <v>Oficial Hidrosanitario</v>
      </c>
      <c r="O2363" s="78" t="str">
        <f>IFERROR(VLOOKUP(M2363,INSUMOS!$C$8:$K$928,3,0),"-----")</f>
        <v>JORNAL+PS</v>
      </c>
      <c r="P2363" s="80">
        <v>1</v>
      </c>
      <c r="Q2363" s="79">
        <v>35</v>
      </c>
      <c r="R2363" s="190">
        <f>IFERROR(VLOOKUP(M2363,INSUMOS!$C$8:$K$928,4,0),"-----")</f>
        <v>92983</v>
      </c>
      <c r="S2363" s="190">
        <f>IFERROR(VLOOKUP(M2363,INSUMOS!$C$8:$K$928,6,0),"-----")</f>
        <v>74386</v>
      </c>
      <c r="T2363" s="190">
        <f>IFERROR(VLOOKUP(M2363,INSUMOS!$C$8:$K$928,5,0),"-----")</f>
        <v>0</v>
      </c>
      <c r="U2363" s="388">
        <f>SUM(R2363:T2363)</f>
        <v>167369</v>
      </c>
      <c r="V2363" s="82">
        <f>+IFERROR((P2363/Q2363)*U2363,0)</f>
        <v>4781.9714285714281</v>
      </c>
      <c r="Y2363" s="393">
        <f>+IFERROR((Y2333/Q2363*P2363),0)</f>
        <v>1</v>
      </c>
      <c r="Z2363" s="391">
        <f>Y2333*V2363</f>
        <v>167368.99999999997</v>
      </c>
      <c r="AA2363" s="86"/>
      <c r="AB2363" s="92">
        <f>+(U2363)*Y2363</f>
        <v>167369</v>
      </c>
      <c r="AC2363" s="93">
        <f>+AB2363-Z2363</f>
        <v>0</v>
      </c>
      <c r="AD2363" s="421"/>
      <c r="AE2363" s="410" t="str">
        <f>+IF(V2363=0,"CERO","NO")</f>
        <v>NO</v>
      </c>
    </row>
    <row r="2364" spans="3:31" s="260" customFormat="1" ht="15.75" thickBot="1" x14ac:dyDescent="0.3">
      <c r="C2364" s="84"/>
      <c r="D2364" s="355"/>
      <c r="E2364" s="367"/>
      <c r="F2364" s="367"/>
      <c r="G2364" s="367"/>
      <c r="H2364" s="367"/>
      <c r="I2364" s="367"/>
      <c r="J2364" s="422">
        <f>+J2363</f>
        <v>2.38</v>
      </c>
      <c r="K2364" s="88"/>
      <c r="M2364" s="102"/>
      <c r="N2364" s="347" t="str">
        <f>IFERROR(VLOOKUP(M2364,INSUMOS!$C$8:$K$928,2,0),"-----")</f>
        <v>-----</v>
      </c>
      <c r="O2364" s="78" t="str">
        <f>IFERROR(VLOOKUP(M2364,INSUMOS!$C$8:$K$928,3,0),"-----")</f>
        <v>-----</v>
      </c>
      <c r="P2364" s="80"/>
      <c r="Q2364" s="79"/>
      <c r="R2364" s="190" t="str">
        <f>IFERROR(VLOOKUP(M2364,INSUMOS!$C$8:$K$928,4,0),"-----")</f>
        <v>-----</v>
      </c>
      <c r="S2364" s="190" t="str">
        <f>IFERROR(VLOOKUP(M2364,INSUMOS!$C$8:$K$928,6,0),"-----")</f>
        <v>-----</v>
      </c>
      <c r="T2364" s="190" t="str">
        <f>IFERROR(VLOOKUP(M2364,INSUMOS!$C$8:$K$928,5,0),"-----")</f>
        <v>-----</v>
      </c>
      <c r="U2364" s="388">
        <f>SUM(R2364:T2364)</f>
        <v>0</v>
      </c>
      <c r="V2364" s="82">
        <f>+IFERROR((P2364/Q2364)*U2364,0)</f>
        <v>0</v>
      </c>
      <c r="Y2364" s="393">
        <f>+IFERROR((Y2333/Q2364*P2364),0)</f>
        <v>0</v>
      </c>
      <c r="Z2364" s="391">
        <f>Y2333*V2364</f>
        <v>0</v>
      </c>
      <c r="AA2364" s="86"/>
      <c r="AB2364" s="92">
        <f>+U2364*Y2364</f>
        <v>0</v>
      </c>
      <c r="AC2364" s="93">
        <f>+AB2364-Z2364</f>
        <v>0</v>
      </c>
      <c r="AD2364" s="94"/>
      <c r="AE2364" s="410" t="str">
        <f>+IF(V2364=0,"CERO","NO")</f>
        <v>CERO</v>
      </c>
    </row>
    <row r="2365" spans="3:31" s="260" customFormat="1" ht="15.75" thickBot="1" x14ac:dyDescent="0.3">
      <c r="C2365" s="84"/>
      <c r="D2365" s="380"/>
      <c r="E2365" s="381"/>
      <c r="F2365" s="381"/>
      <c r="G2365" s="381"/>
      <c r="H2365" s="381"/>
      <c r="I2365" s="381"/>
      <c r="J2365" s="382"/>
      <c r="K2365" s="88"/>
      <c r="M2365" s="102">
        <v>0</v>
      </c>
      <c r="N2365" s="347"/>
      <c r="O2365" s="79"/>
      <c r="P2365" s="423"/>
      <c r="Q2365" s="81"/>
      <c r="R2365" s="111"/>
      <c r="S2365" s="357"/>
      <c r="T2365" s="111"/>
      <c r="U2365" s="388"/>
      <c r="V2365" s="426"/>
      <c r="Y2365" s="393">
        <f>+IFERROR((Y2333/Q2365*P2365),0)</f>
        <v>0</v>
      </c>
      <c r="Z2365" s="391">
        <f>Y2333*V2365</f>
        <v>0</v>
      </c>
      <c r="AA2365" s="86"/>
      <c r="AB2365" s="92">
        <f>+(U2365)*Y2365*P2365</f>
        <v>0</v>
      </c>
      <c r="AC2365" s="93">
        <f>+AB2365-Z2365</f>
        <v>0</v>
      </c>
      <c r="AD2365" s="94"/>
      <c r="AE2365" s="410" t="str">
        <f>+IF(V2365=0,"CERO","NO")</f>
        <v>CERO</v>
      </c>
    </row>
    <row r="2366" spans="3:31" s="260" customFormat="1" ht="15.75" thickBot="1" x14ac:dyDescent="0.3">
      <c r="C2366" s="84"/>
      <c r="D2366" s="375" t="s">
        <v>128</v>
      </c>
      <c r="E2366" s="376" t="s">
        <v>129</v>
      </c>
      <c r="F2366" s="376" t="s">
        <v>130</v>
      </c>
      <c r="G2366" s="376" t="s">
        <v>131</v>
      </c>
      <c r="H2366" s="376" t="s">
        <v>132</v>
      </c>
      <c r="I2366" s="376" t="s">
        <v>133</v>
      </c>
      <c r="J2366" s="377" t="s">
        <v>134</v>
      </c>
      <c r="K2366" s="88"/>
      <c r="M2366" s="534"/>
      <c r="N2366" s="536" t="s">
        <v>120</v>
      </c>
      <c r="O2366" s="536"/>
      <c r="P2366" s="536"/>
      <c r="Q2366" s="536"/>
      <c r="R2366" s="536"/>
      <c r="S2366" s="536"/>
      <c r="T2366" s="536"/>
      <c r="U2366" s="536"/>
      <c r="V2366" s="82">
        <f>+SUM(V2363:V2365)</f>
        <v>4781.9714285714281</v>
      </c>
      <c r="Y2366" s="398" t="s">
        <v>135</v>
      </c>
      <c r="Z2366" s="397">
        <f>+SUM(Z2363:Z2365)</f>
        <v>167368.99999999997</v>
      </c>
      <c r="AA2366" s="86"/>
      <c r="AB2366" s="384"/>
      <c r="AC2366" s="385"/>
      <c r="AD2366" s="94"/>
      <c r="AE2366" s="399"/>
    </row>
    <row r="2367" spans="3:31" s="260" customFormat="1" ht="15.75" thickBot="1" x14ac:dyDescent="0.3">
      <c r="C2367" s="84"/>
      <c r="D2367" s="354"/>
      <c r="E2367" s="96"/>
      <c r="F2367" s="96"/>
      <c r="G2367" s="107">
        <f>+F2360</f>
        <v>2.38</v>
      </c>
      <c r="H2367" s="96"/>
      <c r="I2367" s="96"/>
      <c r="J2367" s="427"/>
      <c r="K2367" s="88"/>
      <c r="M2367" s="535"/>
      <c r="N2367" s="537" t="s">
        <v>121</v>
      </c>
      <c r="O2367" s="537"/>
      <c r="P2367" s="537"/>
      <c r="Q2367" s="537"/>
      <c r="R2367" s="537"/>
      <c r="S2367" s="537"/>
      <c r="T2367" s="537"/>
      <c r="U2367" s="537"/>
      <c r="V2367" s="413">
        <f>+ROUND(V2366,$AA$5)</f>
        <v>4781.97</v>
      </c>
      <c r="Y2367" s="401" t="s">
        <v>136</v>
      </c>
      <c r="Z2367" s="402">
        <f>+ROUND(Z2366,$AA$5)</f>
        <v>167369</v>
      </c>
      <c r="AA2367" s="86"/>
      <c r="AB2367" s="403">
        <f>+V2367*Y2333</f>
        <v>167368.95000000001</v>
      </c>
      <c r="AC2367" s="404">
        <f>+AB2367-Z2367</f>
        <v>-4.9999999988358468E-2</v>
      </c>
      <c r="AD2367" s="94"/>
      <c r="AE2367" s="405"/>
    </row>
    <row r="2368" spans="3:31" s="260" customFormat="1" ht="15.75" thickBot="1" x14ac:dyDescent="0.3">
      <c r="C2368" s="84"/>
      <c r="D2368" s="375" t="s">
        <v>128</v>
      </c>
      <c r="E2368" s="376" t="s">
        <v>129</v>
      </c>
      <c r="F2368" s="376" t="s">
        <v>130</v>
      </c>
      <c r="G2368" s="376" t="s">
        <v>131</v>
      </c>
      <c r="H2368" s="376" t="s">
        <v>132</v>
      </c>
      <c r="I2368" s="376" t="s">
        <v>133</v>
      </c>
      <c r="J2368" s="377" t="s">
        <v>134</v>
      </c>
      <c r="K2368" s="88"/>
      <c r="M2368" s="541"/>
      <c r="N2368" s="542"/>
      <c r="O2368" s="542"/>
      <c r="P2368" s="542"/>
      <c r="Q2368" s="542"/>
      <c r="R2368" s="542"/>
      <c r="S2368" s="542"/>
      <c r="T2368" s="542"/>
      <c r="U2368" s="542"/>
      <c r="V2368" s="543"/>
      <c r="Y2368" s="378"/>
      <c r="Z2368" s="121"/>
      <c r="AA2368" s="86"/>
      <c r="AB2368" s="409"/>
      <c r="AC2368" s="121"/>
      <c r="AD2368" s="94"/>
      <c r="AE2368" s="428"/>
    </row>
    <row r="2369" spans="3:31" s="260" customFormat="1" ht="15.75" thickBot="1" x14ac:dyDescent="0.3">
      <c r="C2369" s="84"/>
      <c r="D2369" s="355"/>
      <c r="E2369" s="367"/>
      <c r="F2369" s="367"/>
      <c r="G2369" s="367"/>
      <c r="H2369" s="412">
        <f>G2367</f>
        <v>2.38</v>
      </c>
      <c r="I2369" s="412"/>
      <c r="J2369" s="422"/>
      <c r="K2369" s="88"/>
      <c r="M2369" s="544" t="s">
        <v>122</v>
      </c>
      <c r="N2369" s="537"/>
      <c r="O2369" s="537"/>
      <c r="P2369" s="537"/>
      <c r="Q2369" s="537"/>
      <c r="R2369" s="537"/>
      <c r="S2369" s="537"/>
      <c r="T2369" s="537"/>
      <c r="U2369" s="545">
        <f>+V2367+V2360+V2352+V2343</f>
        <v>8370.61</v>
      </c>
      <c r="V2369" s="546"/>
      <c r="Y2369" s="429"/>
      <c r="Z2369" s="430">
        <f>+Z2367+Z2360+Z2352+Z2343</f>
        <v>292971.28000000003</v>
      </c>
      <c r="AA2369" s="86"/>
      <c r="AB2369" s="431">
        <f>+AB2367+AB2360+AB2352+AB2343</f>
        <v>292971.35000000003</v>
      </c>
      <c r="AC2369" s="404">
        <f>+AB2369-Z2369</f>
        <v>7.0000000006984919E-2</v>
      </c>
      <c r="AD2369" s="94"/>
      <c r="AE2369" s="432"/>
    </row>
    <row r="2370" spans="3:31" s="260" customFormat="1" ht="15.75" thickBot="1" x14ac:dyDescent="0.3"/>
    <row r="2371" spans="3:31" s="260" customFormat="1" x14ac:dyDescent="0.25">
      <c r="M2371" s="547" t="s">
        <v>348</v>
      </c>
      <c r="N2371" s="548"/>
      <c r="O2371" s="548"/>
      <c r="P2371" s="548"/>
      <c r="Q2371" s="548"/>
      <c r="R2371" s="548"/>
      <c r="S2371" s="548"/>
      <c r="T2371" s="548"/>
      <c r="U2371" s="548"/>
      <c r="V2371" s="549"/>
      <c r="Y2371" s="378"/>
      <c r="Z2371" s="121"/>
      <c r="AA2371" s="86"/>
      <c r="AB2371" s="94"/>
      <c r="AC2371" s="94"/>
      <c r="AD2371" s="94"/>
      <c r="AE2371" s="126" t="s">
        <v>133</v>
      </c>
    </row>
    <row r="2372" spans="3:31" s="260" customFormat="1" x14ac:dyDescent="0.25">
      <c r="M2372" s="515" t="s">
        <v>138</v>
      </c>
      <c r="N2372" s="516"/>
      <c r="O2372" s="516"/>
      <c r="P2372" s="516"/>
      <c r="Q2372" s="516"/>
      <c r="R2372" s="516"/>
      <c r="S2372" s="516"/>
      <c r="T2372" s="437">
        <v>0</v>
      </c>
      <c r="U2372" s="517">
        <f>+ROUND(U2369*T2372,$AA$5)</f>
        <v>0</v>
      </c>
      <c r="V2372" s="518"/>
      <c r="Y2372" s="390"/>
      <c r="Z2372" s="438">
        <f>+Z2369*T2372</f>
        <v>0</v>
      </c>
      <c r="AA2372" s="86"/>
      <c r="AB2372" s="94"/>
      <c r="AC2372" s="94"/>
      <c r="AD2372" s="94"/>
      <c r="AE2372" s="386" t="s">
        <v>133</v>
      </c>
    </row>
    <row r="2373" spans="3:31" s="260" customFormat="1" x14ac:dyDescent="0.25">
      <c r="M2373" s="515" t="s">
        <v>19</v>
      </c>
      <c r="N2373" s="516"/>
      <c r="O2373" s="516"/>
      <c r="P2373" s="516"/>
      <c r="Q2373" s="516"/>
      <c r="R2373" s="516"/>
      <c r="S2373" s="516"/>
      <c r="T2373" s="437">
        <v>0.05</v>
      </c>
      <c r="U2373" s="517">
        <f>+ROUND(U2369*T2373,$AA$5)</f>
        <v>418.53</v>
      </c>
      <c r="V2373" s="518"/>
      <c r="Y2373" s="390"/>
      <c r="Z2373" s="438">
        <f>+Z2369*T2373</f>
        <v>14648.564000000002</v>
      </c>
      <c r="AA2373" s="86"/>
      <c r="AB2373" s="94"/>
      <c r="AC2373" s="94"/>
      <c r="AD2373" s="94"/>
      <c r="AE2373" s="386" t="s">
        <v>133</v>
      </c>
    </row>
    <row r="2374" spans="3:31" s="260" customFormat="1" x14ac:dyDescent="0.25">
      <c r="M2374" s="515" t="s">
        <v>20</v>
      </c>
      <c r="N2374" s="516"/>
      <c r="O2374" s="516"/>
      <c r="P2374" s="516"/>
      <c r="Q2374" s="516"/>
      <c r="R2374" s="516"/>
      <c r="S2374" s="516"/>
      <c r="T2374" s="437">
        <v>0</v>
      </c>
      <c r="U2374" s="517">
        <f>+ROUND(U2369*T2374,$AA$5)</f>
        <v>0</v>
      </c>
      <c r="V2374" s="518"/>
      <c r="Y2374" s="390"/>
      <c r="Z2374" s="438">
        <f>+Z2369*T2374</f>
        <v>0</v>
      </c>
      <c r="AA2374" s="86"/>
      <c r="AB2374" s="94"/>
      <c r="AC2374" s="94"/>
      <c r="AD2374" s="94"/>
      <c r="AE2374" s="386" t="s">
        <v>133</v>
      </c>
    </row>
    <row r="2375" spans="3:31" s="260" customFormat="1" x14ac:dyDescent="0.25">
      <c r="M2375" s="515" t="s">
        <v>21</v>
      </c>
      <c r="N2375" s="516"/>
      <c r="O2375" s="516"/>
      <c r="P2375" s="516"/>
      <c r="Q2375" s="516"/>
      <c r="R2375" s="516"/>
      <c r="S2375" s="516"/>
      <c r="T2375" s="437">
        <f>$AA$9</f>
        <v>0</v>
      </c>
      <c r="U2375" s="517">
        <f>+ROUND(U2369*T2375,$AA$5)</f>
        <v>0</v>
      </c>
      <c r="V2375" s="518"/>
      <c r="Y2375" s="390"/>
      <c r="Z2375" s="438">
        <f>+Z2374*T2375</f>
        <v>0</v>
      </c>
      <c r="AA2375" s="86"/>
      <c r="AB2375" s="94"/>
      <c r="AC2375" s="94"/>
      <c r="AD2375" s="94"/>
      <c r="AE2375" s="386" t="s">
        <v>133</v>
      </c>
    </row>
    <row r="2376" spans="3:31" s="260" customFormat="1" ht="15.75" thickBot="1" x14ac:dyDescent="0.3">
      <c r="M2376" s="519" t="s">
        <v>349</v>
      </c>
      <c r="N2376" s="520"/>
      <c r="O2376" s="520"/>
      <c r="P2376" s="520"/>
      <c r="Q2376" s="520"/>
      <c r="R2376" s="520"/>
      <c r="S2376" s="520"/>
      <c r="T2376" s="520"/>
      <c r="U2376" s="521">
        <f>+SUM(U2372:V2375)</f>
        <v>418.53</v>
      </c>
      <c r="V2376" s="522"/>
      <c r="Y2376" s="390"/>
      <c r="Z2376" s="439">
        <f>+SUM(Z2372:Z2375)</f>
        <v>14648.564000000002</v>
      </c>
      <c r="AA2376" s="86"/>
      <c r="AB2376" s="94"/>
      <c r="AC2376" s="94"/>
      <c r="AD2376" s="94"/>
      <c r="AE2376" s="386" t="s">
        <v>133</v>
      </c>
    </row>
    <row r="2377" spans="3:31" s="260" customFormat="1" ht="15.75" thickBot="1" x14ac:dyDescent="0.3">
      <c r="D2377" s="375" t="s">
        <v>128</v>
      </c>
      <c r="E2377" s="376" t="s">
        <v>129</v>
      </c>
      <c r="F2377" s="376" t="s">
        <v>130</v>
      </c>
      <c r="G2377" s="376" t="s">
        <v>131</v>
      </c>
      <c r="H2377" s="376" t="s">
        <v>132</v>
      </c>
      <c r="I2377" s="376" t="s">
        <v>133</v>
      </c>
      <c r="J2377" s="377" t="s">
        <v>134</v>
      </c>
      <c r="M2377" s="86"/>
      <c r="N2377" s="94"/>
      <c r="O2377" s="94"/>
      <c r="P2377" s="94"/>
      <c r="Q2377" s="86"/>
      <c r="R2377" s="86"/>
      <c r="S2377" s="86"/>
      <c r="T2377" s="440"/>
      <c r="U2377" s="523"/>
      <c r="V2377" s="523"/>
      <c r="Y2377" s="390"/>
      <c r="Z2377" s="385"/>
      <c r="AA2377" s="86"/>
      <c r="AB2377" s="94"/>
      <c r="AC2377" s="94"/>
      <c r="AD2377" s="94"/>
      <c r="AE2377" s="386" t="s">
        <v>133</v>
      </c>
    </row>
    <row r="2378" spans="3:31" s="260" customFormat="1" ht="15.75" thickBot="1" x14ac:dyDescent="0.3">
      <c r="D2378" s="355"/>
      <c r="E2378" s="367"/>
      <c r="F2378" s="367"/>
      <c r="G2378" s="367"/>
      <c r="H2378" s="412"/>
      <c r="I2378" s="412">
        <f>H2369</f>
        <v>2.38</v>
      </c>
      <c r="J2378" s="422"/>
      <c r="M2378" s="524" t="s">
        <v>11</v>
      </c>
      <c r="N2378" s="525"/>
      <c r="O2378" s="525"/>
      <c r="P2378" s="525"/>
      <c r="Q2378" s="525"/>
      <c r="R2378" s="525"/>
      <c r="S2378" s="525"/>
      <c r="T2378" s="526"/>
      <c r="U2378" s="527">
        <f>+U2376+U2369</f>
        <v>8789.1400000000012</v>
      </c>
      <c r="V2378" s="528"/>
      <c r="Y2378" s="429"/>
      <c r="Z2378" s="441">
        <f>+Z2376+Z2369</f>
        <v>307619.84400000004</v>
      </c>
      <c r="AA2378" s="86"/>
      <c r="AB2378" s="94"/>
      <c r="AC2378" s="94"/>
      <c r="AD2378" s="94"/>
      <c r="AE2378" s="405" t="s">
        <v>133</v>
      </c>
    </row>
    <row r="2379" spans="3:31" s="260" customFormat="1" x14ac:dyDescent="0.25"/>
    <row r="2380" spans="3:31" s="260" customFormat="1" ht="15.75" thickBot="1" x14ac:dyDescent="0.3"/>
    <row r="2381" spans="3:31" s="260" customFormat="1" ht="15.75" thickBot="1" x14ac:dyDescent="0.3">
      <c r="M2381" s="363" t="s">
        <v>88</v>
      </c>
      <c r="N2381" s="436" t="str">
        <f>+N2332</f>
        <v>CAP.2</v>
      </c>
      <c r="O2381" s="550" t="str">
        <f>IFERROR(VLOOKUP(N2381,PPTO!C:H,2,0),"----")</f>
        <v>RED HIDRAULICA</v>
      </c>
      <c r="P2381" s="551"/>
      <c r="Q2381" s="551"/>
      <c r="R2381" s="551"/>
      <c r="S2381" s="551"/>
      <c r="T2381" s="551"/>
      <c r="U2381" s="552"/>
      <c r="V2381" s="74" t="s">
        <v>91</v>
      </c>
      <c r="Y2381" s="365" t="s">
        <v>104</v>
      </c>
      <c r="Z2381" s="94"/>
      <c r="AA2381" s="188"/>
      <c r="AB2381" s="553"/>
      <c r="AC2381" s="553"/>
      <c r="AD2381" s="553"/>
      <c r="AE2381" s="94"/>
    </row>
    <row r="2382" spans="3:31" s="260" customFormat="1" ht="15.75" thickBot="1" x14ac:dyDescent="0.3">
      <c r="C2382" s="369">
        <f>+N2382</f>
        <v>2.39</v>
      </c>
      <c r="D2382" s="86"/>
      <c r="E2382" s="86"/>
      <c r="F2382" s="86"/>
      <c r="G2382" s="86"/>
      <c r="H2382" s="86"/>
      <c r="I2382" s="86"/>
      <c r="J2382" s="86"/>
      <c r="K2382" s="370"/>
      <c r="M2382" s="75" t="s">
        <v>92</v>
      </c>
      <c r="N2382" s="371">
        <f>+ROUNDUP(N2333+0.01,2)</f>
        <v>2.39</v>
      </c>
      <c r="O2382" s="554" t="str">
        <f>IFERROR(VLOOKUP(N2382,PPTO!C:H,2,0),"----")</f>
        <v>Suministro e instalacion de equipo de bombeo (bombas de alta presión con motor eléctrico 7,5 HP y hidroacumulador HI PRESS 750 Litros)</v>
      </c>
      <c r="P2382" s="555"/>
      <c r="Q2382" s="555"/>
      <c r="R2382" s="555"/>
      <c r="S2382" s="555"/>
      <c r="T2382" s="555"/>
      <c r="U2382" s="556"/>
      <c r="V2382" s="76" t="str">
        <f>IFERROR(VLOOKUP(N2382,PPTO!C:H,3,0),"----")</f>
        <v>UND</v>
      </c>
      <c r="Y2382" s="373">
        <f>SUMIFS(PPTO!F:F,PPTO!C:C,APUS!N2382)</f>
        <v>1</v>
      </c>
      <c r="Z2382" s="94"/>
      <c r="AA2382" s="86"/>
      <c r="AB2382" s="94"/>
      <c r="AC2382" s="94"/>
      <c r="AD2382" s="94"/>
      <c r="AE2382" s="94"/>
    </row>
    <row r="2383" spans="3:31" s="260" customFormat="1" ht="15.75" thickBot="1" x14ac:dyDescent="0.3">
      <c r="C2383" s="84"/>
      <c r="D2383" s="86"/>
      <c r="E2383" s="86"/>
      <c r="F2383" s="86"/>
      <c r="G2383" s="86"/>
      <c r="H2383" s="86"/>
      <c r="I2383" s="86"/>
      <c r="J2383" s="86"/>
      <c r="K2383" s="88"/>
      <c r="M2383" s="557"/>
      <c r="N2383" s="557"/>
      <c r="O2383" s="557"/>
      <c r="P2383" s="557"/>
      <c r="Q2383" s="557"/>
      <c r="R2383" s="557"/>
      <c r="S2383" s="557"/>
      <c r="T2383" s="557"/>
      <c r="U2383" s="557"/>
      <c r="V2383" s="557"/>
      <c r="Y2383" s="374"/>
      <c r="Z2383" s="94"/>
      <c r="AA2383" s="86"/>
      <c r="AB2383" s="94"/>
      <c r="AC2383" s="94"/>
      <c r="AD2383" s="94"/>
      <c r="AE2383" s="94"/>
    </row>
    <row r="2384" spans="3:31" s="260" customFormat="1" ht="15.75" thickBot="1" x14ac:dyDescent="0.3">
      <c r="C2384" s="84"/>
      <c r="D2384" s="375" t="s">
        <v>128</v>
      </c>
      <c r="E2384" s="376" t="s">
        <v>129</v>
      </c>
      <c r="F2384" s="376" t="s">
        <v>130</v>
      </c>
      <c r="G2384" s="376" t="s">
        <v>131</v>
      </c>
      <c r="H2384" s="376" t="s">
        <v>132</v>
      </c>
      <c r="I2384" s="376" t="s">
        <v>133</v>
      </c>
      <c r="J2384" s="377" t="s">
        <v>134</v>
      </c>
      <c r="K2384" s="88"/>
      <c r="M2384" s="558" t="s">
        <v>93</v>
      </c>
      <c r="N2384" s="559"/>
      <c r="O2384" s="559"/>
      <c r="P2384" s="559"/>
      <c r="Q2384" s="559"/>
      <c r="R2384" s="559"/>
      <c r="S2384" s="559"/>
      <c r="T2384" s="559"/>
      <c r="U2384" s="559"/>
      <c r="V2384" s="560"/>
      <c r="Y2384" s="378"/>
      <c r="Z2384" s="121"/>
      <c r="AA2384" s="86"/>
      <c r="AB2384" s="513"/>
      <c r="AC2384" s="514"/>
      <c r="AD2384" s="94"/>
      <c r="AE2384" s="379"/>
    </row>
    <row r="2385" spans="3:31" s="260" customFormat="1" x14ac:dyDescent="0.25">
      <c r="C2385" s="84"/>
      <c r="D2385" s="380"/>
      <c r="E2385" s="381"/>
      <c r="F2385" s="381"/>
      <c r="G2385" s="381"/>
      <c r="H2385" s="381"/>
      <c r="I2385" s="381"/>
      <c r="J2385" s="382"/>
      <c r="K2385" s="88"/>
      <c r="M2385" s="99" t="s">
        <v>94</v>
      </c>
      <c r="N2385" s="561" t="s">
        <v>95</v>
      </c>
      <c r="O2385" s="561"/>
      <c r="P2385" s="561"/>
      <c r="Q2385" s="561"/>
      <c r="R2385" s="95" t="s">
        <v>96</v>
      </c>
      <c r="S2385" s="95" t="s">
        <v>97</v>
      </c>
      <c r="T2385" s="562" t="s">
        <v>8</v>
      </c>
      <c r="U2385" s="562"/>
      <c r="V2385" s="100" t="s">
        <v>98</v>
      </c>
      <c r="Y2385" s="383" t="s">
        <v>104</v>
      </c>
      <c r="Z2385" s="119" t="s">
        <v>9</v>
      </c>
      <c r="AA2385" s="86"/>
      <c r="AB2385" s="384"/>
      <c r="AC2385" s="385"/>
      <c r="AD2385" s="94"/>
      <c r="AE2385" s="386"/>
    </row>
    <row r="2386" spans="3:31" s="260" customFormat="1" x14ac:dyDescent="0.25">
      <c r="C2386" s="84"/>
      <c r="D2386" s="85"/>
      <c r="E2386" s="86"/>
      <c r="F2386" s="86"/>
      <c r="G2386" s="86"/>
      <c r="H2386" s="86"/>
      <c r="I2386" s="86"/>
      <c r="J2386" s="87"/>
      <c r="K2386" s="88"/>
      <c r="M2386" s="102"/>
      <c r="N2386" s="533" t="s">
        <v>99</v>
      </c>
      <c r="O2386" s="533"/>
      <c r="P2386" s="533"/>
      <c r="Q2386" s="533"/>
      <c r="R2386" s="78" t="s">
        <v>100</v>
      </c>
      <c r="S2386" s="387">
        <f>+$AA$10</f>
        <v>0.05</v>
      </c>
      <c r="T2386" s="563">
        <f>V2416</f>
        <v>875721.57</v>
      </c>
      <c r="U2386" s="563"/>
      <c r="V2386" s="389">
        <f>+IFERROR(T2386*S2386,0)</f>
        <v>43786.078500000003</v>
      </c>
      <c r="Y2386" s="390"/>
      <c r="Z2386" s="391">
        <f>Y2382*V2386</f>
        <v>43786.078500000003</v>
      </c>
      <c r="AA2386" s="86"/>
      <c r="AB2386" s="384"/>
      <c r="AC2386" s="385"/>
      <c r="AD2386" s="94"/>
      <c r="AE2386" s="386" t="str">
        <f>+IF(V2386=0,"CERO","NO")</f>
        <v>NO</v>
      </c>
    </row>
    <row r="2387" spans="3:31" s="260" customFormat="1" ht="15.75" thickBot="1" x14ac:dyDescent="0.3">
      <c r="C2387" s="84"/>
      <c r="D2387" s="85"/>
      <c r="E2387" s="86"/>
      <c r="F2387" s="86"/>
      <c r="G2387" s="86"/>
      <c r="H2387" s="86"/>
      <c r="I2387" s="86"/>
      <c r="J2387" s="87"/>
      <c r="K2387" s="88"/>
      <c r="M2387" s="106"/>
      <c r="N2387" s="533" t="str">
        <f>IFERROR(VLOOKUP(M2387,INSUMOS!$C$8:$K$928,2,0),"-----")</f>
        <v>-----</v>
      </c>
      <c r="O2387" s="533"/>
      <c r="P2387" s="533"/>
      <c r="Q2387" s="533"/>
      <c r="R2387" s="78" t="str">
        <f>IFERROR(VLOOKUP(M2387,INSUMOS!$C$8:$K$928,6,0),"-----")</f>
        <v>-----</v>
      </c>
      <c r="S2387" s="392"/>
      <c r="T2387" s="529" t="str">
        <f>IFERROR(VLOOKUP(M2387,INSUMOS!$C$8:$K$928,7,0),"0")</f>
        <v>0</v>
      </c>
      <c r="U2387" s="529"/>
      <c r="V2387" s="389">
        <f>+IFERROR(T2387*S2387,0)</f>
        <v>0</v>
      </c>
      <c r="Y2387" s="393">
        <f>+IFERROR(Y2382*S2387,0)</f>
        <v>0</v>
      </c>
      <c r="Z2387" s="391">
        <f>Y2382*V2387</f>
        <v>0</v>
      </c>
      <c r="AA2387" s="394"/>
      <c r="AB2387" s="395">
        <f>+Y2387*T2387</f>
        <v>0</v>
      </c>
      <c r="AC2387" s="93">
        <f>+AB2387-Z2387</f>
        <v>0</v>
      </c>
      <c r="AD2387" s="94"/>
      <c r="AE2387" s="386" t="str">
        <f>+IF(V2387=0,"CERO","NO")</f>
        <v>CERO</v>
      </c>
    </row>
    <row r="2388" spans="3:31" s="260" customFormat="1" ht="15.75" thickBot="1" x14ac:dyDescent="0.3">
      <c r="C2388" s="84"/>
      <c r="D2388" s="375" t="s">
        <v>128</v>
      </c>
      <c r="E2388" s="376" t="s">
        <v>129</v>
      </c>
      <c r="F2388" s="376" t="s">
        <v>130</v>
      </c>
      <c r="G2388" s="376" t="s">
        <v>131</v>
      </c>
      <c r="H2388" s="376" t="s">
        <v>132</v>
      </c>
      <c r="I2388" s="376" t="s">
        <v>133</v>
      </c>
      <c r="J2388" s="377" t="s">
        <v>134</v>
      </c>
      <c r="K2388" s="88"/>
      <c r="M2388" s="534"/>
      <c r="N2388" s="536" t="s">
        <v>101</v>
      </c>
      <c r="O2388" s="536"/>
      <c r="P2388" s="536"/>
      <c r="Q2388" s="536"/>
      <c r="R2388" s="536"/>
      <c r="S2388" s="536"/>
      <c r="T2388" s="536"/>
      <c r="U2388" s="536"/>
      <c r="V2388" s="389">
        <f>+SUM(V2386:V2387)</f>
        <v>43786.078500000003</v>
      </c>
      <c r="Y2388" s="398" t="s">
        <v>135</v>
      </c>
      <c r="Z2388" s="397">
        <f>+SUM(Z2386:Z2387)</f>
        <v>43786.078500000003</v>
      </c>
      <c r="AA2388" s="86"/>
      <c r="AB2388" s="384"/>
      <c r="AC2388" s="385"/>
      <c r="AD2388" s="94"/>
      <c r="AE2388" s="399"/>
    </row>
    <row r="2389" spans="3:31" s="260" customFormat="1" ht="15.75" thickBot="1" x14ac:dyDescent="0.3">
      <c r="C2389" s="84"/>
      <c r="D2389" s="375">
        <f>C2382</f>
        <v>2.39</v>
      </c>
      <c r="E2389" s="376"/>
      <c r="F2389" s="376"/>
      <c r="G2389" s="376"/>
      <c r="H2389" s="376"/>
      <c r="I2389" s="376"/>
      <c r="J2389" s="377"/>
      <c r="K2389" s="88"/>
      <c r="M2389" s="566"/>
      <c r="N2389" s="567" t="s">
        <v>102</v>
      </c>
      <c r="O2389" s="567"/>
      <c r="P2389" s="567"/>
      <c r="Q2389" s="567"/>
      <c r="R2389" s="567"/>
      <c r="S2389" s="567"/>
      <c r="T2389" s="567"/>
      <c r="U2389" s="567"/>
      <c r="V2389" s="400">
        <f>+ROUND(V2388,$AA$5)</f>
        <v>43786.080000000002</v>
      </c>
      <c r="Y2389" s="401" t="s">
        <v>136</v>
      </c>
      <c r="Z2389" s="402">
        <f>+ROUND(Z2388,$AA$5)</f>
        <v>43786.080000000002</v>
      </c>
      <c r="AA2389" s="86"/>
      <c r="AB2389" s="403">
        <f>+V2389*Y2382</f>
        <v>43786.080000000002</v>
      </c>
      <c r="AC2389" s="404">
        <f>+AB2389-Z2389</f>
        <v>0</v>
      </c>
      <c r="AD2389" s="94"/>
      <c r="AE2389" s="405"/>
    </row>
    <row r="2390" spans="3:31" s="260" customFormat="1" x14ac:dyDescent="0.25">
      <c r="C2390" s="84"/>
      <c r="D2390" s="380"/>
      <c r="E2390" s="381"/>
      <c r="F2390" s="381"/>
      <c r="G2390" s="381"/>
      <c r="H2390" s="381"/>
      <c r="I2390" s="381"/>
      <c r="J2390" s="382"/>
      <c r="K2390" s="88"/>
      <c r="M2390" s="510" t="s">
        <v>103</v>
      </c>
      <c r="N2390" s="511"/>
      <c r="O2390" s="511"/>
      <c r="P2390" s="511"/>
      <c r="Q2390" s="511"/>
      <c r="R2390" s="511"/>
      <c r="S2390" s="511"/>
      <c r="T2390" s="511"/>
      <c r="U2390" s="511"/>
      <c r="V2390" s="512"/>
      <c r="Y2390" s="378"/>
      <c r="Z2390" s="121"/>
      <c r="AA2390" s="86"/>
      <c r="AB2390" s="513"/>
      <c r="AC2390" s="514"/>
      <c r="AD2390" s="94"/>
      <c r="AE2390" s="126"/>
    </row>
    <row r="2391" spans="3:31" s="260" customFormat="1" x14ac:dyDescent="0.25">
      <c r="C2391" s="84"/>
      <c r="D2391" s="85"/>
      <c r="E2391" s="86"/>
      <c r="F2391" s="86"/>
      <c r="G2391" s="86"/>
      <c r="H2391" s="86"/>
      <c r="I2391" s="86"/>
      <c r="J2391" s="87"/>
      <c r="K2391" s="88"/>
      <c r="M2391" s="99" t="s">
        <v>94</v>
      </c>
      <c r="N2391" s="561" t="s">
        <v>95</v>
      </c>
      <c r="O2391" s="561"/>
      <c r="P2391" s="561"/>
      <c r="Q2391" s="561"/>
      <c r="R2391" s="95" t="s">
        <v>96</v>
      </c>
      <c r="S2391" s="95" t="s">
        <v>104</v>
      </c>
      <c r="T2391" s="356" t="s">
        <v>105</v>
      </c>
      <c r="U2391" s="356" t="s">
        <v>8</v>
      </c>
      <c r="V2391" s="100" t="s">
        <v>98</v>
      </c>
      <c r="Y2391" s="383" t="s">
        <v>104</v>
      </c>
      <c r="Z2391" s="119" t="s">
        <v>9</v>
      </c>
      <c r="AA2391" s="86"/>
      <c r="AB2391" s="384"/>
      <c r="AC2391" s="385"/>
      <c r="AD2391" s="94"/>
      <c r="AE2391" s="406"/>
    </row>
    <row r="2392" spans="3:31" s="260" customFormat="1" x14ac:dyDescent="0.25">
      <c r="C2392" s="84"/>
      <c r="D2392" s="85"/>
      <c r="E2392" s="86"/>
      <c r="F2392" s="86"/>
      <c r="G2392" s="86"/>
      <c r="H2392" s="86"/>
      <c r="I2392" s="86"/>
      <c r="J2392" s="87"/>
      <c r="K2392" s="88"/>
      <c r="M2392" s="102">
        <v>730</v>
      </c>
      <c r="N2392" s="533" t="str">
        <f>IFERROR(VLOOKUP(M2392,INSUMOS!$C$8:$K$928,2,0),"-----")</f>
        <v xml:space="preserve">BOMBA DE ALTA PRESIÓN CON MOTOR ELÉCTRICO 7,5 HP </v>
      </c>
      <c r="O2392" s="533"/>
      <c r="P2392" s="533"/>
      <c r="Q2392" s="533"/>
      <c r="R2392" s="78" t="str">
        <f>IFERROR(VLOOKUP(M2392,INSUMOS!$C$8:$K$928,6,0),"-----")</f>
        <v>und</v>
      </c>
      <c r="S2392" s="396">
        <v>2</v>
      </c>
      <c r="T2392" s="387">
        <v>0</v>
      </c>
      <c r="U2392" s="388">
        <f>IFERROR(VLOOKUP(M2392,INSUMOS!$C$8:$K$928,7,0),"0")</f>
        <v>5101530</v>
      </c>
      <c r="V2392" s="389">
        <f>+IFERROR(U2392*(S2392*(1+T2392)),0)</f>
        <v>10203060</v>
      </c>
      <c r="Y2392" s="393">
        <f>+IFERROR($Y$2382*(S2392*(1+T2392)),0)</f>
        <v>2</v>
      </c>
      <c r="Z2392" s="391">
        <f>$Y$2382*V2392</f>
        <v>10203060</v>
      </c>
      <c r="AA2392" s="394"/>
      <c r="AB2392" s="395">
        <f>+Y2392*U2392</f>
        <v>10203060</v>
      </c>
      <c r="AC2392" s="93">
        <f>+AB2392-Z2392</f>
        <v>0</v>
      </c>
      <c r="AD2392" s="94"/>
      <c r="AE2392" s="406" t="str">
        <f>+IF(V2392=0,"CERO","NO")</f>
        <v>NO</v>
      </c>
    </row>
    <row r="2393" spans="3:31" s="260" customFormat="1" x14ac:dyDescent="0.25">
      <c r="C2393" s="84"/>
      <c r="D2393" s="85"/>
      <c r="E2393" s="86"/>
      <c r="F2393" s="86"/>
      <c r="G2393" s="86"/>
      <c r="H2393" s="86"/>
      <c r="I2393" s="86"/>
      <c r="J2393" s="87"/>
      <c r="K2393" s="88"/>
      <c r="M2393" s="102">
        <v>825</v>
      </c>
      <c r="N2393" s="533" t="str">
        <f>IFERROR(VLOOKUP(M2393,INSUMOS!$C$8:$K$928,2,0),"-----")</f>
        <v>ADAPTADOR 2" BRIDA x UNIVERSAL</v>
      </c>
      <c r="O2393" s="533"/>
      <c r="P2393" s="533"/>
      <c r="Q2393" s="533"/>
      <c r="R2393" s="78" t="str">
        <f>IFERROR(VLOOKUP(M2393,INSUMOS!$C$8:$K$928,6,0),"-----")</f>
        <v>und</v>
      </c>
      <c r="S2393" s="396">
        <v>2</v>
      </c>
      <c r="T2393" s="387">
        <v>0</v>
      </c>
      <c r="U2393" s="388">
        <f>IFERROR(VLOOKUP(M2393,INSUMOS!$C$8:$K$928,7,0),"0")</f>
        <v>145180</v>
      </c>
      <c r="V2393" s="389">
        <f>+IFERROR(U2393*(S2393*(1+T2393)),0)</f>
        <v>290360</v>
      </c>
      <c r="Y2393" s="393">
        <f t="shared" ref="Y2393:Y2403" si="12">+IFERROR($Y$2382*(S2393*(1+T2393)),0)</f>
        <v>2</v>
      </c>
      <c r="Z2393" s="391">
        <f t="shared" ref="Z2393:Z2403" si="13">$Y$2382*V2393</f>
        <v>290360</v>
      </c>
      <c r="AA2393" s="394"/>
      <c r="AB2393" s="395">
        <f>+Y2393*U2393</f>
        <v>290360</v>
      </c>
      <c r="AC2393" s="93">
        <f>+AB2393-Z2393</f>
        <v>0</v>
      </c>
      <c r="AD2393" s="94"/>
      <c r="AE2393" s="406" t="str">
        <f>+IF(V2393=0,"CERO","NO")</f>
        <v>NO</v>
      </c>
    </row>
    <row r="2394" spans="3:31" s="260" customFormat="1" x14ac:dyDescent="0.25">
      <c r="C2394" s="84"/>
      <c r="D2394" s="85"/>
      <c r="E2394" s="86"/>
      <c r="F2394" s="86"/>
      <c r="G2394" s="86"/>
      <c r="H2394" s="86"/>
      <c r="I2394" s="86"/>
      <c r="J2394" s="87"/>
      <c r="K2394" s="88"/>
      <c r="M2394" s="102">
        <v>812</v>
      </c>
      <c r="N2394" s="533" t="str">
        <f>IFERROR(VLOOKUP(M2394,INSUMOS!$C$8:$K$928,2,0),"-----")</f>
        <v>HIDROACUMULADOR HI PRESS 750 LT</v>
      </c>
      <c r="O2394" s="533"/>
      <c r="P2394" s="533"/>
      <c r="Q2394" s="533"/>
      <c r="R2394" s="78" t="str">
        <f>IFERROR(VLOOKUP(M2394,INSUMOS!$C$8:$K$928,6,0),"-----")</f>
        <v>und</v>
      </c>
      <c r="S2394" s="396">
        <v>1</v>
      </c>
      <c r="T2394" s="387">
        <v>0</v>
      </c>
      <c r="U2394" s="388">
        <f>IFERROR(VLOOKUP(M2394,INSUMOS!$C$8:$K$928,7,0),"0")</f>
        <v>7526750</v>
      </c>
      <c r="V2394" s="389">
        <f>+IFERROR(U2394*(S2394*(1+T2394)),0)</f>
        <v>7526750</v>
      </c>
      <c r="Y2394" s="393">
        <f t="shared" si="12"/>
        <v>1</v>
      </c>
      <c r="Z2394" s="391">
        <f t="shared" si="13"/>
        <v>7526750</v>
      </c>
      <c r="AA2394" s="394"/>
      <c r="AB2394" s="395">
        <f>+Y2394*U2394</f>
        <v>7526750</v>
      </c>
      <c r="AC2394" s="93">
        <f>+AB2394-Z2394</f>
        <v>0</v>
      </c>
      <c r="AD2394" s="94"/>
      <c r="AE2394" s="406" t="str">
        <f>+IF(V2394=0,"CERO","NO")</f>
        <v>NO</v>
      </c>
    </row>
    <row r="2395" spans="3:31" s="260" customFormat="1" x14ac:dyDescent="0.25">
      <c r="C2395" s="84"/>
      <c r="D2395" s="85"/>
      <c r="E2395" s="86"/>
      <c r="F2395" s="86"/>
      <c r="G2395" s="86"/>
      <c r="H2395" s="86"/>
      <c r="I2395" s="86"/>
      <c r="J2395" s="87"/>
      <c r="K2395" s="88"/>
      <c r="M2395" s="102">
        <v>890</v>
      </c>
      <c r="N2395" s="533" t="str">
        <f>IFERROR(VLOOKUP(M2395,INSUMOS!$C$8:$K$928,2,0),"-----")</f>
        <v>REDUCCION 3" a 2" EXTREMOS BRIDADOS</v>
      </c>
      <c r="O2395" s="533"/>
      <c r="P2395" s="533"/>
      <c r="Q2395" s="533"/>
      <c r="R2395" s="78" t="str">
        <f>IFERROR(VLOOKUP(M2395,INSUMOS!$C$8:$K$928,6,0),"-----")</f>
        <v>und</v>
      </c>
      <c r="S2395" s="396">
        <v>2</v>
      </c>
      <c r="T2395" s="387">
        <v>0</v>
      </c>
      <c r="U2395" s="388">
        <f>IFERROR(VLOOKUP(M2395,INSUMOS!$C$8:$K$928,7,0),"0")</f>
        <v>229670</v>
      </c>
      <c r="V2395" s="389">
        <f>+IFERROR(U2395*(S2395*(1+T2395)),0)</f>
        <v>459340</v>
      </c>
      <c r="Y2395" s="393">
        <f t="shared" si="12"/>
        <v>2</v>
      </c>
      <c r="Z2395" s="391">
        <f t="shared" si="13"/>
        <v>459340</v>
      </c>
      <c r="AA2395" s="394"/>
      <c r="AB2395" s="395">
        <f>+Y2395*U2395</f>
        <v>459340</v>
      </c>
      <c r="AC2395" s="93">
        <f>+AB2395-Z2395</f>
        <v>0</v>
      </c>
      <c r="AD2395" s="94"/>
      <c r="AE2395" s="406" t="str">
        <f>+IF(V2395=0,"CERO","NO")</f>
        <v>NO</v>
      </c>
    </row>
    <row r="2396" spans="3:31" s="260" customFormat="1" x14ac:dyDescent="0.25">
      <c r="C2396" s="84"/>
      <c r="D2396" s="85"/>
      <c r="E2396" s="86"/>
      <c r="F2396" s="86"/>
      <c r="G2396" s="86"/>
      <c r="H2396" s="86"/>
      <c r="I2396" s="86"/>
      <c r="J2396" s="87"/>
      <c r="K2396" s="88"/>
      <c r="M2396" s="102">
        <v>789</v>
      </c>
      <c r="N2396" s="533" t="str">
        <f>IFERROR(VLOOKUP(M2396,INSUMOS!$C$8:$K$928,2,0),"-----")</f>
        <v>VALVULA DE COMPUERTA ELASTICA BRIDADA 3"</v>
      </c>
      <c r="O2396" s="533"/>
      <c r="P2396" s="533"/>
      <c r="Q2396" s="533"/>
      <c r="R2396" s="78" t="str">
        <f>IFERROR(VLOOKUP(M2396,INSUMOS!$C$8:$K$928,6,0),"-----")</f>
        <v>und</v>
      </c>
      <c r="S2396" s="396">
        <v>4</v>
      </c>
      <c r="T2396" s="387">
        <v>0</v>
      </c>
      <c r="U2396" s="388">
        <f>IFERROR(VLOOKUP(M2396,INSUMOS!$C$8:$K$928,7,0),"0")</f>
        <v>1054340</v>
      </c>
      <c r="V2396" s="389">
        <f t="shared" ref="V2396:V2403" si="14">+IFERROR(U2396*(S2396*(1+T2396)),0)</f>
        <v>4217360</v>
      </c>
      <c r="Y2396" s="393">
        <f t="shared" si="12"/>
        <v>4</v>
      </c>
      <c r="Z2396" s="391">
        <f t="shared" si="13"/>
        <v>4217360</v>
      </c>
      <c r="AA2396" s="394"/>
      <c r="AB2396" s="395">
        <f t="shared" ref="AB2396:AB2400" si="15">+Y2396*U2396</f>
        <v>4217360</v>
      </c>
      <c r="AC2396" s="93">
        <f t="shared" ref="AC2396:AC2400" si="16">+AB2396-Z2396</f>
        <v>0</v>
      </c>
      <c r="AD2396" s="94"/>
      <c r="AE2396" s="406" t="str">
        <f t="shared" ref="AE2396:AE2402" si="17">+IF(V2396=0,"CERO","NO")</f>
        <v>NO</v>
      </c>
    </row>
    <row r="2397" spans="3:31" s="260" customFormat="1" x14ac:dyDescent="0.25">
      <c r="C2397" s="84"/>
      <c r="D2397" s="85"/>
      <c r="E2397" s="86"/>
      <c r="F2397" s="86"/>
      <c r="G2397" s="86"/>
      <c r="H2397" s="86"/>
      <c r="I2397" s="86"/>
      <c r="J2397" s="87"/>
      <c r="K2397" s="88"/>
      <c r="M2397" s="102">
        <v>837</v>
      </c>
      <c r="N2397" s="533" t="str">
        <f>IFERROR(VLOOKUP(M2397,INSUMOS!$C$8:$K$928,2,0),"-----")</f>
        <v>UNION BRIDA POR ACOPLE UNIVERSAL 3"</v>
      </c>
      <c r="O2397" s="533"/>
      <c r="P2397" s="533"/>
      <c r="Q2397" s="533"/>
      <c r="R2397" s="78" t="str">
        <f>IFERROR(VLOOKUP(M2397,INSUMOS!$C$8:$K$928,6,0),"-----")</f>
        <v>und</v>
      </c>
      <c r="S2397" s="396">
        <v>11</v>
      </c>
      <c r="T2397" s="387">
        <v>0</v>
      </c>
      <c r="U2397" s="388">
        <f>IFERROR(VLOOKUP(M2397,INSUMOS!$C$8:$K$928,7,0),"0")</f>
        <v>172550</v>
      </c>
      <c r="V2397" s="389">
        <f t="shared" si="14"/>
        <v>1898050</v>
      </c>
      <c r="Y2397" s="393">
        <f t="shared" si="12"/>
        <v>11</v>
      </c>
      <c r="Z2397" s="391">
        <f t="shared" si="13"/>
        <v>1898050</v>
      </c>
      <c r="AA2397" s="394"/>
      <c r="AB2397" s="395">
        <f t="shared" si="15"/>
        <v>1898050</v>
      </c>
      <c r="AC2397" s="93">
        <f t="shared" si="16"/>
        <v>0</v>
      </c>
      <c r="AD2397" s="94"/>
      <c r="AE2397" s="406" t="str">
        <f t="shared" si="17"/>
        <v>NO</v>
      </c>
    </row>
    <row r="2398" spans="3:31" s="260" customFormat="1" x14ac:dyDescent="0.25">
      <c r="C2398" s="84"/>
      <c r="D2398" s="85"/>
      <c r="E2398" s="86"/>
      <c r="F2398" s="86"/>
      <c r="G2398" s="86"/>
      <c r="H2398" s="86"/>
      <c r="I2398" s="86"/>
      <c r="J2398" s="87"/>
      <c r="K2398" s="88"/>
      <c r="M2398" s="102">
        <v>840</v>
      </c>
      <c r="N2398" s="533" t="str">
        <f>IFERROR(VLOOKUP(M2398,INSUMOS!$C$8:$K$928,2,0),"-----")</f>
        <v>CODO 90 EXTREMOS BRIDADOS 3"</v>
      </c>
      <c r="O2398" s="533"/>
      <c r="P2398" s="533"/>
      <c r="Q2398" s="533"/>
      <c r="R2398" s="78" t="str">
        <f>IFERROR(VLOOKUP(M2398,INSUMOS!$C$8:$K$928,6,0),"-----")</f>
        <v>und</v>
      </c>
      <c r="S2398" s="396">
        <v>5</v>
      </c>
      <c r="T2398" s="387">
        <v>0</v>
      </c>
      <c r="U2398" s="388">
        <f>IFERROR(VLOOKUP(M2398,INSUMOS!$C$8:$K$928,7,0),"0")</f>
        <v>383180</v>
      </c>
      <c r="V2398" s="389">
        <f t="shared" si="14"/>
        <v>1915900</v>
      </c>
      <c r="Y2398" s="393">
        <f t="shared" si="12"/>
        <v>5</v>
      </c>
      <c r="Z2398" s="391">
        <f t="shared" si="13"/>
        <v>1915900</v>
      </c>
      <c r="AA2398" s="394"/>
      <c r="AB2398" s="395">
        <f t="shared" si="15"/>
        <v>1915900</v>
      </c>
      <c r="AC2398" s="93">
        <f t="shared" si="16"/>
        <v>0</v>
      </c>
      <c r="AD2398" s="94"/>
      <c r="AE2398" s="406" t="str">
        <f t="shared" si="17"/>
        <v>NO</v>
      </c>
    </row>
    <row r="2399" spans="3:31" s="260" customFormat="1" x14ac:dyDescent="0.25">
      <c r="C2399" s="84"/>
      <c r="D2399" s="85"/>
      <c r="E2399" s="86"/>
      <c r="F2399" s="86"/>
      <c r="G2399" s="86"/>
      <c r="H2399" s="86"/>
      <c r="I2399" s="86"/>
      <c r="J2399" s="87"/>
      <c r="K2399" s="88"/>
      <c r="M2399" s="102" t="s">
        <v>563</v>
      </c>
      <c r="N2399" s="533" t="str">
        <f>IFERROR(VLOOKUP(M2399,INSUMOS!$C$8:$K$928,2,0),"-----")</f>
        <v>CONCRETO DE 3.000 PSI</v>
      </c>
      <c r="O2399" s="533"/>
      <c r="P2399" s="533"/>
      <c r="Q2399" s="533"/>
      <c r="R2399" s="78" t="str">
        <f>IFERROR(VLOOKUP(M2399,INSUMOS!$C$8:$K$928,6,0),"-----")</f>
        <v>m3</v>
      </c>
      <c r="S2399" s="396">
        <f>8*0.25*0.25*0.25</f>
        <v>0.125</v>
      </c>
      <c r="T2399" s="387">
        <v>0.02</v>
      </c>
      <c r="U2399" s="388">
        <f>IFERROR(VLOOKUP(M2399,INSUMOS!$C$8:$K$928,7,0),"0")</f>
        <v>789152.76</v>
      </c>
      <c r="V2399" s="389">
        <f t="shared" si="14"/>
        <v>100616.97690000001</v>
      </c>
      <c r="Y2399" s="393">
        <f t="shared" si="12"/>
        <v>0.1275</v>
      </c>
      <c r="Z2399" s="391">
        <f t="shared" si="13"/>
        <v>100616.97690000001</v>
      </c>
      <c r="AA2399" s="394"/>
      <c r="AB2399" s="395">
        <f t="shared" si="15"/>
        <v>100616.97690000001</v>
      </c>
      <c r="AC2399" s="93">
        <f t="shared" si="16"/>
        <v>0</v>
      </c>
      <c r="AD2399" s="94"/>
      <c r="AE2399" s="406" t="str">
        <f t="shared" si="17"/>
        <v>NO</v>
      </c>
    </row>
    <row r="2400" spans="3:31" s="260" customFormat="1" x14ac:dyDescent="0.25">
      <c r="C2400" s="84"/>
      <c r="D2400" s="85"/>
      <c r="E2400" s="86"/>
      <c r="F2400" s="86"/>
      <c r="G2400" s="86"/>
      <c r="H2400" s="86"/>
      <c r="I2400" s="86"/>
      <c r="J2400" s="87"/>
      <c r="K2400" s="88"/>
      <c r="M2400" s="102">
        <v>934</v>
      </c>
      <c r="N2400" s="533" t="str">
        <f>IFERROR(VLOOKUP(M2400,INSUMOS!$C$8:$K$928,2,0),"-----")</f>
        <v>NIPLE PASAMURO EXTREMO LISO L=0,15m HD 3"</v>
      </c>
      <c r="O2400" s="533"/>
      <c r="P2400" s="533"/>
      <c r="Q2400" s="533"/>
      <c r="R2400" s="78" t="str">
        <f>IFERROR(VLOOKUP(M2400,INSUMOS!$C$8:$K$928,6,0),"-----")</f>
        <v>und</v>
      </c>
      <c r="S2400" s="396">
        <v>2</v>
      </c>
      <c r="T2400" s="387">
        <v>0</v>
      </c>
      <c r="U2400" s="388">
        <f>IFERROR(VLOOKUP(M2400,INSUMOS!$C$8:$K$928,7,0),"0")</f>
        <v>31773</v>
      </c>
      <c r="V2400" s="389">
        <f t="shared" si="14"/>
        <v>63546</v>
      </c>
      <c r="Y2400" s="393">
        <f t="shared" si="12"/>
        <v>2</v>
      </c>
      <c r="Z2400" s="391">
        <f t="shared" si="13"/>
        <v>63546</v>
      </c>
      <c r="AA2400" s="394"/>
      <c r="AB2400" s="395">
        <f t="shared" si="15"/>
        <v>63546</v>
      </c>
      <c r="AC2400" s="93">
        <f t="shared" si="16"/>
        <v>0</v>
      </c>
      <c r="AD2400" s="94"/>
      <c r="AE2400" s="406" t="str">
        <f t="shared" si="17"/>
        <v>NO</v>
      </c>
    </row>
    <row r="2401" spans="3:31" s="260" customFormat="1" x14ac:dyDescent="0.25">
      <c r="C2401" s="84"/>
      <c r="D2401" s="85"/>
      <c r="E2401" s="86"/>
      <c r="F2401" s="86"/>
      <c r="G2401" s="86"/>
      <c r="H2401" s="86"/>
      <c r="I2401" s="86"/>
      <c r="J2401" s="87"/>
      <c r="K2401" s="88"/>
      <c r="M2401" s="102">
        <v>468</v>
      </c>
      <c r="N2401" s="533" t="str">
        <f>IFERROR(VLOOKUP(M2401,INSUMOS!$C$8:$K$928,2,0),"-----")</f>
        <v>VALVULA DE PIE DE COLADERA BR 3"</v>
      </c>
      <c r="O2401" s="533"/>
      <c r="P2401" s="533"/>
      <c r="Q2401" s="533"/>
      <c r="R2401" s="78" t="str">
        <f>IFERROR(VLOOKUP(M2401,INSUMOS!$C$8:$K$928,6,0),"-----")</f>
        <v>und</v>
      </c>
      <c r="S2401" s="396">
        <v>2</v>
      </c>
      <c r="T2401" s="387">
        <v>0</v>
      </c>
      <c r="U2401" s="388">
        <f>IFERROR(VLOOKUP(M2401,INSUMOS!$C$8:$K$928,7,0),"0")</f>
        <v>641619</v>
      </c>
      <c r="V2401" s="389">
        <f t="shared" si="14"/>
        <v>1283238</v>
      </c>
      <c r="Y2401" s="393">
        <f t="shared" ref="Y2401:Y2402" si="18">+IFERROR($Y$2382*(S2401*(1+T2401)),0)</f>
        <v>2</v>
      </c>
      <c r="Z2401" s="391">
        <f t="shared" ref="Z2401:Z2402" si="19">$Y$2382*V2401</f>
        <v>1283238</v>
      </c>
      <c r="AA2401" s="394"/>
      <c r="AB2401" s="395">
        <f t="shared" ref="AB2401:AB2402" si="20">+Y2401*U2401</f>
        <v>1283238</v>
      </c>
      <c r="AC2401" s="93">
        <f t="shared" ref="AC2401:AC2402" si="21">+AB2401-Z2401</f>
        <v>0</v>
      </c>
      <c r="AD2401" s="94"/>
      <c r="AE2401" s="406" t="str">
        <f t="shared" si="17"/>
        <v>NO</v>
      </c>
    </row>
    <row r="2402" spans="3:31" s="260" customFormat="1" x14ac:dyDescent="0.25">
      <c r="C2402" s="84"/>
      <c r="D2402" s="85"/>
      <c r="E2402" s="86"/>
      <c r="F2402" s="86"/>
      <c r="G2402" s="86"/>
      <c r="H2402" s="86"/>
      <c r="I2402" s="86"/>
      <c r="J2402" s="87"/>
      <c r="K2402" s="88"/>
      <c r="M2402" s="102">
        <v>895</v>
      </c>
      <c r="N2402" s="533" t="str">
        <f>IFERROR(VLOOKUP(M2402,INSUMOS!$C$8:$K$928,2,0),"-----")</f>
        <v>VÁLVULA DE RETENCIÓN ESTREMO BRIDA HD 3"</v>
      </c>
      <c r="O2402" s="533"/>
      <c r="P2402" s="533"/>
      <c r="Q2402" s="533"/>
      <c r="R2402" s="78" t="str">
        <f>IFERROR(VLOOKUP(M2402,INSUMOS!$C$8:$K$928,6,0),"-----")</f>
        <v>und</v>
      </c>
      <c r="S2402" s="396">
        <v>2</v>
      </c>
      <c r="T2402" s="387">
        <v>0</v>
      </c>
      <c r="U2402" s="388">
        <f>IFERROR(VLOOKUP(M2402,INSUMOS!$C$8:$K$928,7,0),"0")</f>
        <v>1200234</v>
      </c>
      <c r="V2402" s="389">
        <f t="shared" si="14"/>
        <v>2400468</v>
      </c>
      <c r="Y2402" s="393">
        <f t="shared" si="18"/>
        <v>2</v>
      </c>
      <c r="Z2402" s="391">
        <f t="shared" si="19"/>
        <v>2400468</v>
      </c>
      <c r="AA2402" s="394"/>
      <c r="AB2402" s="395">
        <f t="shared" si="20"/>
        <v>2400468</v>
      </c>
      <c r="AC2402" s="93">
        <f t="shared" si="21"/>
        <v>0</v>
      </c>
      <c r="AD2402" s="94"/>
      <c r="AE2402" s="406" t="str">
        <f t="shared" si="17"/>
        <v>NO</v>
      </c>
    </row>
    <row r="2403" spans="3:31" s="260" customFormat="1" ht="15.75" thickBot="1" x14ac:dyDescent="0.3">
      <c r="C2403" s="84"/>
      <c r="D2403" s="85"/>
      <c r="E2403" s="86"/>
      <c r="F2403" s="86"/>
      <c r="G2403" s="86"/>
      <c r="H2403" s="86"/>
      <c r="I2403" s="86"/>
      <c r="J2403" s="87"/>
      <c r="K2403" s="88"/>
      <c r="M2403" s="102">
        <v>858</v>
      </c>
      <c r="N2403" s="533" t="str">
        <f>IFERROR(VLOOKUP(M2403,INSUMOS!$C$8:$K$928,2,0),"-----")</f>
        <v>TEE 3" HD EXTREMO BRIDADOS</v>
      </c>
      <c r="O2403" s="533"/>
      <c r="P2403" s="533"/>
      <c r="Q2403" s="533"/>
      <c r="R2403" s="78" t="str">
        <f>IFERROR(VLOOKUP(M2403,INSUMOS!$C$8:$K$928,6,0),"-----")</f>
        <v>und</v>
      </c>
      <c r="S2403" s="396">
        <v>2</v>
      </c>
      <c r="T2403" s="387">
        <v>0</v>
      </c>
      <c r="U2403" s="388">
        <f>IFERROR(VLOOKUP(M2403,INSUMOS!$C$8:$K$928,7,0),"0")</f>
        <v>498610</v>
      </c>
      <c r="V2403" s="389">
        <f t="shared" si="14"/>
        <v>997220</v>
      </c>
      <c r="Y2403" s="393">
        <f t="shared" si="12"/>
        <v>2</v>
      </c>
      <c r="Z2403" s="391">
        <f t="shared" si="13"/>
        <v>997220</v>
      </c>
      <c r="AA2403" s="394"/>
      <c r="AB2403" s="395">
        <f>+Y2403*U2403</f>
        <v>997220</v>
      </c>
      <c r="AC2403" s="93">
        <f>+AB2403-Z2403</f>
        <v>0</v>
      </c>
      <c r="AD2403" s="94"/>
      <c r="AE2403" s="406" t="str">
        <f>+IF(V2403=0,"CERO","NO")</f>
        <v>NO</v>
      </c>
    </row>
    <row r="2404" spans="3:31" s="260" customFormat="1" ht="15.75" thickBot="1" x14ac:dyDescent="0.3">
      <c r="C2404" s="84"/>
      <c r="D2404" s="375" t="s">
        <v>128</v>
      </c>
      <c r="E2404" s="376" t="s">
        <v>129</v>
      </c>
      <c r="F2404" s="376" t="s">
        <v>130</v>
      </c>
      <c r="G2404" s="376" t="s">
        <v>131</v>
      </c>
      <c r="H2404" s="376" t="s">
        <v>132</v>
      </c>
      <c r="I2404" s="376" t="s">
        <v>133</v>
      </c>
      <c r="J2404" s="377" t="s">
        <v>134</v>
      </c>
      <c r="K2404" s="88"/>
      <c r="M2404" s="534"/>
      <c r="N2404" s="536" t="s">
        <v>106</v>
      </c>
      <c r="O2404" s="536"/>
      <c r="P2404" s="536"/>
      <c r="Q2404" s="536"/>
      <c r="R2404" s="536"/>
      <c r="S2404" s="536"/>
      <c r="T2404" s="536"/>
      <c r="U2404" s="536"/>
      <c r="V2404" s="389">
        <f>+SUM(V2392:V2403)</f>
        <v>31355908.9769</v>
      </c>
      <c r="Y2404" s="398" t="s">
        <v>135</v>
      </c>
      <c r="Z2404" s="397">
        <f>+SUM(Z2392:Z2403)</f>
        <v>31355908.9769</v>
      </c>
      <c r="AA2404" s="86"/>
      <c r="AB2404" s="384"/>
      <c r="AC2404" s="385"/>
      <c r="AD2404" s="94"/>
      <c r="AE2404" s="399"/>
    </row>
    <row r="2405" spans="3:31" s="260" customFormat="1" ht="15.75" thickBot="1" x14ac:dyDescent="0.3">
      <c r="C2405" s="84"/>
      <c r="D2405" s="375"/>
      <c r="E2405" s="407">
        <f>+D2389</f>
        <v>2.39</v>
      </c>
      <c r="F2405" s="376"/>
      <c r="G2405" s="376"/>
      <c r="H2405" s="376"/>
      <c r="I2405" s="376"/>
      <c r="J2405" s="377"/>
      <c r="K2405" s="88"/>
      <c r="M2405" s="535"/>
      <c r="N2405" s="537" t="s">
        <v>107</v>
      </c>
      <c r="O2405" s="537"/>
      <c r="P2405" s="537"/>
      <c r="Q2405" s="537"/>
      <c r="R2405" s="537"/>
      <c r="S2405" s="537"/>
      <c r="T2405" s="537"/>
      <c r="U2405" s="537"/>
      <c r="V2405" s="408">
        <f>+ROUND(V2404,$AA$5)</f>
        <v>31355908.98</v>
      </c>
      <c r="Y2405" s="401" t="s">
        <v>136</v>
      </c>
      <c r="Z2405" s="402">
        <f>+ROUND(Z2404,$AA$5)</f>
        <v>31355908.98</v>
      </c>
      <c r="AA2405" s="86"/>
      <c r="AB2405" s="403">
        <f>+V2405*Y2382</f>
        <v>31355908.98</v>
      </c>
      <c r="AC2405" s="404">
        <f>+AB2405-Z2405</f>
        <v>0</v>
      </c>
      <c r="AD2405" s="94"/>
      <c r="AE2405" s="405"/>
    </row>
    <row r="2406" spans="3:31" s="260" customFormat="1" x14ac:dyDescent="0.25">
      <c r="C2406" s="84"/>
      <c r="D2406" s="380"/>
      <c r="E2406" s="381"/>
      <c r="F2406" s="381"/>
      <c r="G2406" s="381"/>
      <c r="H2406" s="381"/>
      <c r="I2406" s="381"/>
      <c r="J2406" s="382"/>
      <c r="K2406" s="88"/>
      <c r="M2406" s="568" t="s">
        <v>108</v>
      </c>
      <c r="N2406" s="569"/>
      <c r="O2406" s="569"/>
      <c r="P2406" s="569"/>
      <c r="Q2406" s="569"/>
      <c r="R2406" s="569"/>
      <c r="S2406" s="569"/>
      <c r="T2406" s="569"/>
      <c r="U2406" s="569"/>
      <c r="V2406" s="570"/>
      <c r="Y2406" s="378"/>
      <c r="Z2406" s="121"/>
      <c r="AA2406" s="86"/>
      <c r="AB2406" s="409"/>
      <c r="AC2406" s="121"/>
      <c r="AD2406" s="94"/>
      <c r="AE2406" s="126"/>
    </row>
    <row r="2407" spans="3:31" s="260" customFormat="1" ht="25.5" x14ac:dyDescent="0.25">
      <c r="C2407" s="84"/>
      <c r="D2407" s="85"/>
      <c r="E2407" s="86"/>
      <c r="F2407" s="86"/>
      <c r="G2407" s="86"/>
      <c r="H2407" s="86"/>
      <c r="I2407" s="86"/>
      <c r="J2407" s="87"/>
      <c r="K2407" s="88"/>
      <c r="M2407" s="99" t="s">
        <v>94</v>
      </c>
      <c r="N2407" s="561" t="s">
        <v>95</v>
      </c>
      <c r="O2407" s="561"/>
      <c r="P2407" s="561"/>
      <c r="Q2407" s="95" t="s">
        <v>109</v>
      </c>
      <c r="R2407" s="95" t="s">
        <v>110</v>
      </c>
      <c r="S2407" s="95" t="s">
        <v>111</v>
      </c>
      <c r="T2407" s="562" t="s">
        <v>112</v>
      </c>
      <c r="U2407" s="562"/>
      <c r="V2407" s="100" t="s">
        <v>98</v>
      </c>
      <c r="Y2407" s="383" t="s">
        <v>104</v>
      </c>
      <c r="Z2407" s="119" t="s">
        <v>9</v>
      </c>
      <c r="AA2407" s="86"/>
      <c r="AB2407" s="384"/>
      <c r="AC2407" s="385"/>
      <c r="AD2407" s="94"/>
      <c r="AE2407" s="410"/>
    </row>
    <row r="2408" spans="3:31" s="260" customFormat="1" ht="15.75" thickBot="1" x14ac:dyDescent="0.3">
      <c r="C2408" s="84"/>
      <c r="D2408" s="85"/>
      <c r="E2408" s="86"/>
      <c r="F2408" s="86"/>
      <c r="G2408" s="86"/>
      <c r="H2408" s="86"/>
      <c r="I2408" s="86"/>
      <c r="J2408" s="87"/>
      <c r="K2408" s="88"/>
      <c r="M2408" s="102">
        <v>129</v>
      </c>
      <c r="N2408" s="530" t="str">
        <f>IFERROR(VLOOKUP(M2408,INSUMOS!$C$8:$K$928,2,0),"-----")</f>
        <v>transporte materiales en general</v>
      </c>
      <c r="O2408" s="531"/>
      <c r="P2408" s="532"/>
      <c r="Q2408" s="78" t="str">
        <f>IFERROR(VLOOKUP(M2408,INSUMOS!$C$8:$K$928,5,0),"-----")</f>
        <v>Km</v>
      </c>
      <c r="R2408" s="80">
        <v>10</v>
      </c>
      <c r="S2408" s="80">
        <f>IFERROR(VLOOKUP(M2408,INSUMOS!$C$8:$K$928,6,0),"0")</f>
        <v>348</v>
      </c>
      <c r="T2408" s="529">
        <f>IFERROR(VLOOKUP(M2408,INSUMOS!$C$8:$K$928,7,0),"0")</f>
        <v>0.99776362060288992</v>
      </c>
      <c r="U2408" s="529"/>
      <c r="V2408" s="82">
        <f>+T2408*S2408*R2408</f>
        <v>3472.2173996980569</v>
      </c>
      <c r="Y2408" s="393">
        <f>+IFERROR((R2408*S2408)*Y2382,0)</f>
        <v>3480</v>
      </c>
      <c r="Z2408" s="391">
        <f>Y2382*V2408</f>
        <v>3472.2173996980569</v>
      </c>
      <c r="AA2408" s="86"/>
      <c r="AB2408" s="92">
        <f>+Y2408*T2408</f>
        <v>3472.2173996980569</v>
      </c>
      <c r="AC2408" s="93">
        <f>+AB2408-Z2408</f>
        <v>0</v>
      </c>
      <c r="AD2408" s="94"/>
      <c r="AE2408" s="406" t="str">
        <f>+IF(V2408=0,"CERO","NO")</f>
        <v>NO</v>
      </c>
    </row>
    <row r="2409" spans="3:31" s="260" customFormat="1" ht="15.75" thickBot="1" x14ac:dyDescent="0.3">
      <c r="C2409" s="84"/>
      <c r="D2409" s="375" t="s">
        <v>128</v>
      </c>
      <c r="E2409" s="376" t="s">
        <v>129</v>
      </c>
      <c r="F2409" s="376" t="s">
        <v>130</v>
      </c>
      <c r="G2409" s="376" t="s">
        <v>131</v>
      </c>
      <c r="H2409" s="376" t="s">
        <v>132</v>
      </c>
      <c r="I2409" s="376" t="s">
        <v>133</v>
      </c>
      <c r="J2409" s="377" t="s">
        <v>134</v>
      </c>
      <c r="K2409" s="88"/>
      <c r="M2409" s="534"/>
      <c r="N2409" s="536" t="s">
        <v>113</v>
      </c>
      <c r="O2409" s="536"/>
      <c r="P2409" s="536"/>
      <c r="Q2409" s="536"/>
      <c r="R2409" s="536"/>
      <c r="S2409" s="536"/>
      <c r="T2409" s="536"/>
      <c r="U2409" s="536"/>
      <c r="V2409" s="411">
        <f>+SUM(V2408:V2408)</f>
        <v>3472.2173996980569</v>
      </c>
      <c r="Y2409" s="398" t="s">
        <v>135</v>
      </c>
      <c r="Z2409" s="397">
        <f>+SUM(Z2408:Z2408)</f>
        <v>3472.2173996980569</v>
      </c>
      <c r="AA2409" s="86"/>
      <c r="AB2409" s="384"/>
      <c r="AC2409" s="385"/>
      <c r="AD2409" s="94"/>
      <c r="AE2409" s="399"/>
    </row>
    <row r="2410" spans="3:31" s="260" customFormat="1" ht="15.75" thickBot="1" x14ac:dyDescent="0.3">
      <c r="C2410" s="84"/>
      <c r="D2410" s="355"/>
      <c r="E2410" s="367"/>
      <c r="F2410" s="412">
        <f>+E2405</f>
        <v>2.39</v>
      </c>
      <c r="G2410" s="367"/>
      <c r="H2410" s="367"/>
      <c r="I2410" s="367"/>
      <c r="J2410" s="368"/>
      <c r="K2410" s="88"/>
      <c r="M2410" s="535"/>
      <c r="N2410" s="537" t="s">
        <v>114</v>
      </c>
      <c r="O2410" s="537"/>
      <c r="P2410" s="537"/>
      <c r="Q2410" s="537"/>
      <c r="R2410" s="537"/>
      <c r="S2410" s="537"/>
      <c r="T2410" s="537"/>
      <c r="U2410" s="537"/>
      <c r="V2410" s="413">
        <f>+ROUND(V2409,$AA$5)</f>
        <v>3472.22</v>
      </c>
      <c r="Y2410" s="401" t="s">
        <v>136</v>
      </c>
      <c r="Z2410" s="402">
        <f>+ROUND(Z2409,$AA$5)</f>
        <v>3472.22</v>
      </c>
      <c r="AA2410" s="86"/>
      <c r="AB2410" s="403">
        <f>+V2410*Y2382</f>
        <v>3472.22</v>
      </c>
      <c r="AC2410" s="414"/>
      <c r="AD2410" s="94"/>
      <c r="AE2410" s="405"/>
    </row>
    <row r="2411" spans="3:31" s="260" customFormat="1" ht="15.75" thickBot="1" x14ac:dyDescent="0.3">
      <c r="C2411" s="84"/>
      <c r="D2411" s="415"/>
      <c r="E2411" s="416"/>
      <c r="F2411" s="416"/>
      <c r="G2411" s="416"/>
      <c r="H2411" s="416"/>
      <c r="I2411" s="416"/>
      <c r="J2411" s="417"/>
      <c r="K2411" s="88"/>
      <c r="M2411" s="538" t="s">
        <v>115</v>
      </c>
      <c r="N2411" s="539"/>
      <c r="O2411" s="539"/>
      <c r="P2411" s="539"/>
      <c r="Q2411" s="539"/>
      <c r="R2411" s="539"/>
      <c r="S2411" s="539"/>
      <c r="T2411" s="539"/>
      <c r="U2411" s="539"/>
      <c r="V2411" s="540"/>
      <c r="Y2411" s="378"/>
      <c r="Z2411" s="121"/>
      <c r="AA2411" s="86"/>
      <c r="AB2411" s="409"/>
      <c r="AC2411" s="121"/>
      <c r="AD2411" s="94"/>
      <c r="AE2411" s="126"/>
    </row>
    <row r="2412" spans="3:31" s="260" customFormat="1" ht="15.75" thickBot="1" x14ac:dyDescent="0.3">
      <c r="C2412" s="84"/>
      <c r="D2412" s="375" t="s">
        <v>128</v>
      </c>
      <c r="E2412" s="376" t="s">
        <v>129</v>
      </c>
      <c r="F2412" s="376" t="s">
        <v>130</v>
      </c>
      <c r="G2412" s="376" t="s">
        <v>131</v>
      </c>
      <c r="H2412" s="376" t="s">
        <v>132</v>
      </c>
      <c r="I2412" s="376" t="s">
        <v>133</v>
      </c>
      <c r="J2412" s="377" t="s">
        <v>134</v>
      </c>
      <c r="K2412" s="88"/>
      <c r="M2412" s="99" t="s">
        <v>94</v>
      </c>
      <c r="N2412" s="98" t="s">
        <v>95</v>
      </c>
      <c r="O2412" s="95" t="s">
        <v>96</v>
      </c>
      <c r="P2412" s="359" t="s">
        <v>104</v>
      </c>
      <c r="Q2412" s="95" t="s">
        <v>116</v>
      </c>
      <c r="R2412" s="418" t="s">
        <v>117</v>
      </c>
      <c r="S2412" s="95" t="s">
        <v>347</v>
      </c>
      <c r="T2412" s="419" t="s">
        <v>118</v>
      </c>
      <c r="U2412" s="189" t="s">
        <v>119</v>
      </c>
      <c r="V2412" s="100" t="s">
        <v>98</v>
      </c>
      <c r="Y2412" s="383" t="s">
        <v>104</v>
      </c>
      <c r="Z2412" s="119" t="s">
        <v>9</v>
      </c>
      <c r="AA2412" s="86"/>
      <c r="AB2412" s="384"/>
      <c r="AC2412" s="385"/>
      <c r="AD2412" s="94"/>
      <c r="AE2412" s="410"/>
    </row>
    <row r="2413" spans="3:31" s="260" customFormat="1" ht="25.5" x14ac:dyDescent="0.25">
      <c r="C2413" s="84"/>
      <c r="D2413" s="354"/>
      <c r="E2413" s="96"/>
      <c r="F2413" s="96"/>
      <c r="G2413" s="96"/>
      <c r="H2413" s="96"/>
      <c r="I2413" s="96"/>
      <c r="J2413" s="420">
        <f>+F2410</f>
        <v>2.39</v>
      </c>
      <c r="K2413" s="88"/>
      <c r="M2413" s="102">
        <v>207</v>
      </c>
      <c r="N2413" s="347" t="str">
        <f>IFERROR(VLOOKUP(M2413,INSUMOS!$C$8:$K$928,2,0),"-----")</f>
        <v>Oficial Hidrosanitario</v>
      </c>
      <c r="O2413" s="78" t="str">
        <f>IFERROR(VLOOKUP(M2413,INSUMOS!$C$8:$K$928,3,0),"-----")</f>
        <v>JORNAL+PS</v>
      </c>
      <c r="P2413" s="80">
        <v>1</v>
      </c>
      <c r="Q2413" s="79">
        <v>0.33329999999999999</v>
      </c>
      <c r="R2413" s="190">
        <f>IFERROR(VLOOKUP(M2413,INSUMOS!$C$8:$K$928,4,0),"-----")</f>
        <v>92983</v>
      </c>
      <c r="S2413" s="190">
        <f>IFERROR(VLOOKUP(M2413,INSUMOS!$C$8:$K$928,6,0),"-----")</f>
        <v>74386</v>
      </c>
      <c r="T2413" s="190">
        <f>IFERROR(VLOOKUP(M2413,INSUMOS!$C$8:$K$928,5,0),"-----")</f>
        <v>0</v>
      </c>
      <c r="U2413" s="388">
        <f>SUM(R2413:T2413)</f>
        <v>167369</v>
      </c>
      <c r="V2413" s="82">
        <f>+IFERROR((P2413/Q2413)*U2413,0)</f>
        <v>502157.21572157217</v>
      </c>
      <c r="Y2413" s="393">
        <f>+IFERROR((Y2382/Q2413*P2413),0)</f>
        <v>3.0003000300030003</v>
      </c>
      <c r="Z2413" s="391">
        <f>Y2382*V2413</f>
        <v>502157.21572157217</v>
      </c>
      <c r="AA2413" s="86"/>
      <c r="AB2413" s="92">
        <f>+(U2413)*Y2413</f>
        <v>502157.21572157217</v>
      </c>
      <c r="AC2413" s="93">
        <f>+AB2413-Z2413</f>
        <v>0</v>
      </c>
      <c r="AD2413" s="421"/>
      <c r="AE2413" s="410" t="str">
        <f>+IF(V2413=0,"CERO","NO")</f>
        <v>NO</v>
      </c>
    </row>
    <row r="2414" spans="3:31" s="260" customFormat="1" ht="26.25" thickBot="1" x14ac:dyDescent="0.3">
      <c r="C2414" s="84"/>
      <c r="D2414" s="355"/>
      <c r="E2414" s="367"/>
      <c r="F2414" s="367"/>
      <c r="G2414" s="367"/>
      <c r="H2414" s="367"/>
      <c r="I2414" s="367"/>
      <c r="J2414" s="422">
        <f>+J2413</f>
        <v>2.39</v>
      </c>
      <c r="K2414" s="88"/>
      <c r="M2414" s="102">
        <v>208</v>
      </c>
      <c r="N2414" s="347" t="str">
        <f>IFERROR(VLOOKUP(M2414,INSUMOS!$C$8:$K$928,2,0),"-----")</f>
        <v>Ayudante Hidrosanitario</v>
      </c>
      <c r="O2414" s="78" t="str">
        <f>IFERROR(VLOOKUP(M2414,INSUMOS!$C$8:$K$928,3,0),"-----")</f>
        <v>JORNAL+PS</v>
      </c>
      <c r="P2414" s="80">
        <v>1</v>
      </c>
      <c r="Q2414" s="79">
        <v>0.33329999999999999</v>
      </c>
      <c r="R2414" s="190">
        <f>IFERROR(VLOOKUP(M2414,INSUMOS!$C$8:$K$928,4,0),"-----")</f>
        <v>69172</v>
      </c>
      <c r="S2414" s="190">
        <f>IFERROR(VLOOKUP(M2414,INSUMOS!$C$8:$K$928,6,0),"-----")</f>
        <v>55337</v>
      </c>
      <c r="T2414" s="190">
        <f>IFERROR(VLOOKUP(M2414,INSUMOS!$C$8:$K$928,5,0),"-----")</f>
        <v>0</v>
      </c>
      <c r="U2414" s="388">
        <f>SUM(R2414:T2414)</f>
        <v>124509</v>
      </c>
      <c r="V2414" s="82">
        <f>+IFERROR((P2414/Q2414)*U2414,0)</f>
        <v>373564.35643564357</v>
      </c>
      <c r="Y2414" s="393">
        <f>+IFERROR((Y2382/Q2414*P2414),0)</f>
        <v>3.0003000300030003</v>
      </c>
      <c r="Z2414" s="391">
        <f>Y2382*V2414</f>
        <v>373564.35643564357</v>
      </c>
      <c r="AA2414" s="86"/>
      <c r="AB2414" s="92">
        <f>+U2414*Y2414</f>
        <v>373564.35643564357</v>
      </c>
      <c r="AC2414" s="93">
        <f>+AB2414-Z2414</f>
        <v>0</v>
      </c>
      <c r="AD2414" s="94"/>
      <c r="AE2414" s="410" t="str">
        <f>+IF(V2414=0,"CERO","NO")</f>
        <v>NO</v>
      </c>
    </row>
    <row r="2415" spans="3:31" s="260" customFormat="1" ht="15.75" thickBot="1" x14ac:dyDescent="0.3">
      <c r="C2415" s="84"/>
      <c r="D2415" s="375" t="s">
        <v>128</v>
      </c>
      <c r="E2415" s="376" t="s">
        <v>129</v>
      </c>
      <c r="F2415" s="376" t="s">
        <v>130</v>
      </c>
      <c r="G2415" s="376" t="s">
        <v>131</v>
      </c>
      <c r="H2415" s="376" t="s">
        <v>132</v>
      </c>
      <c r="I2415" s="376" t="s">
        <v>133</v>
      </c>
      <c r="J2415" s="377" t="s">
        <v>134</v>
      </c>
      <c r="K2415" s="88"/>
      <c r="M2415" s="534"/>
      <c r="N2415" s="536" t="s">
        <v>120</v>
      </c>
      <c r="O2415" s="536"/>
      <c r="P2415" s="536"/>
      <c r="Q2415" s="536"/>
      <c r="R2415" s="536"/>
      <c r="S2415" s="536"/>
      <c r="T2415" s="536"/>
      <c r="U2415" s="536"/>
      <c r="V2415" s="82">
        <f>+SUM(V2413:V2414)</f>
        <v>875721.57215721579</v>
      </c>
      <c r="Y2415" s="398" t="s">
        <v>135</v>
      </c>
      <c r="Z2415" s="397">
        <f>+SUM(Z2413:Z2414)</f>
        <v>875721.57215721579</v>
      </c>
      <c r="AA2415" s="86"/>
      <c r="AB2415" s="384"/>
      <c r="AC2415" s="385"/>
      <c r="AD2415" s="94"/>
      <c r="AE2415" s="399"/>
    </row>
    <row r="2416" spans="3:31" s="260" customFormat="1" ht="15.75" thickBot="1" x14ac:dyDescent="0.3">
      <c r="C2416" s="84"/>
      <c r="D2416" s="354"/>
      <c r="E2416" s="96"/>
      <c r="F2416" s="96"/>
      <c r="G2416" s="107">
        <f>+F2410</f>
        <v>2.39</v>
      </c>
      <c r="H2416" s="96"/>
      <c r="I2416" s="96"/>
      <c r="J2416" s="427"/>
      <c r="K2416" s="88"/>
      <c r="M2416" s="535"/>
      <c r="N2416" s="537" t="s">
        <v>121</v>
      </c>
      <c r="O2416" s="537"/>
      <c r="P2416" s="537"/>
      <c r="Q2416" s="537"/>
      <c r="R2416" s="537"/>
      <c r="S2416" s="537"/>
      <c r="T2416" s="537"/>
      <c r="U2416" s="537"/>
      <c r="V2416" s="413">
        <f>+ROUND(V2415,$AA$5)</f>
        <v>875721.57</v>
      </c>
      <c r="Y2416" s="401" t="s">
        <v>136</v>
      </c>
      <c r="Z2416" s="402">
        <f>+ROUND(Z2415,$AA$5)</f>
        <v>875721.57</v>
      </c>
      <c r="AA2416" s="86"/>
      <c r="AB2416" s="403">
        <f>+V2416*Y2382</f>
        <v>875721.57</v>
      </c>
      <c r="AC2416" s="404">
        <f>+AB2416-Z2416</f>
        <v>0</v>
      </c>
      <c r="AD2416" s="94"/>
      <c r="AE2416" s="405"/>
    </row>
    <row r="2417" spans="3:31" s="260" customFormat="1" ht="15.75" thickBot="1" x14ac:dyDescent="0.3">
      <c r="C2417" s="84"/>
      <c r="D2417" s="375" t="s">
        <v>128</v>
      </c>
      <c r="E2417" s="376" t="s">
        <v>129</v>
      </c>
      <c r="F2417" s="376" t="s">
        <v>130</v>
      </c>
      <c r="G2417" s="376" t="s">
        <v>131</v>
      </c>
      <c r="H2417" s="376" t="s">
        <v>132</v>
      </c>
      <c r="I2417" s="376" t="s">
        <v>133</v>
      </c>
      <c r="J2417" s="377" t="s">
        <v>134</v>
      </c>
      <c r="K2417" s="88"/>
      <c r="M2417" s="541"/>
      <c r="N2417" s="542"/>
      <c r="O2417" s="542"/>
      <c r="P2417" s="542"/>
      <c r="Q2417" s="542"/>
      <c r="R2417" s="542"/>
      <c r="S2417" s="542"/>
      <c r="T2417" s="542"/>
      <c r="U2417" s="542"/>
      <c r="V2417" s="543"/>
      <c r="Y2417" s="378"/>
      <c r="Z2417" s="121"/>
      <c r="AA2417" s="86"/>
      <c r="AB2417" s="409"/>
      <c r="AC2417" s="121"/>
      <c r="AD2417" s="94"/>
      <c r="AE2417" s="428"/>
    </row>
    <row r="2418" spans="3:31" s="260" customFormat="1" ht="15.75" thickBot="1" x14ac:dyDescent="0.3">
      <c r="C2418" s="84"/>
      <c r="D2418" s="355"/>
      <c r="E2418" s="367"/>
      <c r="F2418" s="367"/>
      <c r="G2418" s="367"/>
      <c r="H2418" s="412">
        <f>G2416</f>
        <v>2.39</v>
      </c>
      <c r="I2418" s="412"/>
      <c r="J2418" s="422"/>
      <c r="K2418" s="88"/>
      <c r="M2418" s="544" t="s">
        <v>122</v>
      </c>
      <c r="N2418" s="537"/>
      <c r="O2418" s="537"/>
      <c r="P2418" s="537"/>
      <c r="Q2418" s="537"/>
      <c r="R2418" s="537"/>
      <c r="S2418" s="537"/>
      <c r="T2418" s="537"/>
      <c r="U2418" s="545">
        <f>+V2416+V2410+V2405+V2389</f>
        <v>32278888.849999998</v>
      </c>
      <c r="V2418" s="546"/>
      <c r="Y2418" s="429"/>
      <c r="Z2418" s="430">
        <f>+Z2416+Z2410+Z2405+Z2389</f>
        <v>32278888.849999998</v>
      </c>
      <c r="AA2418" s="86"/>
      <c r="AB2418" s="431">
        <f>+AB2416+AB2410+AB2405+AB2389</f>
        <v>32278888.849999998</v>
      </c>
      <c r="AC2418" s="404">
        <f>+AB2418-Z2418</f>
        <v>0</v>
      </c>
      <c r="AD2418" s="94"/>
      <c r="AE2418" s="432"/>
    </row>
    <row r="2419" spans="3:31" s="260" customFormat="1" ht="15.75" thickBot="1" x14ac:dyDescent="0.3"/>
    <row r="2420" spans="3:31" s="260" customFormat="1" x14ac:dyDescent="0.25">
      <c r="M2420" s="547" t="s">
        <v>348</v>
      </c>
      <c r="N2420" s="548"/>
      <c r="O2420" s="548"/>
      <c r="P2420" s="548"/>
      <c r="Q2420" s="548"/>
      <c r="R2420" s="548"/>
      <c r="S2420" s="548"/>
      <c r="T2420" s="548"/>
      <c r="U2420" s="548"/>
      <c r="V2420" s="549"/>
      <c r="Y2420" s="378"/>
      <c r="Z2420" s="121"/>
      <c r="AA2420" s="86"/>
      <c r="AB2420" s="94"/>
      <c r="AC2420" s="94"/>
      <c r="AD2420" s="94"/>
      <c r="AE2420" s="126" t="s">
        <v>133</v>
      </c>
    </row>
    <row r="2421" spans="3:31" s="260" customFormat="1" x14ac:dyDescent="0.25">
      <c r="M2421" s="515" t="s">
        <v>138</v>
      </c>
      <c r="N2421" s="516"/>
      <c r="O2421" s="516"/>
      <c r="P2421" s="516"/>
      <c r="Q2421" s="516"/>
      <c r="R2421" s="516"/>
      <c r="S2421" s="516"/>
      <c r="T2421" s="437">
        <v>0</v>
      </c>
      <c r="U2421" s="517">
        <f>+ROUND(U2418*T2421,$AA$5)</f>
        <v>0</v>
      </c>
      <c r="V2421" s="518"/>
      <c r="Y2421" s="390"/>
      <c r="Z2421" s="438">
        <f>+Z2418*T2421</f>
        <v>0</v>
      </c>
      <c r="AA2421" s="86"/>
      <c r="AB2421" s="94"/>
      <c r="AC2421" s="94"/>
      <c r="AD2421" s="94"/>
      <c r="AE2421" s="386" t="s">
        <v>133</v>
      </c>
    </row>
    <row r="2422" spans="3:31" s="260" customFormat="1" x14ac:dyDescent="0.25">
      <c r="M2422" s="515" t="s">
        <v>19</v>
      </c>
      <c r="N2422" s="516"/>
      <c r="O2422" s="516"/>
      <c r="P2422" s="516"/>
      <c r="Q2422" s="516"/>
      <c r="R2422" s="516"/>
      <c r="S2422" s="516"/>
      <c r="T2422" s="437">
        <v>0.05</v>
      </c>
      <c r="U2422" s="517">
        <f>+ROUND(U2418*T2422,$AA$5)</f>
        <v>1613944.44</v>
      </c>
      <c r="V2422" s="518"/>
      <c r="Y2422" s="390"/>
      <c r="Z2422" s="438">
        <f>+Z2418*T2422</f>
        <v>1613944.4424999999</v>
      </c>
      <c r="AA2422" s="86"/>
      <c r="AB2422" s="94"/>
      <c r="AC2422" s="94"/>
      <c r="AD2422" s="94"/>
      <c r="AE2422" s="386" t="s">
        <v>133</v>
      </c>
    </row>
    <row r="2423" spans="3:31" s="260" customFormat="1" x14ac:dyDescent="0.25">
      <c r="M2423" s="515" t="s">
        <v>20</v>
      </c>
      <c r="N2423" s="516"/>
      <c r="O2423" s="516"/>
      <c r="P2423" s="516"/>
      <c r="Q2423" s="516"/>
      <c r="R2423" s="516"/>
      <c r="S2423" s="516"/>
      <c r="T2423" s="437">
        <v>0</v>
      </c>
      <c r="U2423" s="517">
        <f>+ROUND(U2418*T2423,$AA$5)</f>
        <v>0</v>
      </c>
      <c r="V2423" s="518"/>
      <c r="Y2423" s="390"/>
      <c r="Z2423" s="438">
        <f>+Z2418*T2423</f>
        <v>0</v>
      </c>
      <c r="AA2423" s="86"/>
      <c r="AB2423" s="94"/>
      <c r="AC2423" s="94"/>
      <c r="AD2423" s="94"/>
      <c r="AE2423" s="386" t="s">
        <v>133</v>
      </c>
    </row>
    <row r="2424" spans="3:31" s="260" customFormat="1" x14ac:dyDescent="0.25">
      <c r="M2424" s="515" t="s">
        <v>21</v>
      </c>
      <c r="N2424" s="516"/>
      <c r="O2424" s="516"/>
      <c r="P2424" s="516"/>
      <c r="Q2424" s="516"/>
      <c r="R2424" s="516"/>
      <c r="S2424" s="516"/>
      <c r="T2424" s="437">
        <f>$AA$9</f>
        <v>0</v>
      </c>
      <c r="U2424" s="517">
        <f>+ROUND(U2418*T2424,$AA$5)</f>
        <v>0</v>
      </c>
      <c r="V2424" s="518"/>
      <c r="Y2424" s="390"/>
      <c r="Z2424" s="438">
        <f>+Z2423*T2424</f>
        <v>0</v>
      </c>
      <c r="AA2424" s="86"/>
      <c r="AB2424" s="94"/>
      <c r="AC2424" s="94"/>
      <c r="AD2424" s="94"/>
      <c r="AE2424" s="386" t="s">
        <v>133</v>
      </c>
    </row>
    <row r="2425" spans="3:31" s="260" customFormat="1" ht="15.75" thickBot="1" x14ac:dyDescent="0.3">
      <c r="M2425" s="519" t="s">
        <v>349</v>
      </c>
      <c r="N2425" s="520"/>
      <c r="O2425" s="520"/>
      <c r="P2425" s="520"/>
      <c r="Q2425" s="520"/>
      <c r="R2425" s="520"/>
      <c r="S2425" s="520"/>
      <c r="T2425" s="520"/>
      <c r="U2425" s="521">
        <f>+SUM(U2421:V2424)</f>
        <v>1613944.44</v>
      </c>
      <c r="V2425" s="522"/>
      <c r="Y2425" s="390"/>
      <c r="Z2425" s="439">
        <f>+SUM(Z2421:Z2424)</f>
        <v>1613944.4424999999</v>
      </c>
      <c r="AA2425" s="86"/>
      <c r="AB2425" s="94"/>
      <c r="AC2425" s="94"/>
      <c r="AD2425" s="94"/>
      <c r="AE2425" s="386" t="s">
        <v>133</v>
      </c>
    </row>
    <row r="2426" spans="3:31" s="260" customFormat="1" ht="15.75" thickBot="1" x14ac:dyDescent="0.3">
      <c r="D2426" s="375" t="s">
        <v>128</v>
      </c>
      <c r="E2426" s="376" t="s">
        <v>129</v>
      </c>
      <c r="F2426" s="376" t="s">
        <v>130</v>
      </c>
      <c r="G2426" s="376" t="s">
        <v>131</v>
      </c>
      <c r="H2426" s="376" t="s">
        <v>132</v>
      </c>
      <c r="I2426" s="376" t="s">
        <v>133</v>
      </c>
      <c r="J2426" s="377" t="s">
        <v>134</v>
      </c>
      <c r="M2426" s="86"/>
      <c r="N2426" s="94"/>
      <c r="O2426" s="94"/>
      <c r="P2426" s="94"/>
      <c r="Q2426" s="86"/>
      <c r="R2426" s="86"/>
      <c r="S2426" s="86"/>
      <c r="T2426" s="440"/>
      <c r="U2426" s="523"/>
      <c r="V2426" s="523"/>
      <c r="Y2426" s="390"/>
      <c r="Z2426" s="385"/>
      <c r="AA2426" s="86"/>
      <c r="AB2426" s="94"/>
      <c r="AC2426" s="94"/>
      <c r="AD2426" s="94"/>
      <c r="AE2426" s="386" t="s">
        <v>133</v>
      </c>
    </row>
    <row r="2427" spans="3:31" s="260" customFormat="1" ht="15.75" thickBot="1" x14ac:dyDescent="0.3">
      <c r="D2427" s="355"/>
      <c r="E2427" s="367"/>
      <c r="F2427" s="367"/>
      <c r="G2427" s="367"/>
      <c r="H2427" s="412"/>
      <c r="I2427" s="412">
        <f>H2418</f>
        <v>2.39</v>
      </c>
      <c r="J2427" s="422"/>
      <c r="M2427" s="524" t="s">
        <v>11</v>
      </c>
      <c r="N2427" s="525"/>
      <c r="O2427" s="525"/>
      <c r="P2427" s="525"/>
      <c r="Q2427" s="525"/>
      <c r="R2427" s="525"/>
      <c r="S2427" s="525"/>
      <c r="T2427" s="526"/>
      <c r="U2427" s="527">
        <f>+U2425+U2418</f>
        <v>33892833.289999999</v>
      </c>
      <c r="V2427" s="528"/>
      <c r="Y2427" s="429"/>
      <c r="Z2427" s="441">
        <f>+Z2425+Z2418</f>
        <v>33892833.292499997</v>
      </c>
      <c r="AA2427" s="86"/>
      <c r="AB2427" s="94"/>
      <c r="AC2427" s="94"/>
      <c r="AD2427" s="94"/>
      <c r="AE2427" s="405" t="s">
        <v>133</v>
      </c>
    </row>
    <row r="2428" spans="3:31" s="260" customFormat="1" x14ac:dyDescent="0.25"/>
    <row r="2429" spans="3:31" s="260" customFormat="1" ht="15.75" thickBot="1" x14ac:dyDescent="0.3"/>
    <row r="2430" spans="3:31" s="260" customFormat="1" ht="15.75" thickBot="1" x14ac:dyDescent="0.3">
      <c r="M2430" s="363" t="s">
        <v>88</v>
      </c>
      <c r="N2430" s="436" t="s">
        <v>30</v>
      </c>
      <c r="O2430" s="550" t="str">
        <f>IFERROR(VLOOKUP(N2430,PPTO!C:H,2,0),"----")</f>
        <v>RED CONTRAINCENDIOS</v>
      </c>
      <c r="P2430" s="551"/>
      <c r="Q2430" s="551"/>
      <c r="R2430" s="551"/>
      <c r="S2430" s="551"/>
      <c r="T2430" s="551"/>
      <c r="U2430" s="552"/>
      <c r="V2430" s="74" t="s">
        <v>91</v>
      </c>
      <c r="Y2430" s="365" t="s">
        <v>104</v>
      </c>
      <c r="Z2430" s="94"/>
      <c r="AA2430" s="188"/>
      <c r="AB2430" s="553"/>
      <c r="AC2430" s="553"/>
      <c r="AD2430" s="553"/>
      <c r="AE2430" s="94"/>
    </row>
    <row r="2431" spans="3:31" s="260" customFormat="1" ht="15.75" thickBot="1" x14ac:dyDescent="0.3">
      <c r="C2431" s="369">
        <f>+N2431</f>
        <v>3.01</v>
      </c>
      <c r="D2431" s="86"/>
      <c r="E2431" s="86"/>
      <c r="F2431" s="86"/>
      <c r="G2431" s="86"/>
      <c r="H2431" s="86"/>
      <c r="I2431" s="86"/>
      <c r="J2431" s="86"/>
      <c r="K2431" s="370"/>
      <c r="M2431" s="75" t="s">
        <v>92</v>
      </c>
      <c r="N2431" s="371">
        <v>3.01</v>
      </c>
      <c r="O2431" s="554" t="str">
        <f>IFERROR(VLOOKUP(N2431,PPTO!C:H,2,0),"----")</f>
        <v>Tuberia C-PVC BLAZEMASTER Ø3"</v>
      </c>
      <c r="P2431" s="555"/>
      <c r="Q2431" s="555"/>
      <c r="R2431" s="555"/>
      <c r="S2431" s="555"/>
      <c r="T2431" s="555"/>
      <c r="U2431" s="556"/>
      <c r="V2431" s="76" t="str">
        <f>IFERROR(VLOOKUP(N2431,PPTO!C:H,3,0),"----")</f>
        <v>ML</v>
      </c>
      <c r="Y2431" s="373">
        <f>SUMIFS(PPTO!F:F,PPTO!C:C,APUS!N2431)</f>
        <v>105.5</v>
      </c>
      <c r="Z2431" s="94"/>
      <c r="AA2431" s="86"/>
      <c r="AB2431" s="94"/>
      <c r="AC2431" s="94"/>
      <c r="AD2431" s="94"/>
      <c r="AE2431" s="94"/>
    </row>
    <row r="2432" spans="3:31" s="260" customFormat="1" ht="15.75" thickBot="1" x14ac:dyDescent="0.3">
      <c r="C2432" s="84"/>
      <c r="D2432" s="86"/>
      <c r="E2432" s="86"/>
      <c r="F2432" s="86"/>
      <c r="G2432" s="86"/>
      <c r="H2432" s="86"/>
      <c r="I2432" s="86"/>
      <c r="J2432" s="86"/>
      <c r="K2432" s="88"/>
      <c r="M2432" s="557"/>
      <c r="N2432" s="557"/>
      <c r="O2432" s="557"/>
      <c r="P2432" s="557"/>
      <c r="Q2432" s="557"/>
      <c r="R2432" s="557"/>
      <c r="S2432" s="557"/>
      <c r="T2432" s="557"/>
      <c r="U2432" s="557"/>
      <c r="V2432" s="557"/>
      <c r="Y2432" s="374"/>
      <c r="Z2432" s="94"/>
      <c r="AA2432" s="86"/>
      <c r="AB2432" s="94"/>
      <c r="AC2432" s="94"/>
      <c r="AD2432" s="94"/>
      <c r="AE2432" s="94"/>
    </row>
    <row r="2433" spans="3:31" s="260" customFormat="1" ht="15.75" thickBot="1" x14ac:dyDescent="0.3">
      <c r="C2433" s="84"/>
      <c r="D2433" s="375" t="s">
        <v>128</v>
      </c>
      <c r="E2433" s="376" t="s">
        <v>129</v>
      </c>
      <c r="F2433" s="376" t="s">
        <v>130</v>
      </c>
      <c r="G2433" s="376" t="s">
        <v>131</v>
      </c>
      <c r="H2433" s="376" t="s">
        <v>132</v>
      </c>
      <c r="I2433" s="376" t="s">
        <v>133</v>
      </c>
      <c r="J2433" s="377" t="s">
        <v>134</v>
      </c>
      <c r="K2433" s="88"/>
      <c r="M2433" s="558" t="s">
        <v>93</v>
      </c>
      <c r="N2433" s="559"/>
      <c r="O2433" s="559"/>
      <c r="P2433" s="559"/>
      <c r="Q2433" s="559"/>
      <c r="R2433" s="559"/>
      <c r="S2433" s="559"/>
      <c r="T2433" s="559"/>
      <c r="U2433" s="559"/>
      <c r="V2433" s="560"/>
      <c r="Y2433" s="378"/>
      <c r="Z2433" s="121"/>
      <c r="AA2433" s="86"/>
      <c r="AB2433" s="513"/>
      <c r="AC2433" s="514"/>
      <c r="AD2433" s="94"/>
      <c r="AE2433" s="379"/>
    </row>
    <row r="2434" spans="3:31" s="260" customFormat="1" x14ac:dyDescent="0.25">
      <c r="C2434" s="84"/>
      <c r="D2434" s="380"/>
      <c r="E2434" s="381"/>
      <c r="F2434" s="381"/>
      <c r="G2434" s="381"/>
      <c r="H2434" s="381"/>
      <c r="I2434" s="381"/>
      <c r="J2434" s="382"/>
      <c r="K2434" s="88"/>
      <c r="M2434" s="99" t="s">
        <v>94</v>
      </c>
      <c r="N2434" s="561" t="s">
        <v>95</v>
      </c>
      <c r="O2434" s="561"/>
      <c r="P2434" s="561"/>
      <c r="Q2434" s="561"/>
      <c r="R2434" s="95" t="s">
        <v>96</v>
      </c>
      <c r="S2434" s="95" t="s">
        <v>97</v>
      </c>
      <c r="T2434" s="562" t="s">
        <v>8</v>
      </c>
      <c r="U2434" s="562"/>
      <c r="V2434" s="100" t="s">
        <v>98</v>
      </c>
      <c r="Y2434" s="383" t="s">
        <v>104</v>
      </c>
      <c r="Z2434" s="119" t="s">
        <v>9</v>
      </c>
      <c r="AA2434" s="86"/>
      <c r="AB2434" s="384"/>
      <c r="AC2434" s="385"/>
      <c r="AD2434" s="94"/>
      <c r="AE2434" s="386"/>
    </row>
    <row r="2435" spans="3:31" s="260" customFormat="1" x14ac:dyDescent="0.25">
      <c r="C2435" s="84"/>
      <c r="D2435" s="85"/>
      <c r="E2435" s="86"/>
      <c r="F2435" s="86"/>
      <c r="G2435" s="86"/>
      <c r="H2435" s="86"/>
      <c r="I2435" s="86"/>
      <c r="J2435" s="87"/>
      <c r="K2435" s="88"/>
      <c r="M2435" s="102"/>
      <c r="N2435" s="533" t="s">
        <v>99</v>
      </c>
      <c r="O2435" s="533"/>
      <c r="P2435" s="533"/>
      <c r="Q2435" s="533"/>
      <c r="R2435" s="78" t="s">
        <v>100</v>
      </c>
      <c r="S2435" s="387">
        <f>+$AA$10</f>
        <v>0.05</v>
      </c>
      <c r="T2435" s="563">
        <f>V2465</f>
        <v>11675.12</v>
      </c>
      <c r="U2435" s="563"/>
      <c r="V2435" s="389">
        <f>+IFERROR(T2435*S2435,0)</f>
        <v>583.75600000000009</v>
      </c>
      <c r="Y2435" s="390"/>
      <c r="Z2435" s="391">
        <f>Y2431*V2435</f>
        <v>61586.258000000009</v>
      </c>
      <c r="AA2435" s="86"/>
      <c r="AB2435" s="384"/>
      <c r="AC2435" s="385"/>
      <c r="AD2435" s="94"/>
      <c r="AE2435" s="386" t="str">
        <f>+IF(V2435=0,"CERO","NO")</f>
        <v>NO</v>
      </c>
    </row>
    <row r="2436" spans="3:31" s="260" customFormat="1" x14ac:dyDescent="0.25">
      <c r="C2436" s="84"/>
      <c r="D2436" s="85"/>
      <c r="E2436" s="86"/>
      <c r="F2436" s="86"/>
      <c r="G2436" s="86"/>
      <c r="H2436" s="86"/>
      <c r="I2436" s="86"/>
      <c r="J2436" s="87"/>
      <c r="K2436" s="88"/>
      <c r="M2436" s="106"/>
      <c r="N2436" s="533" t="str">
        <f>IFERROR(VLOOKUP(M2436,INSUMOS!$C$8:$K$928,2,0),"-----")</f>
        <v>-----</v>
      </c>
      <c r="O2436" s="533"/>
      <c r="P2436" s="533"/>
      <c r="Q2436" s="533"/>
      <c r="R2436" s="78" t="str">
        <f>IFERROR(VLOOKUP(M2436,INSUMOS!$C$8:$K$928,6,0),"-----")</f>
        <v>-----</v>
      </c>
      <c r="S2436" s="392"/>
      <c r="T2436" s="529" t="str">
        <f>IFERROR(VLOOKUP(M2436,INSUMOS!$C$8:$K$928,7,0),"0")</f>
        <v>0</v>
      </c>
      <c r="U2436" s="529"/>
      <c r="V2436" s="389">
        <f>+IFERROR(T2436*S2436,0)</f>
        <v>0</v>
      </c>
      <c r="Y2436" s="393">
        <f>+IFERROR(Y2431*S2436,0)</f>
        <v>0</v>
      </c>
      <c r="Z2436" s="391">
        <f>Y2431*V2436</f>
        <v>0</v>
      </c>
      <c r="AA2436" s="394"/>
      <c r="AB2436" s="395">
        <f>+Y2436*T2436</f>
        <v>0</v>
      </c>
      <c r="AC2436" s="93">
        <f>+AB2436-Z2436</f>
        <v>0</v>
      </c>
      <c r="AD2436" s="94"/>
      <c r="AE2436" s="386" t="str">
        <f>+IF(V2436=0,"CERO","NO")</f>
        <v>CERO</v>
      </c>
    </row>
    <row r="2437" spans="3:31" s="260" customFormat="1" x14ac:dyDescent="0.25">
      <c r="C2437" s="84"/>
      <c r="D2437" s="85"/>
      <c r="E2437" s="86"/>
      <c r="F2437" s="86"/>
      <c r="G2437" s="86"/>
      <c r="H2437" s="86"/>
      <c r="I2437" s="86"/>
      <c r="J2437" s="87"/>
      <c r="K2437" s="88"/>
      <c r="M2437" s="102"/>
      <c r="N2437" s="533" t="str">
        <f>IFERROR(VLOOKUP(M2437,INSUMOS!$C$8:$K$928,2,0),"-----")</f>
        <v>-----</v>
      </c>
      <c r="O2437" s="533"/>
      <c r="P2437" s="533"/>
      <c r="Q2437" s="533"/>
      <c r="R2437" s="78" t="str">
        <f>IFERROR(VLOOKUP(M2437,INSUMOS!$C$8:$K$928,6,0),"-----")</f>
        <v>-----</v>
      </c>
      <c r="S2437" s="392"/>
      <c r="T2437" s="529" t="str">
        <f>IFERROR(VLOOKUP(M2437,INSUMOS!$C$8:$K$928,7,0),"0")</f>
        <v>0</v>
      </c>
      <c r="U2437" s="529"/>
      <c r="V2437" s="389">
        <f>+IFERROR(T2437*S2437,0)</f>
        <v>0</v>
      </c>
      <c r="Y2437" s="393">
        <f>+IFERROR(Y2431*S2437,0)</f>
        <v>0</v>
      </c>
      <c r="Z2437" s="391">
        <f>Y2431*V2437</f>
        <v>0</v>
      </c>
      <c r="AA2437" s="394"/>
      <c r="AB2437" s="395">
        <f>+Y2437*T2437</f>
        <v>0</v>
      </c>
      <c r="AC2437" s="93">
        <f>+AB2437-Z2437</f>
        <v>0</v>
      </c>
      <c r="AD2437" s="94"/>
      <c r="AE2437" s="386" t="str">
        <f>+IF(V2437=0,"CERO","NO")</f>
        <v>CERO</v>
      </c>
    </row>
    <row r="2438" spans="3:31" s="260" customFormat="1" x14ac:dyDescent="0.25">
      <c r="C2438" s="84"/>
      <c r="D2438" s="85"/>
      <c r="E2438" s="86"/>
      <c r="F2438" s="86"/>
      <c r="G2438" s="86"/>
      <c r="H2438" s="86"/>
      <c r="I2438" s="86"/>
      <c r="J2438" s="87"/>
      <c r="K2438" s="88"/>
      <c r="M2438" s="102"/>
      <c r="N2438" s="533" t="str">
        <f>IFERROR(VLOOKUP(M2438,INSUMOS!$C$8:$K$928,2,0),"-----")</f>
        <v>-----</v>
      </c>
      <c r="O2438" s="533"/>
      <c r="P2438" s="533"/>
      <c r="Q2438" s="533"/>
      <c r="R2438" s="78" t="str">
        <f>IFERROR(VLOOKUP(M2438,INSUMOS!$C$8:$K$928,6,0),"-----")</f>
        <v>-----</v>
      </c>
      <c r="S2438" s="392"/>
      <c r="T2438" s="529" t="str">
        <f>IFERROR(VLOOKUP(M2438,INSUMOS!$C$8:$K$928,7,0),"0")</f>
        <v>0</v>
      </c>
      <c r="U2438" s="529"/>
      <c r="V2438" s="389">
        <f t="shared" ref="V2438:V2439" si="22">+IFERROR(T2438*S2438,0)</f>
        <v>0</v>
      </c>
      <c r="Y2438" s="393">
        <f>+IFERROR(Y2431*S2438,0)</f>
        <v>0</v>
      </c>
      <c r="Z2438" s="391">
        <f>Y2431*V2438</f>
        <v>0</v>
      </c>
      <c r="AA2438" s="394"/>
      <c r="AB2438" s="395">
        <f>+Y2438*T2438</f>
        <v>0</v>
      </c>
      <c r="AC2438" s="93">
        <f>+AB2438-Z2438</f>
        <v>0</v>
      </c>
      <c r="AD2438" s="94"/>
      <c r="AE2438" s="386" t="str">
        <f>+IF(V2438=0,"CERO","NO")</f>
        <v>CERO</v>
      </c>
    </row>
    <row r="2439" spans="3:31" s="260" customFormat="1" ht="15.75" thickBot="1" x14ac:dyDescent="0.3">
      <c r="C2439" s="84"/>
      <c r="D2439" s="85"/>
      <c r="E2439" s="86"/>
      <c r="F2439" s="86"/>
      <c r="G2439" s="86"/>
      <c r="H2439" s="86"/>
      <c r="I2439" s="86"/>
      <c r="J2439" s="87"/>
      <c r="K2439" s="88"/>
      <c r="M2439" s="102"/>
      <c r="N2439" s="533" t="str">
        <f>IFERROR(VLOOKUP(M2439,INSUMOS!$C$8:$K$928,2,0),"-----")</f>
        <v>-----</v>
      </c>
      <c r="O2439" s="533"/>
      <c r="P2439" s="533"/>
      <c r="Q2439" s="533"/>
      <c r="R2439" s="78" t="str">
        <f>IFERROR(VLOOKUP(M2439,INSUMOS!$C$8:$K$928,6,0),"-----")</f>
        <v>-----</v>
      </c>
      <c r="S2439" s="392"/>
      <c r="T2439" s="529" t="str">
        <f>IFERROR(VLOOKUP(M2439,INSUMOS!$C$8:$K$928,7,0),"0")</f>
        <v>0</v>
      </c>
      <c r="U2439" s="529"/>
      <c r="V2439" s="389">
        <f t="shared" si="22"/>
        <v>0</v>
      </c>
      <c r="Y2439" s="393">
        <f>+IFERROR(Y2431*S2439,0)</f>
        <v>0</v>
      </c>
      <c r="Z2439" s="391">
        <f>Y2431*V2439</f>
        <v>0</v>
      </c>
      <c r="AA2439" s="394"/>
      <c r="AB2439" s="395">
        <f>+Y2439*T2439</f>
        <v>0</v>
      </c>
      <c r="AC2439" s="93">
        <f>+AB2439-Z2439</f>
        <v>0</v>
      </c>
      <c r="AD2439" s="94"/>
      <c r="AE2439" s="386" t="str">
        <f>+IF(V2439=0,"CERO","NO")</f>
        <v>CERO</v>
      </c>
    </row>
    <row r="2440" spans="3:31" s="260" customFormat="1" ht="15.75" thickBot="1" x14ac:dyDescent="0.3">
      <c r="C2440" s="84"/>
      <c r="D2440" s="375" t="s">
        <v>128</v>
      </c>
      <c r="E2440" s="376" t="s">
        <v>129</v>
      </c>
      <c r="F2440" s="376" t="s">
        <v>130</v>
      </c>
      <c r="G2440" s="376" t="s">
        <v>131</v>
      </c>
      <c r="H2440" s="376" t="s">
        <v>132</v>
      </c>
      <c r="I2440" s="376" t="s">
        <v>133</v>
      </c>
      <c r="J2440" s="377" t="s">
        <v>134</v>
      </c>
      <c r="K2440" s="88"/>
      <c r="M2440" s="534"/>
      <c r="N2440" s="536" t="s">
        <v>101</v>
      </c>
      <c r="O2440" s="536"/>
      <c r="P2440" s="536"/>
      <c r="Q2440" s="536"/>
      <c r="R2440" s="536"/>
      <c r="S2440" s="536"/>
      <c r="T2440" s="536"/>
      <c r="U2440" s="536"/>
      <c r="V2440" s="389">
        <f>+SUM(V2435:V2439)</f>
        <v>583.75600000000009</v>
      </c>
      <c r="Y2440" s="398" t="s">
        <v>135</v>
      </c>
      <c r="Z2440" s="397">
        <f>+SUM(Z2435:Z2439)</f>
        <v>61586.258000000009</v>
      </c>
      <c r="AA2440" s="86"/>
      <c r="AB2440" s="384"/>
      <c r="AC2440" s="385"/>
      <c r="AD2440" s="94"/>
      <c r="AE2440" s="399"/>
    </row>
    <row r="2441" spans="3:31" s="260" customFormat="1" ht="15.75" thickBot="1" x14ac:dyDescent="0.3">
      <c r="C2441" s="84"/>
      <c r="D2441" s="375">
        <f>C2431</f>
        <v>3.01</v>
      </c>
      <c r="E2441" s="376"/>
      <c r="F2441" s="376"/>
      <c r="G2441" s="376"/>
      <c r="H2441" s="376"/>
      <c r="I2441" s="376"/>
      <c r="J2441" s="377"/>
      <c r="K2441" s="88"/>
      <c r="M2441" s="566"/>
      <c r="N2441" s="567" t="s">
        <v>102</v>
      </c>
      <c r="O2441" s="567"/>
      <c r="P2441" s="567"/>
      <c r="Q2441" s="567"/>
      <c r="R2441" s="567"/>
      <c r="S2441" s="567"/>
      <c r="T2441" s="567"/>
      <c r="U2441" s="567"/>
      <c r="V2441" s="400">
        <f>+ROUND(V2440,$AA$5)</f>
        <v>583.76</v>
      </c>
      <c r="Y2441" s="401" t="s">
        <v>136</v>
      </c>
      <c r="Z2441" s="402">
        <f>+ROUND(Z2440,$AA$5)</f>
        <v>61586.26</v>
      </c>
      <c r="AA2441" s="86"/>
      <c r="AB2441" s="403">
        <f>+V2441*Y2431</f>
        <v>61586.68</v>
      </c>
      <c r="AC2441" s="404">
        <f>+AB2441-Z2441</f>
        <v>0.41999999999825377</v>
      </c>
      <c r="AD2441" s="94"/>
      <c r="AE2441" s="405"/>
    </row>
    <row r="2442" spans="3:31" s="260" customFormat="1" x14ac:dyDescent="0.25">
      <c r="C2442" s="84"/>
      <c r="D2442" s="380"/>
      <c r="E2442" s="381"/>
      <c r="F2442" s="381"/>
      <c r="G2442" s="381"/>
      <c r="H2442" s="381"/>
      <c r="I2442" s="381"/>
      <c r="J2442" s="382"/>
      <c r="K2442" s="88"/>
      <c r="M2442" s="510" t="s">
        <v>103</v>
      </c>
      <c r="N2442" s="511"/>
      <c r="O2442" s="511"/>
      <c r="P2442" s="511"/>
      <c r="Q2442" s="511"/>
      <c r="R2442" s="511"/>
      <c r="S2442" s="511"/>
      <c r="T2442" s="511"/>
      <c r="U2442" s="511"/>
      <c r="V2442" s="512"/>
      <c r="Y2442" s="378"/>
      <c r="Z2442" s="121"/>
      <c r="AA2442" s="86"/>
      <c r="AB2442" s="513"/>
      <c r="AC2442" s="514"/>
      <c r="AD2442" s="94"/>
      <c r="AE2442" s="126"/>
    </row>
    <row r="2443" spans="3:31" s="260" customFormat="1" x14ac:dyDescent="0.25">
      <c r="C2443" s="84"/>
      <c r="D2443" s="85"/>
      <c r="E2443" s="86"/>
      <c r="F2443" s="86"/>
      <c r="G2443" s="86"/>
      <c r="H2443" s="86"/>
      <c r="I2443" s="86"/>
      <c r="J2443" s="87"/>
      <c r="K2443" s="88"/>
      <c r="M2443" s="99" t="s">
        <v>94</v>
      </c>
      <c r="N2443" s="561" t="s">
        <v>95</v>
      </c>
      <c r="O2443" s="561"/>
      <c r="P2443" s="561"/>
      <c r="Q2443" s="561"/>
      <c r="R2443" s="95" t="s">
        <v>96</v>
      </c>
      <c r="S2443" s="95" t="s">
        <v>104</v>
      </c>
      <c r="T2443" s="356" t="s">
        <v>105</v>
      </c>
      <c r="U2443" s="356" t="s">
        <v>8</v>
      </c>
      <c r="V2443" s="100" t="s">
        <v>98</v>
      </c>
      <c r="Y2443" s="383" t="s">
        <v>104</v>
      </c>
      <c r="Z2443" s="119" t="s">
        <v>9</v>
      </c>
      <c r="AA2443" s="86"/>
      <c r="AB2443" s="384"/>
      <c r="AC2443" s="385"/>
      <c r="AD2443" s="94"/>
      <c r="AE2443" s="406"/>
    </row>
    <row r="2444" spans="3:31" s="260" customFormat="1" x14ac:dyDescent="0.25">
      <c r="C2444" s="84"/>
      <c r="D2444" s="85"/>
      <c r="E2444" s="86"/>
      <c r="F2444" s="86"/>
      <c r="G2444" s="86"/>
      <c r="H2444" s="86"/>
      <c r="I2444" s="86"/>
      <c r="J2444" s="87"/>
      <c r="K2444" s="88"/>
      <c r="M2444" s="102">
        <v>941</v>
      </c>
      <c r="N2444" s="533" t="str">
        <f>IFERROR(VLOOKUP(M2444,INSUMOS!$C$8:$K$928,2,0),"-----")</f>
        <v>TUBERIA C-PVC BLAZEMASTER 3"</v>
      </c>
      <c r="O2444" s="533"/>
      <c r="P2444" s="533"/>
      <c r="Q2444" s="533"/>
      <c r="R2444" s="78" t="str">
        <f>IFERROR(VLOOKUP(M2444,INSUMOS!$C$8:$K$928,6,0),"-----")</f>
        <v>ml</v>
      </c>
      <c r="S2444" s="396">
        <v>1</v>
      </c>
      <c r="T2444" s="387">
        <v>0</v>
      </c>
      <c r="U2444" s="388">
        <f>IFERROR(VLOOKUP(M2444,INSUMOS!$C$8:$K$928,7,0),"0")</f>
        <v>412287.96498905908</v>
      </c>
      <c r="V2444" s="389">
        <f>+IFERROR(U2444*(S2444*(1+T2444)),0)</f>
        <v>412287.96498905908</v>
      </c>
      <c r="Y2444" s="393">
        <f>+IFERROR(Y2431*(S2444*(1+T2444)),0)</f>
        <v>105.5</v>
      </c>
      <c r="Z2444" s="391">
        <f>Y2431*V2444</f>
        <v>43496380.306345731</v>
      </c>
      <c r="AA2444" s="394"/>
      <c r="AB2444" s="395">
        <f>+Y2444*U2444</f>
        <v>43496380.306345731</v>
      </c>
      <c r="AC2444" s="93">
        <f>+AB2444-Z2444</f>
        <v>0</v>
      </c>
      <c r="AD2444" s="94"/>
      <c r="AE2444" s="406" t="str">
        <f>+IF(V2444=0,"CERO","NO")</f>
        <v>NO</v>
      </c>
    </row>
    <row r="2445" spans="3:31" s="260" customFormat="1" x14ac:dyDescent="0.25">
      <c r="C2445" s="84"/>
      <c r="D2445" s="85"/>
      <c r="E2445" s="86"/>
      <c r="F2445" s="86"/>
      <c r="G2445" s="86"/>
      <c r="H2445" s="86"/>
      <c r="I2445" s="86"/>
      <c r="J2445" s="87"/>
      <c r="K2445" s="88"/>
      <c r="M2445" s="102">
        <v>699</v>
      </c>
      <c r="N2445" s="533" t="str">
        <f>IFERROR(VLOOKUP(M2445,INSUMOS!$C$8:$K$928,2,0),"-----")</f>
        <v>SOLDADURA PVC LIQUIDA 1/4"</v>
      </c>
      <c r="O2445" s="533"/>
      <c r="P2445" s="533"/>
      <c r="Q2445" s="533"/>
      <c r="R2445" s="78" t="str">
        <f>IFERROR(VLOOKUP(M2445,INSUMOS!$C$8:$K$928,6,0),"-----")</f>
        <v>und</v>
      </c>
      <c r="S2445" s="392">
        <v>0.01</v>
      </c>
      <c r="T2445" s="387">
        <v>0.02</v>
      </c>
      <c r="U2445" s="388">
        <f>IFERROR(VLOOKUP(M2445,INSUMOS!$C$8:$K$928,7,0),"0")</f>
        <v>146569</v>
      </c>
      <c r="V2445" s="389">
        <f>+IFERROR(U2445*(S2445*(1+T2445)),0)</f>
        <v>1495.0038000000002</v>
      </c>
      <c r="Y2445" s="393">
        <f>+IFERROR(Y2431*(S2445*(1+T2445)),0)</f>
        <v>1.0761000000000001</v>
      </c>
      <c r="Z2445" s="391">
        <f>Y2431*V2445</f>
        <v>157722.90090000001</v>
      </c>
      <c r="AA2445" s="394"/>
      <c r="AB2445" s="395">
        <f>+Y2445*U2445</f>
        <v>157722.90090000001</v>
      </c>
      <c r="AC2445" s="93">
        <f>+AB2445-Z2445</f>
        <v>0</v>
      </c>
      <c r="AD2445" s="94"/>
      <c r="AE2445" s="406" t="str">
        <f>+IF(V2445=0,"CERO","NO")</f>
        <v>NO</v>
      </c>
    </row>
    <row r="2446" spans="3:31" s="260" customFormat="1" x14ac:dyDescent="0.25">
      <c r="C2446" s="84"/>
      <c r="D2446" s="85"/>
      <c r="E2446" s="86"/>
      <c r="F2446" s="86"/>
      <c r="G2446" s="86"/>
      <c r="H2446" s="86"/>
      <c r="I2446" s="86"/>
      <c r="J2446" s="87"/>
      <c r="K2446" s="88"/>
      <c r="M2446" s="102">
        <v>700</v>
      </c>
      <c r="N2446" s="533" t="str">
        <f>IFERROR(VLOOKUP(M2446,INSUMOS!$C$8:$K$928,2,0),"-----")</f>
        <v>LIMPIADOR PVC 1/4</v>
      </c>
      <c r="O2446" s="533"/>
      <c r="P2446" s="533"/>
      <c r="Q2446" s="533"/>
      <c r="R2446" s="78" t="str">
        <f>IFERROR(VLOOKUP(M2446,INSUMOS!$C$8:$K$928,6,0),"-----")</f>
        <v>und</v>
      </c>
      <c r="S2446" s="396">
        <v>0.01</v>
      </c>
      <c r="T2446" s="387">
        <v>0.02</v>
      </c>
      <c r="U2446" s="388">
        <f>IFERROR(VLOOKUP(M2446,INSUMOS!$C$8:$K$928,7,0),"0")</f>
        <v>65913</v>
      </c>
      <c r="V2446" s="389">
        <f>+IFERROR(U2446*(S2446*(1+T2446)),0)</f>
        <v>672.31260000000009</v>
      </c>
      <c r="Y2446" s="393">
        <f>+IFERROR(Y2431*(S2446*(1+T2446)),0)</f>
        <v>1.0761000000000001</v>
      </c>
      <c r="Z2446" s="391">
        <f>Y2431*V2446</f>
        <v>70928.979300000006</v>
      </c>
      <c r="AA2446" s="394"/>
      <c r="AB2446" s="395">
        <f>+Y2446*U2446</f>
        <v>70928.979300000006</v>
      </c>
      <c r="AC2446" s="93">
        <f>+AB2446-Z2446</f>
        <v>0</v>
      </c>
      <c r="AD2446" s="94"/>
      <c r="AE2446" s="406" t="str">
        <f>+IF(V2446=0,"CERO","NO")</f>
        <v>NO</v>
      </c>
    </row>
    <row r="2447" spans="3:31" s="260" customFormat="1" x14ac:dyDescent="0.25">
      <c r="C2447" s="84"/>
      <c r="D2447" s="85"/>
      <c r="E2447" s="86"/>
      <c r="F2447" s="86"/>
      <c r="G2447" s="86"/>
      <c r="H2447" s="86"/>
      <c r="I2447" s="86"/>
      <c r="J2447" s="87"/>
      <c r="K2447" s="88"/>
      <c r="M2447" s="102">
        <v>0</v>
      </c>
      <c r="N2447" s="533" t="str">
        <f>IFERROR(VLOOKUP(M2447,INSUMOS!$C$8:$K$928,2,0),"-----")</f>
        <v>-----</v>
      </c>
      <c r="O2447" s="533"/>
      <c r="P2447" s="533"/>
      <c r="Q2447" s="533"/>
      <c r="R2447" s="78" t="str">
        <f>IFERROR(VLOOKUP(M2447,INSUMOS!$C$8:$K$928,6,0),"-----")</f>
        <v>-----</v>
      </c>
      <c r="S2447" s="396"/>
      <c r="T2447" s="387"/>
      <c r="U2447" s="388" t="str">
        <f>IFERROR(VLOOKUP(M2447,INSUMOS!$C$8:$K$928,7,0),"0")</f>
        <v>0</v>
      </c>
      <c r="V2447" s="389">
        <f>+IFERROR(U2447*(S2447*(1+T2447)),0)</f>
        <v>0</v>
      </c>
      <c r="Y2447" s="393">
        <f>+IFERROR(Y2431*(S2447*(1+T2447)),0)</f>
        <v>0</v>
      </c>
      <c r="Z2447" s="391">
        <f>Y2431*V2447</f>
        <v>0</v>
      </c>
      <c r="AA2447" s="394"/>
      <c r="AB2447" s="395">
        <f>+Y2447*U2447</f>
        <v>0</v>
      </c>
      <c r="AC2447" s="93">
        <f>+AB2447-Z2447</f>
        <v>0</v>
      </c>
      <c r="AD2447" s="94"/>
      <c r="AE2447" s="406" t="str">
        <f>+IF(V2447=0,"CERO","NO")</f>
        <v>CERO</v>
      </c>
    </row>
    <row r="2448" spans="3:31" s="260" customFormat="1" ht="15.75" thickBot="1" x14ac:dyDescent="0.3">
      <c r="C2448" s="84"/>
      <c r="D2448" s="85"/>
      <c r="E2448" s="86"/>
      <c r="F2448" s="86"/>
      <c r="G2448" s="86"/>
      <c r="H2448" s="86"/>
      <c r="I2448" s="86"/>
      <c r="J2448" s="87"/>
      <c r="K2448" s="88"/>
      <c r="M2448" s="102">
        <v>0</v>
      </c>
      <c r="N2448" s="564"/>
      <c r="O2448" s="564"/>
      <c r="P2448" s="564"/>
      <c r="Q2448" s="564"/>
      <c r="R2448" s="96"/>
      <c r="S2448" s="79"/>
      <c r="T2448" s="97"/>
      <c r="U2448" s="358"/>
      <c r="V2448" s="397"/>
      <c r="Y2448" s="393">
        <f>+IFERROR(Y2431*(S2448*(1+T2448)),0)</f>
        <v>0</v>
      </c>
      <c r="Z2448" s="391">
        <f>Y2431*V2448</f>
        <v>0</v>
      </c>
      <c r="AA2448" s="394"/>
      <c r="AB2448" s="395">
        <f>+Y2448*U2448</f>
        <v>0</v>
      </c>
      <c r="AC2448" s="93">
        <f>+AB2448-Z2448</f>
        <v>0</v>
      </c>
      <c r="AD2448" s="94"/>
      <c r="AE2448" s="406" t="str">
        <f>+IF(V2448=0,"CERO","NO")</f>
        <v>CERO</v>
      </c>
    </row>
    <row r="2449" spans="3:31" s="260" customFormat="1" ht="15.75" thickBot="1" x14ac:dyDescent="0.3">
      <c r="C2449" s="84"/>
      <c r="D2449" s="375" t="s">
        <v>128</v>
      </c>
      <c r="E2449" s="376" t="s">
        <v>129</v>
      </c>
      <c r="F2449" s="376" t="s">
        <v>130</v>
      </c>
      <c r="G2449" s="376" t="s">
        <v>131</v>
      </c>
      <c r="H2449" s="376" t="s">
        <v>132</v>
      </c>
      <c r="I2449" s="376" t="s">
        <v>133</v>
      </c>
      <c r="J2449" s="377" t="s">
        <v>134</v>
      </c>
      <c r="K2449" s="88"/>
      <c r="M2449" s="534"/>
      <c r="N2449" s="536" t="s">
        <v>106</v>
      </c>
      <c r="O2449" s="536"/>
      <c r="P2449" s="536"/>
      <c r="Q2449" s="536"/>
      <c r="R2449" s="536"/>
      <c r="S2449" s="536"/>
      <c r="T2449" s="536"/>
      <c r="U2449" s="536"/>
      <c r="V2449" s="389">
        <f>+SUM(V2444:V2448)</f>
        <v>414455.28138905909</v>
      </c>
      <c r="Y2449" s="398" t="s">
        <v>135</v>
      </c>
      <c r="Z2449" s="397">
        <f>+SUM(Z2444:Z2448)</f>
        <v>43725032.18654573</v>
      </c>
      <c r="AA2449" s="86"/>
      <c r="AB2449" s="384"/>
      <c r="AC2449" s="385"/>
      <c r="AD2449" s="94"/>
      <c r="AE2449" s="399"/>
    </row>
    <row r="2450" spans="3:31" s="260" customFormat="1" ht="15.75" thickBot="1" x14ac:dyDescent="0.3">
      <c r="C2450" s="84"/>
      <c r="D2450" s="375"/>
      <c r="E2450" s="407">
        <f>+D2441</f>
        <v>3.01</v>
      </c>
      <c r="F2450" s="376"/>
      <c r="G2450" s="376"/>
      <c r="H2450" s="376"/>
      <c r="I2450" s="376"/>
      <c r="J2450" s="377"/>
      <c r="K2450" s="88"/>
      <c r="M2450" s="535"/>
      <c r="N2450" s="537" t="s">
        <v>107</v>
      </c>
      <c r="O2450" s="537"/>
      <c r="P2450" s="537"/>
      <c r="Q2450" s="537"/>
      <c r="R2450" s="537"/>
      <c r="S2450" s="537"/>
      <c r="T2450" s="537"/>
      <c r="U2450" s="537"/>
      <c r="V2450" s="408">
        <f>+ROUND(V2449,$AA$5)</f>
        <v>414455.28</v>
      </c>
      <c r="Y2450" s="401" t="s">
        <v>136</v>
      </c>
      <c r="Z2450" s="402">
        <f>+ROUND(Z2449,$AA$5)</f>
        <v>43725032.189999998</v>
      </c>
      <c r="AA2450" s="86"/>
      <c r="AB2450" s="403">
        <f>+V2450*Y2431</f>
        <v>43725032.040000007</v>
      </c>
      <c r="AC2450" s="404">
        <f>+AB2450-Z2450</f>
        <v>-0.14999999105930328</v>
      </c>
      <c r="AD2450" s="94"/>
      <c r="AE2450" s="405"/>
    </row>
    <row r="2451" spans="3:31" s="260" customFormat="1" x14ac:dyDescent="0.25">
      <c r="C2451" s="84"/>
      <c r="D2451" s="380"/>
      <c r="E2451" s="381"/>
      <c r="F2451" s="381"/>
      <c r="G2451" s="381"/>
      <c r="H2451" s="381"/>
      <c r="I2451" s="381"/>
      <c r="J2451" s="382"/>
      <c r="K2451" s="88"/>
      <c r="M2451" s="568" t="s">
        <v>108</v>
      </c>
      <c r="N2451" s="569"/>
      <c r="O2451" s="569"/>
      <c r="P2451" s="569"/>
      <c r="Q2451" s="569"/>
      <c r="R2451" s="569"/>
      <c r="S2451" s="569"/>
      <c r="T2451" s="569"/>
      <c r="U2451" s="569"/>
      <c r="V2451" s="570"/>
      <c r="Y2451" s="378"/>
      <c r="Z2451" s="121"/>
      <c r="AA2451" s="86"/>
      <c r="AB2451" s="409"/>
      <c r="AC2451" s="121"/>
      <c r="AD2451" s="94"/>
      <c r="AE2451" s="126"/>
    </row>
    <row r="2452" spans="3:31" s="260" customFormat="1" ht="25.5" x14ac:dyDescent="0.25">
      <c r="C2452" s="84"/>
      <c r="D2452" s="85"/>
      <c r="E2452" s="86"/>
      <c r="F2452" s="86"/>
      <c r="G2452" s="86"/>
      <c r="H2452" s="86"/>
      <c r="I2452" s="86"/>
      <c r="J2452" s="87"/>
      <c r="K2452" s="88"/>
      <c r="M2452" s="99" t="s">
        <v>94</v>
      </c>
      <c r="N2452" s="561" t="s">
        <v>95</v>
      </c>
      <c r="O2452" s="561"/>
      <c r="P2452" s="561"/>
      <c r="Q2452" s="95" t="s">
        <v>109</v>
      </c>
      <c r="R2452" s="95" t="s">
        <v>110</v>
      </c>
      <c r="S2452" s="95" t="s">
        <v>111</v>
      </c>
      <c r="T2452" s="562" t="s">
        <v>112</v>
      </c>
      <c r="U2452" s="562"/>
      <c r="V2452" s="100" t="s">
        <v>98</v>
      </c>
      <c r="Y2452" s="383" t="s">
        <v>104</v>
      </c>
      <c r="Z2452" s="119" t="s">
        <v>9</v>
      </c>
      <c r="AA2452" s="86"/>
      <c r="AB2452" s="384"/>
      <c r="AC2452" s="385"/>
      <c r="AD2452" s="94"/>
      <c r="AE2452" s="410"/>
    </row>
    <row r="2453" spans="3:31" s="260" customFormat="1" x14ac:dyDescent="0.25">
      <c r="C2453" s="84"/>
      <c r="D2453" s="85"/>
      <c r="E2453" s="86"/>
      <c r="F2453" s="86"/>
      <c r="G2453" s="86"/>
      <c r="H2453" s="86"/>
      <c r="I2453" s="86"/>
      <c r="J2453" s="87"/>
      <c r="K2453" s="88"/>
      <c r="M2453" s="102">
        <v>129</v>
      </c>
      <c r="N2453" s="530" t="str">
        <f>IFERROR(VLOOKUP(M2453,INSUMOS!$C$8:$K$928,2,0),"-----")</f>
        <v>transporte materiales en general</v>
      </c>
      <c r="O2453" s="531"/>
      <c r="P2453" s="532"/>
      <c r="Q2453" s="78" t="str">
        <f>IFERROR(VLOOKUP(M2453,INSUMOS!$C$8:$K$928,5,0),"-----")</f>
        <v>Km</v>
      </c>
      <c r="R2453" s="80">
        <v>1</v>
      </c>
      <c r="S2453" s="80">
        <f>IFERROR(VLOOKUP(M2453,INSUMOS!$C$8:$K$928,6,0),"0")</f>
        <v>348</v>
      </c>
      <c r="T2453" s="529">
        <f>IFERROR(VLOOKUP(M2453,INSUMOS!$C$8:$K$928,7,0),"0")</f>
        <v>0.99776362060288992</v>
      </c>
      <c r="U2453" s="529"/>
      <c r="V2453" s="82">
        <f>+T2453*S2453*R2453</f>
        <v>347.2217399698057</v>
      </c>
      <c r="Y2453" s="393">
        <f>+IFERROR((R2453*S2453)*Y2431,0)</f>
        <v>36714</v>
      </c>
      <c r="Z2453" s="391">
        <f>Y2431*V2453</f>
        <v>36631.893566814499</v>
      </c>
      <c r="AA2453" s="86"/>
      <c r="AB2453" s="92">
        <f>+Y2453*T2453</f>
        <v>36631.893566814499</v>
      </c>
      <c r="AC2453" s="93">
        <f>+AB2453-Z2453</f>
        <v>0</v>
      </c>
      <c r="AD2453" s="94"/>
      <c r="AE2453" s="406" t="str">
        <f>+IF(V2453=0,"CERO","NO")</f>
        <v>NO</v>
      </c>
    </row>
    <row r="2454" spans="3:31" s="260" customFormat="1" x14ac:dyDescent="0.25">
      <c r="C2454" s="84"/>
      <c r="D2454" s="85"/>
      <c r="E2454" s="86"/>
      <c r="F2454" s="86"/>
      <c r="G2454" s="86"/>
      <c r="H2454" s="86"/>
      <c r="I2454" s="86"/>
      <c r="J2454" s="87"/>
      <c r="K2454" s="88"/>
      <c r="M2454" s="102">
        <v>0</v>
      </c>
      <c r="N2454" s="530" t="str">
        <f>IFERROR(VLOOKUP(M2454,INSUMOS!$C$8:$K$928,2,0),"-----")</f>
        <v>-----</v>
      </c>
      <c r="O2454" s="531"/>
      <c r="P2454" s="532"/>
      <c r="Q2454" s="78" t="str">
        <f>IFERROR(VLOOKUP(M2454,INSUMOS!$C$8:$K$928,5,0),"-----")</f>
        <v>-----</v>
      </c>
      <c r="R2454" s="80"/>
      <c r="S2454" s="80" t="str">
        <f>IFERROR(VLOOKUP(M2454,INSUMOS!$C$8:$K$928,6,0),"0")</f>
        <v>0</v>
      </c>
      <c r="T2454" s="529" t="str">
        <f>IFERROR(VLOOKUP(M2454,INSUMOS!$C$8:$K$928,7,0),"0")</f>
        <v>0</v>
      </c>
      <c r="U2454" s="529"/>
      <c r="V2454" s="82">
        <f>+T2454*S2454*R2454</f>
        <v>0</v>
      </c>
      <c r="Y2454" s="393">
        <f>+IFERROR((R2454*S2454)*Y2431,0)</f>
        <v>0</v>
      </c>
      <c r="Z2454" s="391">
        <f>Y2431*V2454</f>
        <v>0</v>
      </c>
      <c r="AA2454" s="86"/>
      <c r="AB2454" s="92">
        <f>+Y2454*T2454</f>
        <v>0</v>
      </c>
      <c r="AC2454" s="93">
        <f>+AB2454-Z2454</f>
        <v>0</v>
      </c>
      <c r="AD2454" s="94"/>
      <c r="AE2454" s="406" t="str">
        <f>+IF(V2454=0,"CERO","NO")</f>
        <v>CERO</v>
      </c>
    </row>
    <row r="2455" spans="3:31" s="260" customFormat="1" x14ac:dyDescent="0.25">
      <c r="C2455" s="84"/>
      <c r="D2455" s="85"/>
      <c r="E2455" s="86"/>
      <c r="F2455" s="86"/>
      <c r="G2455" s="86"/>
      <c r="H2455" s="86"/>
      <c r="I2455" s="86"/>
      <c r="J2455" s="87"/>
      <c r="K2455" s="88"/>
      <c r="M2455" s="102">
        <v>0</v>
      </c>
      <c r="N2455" s="530" t="str">
        <f>IFERROR(VLOOKUP(M2455,INSUMOS!$C$8:$K$928,2,0),"-----")</f>
        <v>-----</v>
      </c>
      <c r="O2455" s="531"/>
      <c r="P2455" s="532"/>
      <c r="Q2455" s="78" t="str">
        <f>IFERROR(VLOOKUP(M2455,INSUMOS!$C$8:$K$928,5,0),"-----")</f>
        <v>-----</v>
      </c>
      <c r="R2455" s="80"/>
      <c r="S2455" s="80" t="str">
        <f>IFERROR(VLOOKUP(M2455,INSUMOS!$C$8:$K$928,6,0),"0")</f>
        <v>0</v>
      </c>
      <c r="T2455" s="529" t="str">
        <f>IFERROR(VLOOKUP(M2455,INSUMOS!$C$8:$K$928,7,0),"0")</f>
        <v>0</v>
      </c>
      <c r="U2455" s="529"/>
      <c r="V2455" s="82">
        <f>+T2455*S2455*R2455</f>
        <v>0</v>
      </c>
      <c r="Y2455" s="393">
        <f>+IFERROR((R2455*S2455)*Y2431,0)</f>
        <v>0</v>
      </c>
      <c r="Z2455" s="391">
        <f>Y2431*V2455</f>
        <v>0</v>
      </c>
      <c r="AA2455" s="86"/>
      <c r="AB2455" s="92">
        <f>+Y2455*T2455</f>
        <v>0</v>
      </c>
      <c r="AC2455" s="93">
        <f>+AB2455-Z2455</f>
        <v>0</v>
      </c>
      <c r="AD2455" s="94"/>
      <c r="AE2455" s="406" t="str">
        <f>+IF(V2455=0,"CERO","NO")</f>
        <v>CERO</v>
      </c>
    </row>
    <row r="2456" spans="3:31" s="260" customFormat="1" ht="15.75" thickBot="1" x14ac:dyDescent="0.3">
      <c r="C2456" s="84"/>
      <c r="D2456" s="89"/>
      <c r="E2456" s="90"/>
      <c r="F2456" s="90"/>
      <c r="G2456" s="90"/>
      <c r="H2456" s="90"/>
      <c r="I2456" s="90"/>
      <c r="J2456" s="91"/>
      <c r="K2456" s="88"/>
      <c r="M2456" s="102">
        <v>0</v>
      </c>
      <c r="N2456" s="533"/>
      <c r="O2456" s="533"/>
      <c r="P2456" s="533"/>
      <c r="Q2456" s="79"/>
      <c r="R2456" s="78"/>
      <c r="S2456" s="81"/>
      <c r="T2456" s="529"/>
      <c r="U2456" s="529"/>
      <c r="V2456" s="82"/>
      <c r="Y2456" s="393">
        <f>+IFERROR((R2456*S2456)*Y2431,0)</f>
        <v>0</v>
      </c>
      <c r="Z2456" s="391">
        <f>Y2431*V2456</f>
        <v>0</v>
      </c>
      <c r="AA2456" s="86"/>
      <c r="AB2456" s="92">
        <f>+Y2456*T2456</f>
        <v>0</v>
      </c>
      <c r="AC2456" s="93">
        <f>+AB2456-Z2456</f>
        <v>0</v>
      </c>
      <c r="AD2456" s="94"/>
      <c r="AE2456" s="406" t="str">
        <f>+IF(V2456=0,"CERO","NO")</f>
        <v>CERO</v>
      </c>
    </row>
    <row r="2457" spans="3:31" s="260" customFormat="1" ht="15.75" thickBot="1" x14ac:dyDescent="0.3">
      <c r="C2457" s="84"/>
      <c r="D2457" s="375" t="s">
        <v>128</v>
      </c>
      <c r="E2457" s="376" t="s">
        <v>129</v>
      </c>
      <c r="F2457" s="376" t="s">
        <v>130</v>
      </c>
      <c r="G2457" s="376" t="s">
        <v>131</v>
      </c>
      <c r="H2457" s="376" t="s">
        <v>132</v>
      </c>
      <c r="I2457" s="376" t="s">
        <v>133</v>
      </c>
      <c r="J2457" s="377" t="s">
        <v>134</v>
      </c>
      <c r="K2457" s="88"/>
      <c r="M2457" s="534"/>
      <c r="N2457" s="536" t="s">
        <v>113</v>
      </c>
      <c r="O2457" s="536"/>
      <c r="P2457" s="536"/>
      <c r="Q2457" s="536"/>
      <c r="R2457" s="536"/>
      <c r="S2457" s="536"/>
      <c r="T2457" s="536"/>
      <c r="U2457" s="536"/>
      <c r="V2457" s="411">
        <f>+SUM(V2453:V2456)</f>
        <v>347.2217399698057</v>
      </c>
      <c r="Y2457" s="398" t="s">
        <v>135</v>
      </c>
      <c r="Z2457" s="397">
        <f>+SUM(Z2453:Z2456)</f>
        <v>36631.893566814499</v>
      </c>
      <c r="AA2457" s="86"/>
      <c r="AB2457" s="384"/>
      <c r="AC2457" s="385"/>
      <c r="AD2457" s="94"/>
      <c r="AE2457" s="399"/>
    </row>
    <row r="2458" spans="3:31" s="260" customFormat="1" ht="15.75" thickBot="1" x14ac:dyDescent="0.3">
      <c r="C2458" s="84"/>
      <c r="D2458" s="355"/>
      <c r="E2458" s="367"/>
      <c r="F2458" s="412">
        <f>+E2450</f>
        <v>3.01</v>
      </c>
      <c r="G2458" s="367"/>
      <c r="H2458" s="367"/>
      <c r="I2458" s="367"/>
      <c r="J2458" s="368"/>
      <c r="K2458" s="88"/>
      <c r="M2458" s="535"/>
      <c r="N2458" s="537" t="s">
        <v>114</v>
      </c>
      <c r="O2458" s="537"/>
      <c r="P2458" s="537"/>
      <c r="Q2458" s="537"/>
      <c r="R2458" s="537"/>
      <c r="S2458" s="537"/>
      <c r="T2458" s="537"/>
      <c r="U2458" s="537"/>
      <c r="V2458" s="413">
        <f>+ROUND(V2457,$AA$5)</f>
        <v>347.22</v>
      </c>
      <c r="Y2458" s="401" t="s">
        <v>136</v>
      </c>
      <c r="Z2458" s="402">
        <f>+ROUND(Z2457,$AA$5)</f>
        <v>36631.89</v>
      </c>
      <c r="AA2458" s="86"/>
      <c r="AB2458" s="403">
        <f>+V2458*Y2431</f>
        <v>36631.710000000006</v>
      </c>
      <c r="AC2458" s="414"/>
      <c r="AD2458" s="94"/>
      <c r="AE2458" s="405"/>
    </row>
    <row r="2459" spans="3:31" s="260" customFormat="1" ht="15.75" thickBot="1" x14ac:dyDescent="0.3">
      <c r="C2459" s="84"/>
      <c r="D2459" s="415"/>
      <c r="E2459" s="416"/>
      <c r="F2459" s="416"/>
      <c r="G2459" s="416"/>
      <c r="H2459" s="416"/>
      <c r="I2459" s="416"/>
      <c r="J2459" s="417"/>
      <c r="K2459" s="88"/>
      <c r="M2459" s="538" t="s">
        <v>115</v>
      </c>
      <c r="N2459" s="539"/>
      <c r="O2459" s="539"/>
      <c r="P2459" s="539"/>
      <c r="Q2459" s="539"/>
      <c r="R2459" s="539"/>
      <c r="S2459" s="539"/>
      <c r="T2459" s="539"/>
      <c r="U2459" s="539"/>
      <c r="V2459" s="540"/>
      <c r="Y2459" s="378"/>
      <c r="Z2459" s="121"/>
      <c r="AA2459" s="86"/>
      <c r="AB2459" s="409"/>
      <c r="AC2459" s="121"/>
      <c r="AD2459" s="94"/>
      <c r="AE2459" s="126"/>
    </row>
    <row r="2460" spans="3:31" s="260" customFormat="1" ht="15.75" thickBot="1" x14ac:dyDescent="0.3">
      <c r="C2460" s="84"/>
      <c r="D2460" s="375" t="s">
        <v>128</v>
      </c>
      <c r="E2460" s="376" t="s">
        <v>129</v>
      </c>
      <c r="F2460" s="376" t="s">
        <v>130</v>
      </c>
      <c r="G2460" s="376" t="s">
        <v>131</v>
      </c>
      <c r="H2460" s="376" t="s">
        <v>132</v>
      </c>
      <c r="I2460" s="376" t="s">
        <v>133</v>
      </c>
      <c r="J2460" s="377" t="s">
        <v>134</v>
      </c>
      <c r="K2460" s="88"/>
      <c r="M2460" s="99" t="s">
        <v>94</v>
      </c>
      <c r="N2460" s="98" t="s">
        <v>95</v>
      </c>
      <c r="O2460" s="95" t="s">
        <v>96</v>
      </c>
      <c r="P2460" s="359" t="s">
        <v>104</v>
      </c>
      <c r="Q2460" s="95" t="s">
        <v>116</v>
      </c>
      <c r="R2460" s="418" t="s">
        <v>117</v>
      </c>
      <c r="S2460" s="95" t="s">
        <v>347</v>
      </c>
      <c r="T2460" s="419" t="s">
        <v>118</v>
      </c>
      <c r="U2460" s="189" t="s">
        <v>119</v>
      </c>
      <c r="V2460" s="100" t="s">
        <v>98</v>
      </c>
      <c r="Y2460" s="383" t="s">
        <v>104</v>
      </c>
      <c r="Z2460" s="119" t="s">
        <v>9</v>
      </c>
      <c r="AA2460" s="86"/>
      <c r="AB2460" s="384"/>
      <c r="AC2460" s="385"/>
      <c r="AD2460" s="94"/>
      <c r="AE2460" s="410"/>
    </row>
    <row r="2461" spans="3:31" s="260" customFormat="1" ht="25.5" x14ac:dyDescent="0.25">
      <c r="C2461" s="84"/>
      <c r="D2461" s="354"/>
      <c r="E2461" s="96"/>
      <c r="F2461" s="96"/>
      <c r="G2461" s="96"/>
      <c r="H2461" s="96"/>
      <c r="I2461" s="96"/>
      <c r="J2461" s="420">
        <f>+F2458</f>
        <v>3.01</v>
      </c>
      <c r="K2461" s="88"/>
      <c r="M2461" s="102">
        <v>207</v>
      </c>
      <c r="N2461" s="347" t="str">
        <f>IFERROR(VLOOKUP(M2461,INSUMOS!$C$8:$K$928,2,0),"-----")</f>
        <v>Oficial Hidrosanitario</v>
      </c>
      <c r="O2461" s="78" t="str">
        <f>IFERROR(VLOOKUP(M2461,INSUMOS!$C$8:$K$928,3,0),"-----")</f>
        <v>JORNAL+PS</v>
      </c>
      <c r="P2461" s="80">
        <v>1</v>
      </c>
      <c r="Q2461" s="79">
        <v>25</v>
      </c>
      <c r="R2461" s="190">
        <f>IFERROR(VLOOKUP(M2461,INSUMOS!$C$8:$K$928,4,0),"-----")</f>
        <v>92983</v>
      </c>
      <c r="S2461" s="190">
        <f>IFERROR(VLOOKUP(M2461,INSUMOS!$C$8:$K$928,6,0),"-----")</f>
        <v>74386</v>
      </c>
      <c r="T2461" s="190">
        <f>IFERROR(VLOOKUP(M2461,INSUMOS!$C$8:$K$928,5,0),"-----")</f>
        <v>0</v>
      </c>
      <c r="U2461" s="388">
        <f>SUM(R2461:T2461)</f>
        <v>167369</v>
      </c>
      <c r="V2461" s="82">
        <f>+IFERROR((P2461/Q2461)*U2461,0)</f>
        <v>6694.76</v>
      </c>
      <c r="Y2461" s="393">
        <f>+IFERROR((Y2431/Q2461*P2461),0)</f>
        <v>4.22</v>
      </c>
      <c r="Z2461" s="391">
        <f>Y2431*V2461</f>
        <v>706297.18</v>
      </c>
      <c r="AA2461" s="86"/>
      <c r="AB2461" s="92">
        <f>+(U2461)*Y2461</f>
        <v>706297.17999999993</v>
      </c>
      <c r="AC2461" s="93">
        <f>+AB2461-Z2461</f>
        <v>0</v>
      </c>
      <c r="AD2461" s="421"/>
      <c r="AE2461" s="410" t="str">
        <f>+IF(V2461=0,"CERO","NO")</f>
        <v>NO</v>
      </c>
    </row>
    <row r="2462" spans="3:31" s="260" customFormat="1" ht="26.25" thickBot="1" x14ac:dyDescent="0.3">
      <c r="C2462" s="84"/>
      <c r="D2462" s="355"/>
      <c r="E2462" s="367"/>
      <c r="F2462" s="367"/>
      <c r="G2462" s="367"/>
      <c r="H2462" s="367"/>
      <c r="I2462" s="367"/>
      <c r="J2462" s="422">
        <f>+J2461</f>
        <v>3.01</v>
      </c>
      <c r="K2462" s="88"/>
      <c r="M2462" s="102">
        <v>208</v>
      </c>
      <c r="N2462" s="347" t="str">
        <f>IFERROR(VLOOKUP(M2462,INSUMOS!$C$8:$K$928,2,0),"-----")</f>
        <v>Ayudante Hidrosanitario</v>
      </c>
      <c r="O2462" s="78" t="str">
        <f>IFERROR(VLOOKUP(M2462,INSUMOS!$C$8:$K$928,3,0),"-----")</f>
        <v>JORNAL+PS</v>
      </c>
      <c r="P2462" s="80">
        <v>1</v>
      </c>
      <c r="Q2462" s="79">
        <v>25</v>
      </c>
      <c r="R2462" s="190">
        <f>IFERROR(VLOOKUP(M2462,INSUMOS!$C$8:$K$928,4,0),"-----")</f>
        <v>69172</v>
      </c>
      <c r="S2462" s="190">
        <f>IFERROR(VLOOKUP(M2462,INSUMOS!$C$8:$K$928,6,0),"-----")</f>
        <v>55337</v>
      </c>
      <c r="T2462" s="190">
        <f>IFERROR(VLOOKUP(M2462,INSUMOS!$C$8:$K$928,5,0),"-----")</f>
        <v>0</v>
      </c>
      <c r="U2462" s="388">
        <f>SUM(R2462:T2462)</f>
        <v>124509</v>
      </c>
      <c r="V2462" s="82">
        <f>+IFERROR((P2462/Q2462)*U2462,0)</f>
        <v>4980.3599999999997</v>
      </c>
      <c r="Y2462" s="393">
        <f>+IFERROR((Y2431/Q2462*P2462),0)</f>
        <v>4.22</v>
      </c>
      <c r="Z2462" s="391">
        <f>Y2431*V2462</f>
        <v>525427.98</v>
      </c>
      <c r="AA2462" s="86"/>
      <c r="AB2462" s="92">
        <f>+U2462*Y2462</f>
        <v>525427.98</v>
      </c>
      <c r="AC2462" s="93">
        <f>+AB2462-Z2462</f>
        <v>0</v>
      </c>
      <c r="AD2462" s="94"/>
      <c r="AE2462" s="410" t="str">
        <f>+IF(V2462=0,"CERO","NO")</f>
        <v>NO</v>
      </c>
    </row>
    <row r="2463" spans="3:31" s="260" customFormat="1" ht="15.75" thickBot="1" x14ac:dyDescent="0.3">
      <c r="C2463" s="84"/>
      <c r="D2463" s="380"/>
      <c r="E2463" s="381"/>
      <c r="F2463" s="381"/>
      <c r="G2463" s="381"/>
      <c r="H2463" s="381"/>
      <c r="I2463" s="381"/>
      <c r="J2463" s="382"/>
      <c r="K2463" s="88"/>
      <c r="M2463" s="102">
        <v>0</v>
      </c>
      <c r="N2463" s="347"/>
      <c r="O2463" s="79"/>
      <c r="P2463" s="423"/>
      <c r="Q2463" s="81"/>
      <c r="R2463" s="111"/>
      <c r="S2463" s="357"/>
      <c r="T2463" s="111"/>
      <c r="U2463" s="388"/>
      <c r="V2463" s="426"/>
      <c r="Y2463" s="393">
        <f>+IFERROR((Y2431/Q2463*P2463),0)</f>
        <v>0</v>
      </c>
      <c r="Z2463" s="391">
        <f>Y2431*V2463</f>
        <v>0</v>
      </c>
      <c r="AA2463" s="86"/>
      <c r="AB2463" s="92">
        <f>+(U2463)*Y2463*P2463</f>
        <v>0</v>
      </c>
      <c r="AC2463" s="93">
        <f>+AB2463-Z2463</f>
        <v>0</v>
      </c>
      <c r="AD2463" s="94"/>
      <c r="AE2463" s="410" t="str">
        <f>+IF(V2463=0,"CERO","NO")</f>
        <v>CERO</v>
      </c>
    </row>
    <row r="2464" spans="3:31" s="260" customFormat="1" ht="15.75" thickBot="1" x14ac:dyDescent="0.3">
      <c r="C2464" s="84"/>
      <c r="D2464" s="375" t="s">
        <v>128</v>
      </c>
      <c r="E2464" s="376" t="s">
        <v>129</v>
      </c>
      <c r="F2464" s="376" t="s">
        <v>130</v>
      </c>
      <c r="G2464" s="376" t="s">
        <v>131</v>
      </c>
      <c r="H2464" s="376" t="s">
        <v>132</v>
      </c>
      <c r="I2464" s="376" t="s">
        <v>133</v>
      </c>
      <c r="J2464" s="377" t="s">
        <v>134</v>
      </c>
      <c r="K2464" s="88"/>
      <c r="M2464" s="534"/>
      <c r="N2464" s="536" t="s">
        <v>120</v>
      </c>
      <c r="O2464" s="536"/>
      <c r="P2464" s="536"/>
      <c r="Q2464" s="536"/>
      <c r="R2464" s="536"/>
      <c r="S2464" s="536"/>
      <c r="T2464" s="536"/>
      <c r="U2464" s="536"/>
      <c r="V2464" s="82">
        <f>+SUM(V2461:V2463)</f>
        <v>11675.119999999999</v>
      </c>
      <c r="Y2464" s="398" t="s">
        <v>135</v>
      </c>
      <c r="Z2464" s="397">
        <f>+SUM(Z2461:Z2463)</f>
        <v>1231725.1600000001</v>
      </c>
      <c r="AA2464" s="86"/>
      <c r="AB2464" s="384"/>
      <c r="AC2464" s="385"/>
      <c r="AD2464" s="94"/>
      <c r="AE2464" s="399"/>
    </row>
    <row r="2465" spans="3:31" s="260" customFormat="1" ht="15.75" thickBot="1" x14ac:dyDescent="0.3">
      <c r="C2465" s="84"/>
      <c r="D2465" s="354"/>
      <c r="E2465" s="96"/>
      <c r="F2465" s="96"/>
      <c r="G2465" s="107">
        <f>+F2458</f>
        <v>3.01</v>
      </c>
      <c r="H2465" s="96"/>
      <c r="I2465" s="96"/>
      <c r="J2465" s="427"/>
      <c r="K2465" s="88"/>
      <c r="M2465" s="535"/>
      <c r="N2465" s="537" t="s">
        <v>121</v>
      </c>
      <c r="O2465" s="537"/>
      <c r="P2465" s="537"/>
      <c r="Q2465" s="537"/>
      <c r="R2465" s="537"/>
      <c r="S2465" s="537"/>
      <c r="T2465" s="537"/>
      <c r="U2465" s="537"/>
      <c r="V2465" s="413">
        <f>+ROUND(V2464,$AA$5)</f>
        <v>11675.12</v>
      </c>
      <c r="Y2465" s="401" t="s">
        <v>136</v>
      </c>
      <c r="Z2465" s="402">
        <f>+ROUND(Z2464,$AA$5)</f>
        <v>1231725.1599999999</v>
      </c>
      <c r="AA2465" s="86"/>
      <c r="AB2465" s="403">
        <f>+V2465*Y2431</f>
        <v>1231725.1600000001</v>
      </c>
      <c r="AC2465" s="404">
        <f>+AB2465-Z2465</f>
        <v>0</v>
      </c>
      <c r="AD2465" s="94"/>
      <c r="AE2465" s="405"/>
    </row>
    <row r="2466" spans="3:31" s="260" customFormat="1" ht="15.75" thickBot="1" x14ac:dyDescent="0.3">
      <c r="C2466" s="84"/>
      <c r="D2466" s="375" t="s">
        <v>128</v>
      </c>
      <c r="E2466" s="376" t="s">
        <v>129</v>
      </c>
      <c r="F2466" s="376" t="s">
        <v>130</v>
      </c>
      <c r="G2466" s="376" t="s">
        <v>131</v>
      </c>
      <c r="H2466" s="376" t="s">
        <v>132</v>
      </c>
      <c r="I2466" s="376" t="s">
        <v>133</v>
      </c>
      <c r="J2466" s="377" t="s">
        <v>134</v>
      </c>
      <c r="K2466" s="88"/>
      <c r="M2466" s="541"/>
      <c r="N2466" s="542"/>
      <c r="O2466" s="542"/>
      <c r="P2466" s="542"/>
      <c r="Q2466" s="542"/>
      <c r="R2466" s="542"/>
      <c r="S2466" s="542"/>
      <c r="T2466" s="542"/>
      <c r="U2466" s="542"/>
      <c r="V2466" s="543"/>
      <c r="Y2466" s="378"/>
      <c r="Z2466" s="121"/>
      <c r="AA2466" s="86"/>
      <c r="AB2466" s="409"/>
      <c r="AC2466" s="121"/>
      <c r="AD2466" s="94"/>
      <c r="AE2466" s="428"/>
    </row>
    <row r="2467" spans="3:31" s="260" customFormat="1" ht="15.75" thickBot="1" x14ac:dyDescent="0.3">
      <c r="C2467" s="84"/>
      <c r="D2467" s="355"/>
      <c r="E2467" s="367"/>
      <c r="F2467" s="367"/>
      <c r="G2467" s="367"/>
      <c r="H2467" s="412">
        <f>G2465</f>
        <v>3.01</v>
      </c>
      <c r="I2467" s="412"/>
      <c r="J2467" s="422"/>
      <c r="K2467" s="88"/>
      <c r="M2467" s="544" t="s">
        <v>122</v>
      </c>
      <c r="N2467" s="537"/>
      <c r="O2467" s="537"/>
      <c r="P2467" s="537"/>
      <c r="Q2467" s="537"/>
      <c r="R2467" s="537"/>
      <c r="S2467" s="537"/>
      <c r="T2467" s="537"/>
      <c r="U2467" s="545">
        <f>+V2465+V2458+V2450+V2441</f>
        <v>427061.38000000006</v>
      </c>
      <c r="V2467" s="546"/>
      <c r="Y2467" s="429"/>
      <c r="Z2467" s="430">
        <f>+Z2465+Z2458+Z2450+Z2441</f>
        <v>45054975.499999993</v>
      </c>
      <c r="AA2467" s="86"/>
      <c r="AB2467" s="431">
        <f>+AB2465+AB2458+AB2450+AB2441</f>
        <v>45054975.590000004</v>
      </c>
      <c r="AC2467" s="404">
        <f>+AB2467-Z2467</f>
        <v>9.0000011026859283E-2</v>
      </c>
      <c r="AD2467" s="94"/>
      <c r="AE2467" s="432"/>
    </row>
    <row r="2468" spans="3:31" s="260" customFormat="1" ht="15.75" thickBot="1" x14ac:dyDescent="0.3"/>
    <row r="2469" spans="3:31" s="260" customFormat="1" x14ac:dyDescent="0.25">
      <c r="M2469" s="547" t="s">
        <v>348</v>
      </c>
      <c r="N2469" s="548"/>
      <c r="O2469" s="548"/>
      <c r="P2469" s="548"/>
      <c r="Q2469" s="548"/>
      <c r="R2469" s="548"/>
      <c r="S2469" s="548"/>
      <c r="T2469" s="548"/>
      <c r="U2469" s="548"/>
      <c r="V2469" s="549"/>
      <c r="Y2469" s="378"/>
      <c r="Z2469" s="121"/>
      <c r="AA2469" s="86"/>
      <c r="AB2469" s="94"/>
      <c r="AC2469" s="94"/>
      <c r="AD2469" s="94"/>
      <c r="AE2469" s="126" t="s">
        <v>133</v>
      </c>
    </row>
    <row r="2470" spans="3:31" s="260" customFormat="1" x14ac:dyDescent="0.25">
      <c r="M2470" s="515" t="s">
        <v>138</v>
      </c>
      <c r="N2470" s="516"/>
      <c r="O2470" s="516"/>
      <c r="P2470" s="516"/>
      <c r="Q2470" s="516"/>
      <c r="R2470" s="516"/>
      <c r="S2470" s="516"/>
      <c r="T2470" s="437">
        <v>0</v>
      </c>
      <c r="U2470" s="517">
        <f>+ROUND(U2467*T2470,$AA$5)</f>
        <v>0</v>
      </c>
      <c r="V2470" s="518"/>
      <c r="Y2470" s="390"/>
      <c r="Z2470" s="438">
        <f>+Z2467*T2470</f>
        <v>0</v>
      </c>
      <c r="AA2470" s="86"/>
      <c r="AB2470" s="94"/>
      <c r="AC2470" s="94"/>
      <c r="AD2470" s="94"/>
      <c r="AE2470" s="386" t="s">
        <v>133</v>
      </c>
    </row>
    <row r="2471" spans="3:31" s="260" customFormat="1" x14ac:dyDescent="0.25">
      <c r="M2471" s="515" t="s">
        <v>19</v>
      </c>
      <c r="N2471" s="516"/>
      <c r="O2471" s="516"/>
      <c r="P2471" s="516"/>
      <c r="Q2471" s="516"/>
      <c r="R2471" s="516"/>
      <c r="S2471" s="516"/>
      <c r="T2471" s="437">
        <v>0.05</v>
      </c>
      <c r="U2471" s="517">
        <f>+ROUND(U2467*T2471,$AA$5)</f>
        <v>21353.07</v>
      </c>
      <c r="V2471" s="518"/>
      <c r="Y2471" s="390"/>
      <c r="Z2471" s="438">
        <f>+Z2467*T2471</f>
        <v>2252748.7749999999</v>
      </c>
      <c r="AA2471" s="86"/>
      <c r="AB2471" s="94"/>
      <c r="AC2471" s="94"/>
      <c r="AD2471" s="94"/>
      <c r="AE2471" s="386" t="s">
        <v>133</v>
      </c>
    </row>
    <row r="2472" spans="3:31" s="260" customFormat="1" x14ac:dyDescent="0.25">
      <c r="M2472" s="515" t="s">
        <v>20</v>
      </c>
      <c r="N2472" s="516"/>
      <c r="O2472" s="516"/>
      <c r="P2472" s="516"/>
      <c r="Q2472" s="516"/>
      <c r="R2472" s="516"/>
      <c r="S2472" s="516"/>
      <c r="T2472" s="437">
        <v>0</v>
      </c>
      <c r="U2472" s="517">
        <f>+ROUND(U2467*T2472,$AA$5)</f>
        <v>0</v>
      </c>
      <c r="V2472" s="518"/>
      <c r="Y2472" s="390"/>
      <c r="Z2472" s="438">
        <f>+Z2467*T2472</f>
        <v>0</v>
      </c>
      <c r="AA2472" s="86"/>
      <c r="AB2472" s="94"/>
      <c r="AC2472" s="94"/>
      <c r="AD2472" s="94"/>
      <c r="AE2472" s="386" t="s">
        <v>133</v>
      </c>
    </row>
    <row r="2473" spans="3:31" s="260" customFormat="1" x14ac:dyDescent="0.25">
      <c r="M2473" s="515" t="s">
        <v>21</v>
      </c>
      <c r="N2473" s="516"/>
      <c r="O2473" s="516"/>
      <c r="P2473" s="516"/>
      <c r="Q2473" s="516"/>
      <c r="R2473" s="516"/>
      <c r="S2473" s="516"/>
      <c r="T2473" s="437">
        <f>$AA$9</f>
        <v>0</v>
      </c>
      <c r="U2473" s="517">
        <f>+ROUND(U2467*T2473,$AA$5)</f>
        <v>0</v>
      </c>
      <c r="V2473" s="518"/>
      <c r="Y2473" s="390"/>
      <c r="Z2473" s="438">
        <f>+Z2472*T2473</f>
        <v>0</v>
      </c>
      <c r="AA2473" s="86"/>
      <c r="AB2473" s="94"/>
      <c r="AC2473" s="94"/>
      <c r="AD2473" s="94"/>
      <c r="AE2473" s="386" t="s">
        <v>133</v>
      </c>
    </row>
    <row r="2474" spans="3:31" s="260" customFormat="1" ht="15.75" thickBot="1" x14ac:dyDescent="0.3">
      <c r="M2474" s="519" t="s">
        <v>349</v>
      </c>
      <c r="N2474" s="520"/>
      <c r="O2474" s="520"/>
      <c r="P2474" s="520"/>
      <c r="Q2474" s="520"/>
      <c r="R2474" s="520"/>
      <c r="S2474" s="520"/>
      <c r="T2474" s="520"/>
      <c r="U2474" s="521">
        <f>+SUM(U2470:V2473)</f>
        <v>21353.07</v>
      </c>
      <c r="V2474" s="522"/>
      <c r="Y2474" s="390"/>
      <c r="Z2474" s="439">
        <f>+SUM(Z2470:Z2473)</f>
        <v>2252748.7749999999</v>
      </c>
      <c r="AA2474" s="86"/>
      <c r="AB2474" s="94"/>
      <c r="AC2474" s="94"/>
      <c r="AD2474" s="94"/>
      <c r="AE2474" s="386" t="s">
        <v>133</v>
      </c>
    </row>
    <row r="2475" spans="3:31" s="260" customFormat="1" ht="15.75" thickBot="1" x14ac:dyDescent="0.3">
      <c r="D2475" s="375" t="s">
        <v>128</v>
      </c>
      <c r="E2475" s="376" t="s">
        <v>129</v>
      </c>
      <c r="F2475" s="376" t="s">
        <v>130</v>
      </c>
      <c r="G2475" s="376" t="s">
        <v>131</v>
      </c>
      <c r="H2475" s="376" t="s">
        <v>132</v>
      </c>
      <c r="I2475" s="376" t="s">
        <v>133</v>
      </c>
      <c r="J2475" s="377" t="s">
        <v>134</v>
      </c>
      <c r="M2475" s="86"/>
      <c r="N2475" s="94"/>
      <c r="O2475" s="94"/>
      <c r="P2475" s="94"/>
      <c r="Q2475" s="86"/>
      <c r="R2475" s="86"/>
      <c r="S2475" s="86"/>
      <c r="T2475" s="440"/>
      <c r="U2475" s="523"/>
      <c r="V2475" s="523"/>
      <c r="Y2475" s="390"/>
      <c r="Z2475" s="385"/>
      <c r="AA2475" s="86"/>
      <c r="AB2475" s="94"/>
      <c r="AC2475" s="94"/>
      <c r="AD2475" s="94"/>
      <c r="AE2475" s="386" t="s">
        <v>133</v>
      </c>
    </row>
    <row r="2476" spans="3:31" s="260" customFormat="1" ht="15.75" thickBot="1" x14ac:dyDescent="0.3">
      <c r="D2476" s="355"/>
      <c r="E2476" s="367"/>
      <c r="F2476" s="367"/>
      <c r="G2476" s="367"/>
      <c r="H2476" s="412"/>
      <c r="I2476" s="412">
        <f>H2467</f>
        <v>3.01</v>
      </c>
      <c r="J2476" s="422"/>
      <c r="M2476" s="524" t="s">
        <v>11</v>
      </c>
      <c r="N2476" s="525"/>
      <c r="O2476" s="525"/>
      <c r="P2476" s="525"/>
      <c r="Q2476" s="525"/>
      <c r="R2476" s="525"/>
      <c r="S2476" s="525"/>
      <c r="T2476" s="526"/>
      <c r="U2476" s="527">
        <f>+U2474+U2467</f>
        <v>448414.45000000007</v>
      </c>
      <c r="V2476" s="528"/>
      <c r="Y2476" s="429"/>
      <c r="Z2476" s="441">
        <f>+Z2474+Z2467</f>
        <v>47307724.274999991</v>
      </c>
      <c r="AA2476" s="86"/>
      <c r="AB2476" s="94"/>
      <c r="AC2476" s="94"/>
      <c r="AD2476" s="94"/>
      <c r="AE2476" s="405" t="s">
        <v>133</v>
      </c>
    </row>
    <row r="2477" spans="3:31" s="260" customFormat="1" x14ac:dyDescent="0.25"/>
    <row r="2478" spans="3:31" s="260" customFormat="1" ht="15.75" thickBot="1" x14ac:dyDescent="0.3"/>
    <row r="2479" spans="3:31" s="260" customFormat="1" ht="15.75" thickBot="1" x14ac:dyDescent="0.3">
      <c r="M2479" s="363" t="s">
        <v>88</v>
      </c>
      <c r="N2479" s="436" t="str">
        <f>+N2430</f>
        <v>CAP.3</v>
      </c>
      <c r="O2479" s="550" t="str">
        <f>IFERROR(VLOOKUP(N2479,PPTO!C:H,2,0),"----")</f>
        <v>RED CONTRAINCENDIOS</v>
      </c>
      <c r="P2479" s="551"/>
      <c r="Q2479" s="551"/>
      <c r="R2479" s="551"/>
      <c r="S2479" s="551"/>
      <c r="T2479" s="551"/>
      <c r="U2479" s="552"/>
      <c r="V2479" s="74" t="s">
        <v>91</v>
      </c>
      <c r="Y2479" s="365" t="s">
        <v>104</v>
      </c>
      <c r="Z2479" s="94"/>
      <c r="AA2479" s="188"/>
      <c r="AB2479" s="553"/>
      <c r="AC2479" s="553"/>
      <c r="AD2479" s="553"/>
      <c r="AE2479" s="94"/>
    </row>
    <row r="2480" spans="3:31" s="260" customFormat="1" ht="15.75" thickBot="1" x14ac:dyDescent="0.3">
      <c r="C2480" s="369">
        <f>+N2480</f>
        <v>3.02</v>
      </c>
      <c r="D2480" s="86"/>
      <c r="E2480" s="86"/>
      <c r="F2480" s="86"/>
      <c r="G2480" s="86"/>
      <c r="H2480" s="86"/>
      <c r="I2480" s="86"/>
      <c r="J2480" s="86"/>
      <c r="K2480" s="370"/>
      <c r="M2480" s="75" t="s">
        <v>92</v>
      </c>
      <c r="N2480" s="371">
        <f>+ROUNDUP(N2431+0.01,2)</f>
        <v>3.02</v>
      </c>
      <c r="O2480" s="554" t="str">
        <f>IFERROR(VLOOKUP(N2480,PPTO!C:H,2,0),"----")</f>
        <v>Tuberia C-PVC BLAZEMASTER Ø1"</v>
      </c>
      <c r="P2480" s="555"/>
      <c r="Q2480" s="555"/>
      <c r="R2480" s="555"/>
      <c r="S2480" s="555"/>
      <c r="T2480" s="555"/>
      <c r="U2480" s="556"/>
      <c r="V2480" s="76" t="str">
        <f>IFERROR(VLOOKUP(N2480,PPTO!C:H,3,0),"----")</f>
        <v>ML</v>
      </c>
      <c r="Y2480" s="373">
        <f>SUMIFS(PPTO!F:F,PPTO!C:C,APUS!N2480)</f>
        <v>75.040000000000006</v>
      </c>
      <c r="Z2480" s="94"/>
      <c r="AA2480" s="86"/>
      <c r="AB2480" s="94"/>
      <c r="AC2480" s="94"/>
      <c r="AD2480" s="94"/>
      <c r="AE2480" s="94"/>
    </row>
    <row r="2481" spans="3:31" s="260" customFormat="1" ht="15.75" thickBot="1" x14ac:dyDescent="0.3">
      <c r="C2481" s="84"/>
      <c r="D2481" s="86"/>
      <c r="E2481" s="86"/>
      <c r="F2481" s="86"/>
      <c r="G2481" s="86"/>
      <c r="H2481" s="86"/>
      <c r="I2481" s="86"/>
      <c r="J2481" s="86"/>
      <c r="K2481" s="88"/>
      <c r="M2481" s="557"/>
      <c r="N2481" s="557"/>
      <c r="O2481" s="557"/>
      <c r="P2481" s="557"/>
      <c r="Q2481" s="557"/>
      <c r="R2481" s="557"/>
      <c r="S2481" s="557"/>
      <c r="T2481" s="557"/>
      <c r="U2481" s="557"/>
      <c r="V2481" s="557"/>
      <c r="Y2481" s="374"/>
      <c r="Z2481" s="94"/>
      <c r="AA2481" s="86"/>
      <c r="AB2481" s="94"/>
      <c r="AC2481" s="94"/>
      <c r="AD2481" s="94"/>
      <c r="AE2481" s="94"/>
    </row>
    <row r="2482" spans="3:31" s="260" customFormat="1" ht="15.75" thickBot="1" x14ac:dyDescent="0.3">
      <c r="C2482" s="84"/>
      <c r="D2482" s="375" t="s">
        <v>128</v>
      </c>
      <c r="E2482" s="376" t="s">
        <v>129</v>
      </c>
      <c r="F2482" s="376" t="s">
        <v>130</v>
      </c>
      <c r="G2482" s="376" t="s">
        <v>131</v>
      </c>
      <c r="H2482" s="376" t="s">
        <v>132</v>
      </c>
      <c r="I2482" s="376" t="s">
        <v>133</v>
      </c>
      <c r="J2482" s="377" t="s">
        <v>134</v>
      </c>
      <c r="K2482" s="88"/>
      <c r="M2482" s="558" t="s">
        <v>93</v>
      </c>
      <c r="N2482" s="559"/>
      <c r="O2482" s="559"/>
      <c r="P2482" s="559"/>
      <c r="Q2482" s="559"/>
      <c r="R2482" s="559"/>
      <c r="S2482" s="559"/>
      <c r="T2482" s="559"/>
      <c r="U2482" s="559"/>
      <c r="V2482" s="560"/>
      <c r="Y2482" s="378"/>
      <c r="Z2482" s="121"/>
      <c r="AA2482" s="86"/>
      <c r="AB2482" s="513"/>
      <c r="AC2482" s="514"/>
      <c r="AD2482" s="94"/>
      <c r="AE2482" s="379"/>
    </row>
    <row r="2483" spans="3:31" s="260" customFormat="1" x14ac:dyDescent="0.25">
      <c r="C2483" s="84"/>
      <c r="D2483" s="380"/>
      <c r="E2483" s="381"/>
      <c r="F2483" s="381"/>
      <c r="G2483" s="381"/>
      <c r="H2483" s="381"/>
      <c r="I2483" s="381"/>
      <c r="J2483" s="382"/>
      <c r="K2483" s="88"/>
      <c r="M2483" s="99" t="s">
        <v>94</v>
      </c>
      <c r="N2483" s="561" t="s">
        <v>95</v>
      </c>
      <c r="O2483" s="561"/>
      <c r="P2483" s="561"/>
      <c r="Q2483" s="561"/>
      <c r="R2483" s="95" t="s">
        <v>96</v>
      </c>
      <c r="S2483" s="95" t="s">
        <v>97</v>
      </c>
      <c r="T2483" s="562" t="s">
        <v>8</v>
      </c>
      <c r="U2483" s="562"/>
      <c r="V2483" s="100" t="s">
        <v>98</v>
      </c>
      <c r="Y2483" s="383" t="s">
        <v>104</v>
      </c>
      <c r="Z2483" s="119" t="s">
        <v>9</v>
      </c>
      <c r="AA2483" s="86"/>
      <c r="AB2483" s="384"/>
      <c r="AC2483" s="385"/>
      <c r="AD2483" s="94"/>
      <c r="AE2483" s="386"/>
    </row>
    <row r="2484" spans="3:31" s="260" customFormat="1" x14ac:dyDescent="0.25">
      <c r="C2484" s="84"/>
      <c r="D2484" s="85"/>
      <c r="E2484" s="86"/>
      <c r="F2484" s="86"/>
      <c r="G2484" s="86"/>
      <c r="H2484" s="86"/>
      <c r="I2484" s="86"/>
      <c r="J2484" s="87"/>
      <c r="K2484" s="88"/>
      <c r="M2484" s="102"/>
      <c r="N2484" s="533" t="s">
        <v>99</v>
      </c>
      <c r="O2484" s="533"/>
      <c r="P2484" s="533"/>
      <c r="Q2484" s="533"/>
      <c r="R2484" s="78" t="s">
        <v>100</v>
      </c>
      <c r="S2484" s="387">
        <f>+$AA$10</f>
        <v>0.05</v>
      </c>
      <c r="T2484" s="563">
        <f>V2514</f>
        <v>11675.12</v>
      </c>
      <c r="U2484" s="563"/>
      <c r="V2484" s="389">
        <f>+IFERROR(T2484*S2484,0)</f>
        <v>583.75600000000009</v>
      </c>
      <c r="Y2484" s="390"/>
      <c r="Z2484" s="391">
        <f>Y2480*V2484</f>
        <v>43805.050240000011</v>
      </c>
      <c r="AA2484" s="86"/>
      <c r="AB2484" s="384"/>
      <c r="AC2484" s="385"/>
      <c r="AD2484" s="94"/>
      <c r="AE2484" s="386" t="str">
        <f>+IF(V2484=0,"CERO","NO")</f>
        <v>NO</v>
      </c>
    </row>
    <row r="2485" spans="3:31" s="260" customFormat="1" x14ac:dyDescent="0.25">
      <c r="C2485" s="84"/>
      <c r="D2485" s="85"/>
      <c r="E2485" s="86"/>
      <c r="F2485" s="86"/>
      <c r="G2485" s="86"/>
      <c r="H2485" s="86"/>
      <c r="I2485" s="86"/>
      <c r="J2485" s="87"/>
      <c r="K2485" s="88"/>
      <c r="M2485" s="106"/>
      <c r="N2485" s="533" t="str">
        <f>IFERROR(VLOOKUP(M2485,INSUMOS!$C$8:$K$928,2,0),"-----")</f>
        <v>-----</v>
      </c>
      <c r="O2485" s="533"/>
      <c r="P2485" s="533"/>
      <c r="Q2485" s="533"/>
      <c r="R2485" s="78" t="str">
        <f>IFERROR(VLOOKUP(M2485,INSUMOS!$C$8:$K$928,6,0),"-----")</f>
        <v>-----</v>
      </c>
      <c r="S2485" s="392"/>
      <c r="T2485" s="529" t="str">
        <f>IFERROR(VLOOKUP(M2485,INSUMOS!$C$8:$K$928,7,0),"0")</f>
        <v>0</v>
      </c>
      <c r="U2485" s="529"/>
      <c r="V2485" s="389">
        <f>+IFERROR(T2485*S2485,0)</f>
        <v>0</v>
      </c>
      <c r="Y2485" s="393">
        <f>+IFERROR(Y2480*S2485,0)</f>
        <v>0</v>
      </c>
      <c r="Z2485" s="391">
        <f>Y2480*V2485</f>
        <v>0</v>
      </c>
      <c r="AA2485" s="394"/>
      <c r="AB2485" s="395">
        <f>+Y2485*T2485</f>
        <v>0</v>
      </c>
      <c r="AC2485" s="93">
        <f>+AB2485-Z2485</f>
        <v>0</v>
      </c>
      <c r="AD2485" s="94"/>
      <c r="AE2485" s="386" t="str">
        <f>+IF(V2485=0,"CERO","NO")</f>
        <v>CERO</v>
      </c>
    </row>
    <row r="2486" spans="3:31" s="260" customFormat="1" x14ac:dyDescent="0.25">
      <c r="C2486" s="84"/>
      <c r="D2486" s="85"/>
      <c r="E2486" s="86"/>
      <c r="F2486" s="86"/>
      <c r="G2486" s="86"/>
      <c r="H2486" s="86"/>
      <c r="I2486" s="86"/>
      <c r="J2486" s="87"/>
      <c r="K2486" s="88"/>
      <c r="M2486" s="102">
        <v>0</v>
      </c>
      <c r="N2486" s="533"/>
      <c r="O2486" s="533"/>
      <c r="P2486" s="533"/>
      <c r="Q2486" s="533"/>
      <c r="R2486" s="78"/>
      <c r="S2486" s="396"/>
      <c r="T2486" s="529"/>
      <c r="U2486" s="529"/>
      <c r="V2486" s="397"/>
      <c r="Y2486" s="393">
        <f>+IFERROR(Y2480*S2486,0)</f>
        <v>0</v>
      </c>
      <c r="Z2486" s="391">
        <f>Y2480*V2486</f>
        <v>0</v>
      </c>
      <c r="AA2486" s="394"/>
      <c r="AB2486" s="395">
        <f>+Y2486*T2486</f>
        <v>0</v>
      </c>
      <c r="AC2486" s="93">
        <f>+AB2486-Z2486</f>
        <v>0</v>
      </c>
      <c r="AD2486" s="94"/>
      <c r="AE2486" s="386" t="str">
        <f>+IF(V2486=0,"CERO","NO")</f>
        <v>CERO</v>
      </c>
    </row>
    <row r="2487" spans="3:31" s="260" customFormat="1" x14ac:dyDescent="0.25">
      <c r="C2487" s="84"/>
      <c r="D2487" s="85"/>
      <c r="E2487" s="86"/>
      <c r="F2487" s="86"/>
      <c r="G2487" s="86"/>
      <c r="H2487" s="86"/>
      <c r="I2487" s="86"/>
      <c r="J2487" s="87"/>
      <c r="K2487" s="88"/>
      <c r="M2487" s="102">
        <v>0</v>
      </c>
      <c r="N2487" s="533"/>
      <c r="O2487" s="533"/>
      <c r="P2487" s="533"/>
      <c r="Q2487" s="533"/>
      <c r="R2487" s="78"/>
      <c r="S2487" s="396"/>
      <c r="T2487" s="529"/>
      <c r="U2487" s="529"/>
      <c r="V2487" s="397"/>
      <c r="Y2487" s="393">
        <f>+IFERROR(Y2480*S2487,0)</f>
        <v>0</v>
      </c>
      <c r="Z2487" s="391">
        <f>Y2480*V2487</f>
        <v>0</v>
      </c>
      <c r="AA2487" s="394"/>
      <c r="AB2487" s="395">
        <f>+Y2487*T2487</f>
        <v>0</v>
      </c>
      <c r="AC2487" s="93">
        <f>+AB2487-Z2487</f>
        <v>0</v>
      </c>
      <c r="AD2487" s="94"/>
      <c r="AE2487" s="386" t="str">
        <f>+IF(V2487=0,"CERO","NO")</f>
        <v>CERO</v>
      </c>
    </row>
    <row r="2488" spans="3:31" s="260" customFormat="1" ht="15.75" thickBot="1" x14ac:dyDescent="0.3">
      <c r="C2488" s="84"/>
      <c r="D2488" s="85"/>
      <c r="E2488" s="86"/>
      <c r="F2488" s="86"/>
      <c r="G2488" s="86"/>
      <c r="H2488" s="86"/>
      <c r="I2488" s="86"/>
      <c r="J2488" s="87"/>
      <c r="K2488" s="88"/>
      <c r="M2488" s="102">
        <v>0</v>
      </c>
      <c r="N2488" s="564"/>
      <c r="O2488" s="564"/>
      <c r="P2488" s="564"/>
      <c r="Q2488" s="564"/>
      <c r="R2488" s="96"/>
      <c r="S2488" s="96"/>
      <c r="T2488" s="565"/>
      <c r="U2488" s="565"/>
      <c r="V2488" s="101"/>
      <c r="Y2488" s="393">
        <f>+IFERROR(Y2480*S2488,0)</f>
        <v>0</v>
      </c>
      <c r="Z2488" s="391">
        <f>Y2480*V2488</f>
        <v>0</v>
      </c>
      <c r="AA2488" s="394"/>
      <c r="AB2488" s="395">
        <f>+Y2488*T2488</f>
        <v>0</v>
      </c>
      <c r="AC2488" s="93">
        <f>+AB2488-Z2488</f>
        <v>0</v>
      </c>
      <c r="AD2488" s="94"/>
      <c r="AE2488" s="386" t="str">
        <f>+IF(V2488=0,"CERO","NO")</f>
        <v>CERO</v>
      </c>
    </row>
    <row r="2489" spans="3:31" s="260" customFormat="1" ht="15.75" thickBot="1" x14ac:dyDescent="0.3">
      <c r="C2489" s="84"/>
      <c r="D2489" s="375" t="s">
        <v>128</v>
      </c>
      <c r="E2489" s="376" t="s">
        <v>129</v>
      </c>
      <c r="F2489" s="376" t="s">
        <v>130</v>
      </c>
      <c r="G2489" s="376" t="s">
        <v>131</v>
      </c>
      <c r="H2489" s="376" t="s">
        <v>132</v>
      </c>
      <c r="I2489" s="376" t="s">
        <v>133</v>
      </c>
      <c r="J2489" s="377" t="s">
        <v>134</v>
      </c>
      <c r="K2489" s="88"/>
      <c r="M2489" s="534"/>
      <c r="N2489" s="536" t="s">
        <v>101</v>
      </c>
      <c r="O2489" s="536"/>
      <c r="P2489" s="536"/>
      <c r="Q2489" s="536"/>
      <c r="R2489" s="536"/>
      <c r="S2489" s="536"/>
      <c r="T2489" s="536"/>
      <c r="U2489" s="536"/>
      <c r="V2489" s="389">
        <f>+SUM(V2484:V2488)</f>
        <v>583.75600000000009</v>
      </c>
      <c r="Y2489" s="398" t="s">
        <v>135</v>
      </c>
      <c r="Z2489" s="397">
        <f>+SUM(Z2484:Z2488)</f>
        <v>43805.050240000011</v>
      </c>
      <c r="AA2489" s="86"/>
      <c r="AB2489" s="384"/>
      <c r="AC2489" s="385"/>
      <c r="AD2489" s="94"/>
      <c r="AE2489" s="399"/>
    </row>
    <row r="2490" spans="3:31" s="260" customFormat="1" ht="15.75" thickBot="1" x14ac:dyDescent="0.3">
      <c r="C2490" s="84"/>
      <c r="D2490" s="375">
        <f>C2480</f>
        <v>3.02</v>
      </c>
      <c r="E2490" s="376"/>
      <c r="F2490" s="376"/>
      <c r="G2490" s="376"/>
      <c r="H2490" s="376"/>
      <c r="I2490" s="376"/>
      <c r="J2490" s="377"/>
      <c r="K2490" s="88"/>
      <c r="M2490" s="566"/>
      <c r="N2490" s="567" t="s">
        <v>102</v>
      </c>
      <c r="O2490" s="567"/>
      <c r="P2490" s="567"/>
      <c r="Q2490" s="567"/>
      <c r="R2490" s="567"/>
      <c r="S2490" s="567"/>
      <c r="T2490" s="567"/>
      <c r="U2490" s="567"/>
      <c r="V2490" s="400">
        <f>+ROUND(V2489,$AA$5)</f>
        <v>583.76</v>
      </c>
      <c r="Y2490" s="401" t="s">
        <v>136</v>
      </c>
      <c r="Z2490" s="402">
        <f>+ROUND(Z2489,$AA$5)</f>
        <v>43805.05</v>
      </c>
      <c r="AA2490" s="86"/>
      <c r="AB2490" s="403">
        <f>+V2490*Y2480</f>
        <v>43805.350400000003</v>
      </c>
      <c r="AC2490" s="404">
        <f>+AB2490-Z2490</f>
        <v>0.30040000000008149</v>
      </c>
      <c r="AD2490" s="94"/>
      <c r="AE2490" s="405"/>
    </row>
    <row r="2491" spans="3:31" s="260" customFormat="1" x14ac:dyDescent="0.25">
      <c r="C2491" s="84"/>
      <c r="D2491" s="380"/>
      <c r="E2491" s="381"/>
      <c r="F2491" s="381"/>
      <c r="G2491" s="381"/>
      <c r="H2491" s="381"/>
      <c r="I2491" s="381"/>
      <c r="J2491" s="382"/>
      <c r="K2491" s="88"/>
      <c r="M2491" s="510" t="s">
        <v>103</v>
      </c>
      <c r="N2491" s="511"/>
      <c r="O2491" s="511"/>
      <c r="P2491" s="511"/>
      <c r="Q2491" s="511"/>
      <c r="R2491" s="511"/>
      <c r="S2491" s="511"/>
      <c r="T2491" s="511"/>
      <c r="U2491" s="511"/>
      <c r="V2491" s="512"/>
      <c r="Y2491" s="378"/>
      <c r="Z2491" s="121"/>
      <c r="AA2491" s="86"/>
      <c r="AB2491" s="513"/>
      <c r="AC2491" s="514"/>
      <c r="AD2491" s="94"/>
      <c r="AE2491" s="126"/>
    </row>
    <row r="2492" spans="3:31" s="260" customFormat="1" x14ac:dyDescent="0.25">
      <c r="C2492" s="84"/>
      <c r="D2492" s="85"/>
      <c r="E2492" s="86"/>
      <c r="F2492" s="86"/>
      <c r="G2492" s="86"/>
      <c r="H2492" s="86"/>
      <c r="I2492" s="86"/>
      <c r="J2492" s="87"/>
      <c r="K2492" s="88"/>
      <c r="M2492" s="99" t="s">
        <v>94</v>
      </c>
      <c r="N2492" s="561" t="s">
        <v>95</v>
      </c>
      <c r="O2492" s="561"/>
      <c r="P2492" s="561"/>
      <c r="Q2492" s="561"/>
      <c r="R2492" s="95" t="s">
        <v>96</v>
      </c>
      <c r="S2492" s="95" t="s">
        <v>104</v>
      </c>
      <c r="T2492" s="356" t="s">
        <v>105</v>
      </c>
      <c r="U2492" s="356" t="s">
        <v>8</v>
      </c>
      <c r="V2492" s="100" t="s">
        <v>98</v>
      </c>
      <c r="Y2492" s="383" t="s">
        <v>104</v>
      </c>
      <c r="Z2492" s="119" t="s">
        <v>9</v>
      </c>
      <c r="AA2492" s="86"/>
      <c r="AB2492" s="384"/>
      <c r="AC2492" s="385"/>
      <c r="AD2492" s="94"/>
      <c r="AE2492" s="406"/>
    </row>
    <row r="2493" spans="3:31" s="260" customFormat="1" x14ac:dyDescent="0.25">
      <c r="C2493" s="84"/>
      <c r="D2493" s="85"/>
      <c r="E2493" s="86"/>
      <c r="F2493" s="86"/>
      <c r="G2493" s="86"/>
      <c r="H2493" s="86"/>
      <c r="I2493" s="86"/>
      <c r="J2493" s="87"/>
      <c r="K2493" s="88"/>
      <c r="M2493" s="102">
        <v>942</v>
      </c>
      <c r="N2493" s="533" t="str">
        <f>IFERROR(VLOOKUP(M2493,INSUMOS!$C$8:$K$928,2,0),"-----")</f>
        <v>TUBERIA C-PVC BLAZEMASTER 1"</v>
      </c>
      <c r="O2493" s="533"/>
      <c r="P2493" s="533"/>
      <c r="Q2493" s="533"/>
      <c r="R2493" s="78" t="str">
        <f>IFERROR(VLOOKUP(M2493,INSUMOS!$C$8:$K$928,6,0),"-----")</f>
        <v>ml</v>
      </c>
      <c r="S2493" s="396">
        <v>1</v>
      </c>
      <c r="T2493" s="387">
        <v>0</v>
      </c>
      <c r="U2493" s="388">
        <f>IFERROR(VLOOKUP(M2493,INSUMOS!$C$8:$K$928,7,0),"0")</f>
        <v>54404.814004376363</v>
      </c>
      <c r="V2493" s="389">
        <f>+IFERROR(U2493*(S2493*(1+T2493)),0)</f>
        <v>54404.814004376363</v>
      </c>
      <c r="Y2493" s="393">
        <f>+IFERROR(Y2480*(S2493*(1+T2493)),0)</f>
        <v>75.040000000000006</v>
      </c>
      <c r="Z2493" s="391">
        <f>Y2480*V2493</f>
        <v>4082537.2428884027</v>
      </c>
      <c r="AA2493" s="394"/>
      <c r="AB2493" s="395">
        <f>+Y2493*U2493</f>
        <v>4082537.2428884027</v>
      </c>
      <c r="AC2493" s="93">
        <f>+AB2493-Z2493</f>
        <v>0</v>
      </c>
      <c r="AD2493" s="94"/>
      <c r="AE2493" s="406" t="str">
        <f>+IF(V2493=0,"CERO","NO")</f>
        <v>NO</v>
      </c>
    </row>
    <row r="2494" spans="3:31" s="260" customFormat="1" x14ac:dyDescent="0.25">
      <c r="C2494" s="84"/>
      <c r="D2494" s="85"/>
      <c r="E2494" s="86"/>
      <c r="F2494" s="86"/>
      <c r="G2494" s="86"/>
      <c r="H2494" s="86"/>
      <c r="I2494" s="86"/>
      <c r="J2494" s="87"/>
      <c r="K2494" s="88"/>
      <c r="M2494" s="102">
        <v>699</v>
      </c>
      <c r="N2494" s="533" t="str">
        <f>IFERROR(VLOOKUP(M2494,INSUMOS!$C$8:$K$928,2,0),"-----")</f>
        <v>SOLDADURA PVC LIQUIDA 1/4"</v>
      </c>
      <c r="O2494" s="533"/>
      <c r="P2494" s="533"/>
      <c r="Q2494" s="533"/>
      <c r="R2494" s="78" t="str">
        <f>IFERROR(VLOOKUP(M2494,INSUMOS!$C$8:$K$928,6,0),"-----")</f>
        <v>und</v>
      </c>
      <c r="S2494" s="396">
        <v>0.01</v>
      </c>
      <c r="T2494" s="387">
        <v>0.02</v>
      </c>
      <c r="U2494" s="388">
        <f>IFERROR(VLOOKUP(M2494,INSUMOS!$C$8:$K$928,7,0),"0")</f>
        <v>146569</v>
      </c>
      <c r="V2494" s="389">
        <f>+IFERROR(U2494*(S2494*(1+T2494)),0)</f>
        <v>1495.0038000000002</v>
      </c>
      <c r="Y2494" s="393">
        <f>+IFERROR(Y2480*(S2494*(1+T2494)),0)</f>
        <v>0.76540800000000009</v>
      </c>
      <c r="Z2494" s="391">
        <f>Y2480*V2494</f>
        <v>112185.08515200003</v>
      </c>
      <c r="AA2494" s="394"/>
      <c r="AB2494" s="395">
        <f>+Y2494*U2494</f>
        <v>112185.08515200001</v>
      </c>
      <c r="AC2494" s="93">
        <f>+AB2494-Z2494</f>
        <v>0</v>
      </c>
      <c r="AD2494" s="94"/>
      <c r="AE2494" s="406" t="str">
        <f>+IF(V2494=0,"CERO","NO")</f>
        <v>NO</v>
      </c>
    </row>
    <row r="2495" spans="3:31" s="260" customFormat="1" x14ac:dyDescent="0.25">
      <c r="C2495" s="84"/>
      <c r="D2495" s="85"/>
      <c r="E2495" s="86"/>
      <c r="F2495" s="86"/>
      <c r="G2495" s="86"/>
      <c r="H2495" s="86"/>
      <c r="I2495" s="86"/>
      <c r="J2495" s="87"/>
      <c r="K2495" s="88"/>
      <c r="M2495" s="102">
        <v>700</v>
      </c>
      <c r="N2495" s="533" t="str">
        <f>IFERROR(VLOOKUP(M2495,INSUMOS!$C$8:$K$928,2,0),"-----")</f>
        <v>LIMPIADOR PVC 1/4</v>
      </c>
      <c r="O2495" s="533"/>
      <c r="P2495" s="533"/>
      <c r="Q2495" s="533"/>
      <c r="R2495" s="78" t="str">
        <f>IFERROR(VLOOKUP(M2495,INSUMOS!$C$8:$K$928,6,0),"-----")</f>
        <v>und</v>
      </c>
      <c r="S2495" s="396">
        <v>0.01</v>
      </c>
      <c r="T2495" s="387">
        <v>0.02</v>
      </c>
      <c r="U2495" s="388">
        <f>IFERROR(VLOOKUP(M2495,INSUMOS!$C$8:$K$928,7,0),"0")</f>
        <v>65913</v>
      </c>
      <c r="V2495" s="389">
        <f>+IFERROR(U2495*(S2495*(1+T2495)),0)</f>
        <v>672.31260000000009</v>
      </c>
      <c r="Y2495" s="393">
        <f>+IFERROR(Y2480*(S2495*(1+T2495)),0)</f>
        <v>0.76540800000000009</v>
      </c>
      <c r="Z2495" s="391">
        <f>Y2480*V2495</f>
        <v>50450.33750400001</v>
      </c>
      <c r="AA2495" s="394"/>
      <c r="AB2495" s="395">
        <f>+Y2495*U2495</f>
        <v>50450.337504000003</v>
      </c>
      <c r="AC2495" s="93">
        <f>+AB2495-Z2495</f>
        <v>0</v>
      </c>
      <c r="AD2495" s="94"/>
      <c r="AE2495" s="406" t="str">
        <f>+IF(V2495=0,"CERO","NO")</f>
        <v>NO</v>
      </c>
    </row>
    <row r="2496" spans="3:31" s="260" customFormat="1" x14ac:dyDescent="0.25">
      <c r="C2496" s="84"/>
      <c r="D2496" s="85"/>
      <c r="E2496" s="86"/>
      <c r="F2496" s="86"/>
      <c r="G2496" s="86"/>
      <c r="H2496" s="86"/>
      <c r="I2496" s="86"/>
      <c r="J2496" s="87"/>
      <c r="K2496" s="88"/>
      <c r="M2496" s="102">
        <v>0</v>
      </c>
      <c r="N2496" s="533" t="str">
        <f>IFERROR(VLOOKUP(M2496,INSUMOS!$C$8:$K$928,2,0),"-----")</f>
        <v>-----</v>
      </c>
      <c r="O2496" s="533"/>
      <c r="P2496" s="533"/>
      <c r="Q2496" s="533"/>
      <c r="R2496" s="78" t="str">
        <f>IFERROR(VLOOKUP(M2496,INSUMOS!$C$8:$K$928,6,0),"-----")</f>
        <v>-----</v>
      </c>
      <c r="S2496" s="396"/>
      <c r="T2496" s="387"/>
      <c r="U2496" s="388" t="str">
        <f>IFERROR(VLOOKUP(M2496,INSUMOS!$C$8:$K$928,7,0),"0")</f>
        <v>0</v>
      </c>
      <c r="V2496" s="389">
        <f>+IFERROR(U2496*(S2496*(1+T2496)),0)</f>
        <v>0</v>
      </c>
      <c r="Y2496" s="393">
        <f>+IFERROR(Y2480*(S2496*(1+T2496)),0)</f>
        <v>0</v>
      </c>
      <c r="Z2496" s="391">
        <f>Y2480*V2496</f>
        <v>0</v>
      </c>
      <c r="AA2496" s="394"/>
      <c r="AB2496" s="395">
        <f>+Y2496*U2496</f>
        <v>0</v>
      </c>
      <c r="AC2496" s="93">
        <f>+AB2496-Z2496</f>
        <v>0</v>
      </c>
      <c r="AD2496" s="94"/>
      <c r="AE2496" s="406" t="str">
        <f>+IF(V2496=0,"CERO","NO")</f>
        <v>CERO</v>
      </c>
    </row>
    <row r="2497" spans="3:31" s="260" customFormat="1" ht="15.75" thickBot="1" x14ac:dyDescent="0.3">
      <c r="C2497" s="84"/>
      <c r="D2497" s="85"/>
      <c r="E2497" s="86"/>
      <c r="F2497" s="86"/>
      <c r="G2497" s="86"/>
      <c r="H2497" s="86"/>
      <c r="I2497" s="86"/>
      <c r="J2497" s="87"/>
      <c r="K2497" s="88"/>
      <c r="M2497" s="102">
        <v>0</v>
      </c>
      <c r="N2497" s="564"/>
      <c r="O2497" s="564"/>
      <c r="P2497" s="564"/>
      <c r="Q2497" s="564"/>
      <c r="R2497" s="96"/>
      <c r="S2497" s="79"/>
      <c r="T2497" s="97"/>
      <c r="U2497" s="358"/>
      <c r="V2497" s="397"/>
      <c r="Y2497" s="393">
        <f>+IFERROR(Y2480*(S2497*(1+T2497)),0)</f>
        <v>0</v>
      </c>
      <c r="Z2497" s="391">
        <f>Y2480*V2497</f>
        <v>0</v>
      </c>
      <c r="AA2497" s="394"/>
      <c r="AB2497" s="395">
        <f>+Y2497*U2497</f>
        <v>0</v>
      </c>
      <c r="AC2497" s="93">
        <f>+AB2497-Z2497</f>
        <v>0</v>
      </c>
      <c r="AD2497" s="94"/>
      <c r="AE2497" s="406" t="str">
        <f>+IF(V2497=0,"CERO","NO")</f>
        <v>CERO</v>
      </c>
    </row>
    <row r="2498" spans="3:31" s="260" customFormat="1" ht="15.75" thickBot="1" x14ac:dyDescent="0.3">
      <c r="C2498" s="84"/>
      <c r="D2498" s="375" t="s">
        <v>128</v>
      </c>
      <c r="E2498" s="376" t="s">
        <v>129</v>
      </c>
      <c r="F2498" s="376" t="s">
        <v>130</v>
      </c>
      <c r="G2498" s="376" t="s">
        <v>131</v>
      </c>
      <c r="H2498" s="376" t="s">
        <v>132</v>
      </c>
      <c r="I2498" s="376" t="s">
        <v>133</v>
      </c>
      <c r="J2498" s="377" t="s">
        <v>134</v>
      </c>
      <c r="K2498" s="88"/>
      <c r="M2498" s="534"/>
      <c r="N2498" s="536" t="s">
        <v>106</v>
      </c>
      <c r="O2498" s="536"/>
      <c r="P2498" s="536"/>
      <c r="Q2498" s="536"/>
      <c r="R2498" s="536"/>
      <c r="S2498" s="536"/>
      <c r="T2498" s="536"/>
      <c r="U2498" s="536"/>
      <c r="V2498" s="389">
        <f>+SUM(V2493:V2497)</f>
        <v>56572.130404376359</v>
      </c>
      <c r="Y2498" s="398" t="s">
        <v>135</v>
      </c>
      <c r="Z2498" s="397">
        <f>+SUM(Z2493:Z2497)</f>
        <v>4245172.6655444028</v>
      </c>
      <c r="AA2498" s="86"/>
      <c r="AB2498" s="384"/>
      <c r="AC2498" s="385"/>
      <c r="AD2498" s="94"/>
      <c r="AE2498" s="399"/>
    </row>
    <row r="2499" spans="3:31" s="260" customFormat="1" ht="15.75" thickBot="1" x14ac:dyDescent="0.3">
      <c r="C2499" s="84"/>
      <c r="D2499" s="375"/>
      <c r="E2499" s="407">
        <f>+D2490</f>
        <v>3.02</v>
      </c>
      <c r="F2499" s="376"/>
      <c r="G2499" s="376"/>
      <c r="H2499" s="376"/>
      <c r="I2499" s="376"/>
      <c r="J2499" s="377"/>
      <c r="K2499" s="88"/>
      <c r="M2499" s="535"/>
      <c r="N2499" s="537" t="s">
        <v>107</v>
      </c>
      <c r="O2499" s="537"/>
      <c r="P2499" s="537"/>
      <c r="Q2499" s="537"/>
      <c r="R2499" s="537"/>
      <c r="S2499" s="537"/>
      <c r="T2499" s="537"/>
      <c r="U2499" s="537"/>
      <c r="V2499" s="408">
        <f>+ROUND(V2498,$AA$5)</f>
        <v>56572.13</v>
      </c>
      <c r="Y2499" s="401" t="s">
        <v>136</v>
      </c>
      <c r="Z2499" s="402">
        <f>+ROUND(Z2498,$AA$5)</f>
        <v>4245172.67</v>
      </c>
      <c r="AA2499" s="86"/>
      <c r="AB2499" s="403">
        <f>+V2499*Y2480</f>
        <v>4245172.6352000004</v>
      </c>
      <c r="AC2499" s="404">
        <f>+AB2499-Z2499</f>
        <v>-3.4799999557435513E-2</v>
      </c>
      <c r="AD2499" s="94"/>
      <c r="AE2499" s="405"/>
    </row>
    <row r="2500" spans="3:31" s="260" customFormat="1" x14ac:dyDescent="0.25">
      <c r="C2500" s="84"/>
      <c r="D2500" s="380"/>
      <c r="E2500" s="381"/>
      <c r="F2500" s="381"/>
      <c r="G2500" s="381"/>
      <c r="H2500" s="381"/>
      <c r="I2500" s="381"/>
      <c r="J2500" s="382"/>
      <c r="K2500" s="88"/>
      <c r="M2500" s="568" t="s">
        <v>108</v>
      </c>
      <c r="N2500" s="569"/>
      <c r="O2500" s="569"/>
      <c r="P2500" s="569"/>
      <c r="Q2500" s="569"/>
      <c r="R2500" s="569"/>
      <c r="S2500" s="569"/>
      <c r="T2500" s="569"/>
      <c r="U2500" s="569"/>
      <c r="V2500" s="570"/>
      <c r="Y2500" s="378"/>
      <c r="Z2500" s="121"/>
      <c r="AA2500" s="86"/>
      <c r="AB2500" s="409"/>
      <c r="AC2500" s="121"/>
      <c r="AD2500" s="94"/>
      <c r="AE2500" s="126"/>
    </row>
    <row r="2501" spans="3:31" s="260" customFormat="1" ht="25.5" x14ac:dyDescent="0.25">
      <c r="C2501" s="84"/>
      <c r="D2501" s="85"/>
      <c r="E2501" s="86"/>
      <c r="F2501" s="86"/>
      <c r="G2501" s="86"/>
      <c r="H2501" s="86"/>
      <c r="I2501" s="86"/>
      <c r="J2501" s="87"/>
      <c r="K2501" s="88"/>
      <c r="M2501" s="99" t="s">
        <v>94</v>
      </c>
      <c r="N2501" s="561" t="s">
        <v>95</v>
      </c>
      <c r="O2501" s="561"/>
      <c r="P2501" s="561"/>
      <c r="Q2501" s="95" t="s">
        <v>109</v>
      </c>
      <c r="R2501" s="95" t="s">
        <v>110</v>
      </c>
      <c r="S2501" s="95" t="s">
        <v>111</v>
      </c>
      <c r="T2501" s="562" t="s">
        <v>112</v>
      </c>
      <c r="U2501" s="562"/>
      <c r="V2501" s="100" t="s">
        <v>98</v>
      </c>
      <c r="Y2501" s="383" t="s">
        <v>104</v>
      </c>
      <c r="Z2501" s="119" t="s">
        <v>9</v>
      </c>
      <c r="AA2501" s="86"/>
      <c r="AB2501" s="384"/>
      <c r="AC2501" s="385"/>
      <c r="AD2501" s="94"/>
      <c r="AE2501" s="410"/>
    </row>
    <row r="2502" spans="3:31" s="260" customFormat="1" x14ac:dyDescent="0.25">
      <c r="C2502" s="84"/>
      <c r="D2502" s="85"/>
      <c r="E2502" s="86"/>
      <c r="F2502" s="86"/>
      <c r="G2502" s="86"/>
      <c r="H2502" s="86"/>
      <c r="I2502" s="86"/>
      <c r="J2502" s="87"/>
      <c r="K2502" s="88"/>
      <c r="M2502" s="102">
        <v>129</v>
      </c>
      <c r="N2502" s="530" t="str">
        <f>IFERROR(VLOOKUP(M2502,INSUMOS!$C$8:$K$928,2,0),"-----")</f>
        <v>transporte materiales en general</v>
      </c>
      <c r="O2502" s="531"/>
      <c r="P2502" s="532"/>
      <c r="Q2502" s="78" t="str">
        <f>IFERROR(VLOOKUP(M2502,INSUMOS!$C$8:$K$928,5,0),"-----")</f>
        <v>Km</v>
      </c>
      <c r="R2502" s="80">
        <v>1</v>
      </c>
      <c r="S2502" s="80">
        <f>IFERROR(VLOOKUP(M2502,INSUMOS!$C$8:$K$928,6,0),"0")</f>
        <v>348</v>
      </c>
      <c r="T2502" s="529">
        <f>IFERROR(VLOOKUP(M2502,INSUMOS!$C$8:$K$928,7,0),"0")</f>
        <v>0.99776362060288992</v>
      </c>
      <c r="U2502" s="529"/>
      <c r="V2502" s="82">
        <f>+T2502*S2502*R2502</f>
        <v>347.2217399698057</v>
      </c>
      <c r="Y2502" s="393">
        <f>+IFERROR((R2502*S2502)*Y2480,0)</f>
        <v>26113.920000000002</v>
      </c>
      <c r="Z2502" s="391">
        <f>Y2480*V2502</f>
        <v>26055.519367334222</v>
      </c>
      <c r="AA2502" s="86"/>
      <c r="AB2502" s="92">
        <f>+Y2502*T2502</f>
        <v>26055.519367334222</v>
      </c>
      <c r="AC2502" s="93">
        <f>+AB2502-Z2502</f>
        <v>0</v>
      </c>
      <c r="AD2502" s="94"/>
      <c r="AE2502" s="406" t="str">
        <f>+IF(V2502=0,"CERO","NO")</f>
        <v>NO</v>
      </c>
    </row>
    <row r="2503" spans="3:31" s="260" customFormat="1" x14ac:dyDescent="0.25">
      <c r="C2503" s="84"/>
      <c r="D2503" s="85"/>
      <c r="E2503" s="86"/>
      <c r="F2503" s="86"/>
      <c r="G2503" s="86"/>
      <c r="H2503" s="86"/>
      <c r="I2503" s="86"/>
      <c r="J2503" s="87"/>
      <c r="K2503" s="88"/>
      <c r="M2503" s="102">
        <v>0</v>
      </c>
      <c r="N2503" s="530" t="str">
        <f>IFERROR(VLOOKUP(M2503,INSUMOS!$C$8:$K$928,2,0),"-----")</f>
        <v>-----</v>
      </c>
      <c r="O2503" s="531"/>
      <c r="P2503" s="532"/>
      <c r="Q2503" s="78" t="str">
        <f>IFERROR(VLOOKUP(M2503,INSUMOS!$C$8:$K$928,5,0),"-----")</f>
        <v>-----</v>
      </c>
      <c r="R2503" s="80"/>
      <c r="S2503" s="80" t="str">
        <f>IFERROR(VLOOKUP(M2503,INSUMOS!$C$8:$K$928,6,0),"0")</f>
        <v>0</v>
      </c>
      <c r="T2503" s="529" t="str">
        <f>IFERROR(VLOOKUP(M2503,INSUMOS!$C$8:$K$928,7,0),"0")</f>
        <v>0</v>
      </c>
      <c r="U2503" s="529"/>
      <c r="V2503" s="82">
        <f>+T2503*S2503*R2503</f>
        <v>0</v>
      </c>
      <c r="Y2503" s="393">
        <f>+IFERROR((R2503*S2503)*Y2480,0)</f>
        <v>0</v>
      </c>
      <c r="Z2503" s="391">
        <f>Y2480*V2503</f>
        <v>0</v>
      </c>
      <c r="AA2503" s="86"/>
      <c r="AB2503" s="92">
        <f>+Y2503*T2503</f>
        <v>0</v>
      </c>
      <c r="AC2503" s="93">
        <f>+AB2503-Z2503</f>
        <v>0</v>
      </c>
      <c r="AD2503" s="94"/>
      <c r="AE2503" s="406" t="str">
        <f>+IF(V2503=0,"CERO","NO")</f>
        <v>CERO</v>
      </c>
    </row>
    <row r="2504" spans="3:31" s="260" customFormat="1" x14ac:dyDescent="0.25">
      <c r="C2504" s="84"/>
      <c r="D2504" s="85"/>
      <c r="E2504" s="86"/>
      <c r="F2504" s="86"/>
      <c r="G2504" s="86"/>
      <c r="H2504" s="86"/>
      <c r="I2504" s="86"/>
      <c r="J2504" s="87"/>
      <c r="K2504" s="88"/>
      <c r="M2504" s="102">
        <v>0</v>
      </c>
      <c r="N2504" s="530" t="str">
        <f>IFERROR(VLOOKUP(M2504,INSUMOS!$C$8:$K$928,2,0),"-----")</f>
        <v>-----</v>
      </c>
      <c r="O2504" s="531"/>
      <c r="P2504" s="532"/>
      <c r="Q2504" s="78" t="str">
        <f>IFERROR(VLOOKUP(M2504,INSUMOS!$C$8:$K$928,5,0),"-----")</f>
        <v>-----</v>
      </c>
      <c r="R2504" s="80"/>
      <c r="S2504" s="80" t="str">
        <f>IFERROR(VLOOKUP(M2504,INSUMOS!$C$8:$K$928,6,0),"0")</f>
        <v>0</v>
      </c>
      <c r="T2504" s="529" t="str">
        <f>IFERROR(VLOOKUP(M2504,INSUMOS!$C$8:$K$928,7,0),"0")</f>
        <v>0</v>
      </c>
      <c r="U2504" s="529"/>
      <c r="V2504" s="82">
        <f>+T2504*S2504*R2504</f>
        <v>0</v>
      </c>
      <c r="Y2504" s="393">
        <f>+IFERROR((R2504*S2504)*Y2480,0)</f>
        <v>0</v>
      </c>
      <c r="Z2504" s="391">
        <f>Y2480*V2504</f>
        <v>0</v>
      </c>
      <c r="AA2504" s="86"/>
      <c r="AB2504" s="92">
        <f>+Y2504*T2504</f>
        <v>0</v>
      </c>
      <c r="AC2504" s="93">
        <f>+AB2504-Z2504</f>
        <v>0</v>
      </c>
      <c r="AD2504" s="94"/>
      <c r="AE2504" s="406" t="str">
        <f>+IF(V2504=0,"CERO","NO")</f>
        <v>CERO</v>
      </c>
    </row>
    <row r="2505" spans="3:31" s="260" customFormat="1" ht="15.75" thickBot="1" x14ac:dyDescent="0.3">
      <c r="C2505" s="84"/>
      <c r="D2505" s="89"/>
      <c r="E2505" s="90"/>
      <c r="F2505" s="90"/>
      <c r="G2505" s="90"/>
      <c r="H2505" s="90"/>
      <c r="I2505" s="90"/>
      <c r="J2505" s="91"/>
      <c r="K2505" s="88"/>
      <c r="M2505" s="102">
        <v>0</v>
      </c>
      <c r="N2505" s="533"/>
      <c r="O2505" s="533"/>
      <c r="P2505" s="533"/>
      <c r="Q2505" s="79"/>
      <c r="R2505" s="78"/>
      <c r="S2505" s="81"/>
      <c r="T2505" s="529"/>
      <c r="U2505" s="529"/>
      <c r="V2505" s="82"/>
      <c r="Y2505" s="393">
        <f>+IFERROR((R2505*S2505)*Y2480,0)</f>
        <v>0</v>
      </c>
      <c r="Z2505" s="391">
        <f>Y2480*V2505</f>
        <v>0</v>
      </c>
      <c r="AA2505" s="86"/>
      <c r="AB2505" s="92">
        <f>+Y2505*T2505</f>
        <v>0</v>
      </c>
      <c r="AC2505" s="93">
        <f>+AB2505-Z2505</f>
        <v>0</v>
      </c>
      <c r="AD2505" s="94"/>
      <c r="AE2505" s="406" t="str">
        <f>+IF(V2505=0,"CERO","NO")</f>
        <v>CERO</v>
      </c>
    </row>
    <row r="2506" spans="3:31" s="260" customFormat="1" ht="15.75" thickBot="1" x14ac:dyDescent="0.3">
      <c r="C2506" s="84"/>
      <c r="D2506" s="375" t="s">
        <v>128</v>
      </c>
      <c r="E2506" s="376" t="s">
        <v>129</v>
      </c>
      <c r="F2506" s="376" t="s">
        <v>130</v>
      </c>
      <c r="G2506" s="376" t="s">
        <v>131</v>
      </c>
      <c r="H2506" s="376" t="s">
        <v>132</v>
      </c>
      <c r="I2506" s="376" t="s">
        <v>133</v>
      </c>
      <c r="J2506" s="377" t="s">
        <v>134</v>
      </c>
      <c r="K2506" s="88"/>
      <c r="M2506" s="534"/>
      <c r="N2506" s="536" t="s">
        <v>113</v>
      </c>
      <c r="O2506" s="536"/>
      <c r="P2506" s="536"/>
      <c r="Q2506" s="536"/>
      <c r="R2506" s="536"/>
      <c r="S2506" s="536"/>
      <c r="T2506" s="536"/>
      <c r="U2506" s="536"/>
      <c r="V2506" s="411">
        <f>+SUM(V2502:V2505)</f>
        <v>347.2217399698057</v>
      </c>
      <c r="Y2506" s="398" t="s">
        <v>135</v>
      </c>
      <c r="Z2506" s="397">
        <f>+SUM(Z2502:Z2505)</f>
        <v>26055.519367334222</v>
      </c>
      <c r="AA2506" s="86"/>
      <c r="AB2506" s="384"/>
      <c r="AC2506" s="385"/>
      <c r="AD2506" s="94"/>
      <c r="AE2506" s="399"/>
    </row>
    <row r="2507" spans="3:31" s="260" customFormat="1" ht="15.75" thickBot="1" x14ac:dyDescent="0.3">
      <c r="C2507" s="84"/>
      <c r="D2507" s="355"/>
      <c r="E2507" s="367"/>
      <c r="F2507" s="412">
        <f>+E2499</f>
        <v>3.02</v>
      </c>
      <c r="G2507" s="367"/>
      <c r="H2507" s="367"/>
      <c r="I2507" s="367"/>
      <c r="J2507" s="368"/>
      <c r="K2507" s="88"/>
      <c r="M2507" s="535"/>
      <c r="N2507" s="537" t="s">
        <v>114</v>
      </c>
      <c r="O2507" s="537"/>
      <c r="P2507" s="537"/>
      <c r="Q2507" s="537"/>
      <c r="R2507" s="537"/>
      <c r="S2507" s="537"/>
      <c r="T2507" s="537"/>
      <c r="U2507" s="537"/>
      <c r="V2507" s="413">
        <f>+ROUND(V2506,$AA$5)</f>
        <v>347.22</v>
      </c>
      <c r="Y2507" s="401" t="s">
        <v>136</v>
      </c>
      <c r="Z2507" s="402">
        <f>+ROUND(Z2506,$AA$5)</f>
        <v>26055.52</v>
      </c>
      <c r="AA2507" s="86"/>
      <c r="AB2507" s="403">
        <f>+V2507*Y2480</f>
        <v>26055.388800000004</v>
      </c>
      <c r="AC2507" s="414"/>
      <c r="AD2507" s="94"/>
      <c r="AE2507" s="405"/>
    </row>
    <row r="2508" spans="3:31" s="260" customFormat="1" ht="15.75" thickBot="1" x14ac:dyDescent="0.3">
      <c r="C2508" s="84"/>
      <c r="D2508" s="415"/>
      <c r="E2508" s="416"/>
      <c r="F2508" s="416"/>
      <c r="G2508" s="416"/>
      <c r="H2508" s="416"/>
      <c r="I2508" s="416"/>
      <c r="J2508" s="417"/>
      <c r="K2508" s="88"/>
      <c r="M2508" s="538" t="s">
        <v>115</v>
      </c>
      <c r="N2508" s="539"/>
      <c r="O2508" s="539"/>
      <c r="P2508" s="539"/>
      <c r="Q2508" s="539"/>
      <c r="R2508" s="539"/>
      <c r="S2508" s="539"/>
      <c r="T2508" s="539"/>
      <c r="U2508" s="539"/>
      <c r="V2508" s="540"/>
      <c r="Y2508" s="378"/>
      <c r="Z2508" s="121"/>
      <c r="AA2508" s="86"/>
      <c r="AB2508" s="409"/>
      <c r="AC2508" s="121"/>
      <c r="AD2508" s="94"/>
      <c r="AE2508" s="126"/>
    </row>
    <row r="2509" spans="3:31" s="260" customFormat="1" ht="15.75" thickBot="1" x14ac:dyDescent="0.3">
      <c r="C2509" s="84"/>
      <c r="D2509" s="375" t="s">
        <v>128</v>
      </c>
      <c r="E2509" s="376" t="s">
        <v>129</v>
      </c>
      <c r="F2509" s="376" t="s">
        <v>130</v>
      </c>
      <c r="G2509" s="376" t="s">
        <v>131</v>
      </c>
      <c r="H2509" s="376" t="s">
        <v>132</v>
      </c>
      <c r="I2509" s="376" t="s">
        <v>133</v>
      </c>
      <c r="J2509" s="377" t="s">
        <v>134</v>
      </c>
      <c r="K2509" s="88"/>
      <c r="M2509" s="99" t="s">
        <v>94</v>
      </c>
      <c r="N2509" s="98" t="s">
        <v>95</v>
      </c>
      <c r="O2509" s="95" t="s">
        <v>96</v>
      </c>
      <c r="P2509" s="359" t="s">
        <v>104</v>
      </c>
      <c r="Q2509" s="95" t="s">
        <v>116</v>
      </c>
      <c r="R2509" s="418" t="s">
        <v>117</v>
      </c>
      <c r="S2509" s="95" t="s">
        <v>347</v>
      </c>
      <c r="T2509" s="419" t="s">
        <v>118</v>
      </c>
      <c r="U2509" s="189" t="s">
        <v>119</v>
      </c>
      <c r="V2509" s="100" t="s">
        <v>98</v>
      </c>
      <c r="Y2509" s="383" t="s">
        <v>104</v>
      </c>
      <c r="Z2509" s="119" t="s">
        <v>9</v>
      </c>
      <c r="AA2509" s="86"/>
      <c r="AB2509" s="384"/>
      <c r="AC2509" s="385"/>
      <c r="AD2509" s="94"/>
      <c r="AE2509" s="410"/>
    </row>
    <row r="2510" spans="3:31" s="260" customFormat="1" ht="25.5" x14ac:dyDescent="0.25">
      <c r="C2510" s="84"/>
      <c r="D2510" s="354"/>
      <c r="E2510" s="96"/>
      <c r="F2510" s="96"/>
      <c r="G2510" s="96"/>
      <c r="H2510" s="96"/>
      <c r="I2510" s="96"/>
      <c r="J2510" s="420">
        <f>+F2507</f>
        <v>3.02</v>
      </c>
      <c r="K2510" s="88"/>
      <c r="M2510" s="102">
        <v>207</v>
      </c>
      <c r="N2510" s="347" t="str">
        <f>IFERROR(VLOOKUP(M2510,INSUMOS!$C$8:$K$928,2,0),"-----")</f>
        <v>Oficial Hidrosanitario</v>
      </c>
      <c r="O2510" s="78" t="str">
        <f>IFERROR(VLOOKUP(M2510,INSUMOS!$C$8:$K$928,3,0),"-----")</f>
        <v>JORNAL+PS</v>
      </c>
      <c r="P2510" s="80">
        <v>1</v>
      </c>
      <c r="Q2510" s="79">
        <v>25</v>
      </c>
      <c r="R2510" s="190">
        <f>IFERROR(VLOOKUP(M2510,INSUMOS!$C$8:$K$928,4,0),"-----")</f>
        <v>92983</v>
      </c>
      <c r="S2510" s="190">
        <f>IFERROR(VLOOKUP(M2510,INSUMOS!$C$8:$K$928,6,0),"-----")</f>
        <v>74386</v>
      </c>
      <c r="T2510" s="190">
        <f>IFERROR(VLOOKUP(M2510,INSUMOS!$C$8:$K$928,5,0),"-----")</f>
        <v>0</v>
      </c>
      <c r="U2510" s="388">
        <f>SUM(R2510:T2510)</f>
        <v>167369</v>
      </c>
      <c r="V2510" s="82">
        <f>+IFERROR((P2510/Q2510)*U2510,0)</f>
        <v>6694.76</v>
      </c>
      <c r="Y2510" s="393">
        <f>+IFERROR((Y2480/Q2510*P2510),0)</f>
        <v>3.0016000000000003</v>
      </c>
      <c r="Z2510" s="391">
        <f>Y2480*V2510</f>
        <v>502374.79040000006</v>
      </c>
      <c r="AA2510" s="86"/>
      <c r="AB2510" s="92">
        <f>+(U2510)*Y2510</f>
        <v>502374.79040000006</v>
      </c>
      <c r="AC2510" s="93">
        <f>+AB2510-Z2510</f>
        <v>0</v>
      </c>
      <c r="AD2510" s="421"/>
      <c r="AE2510" s="410" t="str">
        <f>+IF(V2510=0,"CERO","NO")</f>
        <v>NO</v>
      </c>
    </row>
    <row r="2511" spans="3:31" s="260" customFormat="1" ht="26.25" thickBot="1" x14ac:dyDescent="0.3">
      <c r="C2511" s="84"/>
      <c r="D2511" s="355"/>
      <c r="E2511" s="367"/>
      <c r="F2511" s="367"/>
      <c r="G2511" s="367"/>
      <c r="H2511" s="367"/>
      <c r="I2511" s="367"/>
      <c r="J2511" s="422">
        <f>+J2510</f>
        <v>3.02</v>
      </c>
      <c r="K2511" s="88"/>
      <c r="M2511" s="102">
        <v>208</v>
      </c>
      <c r="N2511" s="347" t="str">
        <f>IFERROR(VLOOKUP(M2511,INSUMOS!$C$8:$K$928,2,0),"-----")</f>
        <v>Ayudante Hidrosanitario</v>
      </c>
      <c r="O2511" s="78" t="str">
        <f>IFERROR(VLOOKUP(M2511,INSUMOS!$C$8:$K$928,3,0),"-----")</f>
        <v>JORNAL+PS</v>
      </c>
      <c r="P2511" s="80">
        <v>1</v>
      </c>
      <c r="Q2511" s="79">
        <v>25</v>
      </c>
      <c r="R2511" s="190">
        <f>IFERROR(VLOOKUP(M2511,INSUMOS!$C$8:$K$928,4,0),"-----")</f>
        <v>69172</v>
      </c>
      <c r="S2511" s="190">
        <f>IFERROR(VLOOKUP(M2511,INSUMOS!$C$8:$K$928,6,0),"-----")</f>
        <v>55337</v>
      </c>
      <c r="T2511" s="190">
        <f>IFERROR(VLOOKUP(M2511,INSUMOS!$C$8:$K$928,5,0),"-----")</f>
        <v>0</v>
      </c>
      <c r="U2511" s="388">
        <f>SUM(R2511:T2511)</f>
        <v>124509</v>
      </c>
      <c r="V2511" s="82">
        <f>+IFERROR((P2511/Q2511)*U2511,0)</f>
        <v>4980.3599999999997</v>
      </c>
      <c r="Y2511" s="393">
        <f>+IFERROR((Y2480/Q2511*P2511),0)</f>
        <v>3.0016000000000003</v>
      </c>
      <c r="Z2511" s="391">
        <f>Y2480*V2511</f>
        <v>373726.2144</v>
      </c>
      <c r="AA2511" s="86"/>
      <c r="AB2511" s="92">
        <f>+U2511*Y2511</f>
        <v>373726.21440000006</v>
      </c>
      <c r="AC2511" s="93">
        <f>+AB2511-Z2511</f>
        <v>0</v>
      </c>
      <c r="AD2511" s="94"/>
      <c r="AE2511" s="410" t="str">
        <f>+IF(V2511=0,"CERO","NO")</f>
        <v>NO</v>
      </c>
    </row>
    <row r="2512" spans="3:31" s="260" customFormat="1" ht="15.75" thickBot="1" x14ac:dyDescent="0.3">
      <c r="C2512" s="84"/>
      <c r="D2512" s="380"/>
      <c r="E2512" s="381"/>
      <c r="F2512" s="381"/>
      <c r="G2512" s="381"/>
      <c r="H2512" s="381"/>
      <c r="I2512" s="381"/>
      <c r="J2512" s="382"/>
      <c r="K2512" s="88"/>
      <c r="M2512" s="102">
        <v>0</v>
      </c>
      <c r="N2512" s="347"/>
      <c r="O2512" s="79"/>
      <c r="P2512" s="423"/>
      <c r="Q2512" s="81"/>
      <c r="R2512" s="111"/>
      <c r="S2512" s="357"/>
      <c r="T2512" s="111"/>
      <c r="U2512" s="388"/>
      <c r="V2512" s="426"/>
      <c r="Y2512" s="393">
        <f>+IFERROR((Y2480/Q2512*P2512),0)</f>
        <v>0</v>
      </c>
      <c r="Z2512" s="391">
        <f>Y2480*V2512</f>
        <v>0</v>
      </c>
      <c r="AA2512" s="86"/>
      <c r="AB2512" s="92">
        <f>+(U2512)*Y2512*P2512</f>
        <v>0</v>
      </c>
      <c r="AC2512" s="93">
        <f>+AB2512-Z2512</f>
        <v>0</v>
      </c>
      <c r="AD2512" s="94"/>
      <c r="AE2512" s="410" t="str">
        <f>+IF(V2512=0,"CERO","NO")</f>
        <v>CERO</v>
      </c>
    </row>
    <row r="2513" spans="3:31" s="260" customFormat="1" ht="15.75" thickBot="1" x14ac:dyDescent="0.3">
      <c r="C2513" s="84"/>
      <c r="D2513" s="375" t="s">
        <v>128</v>
      </c>
      <c r="E2513" s="376" t="s">
        <v>129</v>
      </c>
      <c r="F2513" s="376" t="s">
        <v>130</v>
      </c>
      <c r="G2513" s="376" t="s">
        <v>131</v>
      </c>
      <c r="H2513" s="376" t="s">
        <v>132</v>
      </c>
      <c r="I2513" s="376" t="s">
        <v>133</v>
      </c>
      <c r="J2513" s="377" t="s">
        <v>134</v>
      </c>
      <c r="K2513" s="88"/>
      <c r="M2513" s="534"/>
      <c r="N2513" s="536" t="s">
        <v>120</v>
      </c>
      <c r="O2513" s="536"/>
      <c r="P2513" s="536"/>
      <c r="Q2513" s="536"/>
      <c r="R2513" s="536"/>
      <c r="S2513" s="536"/>
      <c r="T2513" s="536"/>
      <c r="U2513" s="536"/>
      <c r="V2513" s="82">
        <f>+SUM(V2510:V2512)</f>
        <v>11675.119999999999</v>
      </c>
      <c r="Y2513" s="398" t="s">
        <v>135</v>
      </c>
      <c r="Z2513" s="397">
        <f>+SUM(Z2510:Z2512)</f>
        <v>876101.0048</v>
      </c>
      <c r="AA2513" s="86"/>
      <c r="AB2513" s="384"/>
      <c r="AC2513" s="385"/>
      <c r="AD2513" s="94"/>
      <c r="AE2513" s="399"/>
    </row>
    <row r="2514" spans="3:31" s="260" customFormat="1" ht="15.75" thickBot="1" x14ac:dyDescent="0.3">
      <c r="C2514" s="84"/>
      <c r="D2514" s="354"/>
      <c r="E2514" s="96"/>
      <c r="F2514" s="96"/>
      <c r="G2514" s="107">
        <f>+F2507</f>
        <v>3.02</v>
      </c>
      <c r="H2514" s="96"/>
      <c r="I2514" s="96"/>
      <c r="J2514" s="427"/>
      <c r="K2514" s="88"/>
      <c r="M2514" s="535"/>
      <c r="N2514" s="537" t="s">
        <v>121</v>
      </c>
      <c r="O2514" s="537"/>
      <c r="P2514" s="537"/>
      <c r="Q2514" s="537"/>
      <c r="R2514" s="537"/>
      <c r="S2514" s="537"/>
      <c r="T2514" s="537"/>
      <c r="U2514" s="537"/>
      <c r="V2514" s="413">
        <f>+ROUND(V2513,$AA$5)</f>
        <v>11675.12</v>
      </c>
      <c r="Y2514" s="401" t="s">
        <v>136</v>
      </c>
      <c r="Z2514" s="402">
        <f>+ROUND(Z2513,$AA$5)</f>
        <v>876101</v>
      </c>
      <c r="AA2514" s="86"/>
      <c r="AB2514" s="403">
        <f>+V2514*Y2480</f>
        <v>876101.00480000011</v>
      </c>
      <c r="AC2514" s="404">
        <f>+AB2514-Z2514</f>
        <v>4.8000001115724444E-3</v>
      </c>
      <c r="AD2514" s="94"/>
      <c r="AE2514" s="405"/>
    </row>
    <row r="2515" spans="3:31" s="260" customFormat="1" ht="15.75" thickBot="1" x14ac:dyDescent="0.3">
      <c r="C2515" s="84"/>
      <c r="D2515" s="375" t="s">
        <v>128</v>
      </c>
      <c r="E2515" s="376" t="s">
        <v>129</v>
      </c>
      <c r="F2515" s="376" t="s">
        <v>130</v>
      </c>
      <c r="G2515" s="376" t="s">
        <v>131</v>
      </c>
      <c r="H2515" s="376" t="s">
        <v>132</v>
      </c>
      <c r="I2515" s="376" t="s">
        <v>133</v>
      </c>
      <c r="J2515" s="377" t="s">
        <v>134</v>
      </c>
      <c r="K2515" s="88"/>
      <c r="M2515" s="541"/>
      <c r="N2515" s="542"/>
      <c r="O2515" s="542"/>
      <c r="P2515" s="542"/>
      <c r="Q2515" s="542"/>
      <c r="R2515" s="542"/>
      <c r="S2515" s="542"/>
      <c r="T2515" s="542"/>
      <c r="U2515" s="542"/>
      <c r="V2515" s="543"/>
      <c r="Y2515" s="378"/>
      <c r="Z2515" s="121"/>
      <c r="AA2515" s="86"/>
      <c r="AB2515" s="409"/>
      <c r="AC2515" s="121"/>
      <c r="AD2515" s="94"/>
      <c r="AE2515" s="428"/>
    </row>
    <row r="2516" spans="3:31" s="260" customFormat="1" ht="15.75" thickBot="1" x14ac:dyDescent="0.3">
      <c r="C2516" s="84"/>
      <c r="D2516" s="355"/>
      <c r="E2516" s="367"/>
      <c r="F2516" s="367"/>
      <c r="G2516" s="367"/>
      <c r="H2516" s="412">
        <f>G2514</f>
        <v>3.02</v>
      </c>
      <c r="I2516" s="412"/>
      <c r="J2516" s="422"/>
      <c r="K2516" s="88"/>
      <c r="M2516" s="544" t="s">
        <v>122</v>
      </c>
      <c r="N2516" s="537"/>
      <c r="O2516" s="537"/>
      <c r="P2516" s="537"/>
      <c r="Q2516" s="537"/>
      <c r="R2516" s="537"/>
      <c r="S2516" s="537"/>
      <c r="T2516" s="537"/>
      <c r="U2516" s="545">
        <f>+V2514+V2507+V2499+V2490</f>
        <v>69178.23</v>
      </c>
      <c r="V2516" s="546"/>
      <c r="Y2516" s="429"/>
      <c r="Z2516" s="430">
        <f>+Z2514+Z2507+Z2499+Z2490</f>
        <v>5191134.2399999993</v>
      </c>
      <c r="AA2516" s="86"/>
      <c r="AB2516" s="431">
        <f>+AB2514+AB2507+AB2499+AB2490</f>
        <v>5191134.3792000003</v>
      </c>
      <c r="AC2516" s="404">
        <f>+AB2516-Z2516</f>
        <v>0.13920000102370977</v>
      </c>
      <c r="AD2516" s="94"/>
      <c r="AE2516" s="432"/>
    </row>
    <row r="2517" spans="3:31" s="260" customFormat="1" ht="15.75" thickBot="1" x14ac:dyDescent="0.3"/>
    <row r="2518" spans="3:31" s="260" customFormat="1" x14ac:dyDescent="0.25">
      <c r="M2518" s="547" t="s">
        <v>348</v>
      </c>
      <c r="N2518" s="548"/>
      <c r="O2518" s="548"/>
      <c r="P2518" s="548"/>
      <c r="Q2518" s="548"/>
      <c r="R2518" s="548"/>
      <c r="S2518" s="548"/>
      <c r="T2518" s="548"/>
      <c r="U2518" s="548"/>
      <c r="V2518" s="549"/>
      <c r="Y2518" s="378"/>
      <c r="Z2518" s="121"/>
      <c r="AA2518" s="86"/>
      <c r="AB2518" s="94"/>
      <c r="AC2518" s="94"/>
      <c r="AD2518" s="94"/>
      <c r="AE2518" s="126" t="s">
        <v>133</v>
      </c>
    </row>
    <row r="2519" spans="3:31" s="260" customFormat="1" x14ac:dyDescent="0.25">
      <c r="M2519" s="515" t="s">
        <v>138</v>
      </c>
      <c r="N2519" s="516"/>
      <c r="O2519" s="516"/>
      <c r="P2519" s="516"/>
      <c r="Q2519" s="516"/>
      <c r="R2519" s="516"/>
      <c r="S2519" s="516"/>
      <c r="T2519" s="437">
        <v>0</v>
      </c>
      <c r="U2519" s="517">
        <f>+ROUND(U2516*T2519,$AA$5)</f>
        <v>0</v>
      </c>
      <c r="V2519" s="518"/>
      <c r="Y2519" s="390"/>
      <c r="Z2519" s="438">
        <f>+Z2516*T2519</f>
        <v>0</v>
      </c>
      <c r="AA2519" s="86"/>
      <c r="AB2519" s="94"/>
      <c r="AC2519" s="94"/>
      <c r="AD2519" s="94"/>
      <c r="AE2519" s="386" t="s">
        <v>133</v>
      </c>
    </row>
    <row r="2520" spans="3:31" s="260" customFormat="1" x14ac:dyDescent="0.25">
      <c r="M2520" s="515" t="s">
        <v>19</v>
      </c>
      <c r="N2520" s="516"/>
      <c r="O2520" s="516"/>
      <c r="P2520" s="516"/>
      <c r="Q2520" s="516"/>
      <c r="R2520" s="516"/>
      <c r="S2520" s="516"/>
      <c r="T2520" s="437">
        <v>0.05</v>
      </c>
      <c r="U2520" s="517">
        <f>+ROUND(U2516*T2520,$AA$5)</f>
        <v>3458.91</v>
      </c>
      <c r="V2520" s="518"/>
      <c r="Y2520" s="390"/>
      <c r="Z2520" s="438">
        <f>+Z2516*T2520</f>
        <v>259556.71199999997</v>
      </c>
      <c r="AA2520" s="86"/>
      <c r="AB2520" s="94"/>
      <c r="AC2520" s="94"/>
      <c r="AD2520" s="94"/>
      <c r="AE2520" s="386" t="s">
        <v>133</v>
      </c>
    </row>
    <row r="2521" spans="3:31" s="260" customFormat="1" x14ac:dyDescent="0.25">
      <c r="M2521" s="515" t="s">
        <v>20</v>
      </c>
      <c r="N2521" s="516"/>
      <c r="O2521" s="516"/>
      <c r="P2521" s="516"/>
      <c r="Q2521" s="516"/>
      <c r="R2521" s="516"/>
      <c r="S2521" s="516"/>
      <c r="T2521" s="437">
        <v>0</v>
      </c>
      <c r="U2521" s="517">
        <f>+ROUND(U2516*T2521,$AA$5)</f>
        <v>0</v>
      </c>
      <c r="V2521" s="518"/>
      <c r="Y2521" s="390"/>
      <c r="Z2521" s="438">
        <f>+Z2516*T2521</f>
        <v>0</v>
      </c>
      <c r="AA2521" s="86"/>
      <c r="AB2521" s="94"/>
      <c r="AC2521" s="94"/>
      <c r="AD2521" s="94"/>
      <c r="AE2521" s="386" t="s">
        <v>133</v>
      </c>
    </row>
    <row r="2522" spans="3:31" s="260" customFormat="1" x14ac:dyDescent="0.25">
      <c r="M2522" s="515" t="s">
        <v>21</v>
      </c>
      <c r="N2522" s="516"/>
      <c r="O2522" s="516"/>
      <c r="P2522" s="516"/>
      <c r="Q2522" s="516"/>
      <c r="R2522" s="516"/>
      <c r="S2522" s="516"/>
      <c r="T2522" s="437">
        <f>$AA$9</f>
        <v>0</v>
      </c>
      <c r="U2522" s="517">
        <f>+ROUND(U2516*T2522,$AA$5)</f>
        <v>0</v>
      </c>
      <c r="V2522" s="518"/>
      <c r="Y2522" s="390"/>
      <c r="Z2522" s="438">
        <f>+Z2521*T2522</f>
        <v>0</v>
      </c>
      <c r="AA2522" s="86"/>
      <c r="AB2522" s="94"/>
      <c r="AC2522" s="94"/>
      <c r="AD2522" s="94"/>
      <c r="AE2522" s="386" t="s">
        <v>133</v>
      </c>
    </row>
    <row r="2523" spans="3:31" s="260" customFormat="1" ht="15.75" thickBot="1" x14ac:dyDescent="0.3">
      <c r="M2523" s="519" t="s">
        <v>349</v>
      </c>
      <c r="N2523" s="520"/>
      <c r="O2523" s="520"/>
      <c r="P2523" s="520"/>
      <c r="Q2523" s="520"/>
      <c r="R2523" s="520"/>
      <c r="S2523" s="520"/>
      <c r="T2523" s="520"/>
      <c r="U2523" s="521">
        <f>+SUM(U2519:V2522)</f>
        <v>3458.91</v>
      </c>
      <c r="V2523" s="522"/>
      <c r="Y2523" s="390"/>
      <c r="Z2523" s="439">
        <f>+SUM(Z2519:Z2522)</f>
        <v>259556.71199999997</v>
      </c>
      <c r="AA2523" s="86"/>
      <c r="AB2523" s="94"/>
      <c r="AC2523" s="94"/>
      <c r="AD2523" s="94"/>
      <c r="AE2523" s="386" t="s">
        <v>133</v>
      </c>
    </row>
    <row r="2524" spans="3:31" s="260" customFormat="1" ht="15.75" thickBot="1" x14ac:dyDescent="0.3">
      <c r="D2524" s="375" t="s">
        <v>128</v>
      </c>
      <c r="E2524" s="376" t="s">
        <v>129</v>
      </c>
      <c r="F2524" s="376" t="s">
        <v>130</v>
      </c>
      <c r="G2524" s="376" t="s">
        <v>131</v>
      </c>
      <c r="H2524" s="376" t="s">
        <v>132</v>
      </c>
      <c r="I2524" s="376" t="s">
        <v>133</v>
      </c>
      <c r="J2524" s="377" t="s">
        <v>134</v>
      </c>
      <c r="M2524" s="86"/>
      <c r="N2524" s="94"/>
      <c r="O2524" s="94"/>
      <c r="P2524" s="94"/>
      <c r="Q2524" s="86"/>
      <c r="R2524" s="86"/>
      <c r="S2524" s="86"/>
      <c r="T2524" s="440"/>
      <c r="U2524" s="523"/>
      <c r="V2524" s="523"/>
      <c r="Y2524" s="390"/>
      <c r="Z2524" s="385"/>
      <c r="AA2524" s="86"/>
      <c r="AB2524" s="94"/>
      <c r="AC2524" s="94"/>
      <c r="AD2524" s="94"/>
      <c r="AE2524" s="386" t="s">
        <v>133</v>
      </c>
    </row>
    <row r="2525" spans="3:31" s="260" customFormat="1" ht="15.75" thickBot="1" x14ac:dyDescent="0.3">
      <c r="D2525" s="355"/>
      <c r="E2525" s="367"/>
      <c r="F2525" s="367"/>
      <c r="G2525" s="367"/>
      <c r="H2525" s="412"/>
      <c r="I2525" s="412">
        <f>H2516</f>
        <v>3.02</v>
      </c>
      <c r="J2525" s="422"/>
      <c r="M2525" s="524" t="s">
        <v>11</v>
      </c>
      <c r="N2525" s="525"/>
      <c r="O2525" s="525"/>
      <c r="P2525" s="525"/>
      <c r="Q2525" s="525"/>
      <c r="R2525" s="525"/>
      <c r="S2525" s="525"/>
      <c r="T2525" s="526"/>
      <c r="U2525" s="527">
        <f>+U2523+U2516</f>
        <v>72637.14</v>
      </c>
      <c r="V2525" s="528"/>
      <c r="Y2525" s="429"/>
      <c r="Z2525" s="441">
        <f>+Z2523+Z2516</f>
        <v>5450690.9519999996</v>
      </c>
      <c r="AA2525" s="86"/>
      <c r="AB2525" s="94"/>
      <c r="AC2525" s="94"/>
      <c r="AD2525" s="94"/>
      <c r="AE2525" s="405" t="s">
        <v>133</v>
      </c>
    </row>
    <row r="2526" spans="3:31" s="260" customFormat="1" x14ac:dyDescent="0.25"/>
    <row r="2527" spans="3:31" s="260" customFormat="1" ht="15.75" thickBot="1" x14ac:dyDescent="0.3"/>
    <row r="2528" spans="3:31" s="260" customFormat="1" ht="15.75" thickBot="1" x14ac:dyDescent="0.3">
      <c r="M2528" s="363" t="s">
        <v>88</v>
      </c>
      <c r="N2528" s="436" t="str">
        <f>+N2479</f>
        <v>CAP.3</v>
      </c>
      <c r="O2528" s="550" t="str">
        <f>IFERROR(VLOOKUP(N2528,PPTO!C:H,2,0),"----")</f>
        <v>RED CONTRAINCENDIOS</v>
      </c>
      <c r="P2528" s="551"/>
      <c r="Q2528" s="551"/>
      <c r="R2528" s="551"/>
      <c r="S2528" s="551"/>
      <c r="T2528" s="551"/>
      <c r="U2528" s="552"/>
      <c r="V2528" s="74" t="s">
        <v>91</v>
      </c>
      <c r="Y2528" s="365" t="s">
        <v>104</v>
      </c>
      <c r="Z2528" s="94"/>
      <c r="AA2528" s="188"/>
      <c r="AB2528" s="553"/>
      <c r="AC2528" s="553"/>
      <c r="AD2528" s="553"/>
      <c r="AE2528" s="94"/>
    </row>
    <row r="2529" spans="3:31" s="260" customFormat="1" ht="15.75" thickBot="1" x14ac:dyDescent="0.3">
      <c r="C2529" s="369">
        <f>+N2529</f>
        <v>3.03</v>
      </c>
      <c r="D2529" s="86"/>
      <c r="E2529" s="86"/>
      <c r="F2529" s="86"/>
      <c r="G2529" s="86"/>
      <c r="H2529" s="86"/>
      <c r="I2529" s="86"/>
      <c r="J2529" s="86"/>
      <c r="K2529" s="370"/>
      <c r="M2529" s="75" t="s">
        <v>92</v>
      </c>
      <c r="N2529" s="371">
        <f>+ROUNDUP(N2480+0.01,2)</f>
        <v>3.03</v>
      </c>
      <c r="O2529" s="554" t="str">
        <f>IFERROR(VLOOKUP(N2529,PPTO!C:H,2,0),"----")</f>
        <v>Tuberia Acero Galvanizado Ø3"</v>
      </c>
      <c r="P2529" s="555"/>
      <c r="Q2529" s="555"/>
      <c r="R2529" s="555"/>
      <c r="S2529" s="555"/>
      <c r="T2529" s="555"/>
      <c r="U2529" s="556"/>
      <c r="V2529" s="76" t="str">
        <f>IFERROR(VLOOKUP(N2529,PPTO!C:H,3,0),"----")</f>
        <v>ML</v>
      </c>
      <c r="Y2529" s="373">
        <f>SUMIFS(PPTO!F:F,PPTO!C:C,APUS!N2529)</f>
        <v>411.42</v>
      </c>
      <c r="Z2529" s="94"/>
      <c r="AA2529" s="86"/>
      <c r="AB2529" s="94"/>
      <c r="AC2529" s="94"/>
      <c r="AD2529" s="94"/>
      <c r="AE2529" s="94"/>
    </row>
    <row r="2530" spans="3:31" s="260" customFormat="1" ht="15.75" thickBot="1" x14ac:dyDescent="0.3">
      <c r="C2530" s="84"/>
      <c r="D2530" s="86"/>
      <c r="E2530" s="86"/>
      <c r="F2530" s="86"/>
      <c r="G2530" s="86"/>
      <c r="H2530" s="86"/>
      <c r="I2530" s="86"/>
      <c r="J2530" s="86"/>
      <c r="K2530" s="88"/>
      <c r="M2530" s="557"/>
      <c r="N2530" s="557"/>
      <c r="O2530" s="557"/>
      <c r="P2530" s="557"/>
      <c r="Q2530" s="557"/>
      <c r="R2530" s="557"/>
      <c r="S2530" s="557"/>
      <c r="T2530" s="557"/>
      <c r="U2530" s="557"/>
      <c r="V2530" s="557"/>
      <c r="Y2530" s="374"/>
      <c r="Z2530" s="94"/>
      <c r="AA2530" s="86"/>
      <c r="AB2530" s="94"/>
      <c r="AC2530" s="94"/>
      <c r="AD2530" s="94"/>
      <c r="AE2530" s="94"/>
    </row>
    <row r="2531" spans="3:31" s="260" customFormat="1" ht="15.75" thickBot="1" x14ac:dyDescent="0.3">
      <c r="C2531" s="84"/>
      <c r="D2531" s="375" t="s">
        <v>128</v>
      </c>
      <c r="E2531" s="376" t="s">
        <v>129</v>
      </c>
      <c r="F2531" s="376" t="s">
        <v>130</v>
      </c>
      <c r="G2531" s="376" t="s">
        <v>131</v>
      </c>
      <c r="H2531" s="376" t="s">
        <v>132</v>
      </c>
      <c r="I2531" s="376" t="s">
        <v>133</v>
      </c>
      <c r="J2531" s="377" t="s">
        <v>134</v>
      </c>
      <c r="K2531" s="88"/>
      <c r="M2531" s="558" t="s">
        <v>93</v>
      </c>
      <c r="N2531" s="559"/>
      <c r="O2531" s="559"/>
      <c r="P2531" s="559"/>
      <c r="Q2531" s="559"/>
      <c r="R2531" s="559"/>
      <c r="S2531" s="559"/>
      <c r="T2531" s="559"/>
      <c r="U2531" s="559"/>
      <c r="V2531" s="560"/>
      <c r="Y2531" s="378"/>
      <c r="Z2531" s="121"/>
      <c r="AA2531" s="86"/>
      <c r="AB2531" s="513"/>
      <c r="AC2531" s="514"/>
      <c r="AD2531" s="94"/>
      <c r="AE2531" s="379"/>
    </row>
    <row r="2532" spans="3:31" s="260" customFormat="1" x14ac:dyDescent="0.25">
      <c r="C2532" s="84"/>
      <c r="D2532" s="380"/>
      <c r="E2532" s="381"/>
      <c r="F2532" s="381"/>
      <c r="G2532" s="381"/>
      <c r="H2532" s="381"/>
      <c r="I2532" s="381"/>
      <c r="J2532" s="382"/>
      <c r="K2532" s="88"/>
      <c r="M2532" s="99" t="s">
        <v>94</v>
      </c>
      <c r="N2532" s="561" t="s">
        <v>95</v>
      </c>
      <c r="O2532" s="561"/>
      <c r="P2532" s="561"/>
      <c r="Q2532" s="561"/>
      <c r="R2532" s="95" t="s">
        <v>96</v>
      </c>
      <c r="S2532" s="95" t="s">
        <v>97</v>
      </c>
      <c r="T2532" s="562" t="s">
        <v>8</v>
      </c>
      <c r="U2532" s="562"/>
      <c r="V2532" s="100" t="s">
        <v>98</v>
      </c>
      <c r="Y2532" s="383" t="s">
        <v>104</v>
      </c>
      <c r="Z2532" s="119" t="s">
        <v>9</v>
      </c>
      <c r="AA2532" s="86"/>
      <c r="AB2532" s="384"/>
      <c r="AC2532" s="385"/>
      <c r="AD2532" s="94"/>
      <c r="AE2532" s="386"/>
    </row>
    <row r="2533" spans="3:31" s="260" customFormat="1" x14ac:dyDescent="0.25">
      <c r="C2533" s="84"/>
      <c r="D2533" s="85"/>
      <c r="E2533" s="86"/>
      <c r="F2533" s="86"/>
      <c r="G2533" s="86"/>
      <c r="H2533" s="86"/>
      <c r="I2533" s="86"/>
      <c r="J2533" s="87"/>
      <c r="K2533" s="88"/>
      <c r="M2533" s="102"/>
      <c r="N2533" s="533" t="s">
        <v>99</v>
      </c>
      <c r="O2533" s="533"/>
      <c r="P2533" s="533"/>
      <c r="Q2533" s="533"/>
      <c r="R2533" s="78" t="s">
        <v>100</v>
      </c>
      <c r="S2533" s="387">
        <f>+$AA$10</f>
        <v>0.05</v>
      </c>
      <c r="T2533" s="563">
        <f>V2563</f>
        <v>19458.53</v>
      </c>
      <c r="U2533" s="563"/>
      <c r="V2533" s="389">
        <f>+IFERROR(T2533*S2533,0)</f>
        <v>972.92650000000003</v>
      </c>
      <c r="Y2533" s="390"/>
      <c r="Z2533" s="391">
        <f>Y2529*V2533</f>
        <v>400281.42063000001</v>
      </c>
      <c r="AA2533" s="86"/>
      <c r="AB2533" s="384"/>
      <c r="AC2533" s="385"/>
      <c r="AD2533" s="94"/>
      <c r="AE2533" s="386" t="str">
        <f>+IF(V2533=0,"CERO","NO")</f>
        <v>NO</v>
      </c>
    </row>
    <row r="2534" spans="3:31" s="260" customFormat="1" x14ac:dyDescent="0.25">
      <c r="C2534" s="84"/>
      <c r="D2534" s="85"/>
      <c r="E2534" s="86"/>
      <c r="F2534" s="86"/>
      <c r="G2534" s="86"/>
      <c r="H2534" s="86"/>
      <c r="I2534" s="86"/>
      <c r="J2534" s="87"/>
      <c r="K2534" s="88"/>
      <c r="M2534" s="106"/>
      <c r="N2534" s="533" t="str">
        <f>IFERROR(VLOOKUP(M2534,INSUMOS!$C$8:$K$928,2,0),"-----")</f>
        <v>-----</v>
      </c>
      <c r="O2534" s="533"/>
      <c r="P2534" s="533"/>
      <c r="Q2534" s="533"/>
      <c r="R2534" s="78" t="str">
        <f>IFERROR(VLOOKUP(M2534,INSUMOS!$C$8:$K$928,6,0),"-----")</f>
        <v>-----</v>
      </c>
      <c r="S2534" s="392"/>
      <c r="T2534" s="529" t="str">
        <f>IFERROR(VLOOKUP(M2534,INSUMOS!$C$8:$K$928,7,0),"0")</f>
        <v>0</v>
      </c>
      <c r="U2534" s="529"/>
      <c r="V2534" s="389">
        <f>+IFERROR(T2534*S2534,0)</f>
        <v>0</v>
      </c>
      <c r="Y2534" s="393">
        <f>+IFERROR(Y2529*S2534,0)</f>
        <v>0</v>
      </c>
      <c r="Z2534" s="391">
        <f>Y2529*V2534</f>
        <v>0</v>
      </c>
      <c r="AA2534" s="394"/>
      <c r="AB2534" s="395">
        <f>+Y2534*T2534</f>
        <v>0</v>
      </c>
      <c r="AC2534" s="93">
        <f>+AB2534-Z2534</f>
        <v>0</v>
      </c>
      <c r="AD2534" s="94"/>
      <c r="AE2534" s="386" t="str">
        <f>+IF(V2534=0,"CERO","NO")</f>
        <v>CERO</v>
      </c>
    </row>
    <row r="2535" spans="3:31" s="260" customFormat="1" x14ac:dyDescent="0.25">
      <c r="C2535" s="84"/>
      <c r="D2535" s="85"/>
      <c r="E2535" s="86"/>
      <c r="F2535" s="86"/>
      <c r="G2535" s="86"/>
      <c r="H2535" s="86"/>
      <c r="I2535" s="86"/>
      <c r="J2535" s="87"/>
      <c r="K2535" s="88"/>
      <c r="M2535" s="102">
        <v>0</v>
      </c>
      <c r="N2535" s="533"/>
      <c r="O2535" s="533"/>
      <c r="P2535" s="533"/>
      <c r="Q2535" s="533"/>
      <c r="R2535" s="78"/>
      <c r="S2535" s="396"/>
      <c r="T2535" s="529"/>
      <c r="U2535" s="529"/>
      <c r="V2535" s="397"/>
      <c r="Y2535" s="393">
        <f>+IFERROR(Y2529*S2535,0)</f>
        <v>0</v>
      </c>
      <c r="Z2535" s="391">
        <f>Y2529*V2535</f>
        <v>0</v>
      </c>
      <c r="AA2535" s="394"/>
      <c r="AB2535" s="395">
        <f>+Y2535*T2535</f>
        <v>0</v>
      </c>
      <c r="AC2535" s="93">
        <f>+AB2535-Z2535</f>
        <v>0</v>
      </c>
      <c r="AD2535" s="94"/>
      <c r="AE2535" s="386" t="str">
        <f>+IF(V2535=0,"CERO","NO")</f>
        <v>CERO</v>
      </c>
    </row>
    <row r="2536" spans="3:31" s="260" customFormat="1" x14ac:dyDescent="0.25">
      <c r="C2536" s="84"/>
      <c r="D2536" s="85"/>
      <c r="E2536" s="86"/>
      <c r="F2536" s="86"/>
      <c r="G2536" s="86"/>
      <c r="H2536" s="86"/>
      <c r="I2536" s="86"/>
      <c r="J2536" s="87"/>
      <c r="K2536" s="88"/>
      <c r="M2536" s="102">
        <v>0</v>
      </c>
      <c r="N2536" s="533"/>
      <c r="O2536" s="533"/>
      <c r="P2536" s="533"/>
      <c r="Q2536" s="533"/>
      <c r="R2536" s="78"/>
      <c r="S2536" s="396"/>
      <c r="T2536" s="529"/>
      <c r="U2536" s="529"/>
      <c r="V2536" s="397"/>
      <c r="Y2536" s="393">
        <f>+IFERROR(Y2529*S2536,0)</f>
        <v>0</v>
      </c>
      <c r="Z2536" s="391">
        <f>Y2529*V2536</f>
        <v>0</v>
      </c>
      <c r="AA2536" s="394"/>
      <c r="AB2536" s="395">
        <f>+Y2536*T2536</f>
        <v>0</v>
      </c>
      <c r="AC2536" s="93">
        <f>+AB2536-Z2536</f>
        <v>0</v>
      </c>
      <c r="AD2536" s="94"/>
      <c r="AE2536" s="386" t="str">
        <f>+IF(V2536=0,"CERO","NO")</f>
        <v>CERO</v>
      </c>
    </row>
    <row r="2537" spans="3:31" s="260" customFormat="1" ht="15.75" thickBot="1" x14ac:dyDescent="0.3">
      <c r="C2537" s="84"/>
      <c r="D2537" s="85"/>
      <c r="E2537" s="86"/>
      <c r="F2537" s="86"/>
      <c r="G2537" s="86"/>
      <c r="H2537" s="86"/>
      <c r="I2537" s="86"/>
      <c r="J2537" s="87"/>
      <c r="K2537" s="88"/>
      <c r="M2537" s="102">
        <v>0</v>
      </c>
      <c r="N2537" s="564"/>
      <c r="O2537" s="564"/>
      <c r="P2537" s="564"/>
      <c r="Q2537" s="564"/>
      <c r="R2537" s="96"/>
      <c r="S2537" s="96"/>
      <c r="T2537" s="565"/>
      <c r="U2537" s="565"/>
      <c r="V2537" s="101"/>
      <c r="Y2537" s="393">
        <f>+IFERROR(Y2529*S2537,0)</f>
        <v>0</v>
      </c>
      <c r="Z2537" s="391">
        <f>Y2529*V2537</f>
        <v>0</v>
      </c>
      <c r="AA2537" s="394"/>
      <c r="AB2537" s="395">
        <f>+Y2537*T2537</f>
        <v>0</v>
      </c>
      <c r="AC2537" s="93">
        <f>+AB2537-Z2537</f>
        <v>0</v>
      </c>
      <c r="AD2537" s="94"/>
      <c r="AE2537" s="386" t="str">
        <f>+IF(V2537=0,"CERO","NO")</f>
        <v>CERO</v>
      </c>
    </row>
    <row r="2538" spans="3:31" s="260" customFormat="1" ht="15.75" thickBot="1" x14ac:dyDescent="0.3">
      <c r="C2538" s="84"/>
      <c r="D2538" s="375" t="s">
        <v>128</v>
      </c>
      <c r="E2538" s="376" t="s">
        <v>129</v>
      </c>
      <c r="F2538" s="376" t="s">
        <v>130</v>
      </c>
      <c r="G2538" s="376" t="s">
        <v>131</v>
      </c>
      <c r="H2538" s="376" t="s">
        <v>132</v>
      </c>
      <c r="I2538" s="376" t="s">
        <v>133</v>
      </c>
      <c r="J2538" s="377" t="s">
        <v>134</v>
      </c>
      <c r="K2538" s="88"/>
      <c r="M2538" s="534"/>
      <c r="N2538" s="536" t="s">
        <v>101</v>
      </c>
      <c r="O2538" s="536"/>
      <c r="P2538" s="536"/>
      <c r="Q2538" s="536"/>
      <c r="R2538" s="536"/>
      <c r="S2538" s="536"/>
      <c r="T2538" s="536"/>
      <c r="U2538" s="536"/>
      <c r="V2538" s="389">
        <f>+SUM(V2533:V2537)</f>
        <v>972.92650000000003</v>
      </c>
      <c r="Y2538" s="398" t="s">
        <v>135</v>
      </c>
      <c r="Z2538" s="397">
        <f>+SUM(Z2533:Z2537)</f>
        <v>400281.42063000001</v>
      </c>
      <c r="AA2538" s="86"/>
      <c r="AB2538" s="384"/>
      <c r="AC2538" s="385"/>
      <c r="AD2538" s="94"/>
      <c r="AE2538" s="399"/>
    </row>
    <row r="2539" spans="3:31" s="260" customFormat="1" ht="15.75" thickBot="1" x14ac:dyDescent="0.3">
      <c r="C2539" s="84"/>
      <c r="D2539" s="375">
        <f>C2529</f>
        <v>3.03</v>
      </c>
      <c r="E2539" s="376"/>
      <c r="F2539" s="376"/>
      <c r="G2539" s="376"/>
      <c r="H2539" s="376"/>
      <c r="I2539" s="376"/>
      <c r="J2539" s="377"/>
      <c r="K2539" s="88"/>
      <c r="M2539" s="566"/>
      <c r="N2539" s="567" t="s">
        <v>102</v>
      </c>
      <c r="O2539" s="567"/>
      <c r="P2539" s="567"/>
      <c r="Q2539" s="567"/>
      <c r="R2539" s="567"/>
      <c r="S2539" s="567"/>
      <c r="T2539" s="567"/>
      <c r="U2539" s="567"/>
      <c r="V2539" s="400">
        <f>+ROUND(V2538,$AA$5)</f>
        <v>972.93</v>
      </c>
      <c r="Y2539" s="401" t="s">
        <v>136</v>
      </c>
      <c r="Z2539" s="402">
        <f>+ROUND(Z2538,$AA$5)</f>
        <v>400281.42</v>
      </c>
      <c r="AA2539" s="86"/>
      <c r="AB2539" s="403">
        <f>+V2539*Y2529</f>
        <v>400282.86060000001</v>
      </c>
      <c r="AC2539" s="404">
        <f>+AB2539-Z2539</f>
        <v>1.4406000000308268</v>
      </c>
      <c r="AD2539" s="94"/>
      <c r="AE2539" s="405"/>
    </row>
    <row r="2540" spans="3:31" s="260" customFormat="1" x14ac:dyDescent="0.25">
      <c r="C2540" s="84"/>
      <c r="D2540" s="380"/>
      <c r="E2540" s="381"/>
      <c r="F2540" s="381"/>
      <c r="G2540" s="381"/>
      <c r="H2540" s="381"/>
      <c r="I2540" s="381"/>
      <c r="J2540" s="382"/>
      <c r="K2540" s="88"/>
      <c r="M2540" s="510" t="s">
        <v>103</v>
      </c>
      <c r="N2540" s="511"/>
      <c r="O2540" s="511"/>
      <c r="P2540" s="511"/>
      <c r="Q2540" s="511"/>
      <c r="R2540" s="511"/>
      <c r="S2540" s="511"/>
      <c r="T2540" s="511"/>
      <c r="U2540" s="511"/>
      <c r="V2540" s="512"/>
      <c r="Y2540" s="378"/>
      <c r="Z2540" s="121"/>
      <c r="AA2540" s="86"/>
      <c r="AB2540" s="513"/>
      <c r="AC2540" s="514"/>
      <c r="AD2540" s="94"/>
      <c r="AE2540" s="126"/>
    </row>
    <row r="2541" spans="3:31" s="260" customFormat="1" x14ac:dyDescent="0.25">
      <c r="C2541" s="84"/>
      <c r="D2541" s="85"/>
      <c r="E2541" s="86"/>
      <c r="F2541" s="86"/>
      <c r="G2541" s="86"/>
      <c r="H2541" s="86"/>
      <c r="I2541" s="86"/>
      <c r="J2541" s="87"/>
      <c r="K2541" s="88"/>
      <c r="M2541" s="99" t="s">
        <v>94</v>
      </c>
      <c r="N2541" s="561" t="s">
        <v>95</v>
      </c>
      <c r="O2541" s="561"/>
      <c r="P2541" s="561"/>
      <c r="Q2541" s="561"/>
      <c r="R2541" s="95" t="s">
        <v>96</v>
      </c>
      <c r="S2541" s="95" t="s">
        <v>104</v>
      </c>
      <c r="T2541" s="356" t="s">
        <v>105</v>
      </c>
      <c r="U2541" s="356" t="s">
        <v>8</v>
      </c>
      <c r="V2541" s="100" t="s">
        <v>98</v>
      </c>
      <c r="Y2541" s="383" t="s">
        <v>104</v>
      </c>
      <c r="Z2541" s="119" t="s">
        <v>9</v>
      </c>
      <c r="AA2541" s="86"/>
      <c r="AB2541" s="384"/>
      <c r="AC2541" s="385"/>
      <c r="AD2541" s="94"/>
      <c r="AE2541" s="406"/>
    </row>
    <row r="2542" spans="3:31" s="260" customFormat="1" x14ac:dyDescent="0.25">
      <c r="C2542" s="84"/>
      <c r="D2542" s="85"/>
      <c r="E2542" s="86"/>
      <c r="F2542" s="86"/>
      <c r="G2542" s="86"/>
      <c r="H2542" s="86"/>
      <c r="I2542" s="86"/>
      <c r="J2542" s="87"/>
      <c r="K2542" s="88"/>
      <c r="M2542" s="102">
        <v>930</v>
      </c>
      <c r="N2542" s="533" t="str">
        <f>IFERROR(VLOOKUP(M2542,INSUMOS!$C$8:$K$928,2,0),"-----")</f>
        <v>TUBERIA ACERO AL CARBON SCH10 ROJA RANURADA Ø3"</v>
      </c>
      <c r="O2542" s="533"/>
      <c r="P2542" s="533"/>
      <c r="Q2542" s="533"/>
      <c r="R2542" s="78" t="str">
        <f>IFERROR(VLOOKUP(M2542,INSUMOS!$C$8:$K$928,6,0),"-----")</f>
        <v>ml</v>
      </c>
      <c r="S2542" s="396">
        <v>1</v>
      </c>
      <c r="T2542" s="387">
        <v>0</v>
      </c>
      <c r="U2542" s="388">
        <f>IFERROR(VLOOKUP(M2542,INSUMOS!$C$8:$K$928,7,0),"0")</f>
        <v>211820</v>
      </c>
      <c r="V2542" s="389">
        <f>+IFERROR(U2542*(S2542*(1+T2542)),0)</f>
        <v>211820</v>
      </c>
      <c r="Y2542" s="393">
        <f>+IFERROR(Y2529*(S2542*(1+T2542)),0)</f>
        <v>411.42</v>
      </c>
      <c r="Z2542" s="391">
        <f>Y2529*V2542</f>
        <v>87146984.400000006</v>
      </c>
      <c r="AA2542" s="394"/>
      <c r="AB2542" s="395">
        <f>+Y2542*U2542</f>
        <v>87146984.400000006</v>
      </c>
      <c r="AC2542" s="93">
        <f>+AB2542-Z2542</f>
        <v>0</v>
      </c>
      <c r="AD2542" s="94"/>
      <c r="AE2542" s="406" t="str">
        <f>+IF(V2542=0,"CERO","NO")</f>
        <v>NO</v>
      </c>
    </row>
    <row r="2543" spans="3:31" s="260" customFormat="1" x14ac:dyDescent="0.25">
      <c r="C2543" s="84"/>
      <c r="D2543" s="85"/>
      <c r="E2543" s="86"/>
      <c r="F2543" s="86"/>
      <c r="G2543" s="86"/>
      <c r="H2543" s="86"/>
      <c r="I2543" s="86"/>
      <c r="J2543" s="87"/>
      <c r="K2543" s="88"/>
      <c r="M2543" s="102"/>
      <c r="N2543" s="533" t="str">
        <f>IFERROR(VLOOKUP(M2543,INSUMOS!$C$8:$K$928,2,0),"-----")</f>
        <v>-----</v>
      </c>
      <c r="O2543" s="533"/>
      <c r="P2543" s="533"/>
      <c r="Q2543" s="533"/>
      <c r="R2543" s="78" t="str">
        <f>IFERROR(VLOOKUP(M2543,INSUMOS!$C$8:$K$928,6,0),"-----")</f>
        <v>-----</v>
      </c>
      <c r="S2543" s="392"/>
      <c r="T2543" s="387"/>
      <c r="U2543" s="388" t="str">
        <f>IFERROR(VLOOKUP(M2543,INSUMOS!$C$8:$K$928,7,0),"0")</f>
        <v>0</v>
      </c>
      <c r="V2543" s="389">
        <f>+IFERROR(U2543*(S2543*(1+T2543)),0)</f>
        <v>0</v>
      </c>
      <c r="Y2543" s="393">
        <f>+IFERROR(Y2529*(S2543*(1+T2543)),0)</f>
        <v>0</v>
      </c>
      <c r="Z2543" s="391">
        <f>Y2529*V2543</f>
        <v>0</v>
      </c>
      <c r="AA2543" s="394"/>
      <c r="AB2543" s="395">
        <f>+Y2543*U2543</f>
        <v>0</v>
      </c>
      <c r="AC2543" s="93">
        <f>+AB2543-Z2543</f>
        <v>0</v>
      </c>
      <c r="AD2543" s="94"/>
      <c r="AE2543" s="406" t="str">
        <f>+IF(V2543=0,"CERO","NO")</f>
        <v>CERO</v>
      </c>
    </row>
    <row r="2544" spans="3:31" s="260" customFormat="1" x14ac:dyDescent="0.25">
      <c r="C2544" s="84"/>
      <c r="D2544" s="85"/>
      <c r="E2544" s="86"/>
      <c r="F2544" s="86"/>
      <c r="G2544" s="86"/>
      <c r="H2544" s="86"/>
      <c r="I2544" s="86"/>
      <c r="J2544" s="87"/>
      <c r="K2544" s="88"/>
      <c r="M2544" s="102"/>
      <c r="N2544" s="533" t="str">
        <f>IFERROR(VLOOKUP(M2544,INSUMOS!$C$8:$K$928,2,0),"-----")</f>
        <v>-----</v>
      </c>
      <c r="O2544" s="533"/>
      <c r="P2544" s="533"/>
      <c r="Q2544" s="533"/>
      <c r="R2544" s="78" t="str">
        <f>IFERROR(VLOOKUP(M2544,INSUMOS!$C$8:$K$928,6,0),"-----")</f>
        <v>-----</v>
      </c>
      <c r="S2544" s="396"/>
      <c r="T2544" s="387"/>
      <c r="U2544" s="388" t="str">
        <f>IFERROR(VLOOKUP(M2544,INSUMOS!$C$8:$K$928,7,0),"0")</f>
        <v>0</v>
      </c>
      <c r="V2544" s="389">
        <f>+IFERROR(U2544*(S2544*(1+T2544)),0)</f>
        <v>0</v>
      </c>
      <c r="Y2544" s="393">
        <f>+IFERROR(Y2529*(S2544*(1+T2544)),0)</f>
        <v>0</v>
      </c>
      <c r="Z2544" s="391">
        <f>Y2529*V2544</f>
        <v>0</v>
      </c>
      <c r="AA2544" s="394"/>
      <c r="AB2544" s="395">
        <f>+Y2544*U2544</f>
        <v>0</v>
      </c>
      <c r="AC2544" s="93">
        <f>+AB2544-Z2544</f>
        <v>0</v>
      </c>
      <c r="AD2544" s="94"/>
      <c r="AE2544" s="406" t="str">
        <f>+IF(V2544=0,"CERO","NO")</f>
        <v>CERO</v>
      </c>
    </row>
    <row r="2545" spans="3:31" s="260" customFormat="1" x14ac:dyDescent="0.25">
      <c r="C2545" s="84"/>
      <c r="D2545" s="85"/>
      <c r="E2545" s="86"/>
      <c r="F2545" s="86"/>
      <c r="G2545" s="86"/>
      <c r="H2545" s="86"/>
      <c r="I2545" s="86"/>
      <c r="J2545" s="87"/>
      <c r="K2545" s="88"/>
      <c r="M2545" s="102">
        <v>0</v>
      </c>
      <c r="N2545" s="533" t="str">
        <f>IFERROR(VLOOKUP(M2545,INSUMOS!$C$8:$K$928,2,0),"-----")</f>
        <v>-----</v>
      </c>
      <c r="O2545" s="533"/>
      <c r="P2545" s="533"/>
      <c r="Q2545" s="533"/>
      <c r="R2545" s="78" t="str">
        <f>IFERROR(VLOOKUP(M2545,INSUMOS!$C$8:$K$928,6,0),"-----")</f>
        <v>-----</v>
      </c>
      <c r="S2545" s="396"/>
      <c r="T2545" s="387"/>
      <c r="U2545" s="388" t="str">
        <f>IFERROR(VLOOKUP(M2545,INSUMOS!$C$8:$K$928,7,0),"0")</f>
        <v>0</v>
      </c>
      <c r="V2545" s="389">
        <f>+IFERROR(U2545*(S2545*(1+T2545)),0)</f>
        <v>0</v>
      </c>
      <c r="Y2545" s="393">
        <f>+IFERROR(Y2529*(S2545*(1+T2545)),0)</f>
        <v>0</v>
      </c>
      <c r="Z2545" s="391">
        <f>Y2529*V2545</f>
        <v>0</v>
      </c>
      <c r="AA2545" s="394"/>
      <c r="AB2545" s="395">
        <f>+Y2545*U2545</f>
        <v>0</v>
      </c>
      <c r="AC2545" s="93">
        <f>+AB2545-Z2545</f>
        <v>0</v>
      </c>
      <c r="AD2545" s="94"/>
      <c r="AE2545" s="406" t="str">
        <f>+IF(V2545=0,"CERO","NO")</f>
        <v>CERO</v>
      </c>
    </row>
    <row r="2546" spans="3:31" s="260" customFormat="1" ht="15.75" thickBot="1" x14ac:dyDescent="0.3">
      <c r="C2546" s="84"/>
      <c r="D2546" s="85"/>
      <c r="E2546" s="86"/>
      <c r="F2546" s="86"/>
      <c r="G2546" s="86"/>
      <c r="H2546" s="86"/>
      <c r="I2546" s="86"/>
      <c r="J2546" s="87"/>
      <c r="K2546" s="88"/>
      <c r="M2546" s="102">
        <v>0</v>
      </c>
      <c r="N2546" s="564"/>
      <c r="O2546" s="564"/>
      <c r="P2546" s="564"/>
      <c r="Q2546" s="564"/>
      <c r="R2546" s="96"/>
      <c r="S2546" s="79"/>
      <c r="T2546" s="97"/>
      <c r="U2546" s="358"/>
      <c r="V2546" s="397"/>
      <c r="Y2546" s="393">
        <f>+IFERROR(Y2529*(S2546*(1+T2546)),0)</f>
        <v>0</v>
      </c>
      <c r="Z2546" s="391">
        <f>Y2529*V2546</f>
        <v>0</v>
      </c>
      <c r="AA2546" s="394"/>
      <c r="AB2546" s="395">
        <f>+Y2546*U2546</f>
        <v>0</v>
      </c>
      <c r="AC2546" s="93">
        <f>+AB2546-Z2546</f>
        <v>0</v>
      </c>
      <c r="AD2546" s="94"/>
      <c r="AE2546" s="406" t="str">
        <f>+IF(V2546=0,"CERO","NO")</f>
        <v>CERO</v>
      </c>
    </row>
    <row r="2547" spans="3:31" s="260" customFormat="1" ht="15.75" thickBot="1" x14ac:dyDescent="0.3">
      <c r="C2547" s="84"/>
      <c r="D2547" s="375" t="s">
        <v>128</v>
      </c>
      <c r="E2547" s="376" t="s">
        <v>129</v>
      </c>
      <c r="F2547" s="376" t="s">
        <v>130</v>
      </c>
      <c r="G2547" s="376" t="s">
        <v>131</v>
      </c>
      <c r="H2547" s="376" t="s">
        <v>132</v>
      </c>
      <c r="I2547" s="376" t="s">
        <v>133</v>
      </c>
      <c r="J2547" s="377" t="s">
        <v>134</v>
      </c>
      <c r="K2547" s="88"/>
      <c r="M2547" s="534"/>
      <c r="N2547" s="536" t="s">
        <v>106</v>
      </c>
      <c r="O2547" s="536"/>
      <c r="P2547" s="536"/>
      <c r="Q2547" s="536"/>
      <c r="R2547" s="536"/>
      <c r="S2547" s="536"/>
      <c r="T2547" s="536"/>
      <c r="U2547" s="536"/>
      <c r="V2547" s="389">
        <f>+SUM(V2542:V2546)</f>
        <v>211820</v>
      </c>
      <c r="Y2547" s="398" t="s">
        <v>135</v>
      </c>
      <c r="Z2547" s="397">
        <f>+SUM(Z2542:Z2546)</f>
        <v>87146984.400000006</v>
      </c>
      <c r="AA2547" s="86"/>
      <c r="AB2547" s="384"/>
      <c r="AC2547" s="385"/>
      <c r="AD2547" s="94"/>
      <c r="AE2547" s="399"/>
    </row>
    <row r="2548" spans="3:31" s="260" customFormat="1" ht="15.75" thickBot="1" x14ac:dyDescent="0.3">
      <c r="C2548" s="84"/>
      <c r="D2548" s="375"/>
      <c r="E2548" s="407">
        <f>+D2539</f>
        <v>3.03</v>
      </c>
      <c r="F2548" s="376"/>
      <c r="G2548" s="376"/>
      <c r="H2548" s="376"/>
      <c r="I2548" s="376"/>
      <c r="J2548" s="377"/>
      <c r="K2548" s="88"/>
      <c r="M2548" s="535"/>
      <c r="N2548" s="537" t="s">
        <v>107</v>
      </c>
      <c r="O2548" s="537"/>
      <c r="P2548" s="537"/>
      <c r="Q2548" s="537"/>
      <c r="R2548" s="537"/>
      <c r="S2548" s="537"/>
      <c r="T2548" s="537"/>
      <c r="U2548" s="537"/>
      <c r="V2548" s="408">
        <f>+ROUND(V2547,$AA$5)</f>
        <v>211820</v>
      </c>
      <c r="Y2548" s="401" t="s">
        <v>136</v>
      </c>
      <c r="Z2548" s="402">
        <f>+ROUND(Z2547,$AA$5)</f>
        <v>87146984.400000006</v>
      </c>
      <c r="AA2548" s="86"/>
      <c r="AB2548" s="403">
        <f>+V2548*Y2529</f>
        <v>87146984.400000006</v>
      </c>
      <c r="AC2548" s="404">
        <f>+AB2548-Z2548</f>
        <v>0</v>
      </c>
      <c r="AD2548" s="94"/>
      <c r="AE2548" s="405"/>
    </row>
    <row r="2549" spans="3:31" s="260" customFormat="1" x14ac:dyDescent="0.25">
      <c r="C2549" s="84"/>
      <c r="D2549" s="380"/>
      <c r="E2549" s="381"/>
      <c r="F2549" s="381"/>
      <c r="G2549" s="381"/>
      <c r="H2549" s="381"/>
      <c r="I2549" s="381"/>
      <c r="J2549" s="382"/>
      <c r="K2549" s="88"/>
      <c r="M2549" s="568" t="s">
        <v>108</v>
      </c>
      <c r="N2549" s="569"/>
      <c r="O2549" s="569"/>
      <c r="P2549" s="569"/>
      <c r="Q2549" s="569"/>
      <c r="R2549" s="569"/>
      <c r="S2549" s="569"/>
      <c r="T2549" s="569"/>
      <c r="U2549" s="569"/>
      <c r="V2549" s="570"/>
      <c r="Y2549" s="378"/>
      <c r="Z2549" s="121"/>
      <c r="AA2549" s="86"/>
      <c r="AB2549" s="409"/>
      <c r="AC2549" s="121"/>
      <c r="AD2549" s="94"/>
      <c r="AE2549" s="126"/>
    </row>
    <row r="2550" spans="3:31" s="260" customFormat="1" ht="25.5" x14ac:dyDescent="0.25">
      <c r="C2550" s="84"/>
      <c r="D2550" s="85"/>
      <c r="E2550" s="86"/>
      <c r="F2550" s="86"/>
      <c r="G2550" s="86"/>
      <c r="H2550" s="86"/>
      <c r="I2550" s="86"/>
      <c r="J2550" s="87"/>
      <c r="K2550" s="88"/>
      <c r="M2550" s="99" t="s">
        <v>94</v>
      </c>
      <c r="N2550" s="561" t="s">
        <v>95</v>
      </c>
      <c r="O2550" s="561"/>
      <c r="P2550" s="561"/>
      <c r="Q2550" s="95" t="s">
        <v>109</v>
      </c>
      <c r="R2550" s="95" t="s">
        <v>110</v>
      </c>
      <c r="S2550" s="95" t="s">
        <v>111</v>
      </c>
      <c r="T2550" s="562" t="s">
        <v>112</v>
      </c>
      <c r="U2550" s="562"/>
      <c r="V2550" s="100" t="s">
        <v>98</v>
      </c>
      <c r="Y2550" s="383" t="s">
        <v>104</v>
      </c>
      <c r="Z2550" s="119" t="s">
        <v>9</v>
      </c>
      <c r="AA2550" s="86"/>
      <c r="AB2550" s="384"/>
      <c r="AC2550" s="385"/>
      <c r="AD2550" s="94"/>
      <c r="AE2550" s="410"/>
    </row>
    <row r="2551" spans="3:31" s="260" customFormat="1" x14ac:dyDescent="0.25">
      <c r="C2551" s="84"/>
      <c r="D2551" s="85"/>
      <c r="E2551" s="86"/>
      <c r="F2551" s="86"/>
      <c r="G2551" s="86"/>
      <c r="H2551" s="86"/>
      <c r="I2551" s="86"/>
      <c r="J2551" s="87"/>
      <c r="K2551" s="88"/>
      <c r="M2551" s="102">
        <v>129</v>
      </c>
      <c r="N2551" s="530" t="str">
        <f>IFERROR(VLOOKUP(M2551,INSUMOS!$C$8:$K$928,2,0),"-----")</f>
        <v>transporte materiales en general</v>
      </c>
      <c r="O2551" s="531"/>
      <c r="P2551" s="532"/>
      <c r="Q2551" s="78" t="str">
        <f>IFERROR(VLOOKUP(M2551,INSUMOS!$C$8:$K$928,5,0),"-----")</f>
        <v>Km</v>
      </c>
      <c r="R2551" s="80">
        <v>1</v>
      </c>
      <c r="S2551" s="80">
        <f>IFERROR(VLOOKUP(M2551,INSUMOS!$C$8:$K$928,6,0),"0")</f>
        <v>348</v>
      </c>
      <c r="T2551" s="529">
        <f>IFERROR(VLOOKUP(M2551,INSUMOS!$C$8:$K$928,7,0),"0")</f>
        <v>0.99776362060288992</v>
      </c>
      <c r="U2551" s="529"/>
      <c r="V2551" s="82">
        <f>+T2551*S2551*R2551</f>
        <v>347.2217399698057</v>
      </c>
      <c r="Y2551" s="393">
        <f>+IFERROR((R2551*S2551)*Y2529,0)</f>
        <v>143174.16</v>
      </c>
      <c r="Z2551" s="391">
        <f>Y2529*V2551</f>
        <v>142853.96825837746</v>
      </c>
      <c r="AA2551" s="86"/>
      <c r="AB2551" s="92">
        <f>+Y2551*T2551</f>
        <v>142853.96825837746</v>
      </c>
      <c r="AC2551" s="93">
        <f>+AB2551-Z2551</f>
        <v>0</v>
      </c>
      <c r="AD2551" s="94"/>
      <c r="AE2551" s="406" t="str">
        <f>+IF(V2551=0,"CERO","NO")</f>
        <v>NO</v>
      </c>
    </row>
    <row r="2552" spans="3:31" s="260" customFormat="1" x14ac:dyDescent="0.25">
      <c r="C2552" s="84"/>
      <c r="D2552" s="85"/>
      <c r="E2552" s="86"/>
      <c r="F2552" s="86"/>
      <c r="G2552" s="86"/>
      <c r="H2552" s="86"/>
      <c r="I2552" s="86"/>
      <c r="J2552" s="87"/>
      <c r="K2552" s="88"/>
      <c r="M2552" s="102">
        <v>0</v>
      </c>
      <c r="N2552" s="530" t="str">
        <f>IFERROR(VLOOKUP(M2552,INSUMOS!$C$8:$K$928,2,0),"-----")</f>
        <v>-----</v>
      </c>
      <c r="O2552" s="531"/>
      <c r="P2552" s="532"/>
      <c r="Q2552" s="78" t="str">
        <f>IFERROR(VLOOKUP(M2552,INSUMOS!$C$8:$K$928,5,0),"-----")</f>
        <v>-----</v>
      </c>
      <c r="R2552" s="80"/>
      <c r="S2552" s="80" t="str">
        <f>IFERROR(VLOOKUP(M2552,INSUMOS!$C$8:$K$928,6,0),"0")</f>
        <v>0</v>
      </c>
      <c r="T2552" s="529" t="str">
        <f>IFERROR(VLOOKUP(M2552,INSUMOS!$C$8:$K$928,7,0),"0")</f>
        <v>0</v>
      </c>
      <c r="U2552" s="529"/>
      <c r="V2552" s="82">
        <f>+T2552*S2552*R2552</f>
        <v>0</v>
      </c>
      <c r="Y2552" s="393">
        <f>+IFERROR((R2552*S2552)*Y2529,0)</f>
        <v>0</v>
      </c>
      <c r="Z2552" s="391">
        <f>Y2529*V2552</f>
        <v>0</v>
      </c>
      <c r="AA2552" s="86"/>
      <c r="AB2552" s="92">
        <f>+Y2552*T2552</f>
        <v>0</v>
      </c>
      <c r="AC2552" s="93">
        <f>+AB2552-Z2552</f>
        <v>0</v>
      </c>
      <c r="AD2552" s="94"/>
      <c r="AE2552" s="406" t="str">
        <f>+IF(V2552=0,"CERO","NO")</f>
        <v>CERO</v>
      </c>
    </row>
    <row r="2553" spans="3:31" s="260" customFormat="1" x14ac:dyDescent="0.25">
      <c r="C2553" s="84"/>
      <c r="D2553" s="85"/>
      <c r="E2553" s="86"/>
      <c r="F2553" s="86"/>
      <c r="G2553" s="86"/>
      <c r="H2553" s="86"/>
      <c r="I2553" s="86"/>
      <c r="J2553" s="87"/>
      <c r="K2553" s="88"/>
      <c r="M2553" s="102">
        <v>0</v>
      </c>
      <c r="N2553" s="530" t="str">
        <f>IFERROR(VLOOKUP(M2553,INSUMOS!$C$8:$K$928,2,0),"-----")</f>
        <v>-----</v>
      </c>
      <c r="O2553" s="531"/>
      <c r="P2553" s="532"/>
      <c r="Q2553" s="78" t="str">
        <f>IFERROR(VLOOKUP(M2553,INSUMOS!$C$8:$K$928,5,0),"-----")</f>
        <v>-----</v>
      </c>
      <c r="R2553" s="80"/>
      <c r="S2553" s="80" t="str">
        <f>IFERROR(VLOOKUP(M2553,INSUMOS!$C$8:$K$928,6,0),"0")</f>
        <v>0</v>
      </c>
      <c r="T2553" s="529" t="str">
        <f>IFERROR(VLOOKUP(M2553,INSUMOS!$C$8:$K$928,7,0),"0")</f>
        <v>0</v>
      </c>
      <c r="U2553" s="529"/>
      <c r="V2553" s="82">
        <f>+T2553*S2553*R2553</f>
        <v>0</v>
      </c>
      <c r="Y2553" s="393">
        <f>+IFERROR((R2553*S2553)*Y2529,0)</f>
        <v>0</v>
      </c>
      <c r="Z2553" s="391">
        <f>Y2529*V2553</f>
        <v>0</v>
      </c>
      <c r="AA2553" s="86"/>
      <c r="AB2553" s="92">
        <f>+Y2553*T2553</f>
        <v>0</v>
      </c>
      <c r="AC2553" s="93">
        <f>+AB2553-Z2553</f>
        <v>0</v>
      </c>
      <c r="AD2553" s="94"/>
      <c r="AE2553" s="406" t="str">
        <f>+IF(V2553=0,"CERO","NO")</f>
        <v>CERO</v>
      </c>
    </row>
    <row r="2554" spans="3:31" s="260" customFormat="1" ht="15.75" thickBot="1" x14ac:dyDescent="0.3">
      <c r="C2554" s="84"/>
      <c r="D2554" s="89"/>
      <c r="E2554" s="90"/>
      <c r="F2554" s="90"/>
      <c r="G2554" s="90"/>
      <c r="H2554" s="90"/>
      <c r="I2554" s="90"/>
      <c r="J2554" s="91"/>
      <c r="K2554" s="88"/>
      <c r="M2554" s="102">
        <v>0</v>
      </c>
      <c r="N2554" s="533"/>
      <c r="O2554" s="533"/>
      <c r="P2554" s="533"/>
      <c r="Q2554" s="79"/>
      <c r="R2554" s="78"/>
      <c r="S2554" s="81"/>
      <c r="T2554" s="529"/>
      <c r="U2554" s="529"/>
      <c r="V2554" s="82"/>
      <c r="Y2554" s="393">
        <f>+IFERROR((R2554*S2554)*Y2529,0)</f>
        <v>0</v>
      </c>
      <c r="Z2554" s="391">
        <f>Y2529*V2554</f>
        <v>0</v>
      </c>
      <c r="AA2554" s="86"/>
      <c r="AB2554" s="92">
        <f>+Y2554*T2554</f>
        <v>0</v>
      </c>
      <c r="AC2554" s="93">
        <f>+AB2554-Z2554</f>
        <v>0</v>
      </c>
      <c r="AD2554" s="94"/>
      <c r="AE2554" s="406" t="str">
        <f>+IF(V2554=0,"CERO","NO")</f>
        <v>CERO</v>
      </c>
    </row>
    <row r="2555" spans="3:31" s="260" customFormat="1" ht="15.75" thickBot="1" x14ac:dyDescent="0.3">
      <c r="C2555" s="84"/>
      <c r="D2555" s="375" t="s">
        <v>128</v>
      </c>
      <c r="E2555" s="376" t="s">
        <v>129</v>
      </c>
      <c r="F2555" s="376" t="s">
        <v>130</v>
      </c>
      <c r="G2555" s="376" t="s">
        <v>131</v>
      </c>
      <c r="H2555" s="376" t="s">
        <v>132</v>
      </c>
      <c r="I2555" s="376" t="s">
        <v>133</v>
      </c>
      <c r="J2555" s="377" t="s">
        <v>134</v>
      </c>
      <c r="K2555" s="88"/>
      <c r="M2555" s="534"/>
      <c r="N2555" s="536" t="s">
        <v>113</v>
      </c>
      <c r="O2555" s="536"/>
      <c r="P2555" s="536"/>
      <c r="Q2555" s="536"/>
      <c r="R2555" s="536"/>
      <c r="S2555" s="536"/>
      <c r="T2555" s="536"/>
      <c r="U2555" s="536"/>
      <c r="V2555" s="411">
        <f>+SUM(V2551:V2554)</f>
        <v>347.2217399698057</v>
      </c>
      <c r="Y2555" s="398" t="s">
        <v>135</v>
      </c>
      <c r="Z2555" s="397">
        <f>+SUM(Z2551:Z2554)</f>
        <v>142853.96825837746</v>
      </c>
      <c r="AA2555" s="86"/>
      <c r="AB2555" s="384"/>
      <c r="AC2555" s="385"/>
      <c r="AD2555" s="94"/>
      <c r="AE2555" s="399"/>
    </row>
    <row r="2556" spans="3:31" s="260" customFormat="1" ht="15.75" thickBot="1" x14ac:dyDescent="0.3">
      <c r="C2556" s="84"/>
      <c r="D2556" s="355"/>
      <c r="E2556" s="367"/>
      <c r="F2556" s="412">
        <f>+E2548</f>
        <v>3.03</v>
      </c>
      <c r="G2556" s="367"/>
      <c r="H2556" s="367"/>
      <c r="I2556" s="367"/>
      <c r="J2556" s="368"/>
      <c r="K2556" s="88"/>
      <c r="M2556" s="535"/>
      <c r="N2556" s="537" t="s">
        <v>114</v>
      </c>
      <c r="O2556" s="537"/>
      <c r="P2556" s="537"/>
      <c r="Q2556" s="537"/>
      <c r="R2556" s="537"/>
      <c r="S2556" s="537"/>
      <c r="T2556" s="537"/>
      <c r="U2556" s="537"/>
      <c r="V2556" s="413">
        <f>+ROUND(V2555,$AA$5)</f>
        <v>347.22</v>
      </c>
      <c r="Y2556" s="401" t="s">
        <v>136</v>
      </c>
      <c r="Z2556" s="402">
        <f>+ROUND(Z2555,$AA$5)</f>
        <v>142853.97</v>
      </c>
      <c r="AA2556" s="86"/>
      <c r="AB2556" s="403">
        <f>+V2556*Y2529</f>
        <v>142853.25240000003</v>
      </c>
      <c r="AC2556" s="414"/>
      <c r="AD2556" s="94"/>
      <c r="AE2556" s="405"/>
    </row>
    <row r="2557" spans="3:31" s="260" customFormat="1" ht="15.75" thickBot="1" x14ac:dyDescent="0.3">
      <c r="C2557" s="84"/>
      <c r="D2557" s="415"/>
      <c r="E2557" s="416"/>
      <c r="F2557" s="416"/>
      <c r="G2557" s="416"/>
      <c r="H2557" s="416"/>
      <c r="I2557" s="416"/>
      <c r="J2557" s="417"/>
      <c r="K2557" s="88"/>
      <c r="M2557" s="538" t="s">
        <v>115</v>
      </c>
      <c r="N2557" s="539"/>
      <c r="O2557" s="539"/>
      <c r="P2557" s="539"/>
      <c r="Q2557" s="539"/>
      <c r="R2557" s="539"/>
      <c r="S2557" s="539"/>
      <c r="T2557" s="539"/>
      <c r="U2557" s="539"/>
      <c r="V2557" s="540"/>
      <c r="Y2557" s="378"/>
      <c r="Z2557" s="121"/>
      <c r="AA2557" s="86"/>
      <c r="AB2557" s="409"/>
      <c r="AC2557" s="121"/>
      <c r="AD2557" s="94"/>
      <c r="AE2557" s="126"/>
    </row>
    <row r="2558" spans="3:31" s="260" customFormat="1" ht="15.75" thickBot="1" x14ac:dyDescent="0.3">
      <c r="C2558" s="84"/>
      <c r="D2558" s="375" t="s">
        <v>128</v>
      </c>
      <c r="E2558" s="376" t="s">
        <v>129</v>
      </c>
      <c r="F2558" s="376" t="s">
        <v>130</v>
      </c>
      <c r="G2558" s="376" t="s">
        <v>131</v>
      </c>
      <c r="H2558" s="376" t="s">
        <v>132</v>
      </c>
      <c r="I2558" s="376" t="s">
        <v>133</v>
      </c>
      <c r="J2558" s="377" t="s">
        <v>134</v>
      </c>
      <c r="K2558" s="88"/>
      <c r="M2558" s="99" t="s">
        <v>94</v>
      </c>
      <c r="N2558" s="98" t="s">
        <v>95</v>
      </c>
      <c r="O2558" s="95" t="s">
        <v>96</v>
      </c>
      <c r="P2558" s="359" t="s">
        <v>104</v>
      </c>
      <c r="Q2558" s="95" t="s">
        <v>116</v>
      </c>
      <c r="R2558" s="418" t="s">
        <v>117</v>
      </c>
      <c r="S2558" s="95" t="s">
        <v>347</v>
      </c>
      <c r="T2558" s="419" t="s">
        <v>118</v>
      </c>
      <c r="U2558" s="189" t="s">
        <v>119</v>
      </c>
      <c r="V2558" s="100" t="s">
        <v>98</v>
      </c>
      <c r="Y2558" s="383" t="s">
        <v>104</v>
      </c>
      <c r="Z2558" s="119" t="s">
        <v>9</v>
      </c>
      <c r="AA2558" s="86"/>
      <c r="AB2558" s="384"/>
      <c r="AC2558" s="385"/>
      <c r="AD2558" s="94"/>
      <c r="AE2558" s="410"/>
    </row>
    <row r="2559" spans="3:31" s="260" customFormat="1" ht="25.5" x14ac:dyDescent="0.25">
      <c r="C2559" s="84"/>
      <c r="D2559" s="354"/>
      <c r="E2559" s="96"/>
      <c r="F2559" s="96"/>
      <c r="G2559" s="96"/>
      <c r="H2559" s="96"/>
      <c r="I2559" s="96"/>
      <c r="J2559" s="420">
        <f>+F2556</f>
        <v>3.03</v>
      </c>
      <c r="K2559" s="88"/>
      <c r="M2559" s="102">
        <v>207</v>
      </c>
      <c r="N2559" s="347" t="str">
        <f>IFERROR(VLOOKUP(M2559,INSUMOS!$C$8:$K$928,2,0),"-----")</f>
        <v>Oficial Hidrosanitario</v>
      </c>
      <c r="O2559" s="78" t="str">
        <f>IFERROR(VLOOKUP(M2559,INSUMOS!$C$8:$K$928,3,0),"-----")</f>
        <v>JORNAL+PS</v>
      </c>
      <c r="P2559" s="80">
        <v>1</v>
      </c>
      <c r="Q2559" s="79">
        <v>15</v>
      </c>
      <c r="R2559" s="190">
        <f>IFERROR(VLOOKUP(M2559,INSUMOS!$C$8:$K$928,4,0),"-----")</f>
        <v>92983</v>
      </c>
      <c r="S2559" s="190">
        <f>IFERROR(VLOOKUP(M2559,INSUMOS!$C$8:$K$928,6,0),"-----")</f>
        <v>74386</v>
      </c>
      <c r="T2559" s="190">
        <f>IFERROR(VLOOKUP(M2559,INSUMOS!$C$8:$K$928,5,0),"-----")</f>
        <v>0</v>
      </c>
      <c r="U2559" s="388">
        <f>SUM(R2559:T2559)</f>
        <v>167369</v>
      </c>
      <c r="V2559" s="82">
        <f>+IFERROR((P2559/Q2559)*U2559,0)</f>
        <v>11157.933333333332</v>
      </c>
      <c r="Y2559" s="393">
        <f>+IFERROR((Y2529/Q2559*P2559),0)</f>
        <v>27.428000000000001</v>
      </c>
      <c r="Z2559" s="391">
        <f>Y2529*V2559</f>
        <v>4590596.932</v>
      </c>
      <c r="AA2559" s="86"/>
      <c r="AB2559" s="92">
        <f>+(U2559)*Y2559</f>
        <v>4590596.932</v>
      </c>
      <c r="AC2559" s="93">
        <f>+AB2559-Z2559</f>
        <v>0</v>
      </c>
      <c r="AD2559" s="421"/>
      <c r="AE2559" s="410" t="str">
        <f>+IF(V2559=0,"CERO","NO")</f>
        <v>NO</v>
      </c>
    </row>
    <row r="2560" spans="3:31" s="260" customFormat="1" ht="26.25" thickBot="1" x14ac:dyDescent="0.3">
      <c r="C2560" s="84"/>
      <c r="D2560" s="355"/>
      <c r="E2560" s="367"/>
      <c r="F2560" s="367"/>
      <c r="G2560" s="367"/>
      <c r="H2560" s="367"/>
      <c r="I2560" s="367"/>
      <c r="J2560" s="422">
        <f>+J2559</f>
        <v>3.03</v>
      </c>
      <c r="K2560" s="88"/>
      <c r="M2560" s="102">
        <v>208</v>
      </c>
      <c r="N2560" s="347" t="str">
        <f>IFERROR(VLOOKUP(M2560,INSUMOS!$C$8:$K$928,2,0),"-----")</f>
        <v>Ayudante Hidrosanitario</v>
      </c>
      <c r="O2560" s="78" t="str">
        <f>IFERROR(VLOOKUP(M2560,INSUMOS!$C$8:$K$928,3,0),"-----")</f>
        <v>JORNAL+PS</v>
      </c>
      <c r="P2560" s="80">
        <v>1</v>
      </c>
      <c r="Q2560" s="79">
        <v>15</v>
      </c>
      <c r="R2560" s="190">
        <f>IFERROR(VLOOKUP(M2560,INSUMOS!$C$8:$K$928,4,0),"-----")</f>
        <v>69172</v>
      </c>
      <c r="S2560" s="190">
        <f>IFERROR(VLOOKUP(M2560,INSUMOS!$C$8:$K$928,6,0),"-----")</f>
        <v>55337</v>
      </c>
      <c r="T2560" s="190">
        <f>IFERROR(VLOOKUP(M2560,INSUMOS!$C$8:$K$928,5,0),"-----")</f>
        <v>0</v>
      </c>
      <c r="U2560" s="388">
        <f>SUM(R2560:T2560)</f>
        <v>124509</v>
      </c>
      <c r="V2560" s="82">
        <f>+IFERROR((P2560/Q2560)*U2560,0)</f>
        <v>8300.6</v>
      </c>
      <c r="Y2560" s="393">
        <f>+IFERROR((Y2529/Q2560*P2560),0)</f>
        <v>27.428000000000001</v>
      </c>
      <c r="Z2560" s="391">
        <f>Y2529*V2560</f>
        <v>3415032.8520000004</v>
      </c>
      <c r="AA2560" s="86"/>
      <c r="AB2560" s="92">
        <f>+U2560*Y2560</f>
        <v>3415032.852</v>
      </c>
      <c r="AC2560" s="93">
        <f>+AB2560-Z2560</f>
        <v>0</v>
      </c>
      <c r="AD2560" s="94"/>
      <c r="AE2560" s="410" t="str">
        <f>+IF(V2560=0,"CERO","NO")</f>
        <v>NO</v>
      </c>
    </row>
    <row r="2561" spans="3:31" s="260" customFormat="1" ht="15.75" thickBot="1" x14ac:dyDescent="0.3">
      <c r="C2561" s="84"/>
      <c r="D2561" s="380"/>
      <c r="E2561" s="381"/>
      <c r="F2561" s="381"/>
      <c r="G2561" s="381"/>
      <c r="H2561" s="381"/>
      <c r="I2561" s="381"/>
      <c r="J2561" s="382"/>
      <c r="K2561" s="88"/>
      <c r="M2561" s="102">
        <v>0</v>
      </c>
      <c r="N2561" s="347"/>
      <c r="O2561" s="79"/>
      <c r="P2561" s="423"/>
      <c r="Q2561" s="81"/>
      <c r="R2561" s="111"/>
      <c r="S2561" s="357"/>
      <c r="T2561" s="111"/>
      <c r="U2561" s="388"/>
      <c r="V2561" s="426"/>
      <c r="Y2561" s="393">
        <f>+IFERROR((Y2529/Q2561*P2561),0)</f>
        <v>0</v>
      </c>
      <c r="Z2561" s="391">
        <f>Y2529*V2561</f>
        <v>0</v>
      </c>
      <c r="AA2561" s="86"/>
      <c r="AB2561" s="92">
        <f>+(U2561)*Y2561*P2561</f>
        <v>0</v>
      </c>
      <c r="AC2561" s="93">
        <f>+AB2561-Z2561</f>
        <v>0</v>
      </c>
      <c r="AD2561" s="94"/>
      <c r="AE2561" s="410" t="str">
        <f>+IF(V2561=0,"CERO","NO")</f>
        <v>CERO</v>
      </c>
    </row>
    <row r="2562" spans="3:31" s="260" customFormat="1" ht="15.75" thickBot="1" x14ac:dyDescent="0.3">
      <c r="C2562" s="84"/>
      <c r="D2562" s="375" t="s">
        <v>128</v>
      </c>
      <c r="E2562" s="376" t="s">
        <v>129</v>
      </c>
      <c r="F2562" s="376" t="s">
        <v>130</v>
      </c>
      <c r="G2562" s="376" t="s">
        <v>131</v>
      </c>
      <c r="H2562" s="376" t="s">
        <v>132</v>
      </c>
      <c r="I2562" s="376" t="s">
        <v>133</v>
      </c>
      <c r="J2562" s="377" t="s">
        <v>134</v>
      </c>
      <c r="K2562" s="88"/>
      <c r="M2562" s="534"/>
      <c r="N2562" s="536" t="s">
        <v>120</v>
      </c>
      <c r="O2562" s="536"/>
      <c r="P2562" s="536"/>
      <c r="Q2562" s="536"/>
      <c r="R2562" s="536"/>
      <c r="S2562" s="536"/>
      <c r="T2562" s="536"/>
      <c r="U2562" s="536"/>
      <c r="V2562" s="82">
        <f>+SUM(V2559:V2561)</f>
        <v>19458.533333333333</v>
      </c>
      <c r="Y2562" s="398" t="s">
        <v>135</v>
      </c>
      <c r="Z2562" s="397">
        <f>+SUM(Z2559:Z2561)</f>
        <v>8005629.784</v>
      </c>
      <c r="AA2562" s="86"/>
      <c r="AB2562" s="384"/>
      <c r="AC2562" s="385"/>
      <c r="AD2562" s="94"/>
      <c r="AE2562" s="399"/>
    </row>
    <row r="2563" spans="3:31" s="260" customFormat="1" ht="15.75" thickBot="1" x14ac:dyDescent="0.3">
      <c r="C2563" s="84"/>
      <c r="D2563" s="354"/>
      <c r="E2563" s="96"/>
      <c r="F2563" s="96"/>
      <c r="G2563" s="107">
        <f>+F2556</f>
        <v>3.03</v>
      </c>
      <c r="H2563" s="96"/>
      <c r="I2563" s="96"/>
      <c r="J2563" s="427"/>
      <c r="K2563" s="88"/>
      <c r="M2563" s="535"/>
      <c r="N2563" s="537" t="s">
        <v>121</v>
      </c>
      <c r="O2563" s="537"/>
      <c r="P2563" s="537"/>
      <c r="Q2563" s="537"/>
      <c r="R2563" s="537"/>
      <c r="S2563" s="537"/>
      <c r="T2563" s="537"/>
      <c r="U2563" s="537"/>
      <c r="V2563" s="413">
        <f>+ROUND(V2562,$AA$5)</f>
        <v>19458.53</v>
      </c>
      <c r="Y2563" s="401" t="s">
        <v>136</v>
      </c>
      <c r="Z2563" s="402">
        <f>+ROUND(Z2562,$AA$5)</f>
        <v>8005629.7800000003</v>
      </c>
      <c r="AA2563" s="86"/>
      <c r="AB2563" s="403">
        <f>+V2563*Y2529</f>
        <v>8005628.4125999995</v>
      </c>
      <c r="AC2563" s="404">
        <f>+AB2563-Z2563</f>
        <v>-1.3674000008031726</v>
      </c>
      <c r="AD2563" s="94"/>
      <c r="AE2563" s="405"/>
    </row>
    <row r="2564" spans="3:31" s="260" customFormat="1" ht="15.75" thickBot="1" x14ac:dyDescent="0.3">
      <c r="C2564" s="84"/>
      <c r="D2564" s="375" t="s">
        <v>128</v>
      </c>
      <c r="E2564" s="376" t="s">
        <v>129</v>
      </c>
      <c r="F2564" s="376" t="s">
        <v>130</v>
      </c>
      <c r="G2564" s="376" t="s">
        <v>131</v>
      </c>
      <c r="H2564" s="376" t="s">
        <v>132</v>
      </c>
      <c r="I2564" s="376" t="s">
        <v>133</v>
      </c>
      <c r="J2564" s="377" t="s">
        <v>134</v>
      </c>
      <c r="K2564" s="88"/>
      <c r="M2564" s="541"/>
      <c r="N2564" s="542"/>
      <c r="O2564" s="542"/>
      <c r="P2564" s="542"/>
      <c r="Q2564" s="542"/>
      <c r="R2564" s="542"/>
      <c r="S2564" s="542"/>
      <c r="T2564" s="542"/>
      <c r="U2564" s="542"/>
      <c r="V2564" s="543"/>
      <c r="Y2564" s="378"/>
      <c r="Z2564" s="121"/>
      <c r="AA2564" s="86"/>
      <c r="AB2564" s="409"/>
      <c r="AC2564" s="121"/>
      <c r="AD2564" s="94"/>
      <c r="AE2564" s="428"/>
    </row>
    <row r="2565" spans="3:31" s="260" customFormat="1" ht="15.75" thickBot="1" x14ac:dyDescent="0.3">
      <c r="C2565" s="84"/>
      <c r="D2565" s="355"/>
      <c r="E2565" s="367"/>
      <c r="F2565" s="367"/>
      <c r="G2565" s="367"/>
      <c r="H2565" s="412">
        <f>G2563</f>
        <v>3.03</v>
      </c>
      <c r="I2565" s="412"/>
      <c r="J2565" s="422"/>
      <c r="K2565" s="88"/>
      <c r="M2565" s="544" t="s">
        <v>122</v>
      </c>
      <c r="N2565" s="537"/>
      <c r="O2565" s="537"/>
      <c r="P2565" s="537"/>
      <c r="Q2565" s="537"/>
      <c r="R2565" s="537"/>
      <c r="S2565" s="537"/>
      <c r="T2565" s="537"/>
      <c r="U2565" s="545">
        <f>+V2563+V2556+V2548+V2539</f>
        <v>232598.68</v>
      </c>
      <c r="V2565" s="546"/>
      <c r="Y2565" s="429"/>
      <c r="Z2565" s="430">
        <f>+Z2563+Z2556+Z2548+Z2539</f>
        <v>95695749.570000008</v>
      </c>
      <c r="AA2565" s="86"/>
      <c r="AB2565" s="431">
        <f>+AB2563+AB2556+AB2548+AB2539</f>
        <v>95695748.925599992</v>
      </c>
      <c r="AC2565" s="404">
        <f>+AB2565-Z2565</f>
        <v>-0.64440001547336578</v>
      </c>
      <c r="AD2565" s="94"/>
      <c r="AE2565" s="432"/>
    </row>
    <row r="2566" spans="3:31" s="260" customFormat="1" ht="15.75" thickBot="1" x14ac:dyDescent="0.3"/>
    <row r="2567" spans="3:31" s="260" customFormat="1" x14ac:dyDescent="0.25">
      <c r="M2567" s="547" t="s">
        <v>348</v>
      </c>
      <c r="N2567" s="548"/>
      <c r="O2567" s="548"/>
      <c r="P2567" s="548"/>
      <c r="Q2567" s="548"/>
      <c r="R2567" s="548"/>
      <c r="S2567" s="548"/>
      <c r="T2567" s="548"/>
      <c r="U2567" s="548"/>
      <c r="V2567" s="549"/>
      <c r="Y2567" s="378"/>
      <c r="Z2567" s="121"/>
      <c r="AA2567" s="86"/>
      <c r="AB2567" s="94"/>
      <c r="AC2567" s="94"/>
      <c r="AD2567" s="94"/>
      <c r="AE2567" s="126" t="s">
        <v>133</v>
      </c>
    </row>
    <row r="2568" spans="3:31" s="260" customFormat="1" x14ac:dyDescent="0.25">
      <c r="M2568" s="515" t="s">
        <v>138</v>
      </c>
      <c r="N2568" s="516"/>
      <c r="O2568" s="516"/>
      <c r="P2568" s="516"/>
      <c r="Q2568" s="516"/>
      <c r="R2568" s="516"/>
      <c r="S2568" s="516"/>
      <c r="T2568" s="437">
        <v>0</v>
      </c>
      <c r="U2568" s="517">
        <f>+ROUND(U2565*T2568,$AA$5)</f>
        <v>0</v>
      </c>
      <c r="V2568" s="518"/>
      <c r="Y2568" s="390"/>
      <c r="Z2568" s="438">
        <f>+Z2565*T2568</f>
        <v>0</v>
      </c>
      <c r="AA2568" s="86"/>
      <c r="AB2568" s="94"/>
      <c r="AC2568" s="94"/>
      <c r="AD2568" s="94"/>
      <c r="AE2568" s="386" t="s">
        <v>133</v>
      </c>
    </row>
    <row r="2569" spans="3:31" s="260" customFormat="1" x14ac:dyDescent="0.25">
      <c r="M2569" s="515" t="s">
        <v>19</v>
      </c>
      <c r="N2569" s="516"/>
      <c r="O2569" s="516"/>
      <c r="P2569" s="516"/>
      <c r="Q2569" s="516"/>
      <c r="R2569" s="516"/>
      <c r="S2569" s="516"/>
      <c r="T2569" s="437">
        <v>0.05</v>
      </c>
      <c r="U2569" s="517">
        <f>+ROUND(U2565*T2569,$AA$5)</f>
        <v>11629.93</v>
      </c>
      <c r="V2569" s="518"/>
      <c r="Y2569" s="390"/>
      <c r="Z2569" s="438">
        <f>+Z2565*T2569</f>
        <v>4784787.4785000002</v>
      </c>
      <c r="AA2569" s="86"/>
      <c r="AB2569" s="94"/>
      <c r="AC2569" s="94"/>
      <c r="AD2569" s="94"/>
      <c r="AE2569" s="386" t="s">
        <v>133</v>
      </c>
    </row>
    <row r="2570" spans="3:31" s="260" customFormat="1" x14ac:dyDescent="0.25">
      <c r="M2570" s="515" t="s">
        <v>20</v>
      </c>
      <c r="N2570" s="516"/>
      <c r="O2570" s="516"/>
      <c r="P2570" s="516"/>
      <c r="Q2570" s="516"/>
      <c r="R2570" s="516"/>
      <c r="S2570" s="516"/>
      <c r="T2570" s="437">
        <v>0</v>
      </c>
      <c r="U2570" s="517">
        <f>+ROUND(U2565*T2570,$AA$5)</f>
        <v>0</v>
      </c>
      <c r="V2570" s="518"/>
      <c r="Y2570" s="390"/>
      <c r="Z2570" s="438">
        <f>+Z2565*T2570</f>
        <v>0</v>
      </c>
      <c r="AA2570" s="86"/>
      <c r="AB2570" s="94"/>
      <c r="AC2570" s="94"/>
      <c r="AD2570" s="94"/>
      <c r="AE2570" s="386" t="s">
        <v>133</v>
      </c>
    </row>
    <row r="2571" spans="3:31" s="260" customFormat="1" x14ac:dyDescent="0.25">
      <c r="M2571" s="515" t="s">
        <v>21</v>
      </c>
      <c r="N2571" s="516"/>
      <c r="O2571" s="516"/>
      <c r="P2571" s="516"/>
      <c r="Q2571" s="516"/>
      <c r="R2571" s="516"/>
      <c r="S2571" s="516"/>
      <c r="T2571" s="437">
        <f>$AA$9</f>
        <v>0</v>
      </c>
      <c r="U2571" s="517">
        <f>+ROUND(U2565*T2571,$AA$5)</f>
        <v>0</v>
      </c>
      <c r="V2571" s="518"/>
      <c r="Y2571" s="390"/>
      <c r="Z2571" s="438">
        <f>+Z2570*T2571</f>
        <v>0</v>
      </c>
      <c r="AA2571" s="86"/>
      <c r="AB2571" s="94"/>
      <c r="AC2571" s="94"/>
      <c r="AD2571" s="94"/>
      <c r="AE2571" s="386" t="s">
        <v>133</v>
      </c>
    </row>
    <row r="2572" spans="3:31" s="260" customFormat="1" ht="15.75" thickBot="1" x14ac:dyDescent="0.3">
      <c r="M2572" s="519" t="s">
        <v>349</v>
      </c>
      <c r="N2572" s="520"/>
      <c r="O2572" s="520"/>
      <c r="P2572" s="520"/>
      <c r="Q2572" s="520"/>
      <c r="R2572" s="520"/>
      <c r="S2572" s="520"/>
      <c r="T2572" s="520"/>
      <c r="U2572" s="521">
        <f>+SUM(U2568:V2571)</f>
        <v>11629.93</v>
      </c>
      <c r="V2572" s="522"/>
      <c r="Y2572" s="390"/>
      <c r="Z2572" s="439">
        <f>+SUM(Z2568:Z2571)</f>
        <v>4784787.4785000002</v>
      </c>
      <c r="AA2572" s="86"/>
      <c r="AB2572" s="94"/>
      <c r="AC2572" s="94"/>
      <c r="AD2572" s="94"/>
      <c r="AE2572" s="386" t="s">
        <v>133</v>
      </c>
    </row>
    <row r="2573" spans="3:31" s="260" customFormat="1" ht="15.75" thickBot="1" x14ac:dyDescent="0.3">
      <c r="D2573" s="375" t="s">
        <v>128</v>
      </c>
      <c r="E2573" s="376" t="s">
        <v>129</v>
      </c>
      <c r="F2573" s="376" t="s">
        <v>130</v>
      </c>
      <c r="G2573" s="376" t="s">
        <v>131</v>
      </c>
      <c r="H2573" s="376" t="s">
        <v>132</v>
      </c>
      <c r="I2573" s="376" t="s">
        <v>133</v>
      </c>
      <c r="J2573" s="377" t="s">
        <v>134</v>
      </c>
      <c r="M2573" s="86"/>
      <c r="N2573" s="94"/>
      <c r="O2573" s="94"/>
      <c r="P2573" s="94"/>
      <c r="Q2573" s="86"/>
      <c r="R2573" s="86"/>
      <c r="S2573" s="86"/>
      <c r="T2573" s="440"/>
      <c r="U2573" s="523"/>
      <c r="V2573" s="523"/>
      <c r="Y2573" s="390"/>
      <c r="Z2573" s="385"/>
      <c r="AA2573" s="86"/>
      <c r="AB2573" s="94"/>
      <c r="AC2573" s="94"/>
      <c r="AD2573" s="94"/>
      <c r="AE2573" s="386" t="s">
        <v>133</v>
      </c>
    </row>
    <row r="2574" spans="3:31" s="260" customFormat="1" ht="15.75" thickBot="1" x14ac:dyDescent="0.3">
      <c r="D2574" s="355"/>
      <c r="E2574" s="367"/>
      <c r="F2574" s="367"/>
      <c r="G2574" s="367"/>
      <c r="H2574" s="412"/>
      <c r="I2574" s="412">
        <f>H2565</f>
        <v>3.03</v>
      </c>
      <c r="J2574" s="422"/>
      <c r="M2574" s="524" t="s">
        <v>11</v>
      </c>
      <c r="N2574" s="525"/>
      <c r="O2574" s="525"/>
      <c r="P2574" s="525"/>
      <c r="Q2574" s="525"/>
      <c r="R2574" s="525"/>
      <c r="S2574" s="525"/>
      <c r="T2574" s="526"/>
      <c r="U2574" s="527">
        <f>+U2572+U2565</f>
        <v>244228.61</v>
      </c>
      <c r="V2574" s="528"/>
      <c r="Y2574" s="429"/>
      <c r="Z2574" s="441">
        <f>+Z2572+Z2565</f>
        <v>100480537.0485</v>
      </c>
      <c r="AA2574" s="86"/>
      <c r="AB2574" s="94"/>
      <c r="AC2574" s="94"/>
      <c r="AD2574" s="94"/>
      <c r="AE2574" s="405" t="s">
        <v>133</v>
      </c>
    </row>
    <row r="2575" spans="3:31" s="260" customFormat="1" x14ac:dyDescent="0.25"/>
    <row r="2576" spans="3:31" s="260" customFormat="1" ht="15.75" thickBot="1" x14ac:dyDescent="0.3"/>
    <row r="2577" spans="3:31" s="260" customFormat="1" ht="15.75" thickBot="1" x14ac:dyDescent="0.3">
      <c r="M2577" s="363" t="s">
        <v>88</v>
      </c>
      <c r="N2577" s="436" t="str">
        <f>+N2528</f>
        <v>CAP.3</v>
      </c>
      <c r="O2577" s="550" t="str">
        <f>IFERROR(VLOOKUP(N2577,PPTO!C:H,2,0),"----")</f>
        <v>RED CONTRAINCENDIOS</v>
      </c>
      <c r="P2577" s="551"/>
      <c r="Q2577" s="551"/>
      <c r="R2577" s="551"/>
      <c r="S2577" s="551"/>
      <c r="T2577" s="551"/>
      <c r="U2577" s="552"/>
      <c r="V2577" s="74" t="s">
        <v>91</v>
      </c>
      <c r="Y2577" s="365" t="s">
        <v>104</v>
      </c>
      <c r="Z2577" s="94"/>
      <c r="AA2577" s="188"/>
      <c r="AB2577" s="553"/>
      <c r="AC2577" s="553"/>
      <c r="AD2577" s="553"/>
      <c r="AE2577" s="94"/>
    </row>
    <row r="2578" spans="3:31" s="260" customFormat="1" ht="15.75" thickBot="1" x14ac:dyDescent="0.3">
      <c r="C2578" s="369">
        <f>+N2578</f>
        <v>3.04</v>
      </c>
      <c r="D2578" s="86"/>
      <c r="E2578" s="86"/>
      <c r="F2578" s="86"/>
      <c r="G2578" s="86"/>
      <c r="H2578" s="86"/>
      <c r="I2578" s="86"/>
      <c r="J2578" s="86"/>
      <c r="K2578" s="370"/>
      <c r="M2578" s="75" t="s">
        <v>92</v>
      </c>
      <c r="N2578" s="371">
        <f>+ROUNDUP(N2529+0.01,2)</f>
        <v>3.04</v>
      </c>
      <c r="O2578" s="554" t="str">
        <f>IFERROR(VLOOKUP(N2578,PPTO!C:H,2,0),"----")</f>
        <v>Tuberia Acero Galvanizado Ø1"</v>
      </c>
      <c r="P2578" s="555"/>
      <c r="Q2578" s="555"/>
      <c r="R2578" s="555"/>
      <c r="S2578" s="555"/>
      <c r="T2578" s="555"/>
      <c r="U2578" s="556"/>
      <c r="V2578" s="76" t="str">
        <f>IFERROR(VLOOKUP(N2578,PPTO!C:H,3,0),"----")</f>
        <v>ML</v>
      </c>
      <c r="Y2578" s="373">
        <f>SUMIFS(PPTO!F:F,PPTO!C:C,APUS!N2578)</f>
        <v>344.82</v>
      </c>
      <c r="Z2578" s="94"/>
      <c r="AA2578" s="86"/>
      <c r="AB2578" s="94"/>
      <c r="AC2578" s="94"/>
      <c r="AD2578" s="94"/>
      <c r="AE2578" s="94"/>
    </row>
    <row r="2579" spans="3:31" s="260" customFormat="1" ht="15.75" thickBot="1" x14ac:dyDescent="0.3">
      <c r="C2579" s="84"/>
      <c r="D2579" s="86"/>
      <c r="E2579" s="86"/>
      <c r="F2579" s="86"/>
      <c r="G2579" s="86"/>
      <c r="H2579" s="86"/>
      <c r="I2579" s="86"/>
      <c r="J2579" s="86"/>
      <c r="K2579" s="88"/>
      <c r="M2579" s="557"/>
      <c r="N2579" s="557"/>
      <c r="O2579" s="557"/>
      <c r="P2579" s="557"/>
      <c r="Q2579" s="557"/>
      <c r="R2579" s="557"/>
      <c r="S2579" s="557"/>
      <c r="T2579" s="557"/>
      <c r="U2579" s="557"/>
      <c r="V2579" s="557"/>
      <c r="Y2579" s="374"/>
      <c r="Z2579" s="94"/>
      <c r="AA2579" s="86"/>
      <c r="AB2579" s="94"/>
      <c r="AC2579" s="94"/>
      <c r="AD2579" s="94"/>
      <c r="AE2579" s="94"/>
    </row>
    <row r="2580" spans="3:31" s="260" customFormat="1" ht="15.75" thickBot="1" x14ac:dyDescent="0.3">
      <c r="C2580" s="84"/>
      <c r="D2580" s="375" t="s">
        <v>128</v>
      </c>
      <c r="E2580" s="376" t="s">
        <v>129</v>
      </c>
      <c r="F2580" s="376" t="s">
        <v>130</v>
      </c>
      <c r="G2580" s="376" t="s">
        <v>131</v>
      </c>
      <c r="H2580" s="376" t="s">
        <v>132</v>
      </c>
      <c r="I2580" s="376" t="s">
        <v>133</v>
      </c>
      <c r="J2580" s="377" t="s">
        <v>134</v>
      </c>
      <c r="K2580" s="88"/>
      <c r="M2580" s="558" t="s">
        <v>93</v>
      </c>
      <c r="N2580" s="559"/>
      <c r="O2580" s="559"/>
      <c r="P2580" s="559"/>
      <c r="Q2580" s="559"/>
      <c r="R2580" s="559"/>
      <c r="S2580" s="559"/>
      <c r="T2580" s="559"/>
      <c r="U2580" s="559"/>
      <c r="V2580" s="560"/>
      <c r="Y2580" s="378"/>
      <c r="Z2580" s="121"/>
      <c r="AA2580" s="86"/>
      <c r="AB2580" s="513"/>
      <c r="AC2580" s="514"/>
      <c r="AD2580" s="94"/>
      <c r="AE2580" s="379"/>
    </row>
    <row r="2581" spans="3:31" s="260" customFormat="1" x14ac:dyDescent="0.25">
      <c r="C2581" s="84"/>
      <c r="D2581" s="380"/>
      <c r="E2581" s="381"/>
      <c r="F2581" s="381"/>
      <c r="G2581" s="381"/>
      <c r="H2581" s="381"/>
      <c r="I2581" s="381"/>
      <c r="J2581" s="382"/>
      <c r="K2581" s="88"/>
      <c r="M2581" s="99" t="s">
        <v>94</v>
      </c>
      <c r="N2581" s="561" t="s">
        <v>95</v>
      </c>
      <c r="O2581" s="561"/>
      <c r="P2581" s="561"/>
      <c r="Q2581" s="561"/>
      <c r="R2581" s="95" t="s">
        <v>96</v>
      </c>
      <c r="S2581" s="95" t="s">
        <v>97</v>
      </c>
      <c r="T2581" s="562" t="s">
        <v>8</v>
      </c>
      <c r="U2581" s="562"/>
      <c r="V2581" s="100" t="s">
        <v>98</v>
      </c>
      <c r="Y2581" s="383" t="s">
        <v>104</v>
      </c>
      <c r="Z2581" s="119" t="s">
        <v>9</v>
      </c>
      <c r="AA2581" s="86"/>
      <c r="AB2581" s="384"/>
      <c r="AC2581" s="385"/>
      <c r="AD2581" s="94"/>
      <c r="AE2581" s="386"/>
    </row>
    <row r="2582" spans="3:31" s="260" customFormat="1" x14ac:dyDescent="0.25">
      <c r="C2582" s="84"/>
      <c r="D2582" s="85"/>
      <c r="E2582" s="86"/>
      <c r="F2582" s="86"/>
      <c r="G2582" s="86"/>
      <c r="H2582" s="86"/>
      <c r="I2582" s="86"/>
      <c r="J2582" s="87"/>
      <c r="K2582" s="88"/>
      <c r="M2582" s="102"/>
      <c r="N2582" s="533" t="s">
        <v>99</v>
      </c>
      <c r="O2582" s="533"/>
      <c r="P2582" s="533"/>
      <c r="Q2582" s="533"/>
      <c r="R2582" s="78" t="s">
        <v>100</v>
      </c>
      <c r="S2582" s="387">
        <f>+$AA$10</f>
        <v>0.05</v>
      </c>
      <c r="T2582" s="563">
        <f>V2612</f>
        <v>19458.53</v>
      </c>
      <c r="U2582" s="563"/>
      <c r="V2582" s="389">
        <f>+IFERROR(T2582*S2582,0)</f>
        <v>972.92650000000003</v>
      </c>
      <c r="Y2582" s="390"/>
      <c r="Z2582" s="391">
        <f>Y2578*V2582</f>
        <v>335484.51572999998</v>
      </c>
      <c r="AA2582" s="86"/>
      <c r="AB2582" s="384"/>
      <c r="AC2582" s="385"/>
      <c r="AD2582" s="94"/>
      <c r="AE2582" s="386" t="str">
        <f>+IF(V2582=0,"CERO","NO")</f>
        <v>NO</v>
      </c>
    </row>
    <row r="2583" spans="3:31" s="260" customFormat="1" x14ac:dyDescent="0.25">
      <c r="C2583" s="84"/>
      <c r="D2583" s="85"/>
      <c r="E2583" s="86"/>
      <c r="F2583" s="86"/>
      <c r="G2583" s="86"/>
      <c r="H2583" s="86"/>
      <c r="I2583" s="86"/>
      <c r="J2583" s="87"/>
      <c r="K2583" s="88"/>
      <c r="M2583" s="106"/>
      <c r="N2583" s="533" t="str">
        <f>IFERROR(VLOOKUP(M2583,INSUMOS!$C$8:$K$928,2,0),"-----")</f>
        <v>-----</v>
      </c>
      <c r="O2583" s="533"/>
      <c r="P2583" s="533"/>
      <c r="Q2583" s="533"/>
      <c r="R2583" s="78" t="str">
        <f>IFERROR(VLOOKUP(M2583,INSUMOS!$C$8:$K$928,6,0),"-----")</f>
        <v>-----</v>
      </c>
      <c r="S2583" s="392"/>
      <c r="T2583" s="529" t="str">
        <f>IFERROR(VLOOKUP(M2583,INSUMOS!$C$8:$K$928,7,0),"0")</f>
        <v>0</v>
      </c>
      <c r="U2583" s="529"/>
      <c r="V2583" s="389">
        <f>+IFERROR(T2583*S2583,0)</f>
        <v>0</v>
      </c>
      <c r="Y2583" s="393">
        <f>+IFERROR(Y2578*S2583,0)</f>
        <v>0</v>
      </c>
      <c r="Z2583" s="391">
        <f>Y2578*V2583</f>
        <v>0</v>
      </c>
      <c r="AA2583" s="394"/>
      <c r="AB2583" s="395">
        <f>+Y2583*T2583</f>
        <v>0</v>
      </c>
      <c r="AC2583" s="93">
        <f>+AB2583-Z2583</f>
        <v>0</v>
      </c>
      <c r="AD2583" s="94"/>
      <c r="AE2583" s="386" t="str">
        <f>+IF(V2583=0,"CERO","NO")</f>
        <v>CERO</v>
      </c>
    </row>
    <row r="2584" spans="3:31" s="260" customFormat="1" x14ac:dyDescent="0.25">
      <c r="C2584" s="84"/>
      <c r="D2584" s="85"/>
      <c r="E2584" s="86"/>
      <c r="F2584" s="86"/>
      <c r="G2584" s="86"/>
      <c r="H2584" s="86"/>
      <c r="I2584" s="86"/>
      <c r="J2584" s="87"/>
      <c r="K2584" s="88"/>
      <c r="M2584" s="102">
        <v>0</v>
      </c>
      <c r="N2584" s="533"/>
      <c r="O2584" s="533"/>
      <c r="P2584" s="533"/>
      <c r="Q2584" s="533"/>
      <c r="R2584" s="78"/>
      <c r="S2584" s="396"/>
      <c r="T2584" s="529"/>
      <c r="U2584" s="529"/>
      <c r="V2584" s="397"/>
      <c r="Y2584" s="393">
        <f>+IFERROR(Y2578*S2584,0)</f>
        <v>0</v>
      </c>
      <c r="Z2584" s="391">
        <f>Y2578*V2584</f>
        <v>0</v>
      </c>
      <c r="AA2584" s="394"/>
      <c r="AB2584" s="395">
        <f>+Y2584*T2584</f>
        <v>0</v>
      </c>
      <c r="AC2584" s="93">
        <f>+AB2584-Z2584</f>
        <v>0</v>
      </c>
      <c r="AD2584" s="94"/>
      <c r="AE2584" s="386" t="str">
        <f>+IF(V2584=0,"CERO","NO")</f>
        <v>CERO</v>
      </c>
    </row>
    <row r="2585" spans="3:31" s="260" customFormat="1" x14ac:dyDescent="0.25">
      <c r="C2585" s="84"/>
      <c r="D2585" s="85"/>
      <c r="E2585" s="86"/>
      <c r="F2585" s="86"/>
      <c r="G2585" s="86"/>
      <c r="H2585" s="86"/>
      <c r="I2585" s="86"/>
      <c r="J2585" s="87"/>
      <c r="K2585" s="88"/>
      <c r="M2585" s="102">
        <v>0</v>
      </c>
      <c r="N2585" s="533"/>
      <c r="O2585" s="533"/>
      <c r="P2585" s="533"/>
      <c r="Q2585" s="533"/>
      <c r="R2585" s="78"/>
      <c r="S2585" s="396"/>
      <c r="T2585" s="529"/>
      <c r="U2585" s="529"/>
      <c r="V2585" s="397"/>
      <c r="Y2585" s="393">
        <f>+IFERROR(Y2578*S2585,0)</f>
        <v>0</v>
      </c>
      <c r="Z2585" s="391">
        <f>Y2578*V2585</f>
        <v>0</v>
      </c>
      <c r="AA2585" s="394"/>
      <c r="AB2585" s="395">
        <f>+Y2585*T2585</f>
        <v>0</v>
      </c>
      <c r="AC2585" s="93">
        <f>+AB2585-Z2585</f>
        <v>0</v>
      </c>
      <c r="AD2585" s="94"/>
      <c r="AE2585" s="386" t="str">
        <f>+IF(V2585=0,"CERO","NO")</f>
        <v>CERO</v>
      </c>
    </row>
    <row r="2586" spans="3:31" s="260" customFormat="1" ht="15.75" thickBot="1" x14ac:dyDescent="0.3">
      <c r="C2586" s="84"/>
      <c r="D2586" s="85"/>
      <c r="E2586" s="86"/>
      <c r="F2586" s="86"/>
      <c r="G2586" s="86"/>
      <c r="H2586" s="86"/>
      <c r="I2586" s="86"/>
      <c r="J2586" s="87"/>
      <c r="K2586" s="88"/>
      <c r="M2586" s="102">
        <v>0</v>
      </c>
      <c r="N2586" s="564"/>
      <c r="O2586" s="564"/>
      <c r="P2586" s="564"/>
      <c r="Q2586" s="564"/>
      <c r="R2586" s="96"/>
      <c r="S2586" s="96"/>
      <c r="T2586" s="565"/>
      <c r="U2586" s="565"/>
      <c r="V2586" s="101"/>
      <c r="Y2586" s="393">
        <f>+IFERROR(Y2578*S2586,0)</f>
        <v>0</v>
      </c>
      <c r="Z2586" s="391">
        <f>Y2578*V2586</f>
        <v>0</v>
      </c>
      <c r="AA2586" s="394"/>
      <c r="AB2586" s="395">
        <f>+Y2586*T2586</f>
        <v>0</v>
      </c>
      <c r="AC2586" s="93">
        <f>+AB2586-Z2586</f>
        <v>0</v>
      </c>
      <c r="AD2586" s="94"/>
      <c r="AE2586" s="386" t="str">
        <f>+IF(V2586=0,"CERO","NO")</f>
        <v>CERO</v>
      </c>
    </row>
    <row r="2587" spans="3:31" s="260" customFormat="1" ht="15.75" thickBot="1" x14ac:dyDescent="0.3">
      <c r="C2587" s="84"/>
      <c r="D2587" s="375" t="s">
        <v>128</v>
      </c>
      <c r="E2587" s="376" t="s">
        <v>129</v>
      </c>
      <c r="F2587" s="376" t="s">
        <v>130</v>
      </c>
      <c r="G2587" s="376" t="s">
        <v>131</v>
      </c>
      <c r="H2587" s="376" t="s">
        <v>132</v>
      </c>
      <c r="I2587" s="376" t="s">
        <v>133</v>
      </c>
      <c r="J2587" s="377" t="s">
        <v>134</v>
      </c>
      <c r="K2587" s="88"/>
      <c r="M2587" s="534"/>
      <c r="N2587" s="536" t="s">
        <v>101</v>
      </c>
      <c r="O2587" s="536"/>
      <c r="P2587" s="536"/>
      <c r="Q2587" s="536"/>
      <c r="R2587" s="536"/>
      <c r="S2587" s="536"/>
      <c r="T2587" s="536"/>
      <c r="U2587" s="536"/>
      <c r="V2587" s="389">
        <f>+SUM(V2582:V2586)</f>
        <v>972.92650000000003</v>
      </c>
      <c r="Y2587" s="398" t="s">
        <v>135</v>
      </c>
      <c r="Z2587" s="397">
        <f>+SUM(Z2582:Z2586)</f>
        <v>335484.51572999998</v>
      </c>
      <c r="AA2587" s="86"/>
      <c r="AB2587" s="384"/>
      <c r="AC2587" s="385"/>
      <c r="AD2587" s="94"/>
      <c r="AE2587" s="399"/>
    </row>
    <row r="2588" spans="3:31" s="260" customFormat="1" ht="15.75" thickBot="1" x14ac:dyDescent="0.3">
      <c r="C2588" s="84"/>
      <c r="D2588" s="375">
        <f>C2578</f>
        <v>3.04</v>
      </c>
      <c r="E2588" s="376"/>
      <c r="F2588" s="376"/>
      <c r="G2588" s="376"/>
      <c r="H2588" s="376"/>
      <c r="I2588" s="376"/>
      <c r="J2588" s="377"/>
      <c r="K2588" s="88"/>
      <c r="M2588" s="566"/>
      <c r="N2588" s="567" t="s">
        <v>102</v>
      </c>
      <c r="O2588" s="567"/>
      <c r="P2588" s="567"/>
      <c r="Q2588" s="567"/>
      <c r="R2588" s="567"/>
      <c r="S2588" s="567"/>
      <c r="T2588" s="567"/>
      <c r="U2588" s="567"/>
      <c r="V2588" s="400">
        <f>+ROUND(V2587,$AA$5)</f>
        <v>972.93</v>
      </c>
      <c r="Y2588" s="401" t="s">
        <v>136</v>
      </c>
      <c r="Z2588" s="402">
        <f>+ROUND(Z2587,$AA$5)</f>
        <v>335484.52</v>
      </c>
      <c r="AA2588" s="86"/>
      <c r="AB2588" s="403">
        <f>+V2588*Y2578</f>
        <v>335485.72259999998</v>
      </c>
      <c r="AC2588" s="404">
        <f>+AB2588-Z2588</f>
        <v>1.2025999999605119</v>
      </c>
      <c r="AD2588" s="94"/>
      <c r="AE2588" s="405"/>
    </row>
    <row r="2589" spans="3:31" s="260" customFormat="1" x14ac:dyDescent="0.25">
      <c r="C2589" s="84"/>
      <c r="D2589" s="380"/>
      <c r="E2589" s="381"/>
      <c r="F2589" s="381"/>
      <c r="G2589" s="381"/>
      <c r="H2589" s="381"/>
      <c r="I2589" s="381"/>
      <c r="J2589" s="382"/>
      <c r="K2589" s="88"/>
      <c r="M2589" s="510" t="s">
        <v>103</v>
      </c>
      <c r="N2589" s="511"/>
      <c r="O2589" s="511"/>
      <c r="P2589" s="511"/>
      <c r="Q2589" s="511"/>
      <c r="R2589" s="511"/>
      <c r="S2589" s="511"/>
      <c r="T2589" s="511"/>
      <c r="U2589" s="511"/>
      <c r="V2589" s="512"/>
      <c r="Y2589" s="378"/>
      <c r="Z2589" s="121"/>
      <c r="AA2589" s="86"/>
      <c r="AB2589" s="513"/>
      <c r="AC2589" s="514"/>
      <c r="AD2589" s="94"/>
      <c r="AE2589" s="126"/>
    </row>
    <row r="2590" spans="3:31" s="260" customFormat="1" x14ac:dyDescent="0.25">
      <c r="C2590" s="84"/>
      <c r="D2590" s="85"/>
      <c r="E2590" s="86"/>
      <c r="F2590" s="86"/>
      <c r="G2590" s="86"/>
      <c r="H2590" s="86"/>
      <c r="I2590" s="86"/>
      <c r="J2590" s="87"/>
      <c r="K2590" s="88"/>
      <c r="M2590" s="99" t="s">
        <v>94</v>
      </c>
      <c r="N2590" s="561" t="s">
        <v>95</v>
      </c>
      <c r="O2590" s="561"/>
      <c r="P2590" s="561"/>
      <c r="Q2590" s="561"/>
      <c r="R2590" s="95" t="s">
        <v>96</v>
      </c>
      <c r="S2590" s="95" t="s">
        <v>104</v>
      </c>
      <c r="T2590" s="356" t="s">
        <v>105</v>
      </c>
      <c r="U2590" s="356" t="s">
        <v>8</v>
      </c>
      <c r="V2590" s="100" t="s">
        <v>98</v>
      </c>
      <c r="Y2590" s="383" t="s">
        <v>104</v>
      </c>
      <c r="Z2590" s="119" t="s">
        <v>9</v>
      </c>
      <c r="AA2590" s="86"/>
      <c r="AB2590" s="384"/>
      <c r="AC2590" s="385"/>
      <c r="AD2590" s="94"/>
      <c r="AE2590" s="406"/>
    </row>
    <row r="2591" spans="3:31" s="260" customFormat="1" x14ac:dyDescent="0.25">
      <c r="C2591" s="84"/>
      <c r="D2591" s="85"/>
      <c r="E2591" s="86"/>
      <c r="F2591" s="86"/>
      <c r="G2591" s="86"/>
      <c r="H2591" s="86"/>
      <c r="I2591" s="86"/>
      <c r="J2591" s="87"/>
      <c r="K2591" s="88"/>
      <c r="M2591" s="102">
        <v>933</v>
      </c>
      <c r="N2591" s="533" t="str">
        <f>IFERROR(VLOOKUP(M2591,INSUMOS!$C$8:$K$928,2,0),"-----")</f>
        <v>TUBERIA ACERO AL CARBON SCH40 ROJA RANURADA Ø1"</v>
      </c>
      <c r="O2591" s="533"/>
      <c r="P2591" s="533"/>
      <c r="Q2591" s="533"/>
      <c r="R2591" s="78" t="str">
        <f>IFERROR(VLOOKUP(M2591,INSUMOS!$C$8:$K$928,6,0),"-----")</f>
        <v>ml</v>
      </c>
      <c r="S2591" s="396">
        <v>1</v>
      </c>
      <c r="T2591" s="387">
        <v>0</v>
      </c>
      <c r="U2591" s="388">
        <f>IFERROR(VLOOKUP(M2591,INSUMOS!$C$8:$K$928,7,0),"0")</f>
        <v>48128.5</v>
      </c>
      <c r="V2591" s="389">
        <f>+IFERROR(U2591*(S2591*(1+T2591)),0)</f>
        <v>48128.5</v>
      </c>
      <c r="Y2591" s="393">
        <f>+IFERROR(Y2578*(S2591*(1+T2591)),0)</f>
        <v>344.82</v>
      </c>
      <c r="Z2591" s="391">
        <f>Y2578*V2591</f>
        <v>16595669.369999999</v>
      </c>
      <c r="AA2591" s="394"/>
      <c r="AB2591" s="395">
        <f>+Y2591*U2591</f>
        <v>16595669.369999999</v>
      </c>
      <c r="AC2591" s="93">
        <f>+AB2591-Z2591</f>
        <v>0</v>
      </c>
      <c r="AD2591" s="94"/>
      <c r="AE2591" s="406" t="str">
        <f>+IF(V2591=0,"CERO","NO")</f>
        <v>NO</v>
      </c>
    </row>
    <row r="2592" spans="3:31" s="260" customFormat="1" x14ac:dyDescent="0.25">
      <c r="C2592" s="84"/>
      <c r="D2592" s="85"/>
      <c r="E2592" s="86"/>
      <c r="F2592" s="86"/>
      <c r="G2592" s="86"/>
      <c r="H2592" s="86"/>
      <c r="I2592" s="86"/>
      <c r="J2592" s="87"/>
      <c r="K2592" s="88"/>
      <c r="M2592" s="102"/>
      <c r="N2592" s="533" t="str">
        <f>IFERROR(VLOOKUP(M2592,INSUMOS!$C$8:$K$928,2,0),"-----")</f>
        <v>-----</v>
      </c>
      <c r="O2592" s="533"/>
      <c r="P2592" s="533"/>
      <c r="Q2592" s="533"/>
      <c r="R2592" s="78" t="str">
        <f>IFERROR(VLOOKUP(M2592,INSUMOS!$C$8:$K$928,6,0),"-----")</f>
        <v>-----</v>
      </c>
      <c r="S2592" s="392"/>
      <c r="T2592" s="387">
        <v>0</v>
      </c>
      <c r="U2592" s="388" t="str">
        <f>IFERROR(VLOOKUP(M2592,INSUMOS!$C$8:$K$928,7,0),"0")</f>
        <v>0</v>
      </c>
      <c r="V2592" s="389">
        <f>+IFERROR(U2592*(S2592*(1+T2592)),0)</f>
        <v>0</v>
      </c>
      <c r="Y2592" s="393">
        <f>+IFERROR(Y2578*(S2592*(1+T2592)),0)</f>
        <v>0</v>
      </c>
      <c r="Z2592" s="391">
        <f>Y2578*V2592</f>
        <v>0</v>
      </c>
      <c r="AA2592" s="394"/>
      <c r="AB2592" s="395">
        <f>+Y2592*U2592</f>
        <v>0</v>
      </c>
      <c r="AC2592" s="93">
        <f>+AB2592-Z2592</f>
        <v>0</v>
      </c>
      <c r="AD2592" s="94"/>
      <c r="AE2592" s="406" t="str">
        <f>+IF(V2592=0,"CERO","NO")</f>
        <v>CERO</v>
      </c>
    </row>
    <row r="2593" spans="3:31" s="260" customFormat="1" x14ac:dyDescent="0.25">
      <c r="C2593" s="84"/>
      <c r="D2593" s="85"/>
      <c r="E2593" s="86"/>
      <c r="F2593" s="86"/>
      <c r="G2593" s="86"/>
      <c r="H2593" s="86"/>
      <c r="I2593" s="86"/>
      <c r="J2593" s="87"/>
      <c r="K2593" s="88"/>
      <c r="M2593" s="102"/>
      <c r="N2593" s="533" t="str">
        <f>IFERROR(VLOOKUP(M2593,INSUMOS!$C$8:$K$928,2,0),"-----")</f>
        <v>-----</v>
      </c>
      <c r="O2593" s="533"/>
      <c r="P2593" s="533"/>
      <c r="Q2593" s="533"/>
      <c r="R2593" s="78" t="str">
        <f>IFERROR(VLOOKUP(M2593,INSUMOS!$C$8:$K$928,6,0),"-----")</f>
        <v>-----</v>
      </c>
      <c r="S2593" s="396"/>
      <c r="T2593" s="387">
        <v>0</v>
      </c>
      <c r="U2593" s="388" t="str">
        <f>IFERROR(VLOOKUP(M2593,INSUMOS!$C$8:$K$928,7,0),"0")</f>
        <v>0</v>
      </c>
      <c r="V2593" s="389">
        <f>+IFERROR(U2593*(S2593*(1+T2593)),0)</f>
        <v>0</v>
      </c>
      <c r="Y2593" s="393">
        <f>+IFERROR(Y2578*(S2593*(1+T2593)),0)</f>
        <v>0</v>
      </c>
      <c r="Z2593" s="391">
        <f>Y2578*V2593</f>
        <v>0</v>
      </c>
      <c r="AA2593" s="394"/>
      <c r="AB2593" s="395">
        <f>+Y2593*U2593</f>
        <v>0</v>
      </c>
      <c r="AC2593" s="93">
        <f>+AB2593-Z2593</f>
        <v>0</v>
      </c>
      <c r="AD2593" s="94"/>
      <c r="AE2593" s="406" t="str">
        <f>+IF(V2593=0,"CERO","NO")</f>
        <v>CERO</v>
      </c>
    </row>
    <row r="2594" spans="3:31" s="260" customFormat="1" x14ac:dyDescent="0.25">
      <c r="C2594" s="84"/>
      <c r="D2594" s="85"/>
      <c r="E2594" s="86"/>
      <c r="F2594" s="86"/>
      <c r="G2594" s="86"/>
      <c r="H2594" s="86"/>
      <c r="I2594" s="86"/>
      <c r="J2594" s="87"/>
      <c r="K2594" s="88"/>
      <c r="M2594" s="102">
        <v>0</v>
      </c>
      <c r="N2594" s="533" t="str">
        <f>IFERROR(VLOOKUP(M2594,INSUMOS!$C$8:$K$928,2,0),"-----")</f>
        <v>-----</v>
      </c>
      <c r="O2594" s="533"/>
      <c r="P2594" s="533"/>
      <c r="Q2594" s="533"/>
      <c r="R2594" s="78" t="str">
        <f>IFERROR(VLOOKUP(M2594,INSUMOS!$C$8:$K$928,6,0),"-----")</f>
        <v>-----</v>
      </c>
      <c r="S2594" s="396"/>
      <c r="T2594" s="387"/>
      <c r="U2594" s="388" t="str">
        <f>IFERROR(VLOOKUP(M2594,INSUMOS!$C$8:$K$928,7,0),"0")</f>
        <v>0</v>
      </c>
      <c r="V2594" s="389">
        <f>+IFERROR(U2594*(S2594*(1+T2594)),0)</f>
        <v>0</v>
      </c>
      <c r="Y2594" s="393">
        <f>+IFERROR(Y2578*(S2594*(1+T2594)),0)</f>
        <v>0</v>
      </c>
      <c r="Z2594" s="391">
        <f>Y2578*V2594</f>
        <v>0</v>
      </c>
      <c r="AA2594" s="394"/>
      <c r="AB2594" s="395">
        <f>+Y2594*U2594</f>
        <v>0</v>
      </c>
      <c r="AC2594" s="93">
        <f>+AB2594-Z2594</f>
        <v>0</v>
      </c>
      <c r="AD2594" s="94"/>
      <c r="AE2594" s="406" t="str">
        <f>+IF(V2594=0,"CERO","NO")</f>
        <v>CERO</v>
      </c>
    </row>
    <row r="2595" spans="3:31" s="260" customFormat="1" ht="15.75" thickBot="1" x14ac:dyDescent="0.3">
      <c r="C2595" s="84"/>
      <c r="D2595" s="85"/>
      <c r="E2595" s="86"/>
      <c r="F2595" s="86"/>
      <c r="G2595" s="86"/>
      <c r="H2595" s="86"/>
      <c r="I2595" s="86"/>
      <c r="J2595" s="87"/>
      <c r="K2595" s="88"/>
      <c r="M2595" s="102">
        <v>0</v>
      </c>
      <c r="N2595" s="564"/>
      <c r="O2595" s="564"/>
      <c r="P2595" s="564"/>
      <c r="Q2595" s="564"/>
      <c r="R2595" s="96"/>
      <c r="S2595" s="79"/>
      <c r="T2595" s="97"/>
      <c r="U2595" s="358"/>
      <c r="V2595" s="397"/>
      <c r="Y2595" s="393">
        <f>+IFERROR(Y2578*(S2595*(1+T2595)),0)</f>
        <v>0</v>
      </c>
      <c r="Z2595" s="391">
        <f>Y2578*V2595</f>
        <v>0</v>
      </c>
      <c r="AA2595" s="394"/>
      <c r="AB2595" s="395">
        <f>+Y2595*U2595</f>
        <v>0</v>
      </c>
      <c r="AC2595" s="93">
        <f>+AB2595-Z2595</f>
        <v>0</v>
      </c>
      <c r="AD2595" s="94"/>
      <c r="AE2595" s="406" t="str">
        <f>+IF(V2595=0,"CERO","NO")</f>
        <v>CERO</v>
      </c>
    </row>
    <row r="2596" spans="3:31" s="260" customFormat="1" ht="15.75" thickBot="1" x14ac:dyDescent="0.3">
      <c r="C2596" s="84"/>
      <c r="D2596" s="375" t="s">
        <v>128</v>
      </c>
      <c r="E2596" s="376" t="s">
        <v>129</v>
      </c>
      <c r="F2596" s="376" t="s">
        <v>130</v>
      </c>
      <c r="G2596" s="376" t="s">
        <v>131</v>
      </c>
      <c r="H2596" s="376" t="s">
        <v>132</v>
      </c>
      <c r="I2596" s="376" t="s">
        <v>133</v>
      </c>
      <c r="J2596" s="377" t="s">
        <v>134</v>
      </c>
      <c r="K2596" s="88"/>
      <c r="M2596" s="534"/>
      <c r="N2596" s="536" t="s">
        <v>106</v>
      </c>
      <c r="O2596" s="536"/>
      <c r="P2596" s="536"/>
      <c r="Q2596" s="536"/>
      <c r="R2596" s="536"/>
      <c r="S2596" s="536"/>
      <c r="T2596" s="536"/>
      <c r="U2596" s="536"/>
      <c r="V2596" s="389">
        <f>+SUM(V2591:V2595)</f>
        <v>48128.5</v>
      </c>
      <c r="Y2596" s="398" t="s">
        <v>135</v>
      </c>
      <c r="Z2596" s="397">
        <f>+SUM(Z2591:Z2595)</f>
        <v>16595669.369999999</v>
      </c>
      <c r="AA2596" s="86"/>
      <c r="AB2596" s="384"/>
      <c r="AC2596" s="385"/>
      <c r="AD2596" s="94"/>
      <c r="AE2596" s="399"/>
    </row>
    <row r="2597" spans="3:31" s="260" customFormat="1" ht="15.75" thickBot="1" x14ac:dyDescent="0.3">
      <c r="C2597" s="84"/>
      <c r="D2597" s="375"/>
      <c r="E2597" s="407">
        <f>+D2588</f>
        <v>3.04</v>
      </c>
      <c r="F2597" s="376"/>
      <c r="G2597" s="376"/>
      <c r="H2597" s="376"/>
      <c r="I2597" s="376"/>
      <c r="J2597" s="377"/>
      <c r="K2597" s="88"/>
      <c r="M2597" s="535"/>
      <c r="N2597" s="537" t="s">
        <v>107</v>
      </c>
      <c r="O2597" s="537"/>
      <c r="P2597" s="537"/>
      <c r="Q2597" s="537"/>
      <c r="R2597" s="537"/>
      <c r="S2597" s="537"/>
      <c r="T2597" s="537"/>
      <c r="U2597" s="537"/>
      <c r="V2597" s="408">
        <f>+ROUND(V2596,$AA$5)</f>
        <v>48128.5</v>
      </c>
      <c r="Y2597" s="401" t="s">
        <v>136</v>
      </c>
      <c r="Z2597" s="402">
        <f>+ROUND(Z2596,$AA$5)</f>
        <v>16595669.369999999</v>
      </c>
      <c r="AA2597" s="86"/>
      <c r="AB2597" s="403">
        <f>+V2597*Y2578</f>
        <v>16595669.369999999</v>
      </c>
      <c r="AC2597" s="404">
        <f>+AB2597-Z2597</f>
        <v>0</v>
      </c>
      <c r="AD2597" s="94"/>
      <c r="AE2597" s="405"/>
    </row>
    <row r="2598" spans="3:31" s="260" customFormat="1" x14ac:dyDescent="0.25">
      <c r="C2598" s="84"/>
      <c r="D2598" s="380"/>
      <c r="E2598" s="381"/>
      <c r="F2598" s="381"/>
      <c r="G2598" s="381"/>
      <c r="H2598" s="381"/>
      <c r="I2598" s="381"/>
      <c r="J2598" s="382"/>
      <c r="K2598" s="88"/>
      <c r="M2598" s="568" t="s">
        <v>108</v>
      </c>
      <c r="N2598" s="569"/>
      <c r="O2598" s="569"/>
      <c r="P2598" s="569"/>
      <c r="Q2598" s="569"/>
      <c r="R2598" s="569"/>
      <c r="S2598" s="569"/>
      <c r="T2598" s="569"/>
      <c r="U2598" s="569"/>
      <c r="V2598" s="570"/>
      <c r="Y2598" s="378"/>
      <c r="Z2598" s="121"/>
      <c r="AA2598" s="86"/>
      <c r="AB2598" s="409"/>
      <c r="AC2598" s="121"/>
      <c r="AD2598" s="94"/>
      <c r="AE2598" s="126"/>
    </row>
    <row r="2599" spans="3:31" s="260" customFormat="1" ht="25.5" x14ac:dyDescent="0.25">
      <c r="C2599" s="84"/>
      <c r="D2599" s="85"/>
      <c r="E2599" s="86"/>
      <c r="F2599" s="86"/>
      <c r="G2599" s="86"/>
      <c r="H2599" s="86"/>
      <c r="I2599" s="86"/>
      <c r="J2599" s="87"/>
      <c r="K2599" s="88"/>
      <c r="M2599" s="99" t="s">
        <v>94</v>
      </c>
      <c r="N2599" s="561" t="s">
        <v>95</v>
      </c>
      <c r="O2599" s="561"/>
      <c r="P2599" s="561"/>
      <c r="Q2599" s="95" t="s">
        <v>109</v>
      </c>
      <c r="R2599" s="95" t="s">
        <v>110</v>
      </c>
      <c r="S2599" s="95" t="s">
        <v>111</v>
      </c>
      <c r="T2599" s="562" t="s">
        <v>112</v>
      </c>
      <c r="U2599" s="562"/>
      <c r="V2599" s="100" t="s">
        <v>98</v>
      </c>
      <c r="Y2599" s="383" t="s">
        <v>104</v>
      </c>
      <c r="Z2599" s="119" t="s">
        <v>9</v>
      </c>
      <c r="AA2599" s="86"/>
      <c r="AB2599" s="384"/>
      <c r="AC2599" s="385"/>
      <c r="AD2599" s="94"/>
      <c r="AE2599" s="410"/>
    </row>
    <row r="2600" spans="3:31" s="260" customFormat="1" x14ac:dyDescent="0.25">
      <c r="C2600" s="84"/>
      <c r="D2600" s="85"/>
      <c r="E2600" s="86"/>
      <c r="F2600" s="86"/>
      <c r="G2600" s="86"/>
      <c r="H2600" s="86"/>
      <c r="I2600" s="86"/>
      <c r="J2600" s="87"/>
      <c r="K2600" s="88"/>
      <c r="M2600" s="102">
        <v>129</v>
      </c>
      <c r="N2600" s="530" t="str">
        <f>IFERROR(VLOOKUP(M2600,INSUMOS!$C$8:$K$928,2,0),"-----")</f>
        <v>transporte materiales en general</v>
      </c>
      <c r="O2600" s="531"/>
      <c r="P2600" s="532"/>
      <c r="Q2600" s="78" t="str">
        <f>IFERROR(VLOOKUP(M2600,INSUMOS!$C$8:$K$928,5,0),"-----")</f>
        <v>Km</v>
      </c>
      <c r="R2600" s="80">
        <v>1</v>
      </c>
      <c r="S2600" s="80">
        <f>IFERROR(VLOOKUP(M2600,INSUMOS!$C$8:$K$928,6,0),"0")</f>
        <v>348</v>
      </c>
      <c r="T2600" s="529">
        <f>IFERROR(VLOOKUP(M2600,INSUMOS!$C$8:$K$928,7,0),"0")</f>
        <v>0.99776362060288992</v>
      </c>
      <c r="U2600" s="529"/>
      <c r="V2600" s="82">
        <f>+T2600*S2600*R2600</f>
        <v>347.2217399698057</v>
      </c>
      <c r="Y2600" s="393">
        <f>+IFERROR((R2600*S2600)*Y2578,0)</f>
        <v>119997.36</v>
      </c>
      <c r="Z2600" s="391">
        <f>Y2578*V2600</f>
        <v>119729.0003763884</v>
      </c>
      <c r="AA2600" s="86"/>
      <c r="AB2600" s="92">
        <f>+Y2600*T2600</f>
        <v>119729.0003763884</v>
      </c>
      <c r="AC2600" s="93">
        <f>+AB2600-Z2600</f>
        <v>0</v>
      </c>
      <c r="AD2600" s="94"/>
      <c r="AE2600" s="406" t="str">
        <f>+IF(V2600=0,"CERO","NO")</f>
        <v>NO</v>
      </c>
    </row>
    <row r="2601" spans="3:31" s="260" customFormat="1" x14ac:dyDescent="0.25">
      <c r="C2601" s="84"/>
      <c r="D2601" s="85"/>
      <c r="E2601" s="86"/>
      <c r="F2601" s="86"/>
      <c r="G2601" s="86"/>
      <c r="H2601" s="86"/>
      <c r="I2601" s="86"/>
      <c r="J2601" s="87"/>
      <c r="K2601" s="88"/>
      <c r="M2601" s="102">
        <v>0</v>
      </c>
      <c r="N2601" s="530" t="str">
        <f>IFERROR(VLOOKUP(M2601,INSUMOS!$C$8:$K$928,2,0),"-----")</f>
        <v>-----</v>
      </c>
      <c r="O2601" s="531"/>
      <c r="P2601" s="532"/>
      <c r="Q2601" s="78" t="str">
        <f>IFERROR(VLOOKUP(M2601,INSUMOS!$C$8:$K$928,5,0),"-----")</f>
        <v>-----</v>
      </c>
      <c r="R2601" s="80"/>
      <c r="S2601" s="80" t="str">
        <f>IFERROR(VLOOKUP(M2601,INSUMOS!$C$8:$K$928,6,0),"0")</f>
        <v>0</v>
      </c>
      <c r="T2601" s="529" t="str">
        <f>IFERROR(VLOOKUP(M2601,INSUMOS!$C$8:$K$928,7,0),"0")</f>
        <v>0</v>
      </c>
      <c r="U2601" s="529"/>
      <c r="V2601" s="82">
        <f>+T2601*S2601*R2601</f>
        <v>0</v>
      </c>
      <c r="Y2601" s="393">
        <f>+IFERROR((R2601*S2601)*Y2578,0)</f>
        <v>0</v>
      </c>
      <c r="Z2601" s="391">
        <f>Y2578*V2601</f>
        <v>0</v>
      </c>
      <c r="AA2601" s="86"/>
      <c r="AB2601" s="92">
        <f>+Y2601*T2601</f>
        <v>0</v>
      </c>
      <c r="AC2601" s="93">
        <f>+AB2601-Z2601</f>
        <v>0</v>
      </c>
      <c r="AD2601" s="94"/>
      <c r="AE2601" s="406" t="str">
        <f>+IF(V2601=0,"CERO","NO")</f>
        <v>CERO</v>
      </c>
    </row>
    <row r="2602" spans="3:31" s="260" customFormat="1" x14ac:dyDescent="0.25">
      <c r="C2602" s="84"/>
      <c r="D2602" s="85"/>
      <c r="E2602" s="86"/>
      <c r="F2602" s="86"/>
      <c r="G2602" s="86"/>
      <c r="H2602" s="86"/>
      <c r="I2602" s="86"/>
      <c r="J2602" s="87"/>
      <c r="K2602" s="88"/>
      <c r="M2602" s="102">
        <v>0</v>
      </c>
      <c r="N2602" s="530" t="str">
        <f>IFERROR(VLOOKUP(M2602,INSUMOS!$C$8:$K$928,2,0),"-----")</f>
        <v>-----</v>
      </c>
      <c r="O2602" s="531"/>
      <c r="P2602" s="532"/>
      <c r="Q2602" s="78" t="str">
        <f>IFERROR(VLOOKUP(M2602,INSUMOS!$C$8:$K$928,5,0),"-----")</f>
        <v>-----</v>
      </c>
      <c r="R2602" s="80"/>
      <c r="S2602" s="80" t="str">
        <f>IFERROR(VLOOKUP(M2602,INSUMOS!$C$8:$K$928,6,0),"0")</f>
        <v>0</v>
      </c>
      <c r="T2602" s="529" t="str">
        <f>IFERROR(VLOOKUP(M2602,INSUMOS!$C$8:$K$928,7,0),"0")</f>
        <v>0</v>
      </c>
      <c r="U2602" s="529"/>
      <c r="V2602" s="82">
        <f>+T2602*S2602*R2602</f>
        <v>0</v>
      </c>
      <c r="Y2602" s="393">
        <f>+IFERROR((R2602*S2602)*Y2578,0)</f>
        <v>0</v>
      </c>
      <c r="Z2602" s="391">
        <f>Y2578*V2602</f>
        <v>0</v>
      </c>
      <c r="AA2602" s="86"/>
      <c r="AB2602" s="92">
        <f>+Y2602*T2602</f>
        <v>0</v>
      </c>
      <c r="AC2602" s="93">
        <f>+AB2602-Z2602</f>
        <v>0</v>
      </c>
      <c r="AD2602" s="94"/>
      <c r="AE2602" s="406" t="str">
        <f>+IF(V2602=0,"CERO","NO")</f>
        <v>CERO</v>
      </c>
    </row>
    <row r="2603" spans="3:31" s="260" customFormat="1" ht="15.75" thickBot="1" x14ac:dyDescent="0.3">
      <c r="C2603" s="84"/>
      <c r="D2603" s="89"/>
      <c r="E2603" s="90"/>
      <c r="F2603" s="90"/>
      <c r="G2603" s="90"/>
      <c r="H2603" s="90"/>
      <c r="I2603" s="90"/>
      <c r="J2603" s="91"/>
      <c r="K2603" s="88"/>
      <c r="M2603" s="102">
        <v>0</v>
      </c>
      <c r="N2603" s="533"/>
      <c r="O2603" s="533"/>
      <c r="P2603" s="533"/>
      <c r="Q2603" s="79"/>
      <c r="R2603" s="78"/>
      <c r="S2603" s="81"/>
      <c r="T2603" s="529"/>
      <c r="U2603" s="529"/>
      <c r="V2603" s="82"/>
      <c r="Y2603" s="393">
        <f>+IFERROR((R2603*S2603)*Y2578,0)</f>
        <v>0</v>
      </c>
      <c r="Z2603" s="391">
        <f>Y2578*V2603</f>
        <v>0</v>
      </c>
      <c r="AA2603" s="86"/>
      <c r="AB2603" s="92">
        <f>+Y2603*T2603</f>
        <v>0</v>
      </c>
      <c r="AC2603" s="93">
        <f>+AB2603-Z2603</f>
        <v>0</v>
      </c>
      <c r="AD2603" s="94"/>
      <c r="AE2603" s="406" t="str">
        <f>+IF(V2603=0,"CERO","NO")</f>
        <v>CERO</v>
      </c>
    </row>
    <row r="2604" spans="3:31" s="260" customFormat="1" ht="15.75" thickBot="1" x14ac:dyDescent="0.3">
      <c r="C2604" s="84"/>
      <c r="D2604" s="375" t="s">
        <v>128</v>
      </c>
      <c r="E2604" s="376" t="s">
        <v>129</v>
      </c>
      <c r="F2604" s="376" t="s">
        <v>130</v>
      </c>
      <c r="G2604" s="376" t="s">
        <v>131</v>
      </c>
      <c r="H2604" s="376" t="s">
        <v>132</v>
      </c>
      <c r="I2604" s="376" t="s">
        <v>133</v>
      </c>
      <c r="J2604" s="377" t="s">
        <v>134</v>
      </c>
      <c r="K2604" s="88"/>
      <c r="M2604" s="534"/>
      <c r="N2604" s="536" t="s">
        <v>113</v>
      </c>
      <c r="O2604" s="536"/>
      <c r="P2604" s="536"/>
      <c r="Q2604" s="536"/>
      <c r="R2604" s="536"/>
      <c r="S2604" s="536"/>
      <c r="T2604" s="536"/>
      <c r="U2604" s="536"/>
      <c r="V2604" s="411">
        <f>+SUM(V2600:V2603)</f>
        <v>347.2217399698057</v>
      </c>
      <c r="Y2604" s="398" t="s">
        <v>135</v>
      </c>
      <c r="Z2604" s="397">
        <f>+SUM(Z2600:Z2603)</f>
        <v>119729.0003763884</v>
      </c>
      <c r="AA2604" s="86"/>
      <c r="AB2604" s="384"/>
      <c r="AC2604" s="385"/>
      <c r="AD2604" s="94"/>
      <c r="AE2604" s="399"/>
    </row>
    <row r="2605" spans="3:31" s="260" customFormat="1" ht="15.75" thickBot="1" x14ac:dyDescent="0.3">
      <c r="C2605" s="84"/>
      <c r="D2605" s="355"/>
      <c r="E2605" s="367"/>
      <c r="F2605" s="412">
        <f>+E2597</f>
        <v>3.04</v>
      </c>
      <c r="G2605" s="367"/>
      <c r="H2605" s="367"/>
      <c r="I2605" s="367"/>
      <c r="J2605" s="368"/>
      <c r="K2605" s="88"/>
      <c r="M2605" s="535"/>
      <c r="N2605" s="537" t="s">
        <v>114</v>
      </c>
      <c r="O2605" s="537"/>
      <c r="P2605" s="537"/>
      <c r="Q2605" s="537"/>
      <c r="R2605" s="537"/>
      <c r="S2605" s="537"/>
      <c r="T2605" s="537"/>
      <c r="U2605" s="537"/>
      <c r="V2605" s="413">
        <f>+ROUND(V2604,$AA$5)</f>
        <v>347.22</v>
      </c>
      <c r="Y2605" s="401" t="s">
        <v>136</v>
      </c>
      <c r="Z2605" s="402">
        <f>+ROUND(Z2604,$AA$5)</f>
        <v>119729</v>
      </c>
      <c r="AA2605" s="86"/>
      <c r="AB2605" s="403">
        <f>+V2605*Y2578</f>
        <v>119728.40040000001</v>
      </c>
      <c r="AC2605" s="414"/>
      <c r="AD2605" s="94"/>
      <c r="AE2605" s="405"/>
    </row>
    <row r="2606" spans="3:31" s="260" customFormat="1" ht="15.75" thickBot="1" x14ac:dyDescent="0.3">
      <c r="C2606" s="84"/>
      <c r="D2606" s="415"/>
      <c r="E2606" s="416"/>
      <c r="F2606" s="416"/>
      <c r="G2606" s="416"/>
      <c r="H2606" s="416"/>
      <c r="I2606" s="416"/>
      <c r="J2606" s="417"/>
      <c r="K2606" s="88"/>
      <c r="M2606" s="538" t="s">
        <v>115</v>
      </c>
      <c r="N2606" s="539"/>
      <c r="O2606" s="539"/>
      <c r="P2606" s="539"/>
      <c r="Q2606" s="539"/>
      <c r="R2606" s="539"/>
      <c r="S2606" s="539"/>
      <c r="T2606" s="539"/>
      <c r="U2606" s="539"/>
      <c r="V2606" s="540"/>
      <c r="Y2606" s="378"/>
      <c r="Z2606" s="121"/>
      <c r="AA2606" s="86"/>
      <c r="AB2606" s="409"/>
      <c r="AC2606" s="121"/>
      <c r="AD2606" s="94"/>
      <c r="AE2606" s="126"/>
    </row>
    <row r="2607" spans="3:31" s="260" customFormat="1" ht="15.75" thickBot="1" x14ac:dyDescent="0.3">
      <c r="C2607" s="84"/>
      <c r="D2607" s="375" t="s">
        <v>128</v>
      </c>
      <c r="E2607" s="376" t="s">
        <v>129</v>
      </c>
      <c r="F2607" s="376" t="s">
        <v>130</v>
      </c>
      <c r="G2607" s="376" t="s">
        <v>131</v>
      </c>
      <c r="H2607" s="376" t="s">
        <v>132</v>
      </c>
      <c r="I2607" s="376" t="s">
        <v>133</v>
      </c>
      <c r="J2607" s="377" t="s">
        <v>134</v>
      </c>
      <c r="K2607" s="88"/>
      <c r="M2607" s="99" t="s">
        <v>94</v>
      </c>
      <c r="N2607" s="98" t="s">
        <v>95</v>
      </c>
      <c r="O2607" s="95" t="s">
        <v>96</v>
      </c>
      <c r="P2607" s="359" t="s">
        <v>104</v>
      </c>
      <c r="Q2607" s="95" t="s">
        <v>116</v>
      </c>
      <c r="R2607" s="418" t="s">
        <v>117</v>
      </c>
      <c r="S2607" s="95" t="s">
        <v>347</v>
      </c>
      <c r="T2607" s="419" t="s">
        <v>118</v>
      </c>
      <c r="U2607" s="189" t="s">
        <v>119</v>
      </c>
      <c r="V2607" s="100" t="s">
        <v>98</v>
      </c>
      <c r="Y2607" s="383" t="s">
        <v>104</v>
      </c>
      <c r="Z2607" s="119" t="s">
        <v>9</v>
      </c>
      <c r="AA2607" s="86"/>
      <c r="AB2607" s="384"/>
      <c r="AC2607" s="385"/>
      <c r="AD2607" s="94"/>
      <c r="AE2607" s="410"/>
    </row>
    <row r="2608" spans="3:31" s="260" customFormat="1" ht="25.5" x14ac:dyDescent="0.25">
      <c r="C2608" s="84"/>
      <c r="D2608" s="354"/>
      <c r="E2608" s="96"/>
      <c r="F2608" s="96"/>
      <c r="G2608" s="96"/>
      <c r="H2608" s="96"/>
      <c r="I2608" s="96"/>
      <c r="J2608" s="420">
        <f>+F2605</f>
        <v>3.04</v>
      </c>
      <c r="K2608" s="88"/>
      <c r="M2608" s="102">
        <v>207</v>
      </c>
      <c r="N2608" s="347" t="str">
        <f>IFERROR(VLOOKUP(M2608,INSUMOS!$C$8:$K$928,2,0),"-----")</f>
        <v>Oficial Hidrosanitario</v>
      </c>
      <c r="O2608" s="78" t="str">
        <f>IFERROR(VLOOKUP(M2608,INSUMOS!$C$8:$K$928,3,0),"-----")</f>
        <v>JORNAL+PS</v>
      </c>
      <c r="P2608" s="80">
        <v>1</v>
      </c>
      <c r="Q2608" s="79">
        <v>15</v>
      </c>
      <c r="R2608" s="190">
        <f>IFERROR(VLOOKUP(M2608,INSUMOS!$C$8:$K$928,4,0),"-----")</f>
        <v>92983</v>
      </c>
      <c r="S2608" s="190">
        <f>IFERROR(VLOOKUP(M2608,INSUMOS!$C$8:$K$928,6,0),"-----")</f>
        <v>74386</v>
      </c>
      <c r="T2608" s="190">
        <f>IFERROR(VLOOKUP(M2608,INSUMOS!$C$8:$K$928,5,0),"-----")</f>
        <v>0</v>
      </c>
      <c r="U2608" s="388">
        <f>SUM(R2608:T2608)</f>
        <v>167369</v>
      </c>
      <c r="V2608" s="82">
        <f>+IFERROR((P2608/Q2608)*U2608,0)</f>
        <v>11157.933333333332</v>
      </c>
      <c r="Y2608" s="393">
        <f>+IFERROR((Y2578/Q2608*P2608),0)</f>
        <v>22.988</v>
      </c>
      <c r="Z2608" s="391">
        <f>Y2578*V2608</f>
        <v>3847478.5719999997</v>
      </c>
      <c r="AA2608" s="86"/>
      <c r="AB2608" s="92">
        <f>+(U2608)*Y2608</f>
        <v>3847478.5719999997</v>
      </c>
      <c r="AC2608" s="93">
        <f>+AB2608-Z2608</f>
        <v>0</v>
      </c>
      <c r="AD2608" s="421"/>
      <c r="AE2608" s="410" t="str">
        <f>+IF(V2608=0,"CERO","NO")</f>
        <v>NO</v>
      </c>
    </row>
    <row r="2609" spans="3:31" s="260" customFormat="1" ht="26.25" thickBot="1" x14ac:dyDescent="0.3">
      <c r="C2609" s="84"/>
      <c r="D2609" s="355"/>
      <c r="E2609" s="367"/>
      <c r="F2609" s="367"/>
      <c r="G2609" s="367"/>
      <c r="H2609" s="367"/>
      <c r="I2609" s="367"/>
      <c r="J2609" s="422">
        <f>+J2608</f>
        <v>3.04</v>
      </c>
      <c r="K2609" s="88"/>
      <c r="M2609" s="102">
        <v>208</v>
      </c>
      <c r="N2609" s="347" t="str">
        <f>IFERROR(VLOOKUP(M2609,INSUMOS!$C$8:$K$928,2,0),"-----")</f>
        <v>Ayudante Hidrosanitario</v>
      </c>
      <c r="O2609" s="78" t="str">
        <f>IFERROR(VLOOKUP(M2609,INSUMOS!$C$8:$K$928,3,0),"-----")</f>
        <v>JORNAL+PS</v>
      </c>
      <c r="P2609" s="80">
        <v>1</v>
      </c>
      <c r="Q2609" s="79">
        <v>15</v>
      </c>
      <c r="R2609" s="190">
        <f>IFERROR(VLOOKUP(M2609,INSUMOS!$C$8:$K$928,4,0),"-----")</f>
        <v>69172</v>
      </c>
      <c r="S2609" s="190">
        <f>IFERROR(VLOOKUP(M2609,INSUMOS!$C$8:$K$928,6,0),"-----")</f>
        <v>55337</v>
      </c>
      <c r="T2609" s="190">
        <f>IFERROR(VLOOKUP(M2609,INSUMOS!$C$8:$K$928,5,0),"-----")</f>
        <v>0</v>
      </c>
      <c r="U2609" s="388">
        <f>SUM(R2609:T2609)</f>
        <v>124509</v>
      </c>
      <c r="V2609" s="82">
        <f>+IFERROR((P2609/Q2609)*U2609,0)</f>
        <v>8300.6</v>
      </c>
      <c r="Y2609" s="393">
        <f>+IFERROR((Y2578/Q2609*P2609),0)</f>
        <v>22.988</v>
      </c>
      <c r="Z2609" s="391">
        <f>Y2578*V2609</f>
        <v>2862212.892</v>
      </c>
      <c r="AA2609" s="86"/>
      <c r="AB2609" s="92">
        <f>+U2609*Y2609</f>
        <v>2862212.892</v>
      </c>
      <c r="AC2609" s="93">
        <f>+AB2609-Z2609</f>
        <v>0</v>
      </c>
      <c r="AD2609" s="94"/>
      <c r="AE2609" s="410" t="str">
        <f>+IF(V2609=0,"CERO","NO")</f>
        <v>NO</v>
      </c>
    </row>
    <row r="2610" spans="3:31" s="260" customFormat="1" ht="15.75" thickBot="1" x14ac:dyDescent="0.3">
      <c r="C2610" s="84"/>
      <c r="D2610" s="380"/>
      <c r="E2610" s="381"/>
      <c r="F2610" s="381"/>
      <c r="G2610" s="381"/>
      <c r="H2610" s="381"/>
      <c r="I2610" s="381"/>
      <c r="J2610" s="382"/>
      <c r="K2610" s="88"/>
      <c r="M2610" s="102">
        <v>0</v>
      </c>
      <c r="N2610" s="347"/>
      <c r="O2610" s="79"/>
      <c r="P2610" s="423"/>
      <c r="Q2610" s="81"/>
      <c r="R2610" s="111"/>
      <c r="S2610" s="357"/>
      <c r="T2610" s="111"/>
      <c r="U2610" s="388"/>
      <c r="V2610" s="426"/>
      <c r="Y2610" s="393">
        <f>+IFERROR((Y2578/Q2610*P2610),0)</f>
        <v>0</v>
      </c>
      <c r="Z2610" s="391">
        <f>Y2578*V2610</f>
        <v>0</v>
      </c>
      <c r="AA2610" s="86"/>
      <c r="AB2610" s="92">
        <f>+(U2610)*Y2610*P2610</f>
        <v>0</v>
      </c>
      <c r="AC2610" s="93">
        <f>+AB2610-Z2610</f>
        <v>0</v>
      </c>
      <c r="AD2610" s="94"/>
      <c r="AE2610" s="410" t="str">
        <f>+IF(V2610=0,"CERO","NO")</f>
        <v>CERO</v>
      </c>
    </row>
    <row r="2611" spans="3:31" s="260" customFormat="1" ht="15.75" thickBot="1" x14ac:dyDescent="0.3">
      <c r="C2611" s="84"/>
      <c r="D2611" s="375" t="s">
        <v>128</v>
      </c>
      <c r="E2611" s="376" t="s">
        <v>129</v>
      </c>
      <c r="F2611" s="376" t="s">
        <v>130</v>
      </c>
      <c r="G2611" s="376" t="s">
        <v>131</v>
      </c>
      <c r="H2611" s="376" t="s">
        <v>132</v>
      </c>
      <c r="I2611" s="376" t="s">
        <v>133</v>
      </c>
      <c r="J2611" s="377" t="s">
        <v>134</v>
      </c>
      <c r="K2611" s="88"/>
      <c r="M2611" s="534"/>
      <c r="N2611" s="536" t="s">
        <v>120</v>
      </c>
      <c r="O2611" s="536"/>
      <c r="P2611" s="536"/>
      <c r="Q2611" s="536"/>
      <c r="R2611" s="536"/>
      <c r="S2611" s="536"/>
      <c r="T2611" s="536"/>
      <c r="U2611" s="536"/>
      <c r="V2611" s="82">
        <f>+SUM(V2608:V2610)</f>
        <v>19458.533333333333</v>
      </c>
      <c r="Y2611" s="398" t="s">
        <v>135</v>
      </c>
      <c r="Z2611" s="397">
        <f>+SUM(Z2608:Z2610)</f>
        <v>6709691.4639999997</v>
      </c>
      <c r="AA2611" s="86"/>
      <c r="AB2611" s="384"/>
      <c r="AC2611" s="385"/>
      <c r="AD2611" s="94"/>
      <c r="AE2611" s="399"/>
    </row>
    <row r="2612" spans="3:31" s="260" customFormat="1" ht="15.75" thickBot="1" x14ac:dyDescent="0.3">
      <c r="C2612" s="84"/>
      <c r="D2612" s="354"/>
      <c r="E2612" s="96"/>
      <c r="F2612" s="96"/>
      <c r="G2612" s="107">
        <f>+F2605</f>
        <v>3.04</v>
      </c>
      <c r="H2612" s="96"/>
      <c r="I2612" s="96"/>
      <c r="J2612" s="427"/>
      <c r="K2612" s="88"/>
      <c r="M2612" s="535"/>
      <c r="N2612" s="537" t="s">
        <v>121</v>
      </c>
      <c r="O2612" s="537"/>
      <c r="P2612" s="537"/>
      <c r="Q2612" s="537"/>
      <c r="R2612" s="537"/>
      <c r="S2612" s="537"/>
      <c r="T2612" s="537"/>
      <c r="U2612" s="537"/>
      <c r="V2612" s="413">
        <f>+ROUND(V2611,$AA$5)</f>
        <v>19458.53</v>
      </c>
      <c r="Y2612" s="401" t="s">
        <v>136</v>
      </c>
      <c r="Z2612" s="402">
        <f>+ROUND(Z2611,$AA$5)</f>
        <v>6709691.46</v>
      </c>
      <c r="AA2612" s="86"/>
      <c r="AB2612" s="403">
        <f>+V2612*Y2578</f>
        <v>6709690.3145999992</v>
      </c>
      <c r="AC2612" s="404">
        <f>+AB2612-Z2612</f>
        <v>-1.1454000007361174</v>
      </c>
      <c r="AD2612" s="94"/>
      <c r="AE2612" s="405"/>
    </row>
    <row r="2613" spans="3:31" s="260" customFormat="1" ht="15.75" thickBot="1" x14ac:dyDescent="0.3">
      <c r="C2613" s="84"/>
      <c r="D2613" s="375" t="s">
        <v>128</v>
      </c>
      <c r="E2613" s="376" t="s">
        <v>129</v>
      </c>
      <c r="F2613" s="376" t="s">
        <v>130</v>
      </c>
      <c r="G2613" s="376" t="s">
        <v>131</v>
      </c>
      <c r="H2613" s="376" t="s">
        <v>132</v>
      </c>
      <c r="I2613" s="376" t="s">
        <v>133</v>
      </c>
      <c r="J2613" s="377" t="s">
        <v>134</v>
      </c>
      <c r="K2613" s="88"/>
      <c r="M2613" s="541"/>
      <c r="N2613" s="542"/>
      <c r="O2613" s="542"/>
      <c r="P2613" s="542"/>
      <c r="Q2613" s="542"/>
      <c r="R2613" s="542"/>
      <c r="S2613" s="542"/>
      <c r="T2613" s="542"/>
      <c r="U2613" s="542"/>
      <c r="V2613" s="543"/>
      <c r="Y2613" s="378"/>
      <c r="Z2613" s="121"/>
      <c r="AA2613" s="86"/>
      <c r="AB2613" s="409"/>
      <c r="AC2613" s="121"/>
      <c r="AD2613" s="94"/>
      <c r="AE2613" s="428"/>
    </row>
    <row r="2614" spans="3:31" s="260" customFormat="1" ht="15.75" thickBot="1" x14ac:dyDescent="0.3">
      <c r="C2614" s="84"/>
      <c r="D2614" s="355"/>
      <c r="E2614" s="367"/>
      <c r="F2614" s="367"/>
      <c r="G2614" s="367"/>
      <c r="H2614" s="412">
        <f>G2612</f>
        <v>3.04</v>
      </c>
      <c r="I2614" s="412"/>
      <c r="J2614" s="422"/>
      <c r="K2614" s="88"/>
      <c r="M2614" s="544" t="s">
        <v>122</v>
      </c>
      <c r="N2614" s="537"/>
      <c r="O2614" s="537"/>
      <c r="P2614" s="537"/>
      <c r="Q2614" s="537"/>
      <c r="R2614" s="537"/>
      <c r="S2614" s="537"/>
      <c r="T2614" s="537"/>
      <c r="U2614" s="545">
        <f>+V2612+V2605+V2597+V2588</f>
        <v>68907.179999999993</v>
      </c>
      <c r="V2614" s="546"/>
      <c r="Y2614" s="429"/>
      <c r="Z2614" s="430">
        <f>+Z2612+Z2605+Z2597+Z2588</f>
        <v>23760574.349999998</v>
      </c>
      <c r="AA2614" s="86"/>
      <c r="AB2614" s="431">
        <f>+AB2612+AB2605+AB2597+AB2588</f>
        <v>23760573.807599999</v>
      </c>
      <c r="AC2614" s="404">
        <f>+AB2614-Z2614</f>
        <v>-0.54239999875426292</v>
      </c>
      <c r="AD2614" s="94"/>
      <c r="AE2614" s="432"/>
    </row>
    <row r="2615" spans="3:31" s="260" customFormat="1" ht="15.75" thickBot="1" x14ac:dyDescent="0.3"/>
    <row r="2616" spans="3:31" s="260" customFormat="1" x14ac:dyDescent="0.25">
      <c r="M2616" s="547" t="s">
        <v>348</v>
      </c>
      <c r="N2616" s="548"/>
      <c r="O2616" s="548"/>
      <c r="P2616" s="548"/>
      <c r="Q2616" s="548"/>
      <c r="R2616" s="548"/>
      <c r="S2616" s="548"/>
      <c r="T2616" s="548"/>
      <c r="U2616" s="548"/>
      <c r="V2616" s="549"/>
      <c r="Y2616" s="378"/>
      <c r="Z2616" s="121"/>
      <c r="AA2616" s="86"/>
      <c r="AB2616" s="94"/>
      <c r="AC2616" s="94"/>
      <c r="AD2616" s="94"/>
      <c r="AE2616" s="126" t="s">
        <v>133</v>
      </c>
    </row>
    <row r="2617" spans="3:31" s="260" customFormat="1" x14ac:dyDescent="0.25">
      <c r="M2617" s="515" t="s">
        <v>138</v>
      </c>
      <c r="N2617" s="516"/>
      <c r="O2617" s="516"/>
      <c r="P2617" s="516"/>
      <c r="Q2617" s="516"/>
      <c r="R2617" s="516"/>
      <c r="S2617" s="516"/>
      <c r="T2617" s="437">
        <v>0</v>
      </c>
      <c r="U2617" s="517">
        <f>+ROUND(U2614*T2617,$AA$5)</f>
        <v>0</v>
      </c>
      <c r="V2617" s="518"/>
      <c r="Y2617" s="390"/>
      <c r="Z2617" s="438">
        <f>+Z2614*T2617</f>
        <v>0</v>
      </c>
      <c r="AA2617" s="86"/>
      <c r="AB2617" s="94"/>
      <c r="AC2617" s="94"/>
      <c r="AD2617" s="94"/>
      <c r="AE2617" s="386" t="s">
        <v>133</v>
      </c>
    </row>
    <row r="2618" spans="3:31" s="260" customFormat="1" x14ac:dyDescent="0.25">
      <c r="M2618" s="515" t="s">
        <v>19</v>
      </c>
      <c r="N2618" s="516"/>
      <c r="O2618" s="516"/>
      <c r="P2618" s="516"/>
      <c r="Q2618" s="516"/>
      <c r="R2618" s="516"/>
      <c r="S2618" s="516"/>
      <c r="T2618" s="437">
        <v>0.05</v>
      </c>
      <c r="U2618" s="517">
        <f>+ROUND(U2614*T2618,$AA$5)</f>
        <v>3445.36</v>
      </c>
      <c r="V2618" s="518"/>
      <c r="Y2618" s="390"/>
      <c r="Z2618" s="438">
        <f>+Z2614*T2618</f>
        <v>1188028.7175</v>
      </c>
      <c r="AA2618" s="86"/>
      <c r="AB2618" s="94"/>
      <c r="AC2618" s="94"/>
      <c r="AD2618" s="94"/>
      <c r="AE2618" s="386" t="s">
        <v>133</v>
      </c>
    </row>
    <row r="2619" spans="3:31" s="260" customFormat="1" x14ac:dyDescent="0.25">
      <c r="M2619" s="515" t="s">
        <v>20</v>
      </c>
      <c r="N2619" s="516"/>
      <c r="O2619" s="516"/>
      <c r="P2619" s="516"/>
      <c r="Q2619" s="516"/>
      <c r="R2619" s="516"/>
      <c r="S2619" s="516"/>
      <c r="T2619" s="437">
        <v>0</v>
      </c>
      <c r="U2619" s="517">
        <f>+ROUND(U2614*T2619,$AA$5)</f>
        <v>0</v>
      </c>
      <c r="V2619" s="518"/>
      <c r="Y2619" s="390"/>
      <c r="Z2619" s="438">
        <f>+Z2614*T2619</f>
        <v>0</v>
      </c>
      <c r="AA2619" s="86"/>
      <c r="AB2619" s="94"/>
      <c r="AC2619" s="94"/>
      <c r="AD2619" s="94"/>
      <c r="AE2619" s="386" t="s">
        <v>133</v>
      </c>
    </row>
    <row r="2620" spans="3:31" s="260" customFormat="1" x14ac:dyDescent="0.25">
      <c r="M2620" s="515" t="s">
        <v>21</v>
      </c>
      <c r="N2620" s="516"/>
      <c r="O2620" s="516"/>
      <c r="P2620" s="516"/>
      <c r="Q2620" s="516"/>
      <c r="R2620" s="516"/>
      <c r="S2620" s="516"/>
      <c r="T2620" s="437">
        <f>$AA$9</f>
        <v>0</v>
      </c>
      <c r="U2620" s="517">
        <f>+ROUND(U2614*T2620,$AA$5)</f>
        <v>0</v>
      </c>
      <c r="V2620" s="518"/>
      <c r="Y2620" s="390"/>
      <c r="Z2620" s="438">
        <f>+Z2619*T2620</f>
        <v>0</v>
      </c>
      <c r="AA2620" s="86"/>
      <c r="AB2620" s="94"/>
      <c r="AC2620" s="94"/>
      <c r="AD2620" s="94"/>
      <c r="AE2620" s="386" t="s">
        <v>133</v>
      </c>
    </row>
    <row r="2621" spans="3:31" s="260" customFormat="1" ht="15.75" thickBot="1" x14ac:dyDescent="0.3">
      <c r="M2621" s="519" t="s">
        <v>349</v>
      </c>
      <c r="N2621" s="520"/>
      <c r="O2621" s="520"/>
      <c r="P2621" s="520"/>
      <c r="Q2621" s="520"/>
      <c r="R2621" s="520"/>
      <c r="S2621" s="520"/>
      <c r="T2621" s="520"/>
      <c r="U2621" s="521">
        <f>+SUM(U2617:V2620)</f>
        <v>3445.36</v>
      </c>
      <c r="V2621" s="522"/>
      <c r="Y2621" s="390"/>
      <c r="Z2621" s="439">
        <f>+SUM(Z2617:Z2620)</f>
        <v>1188028.7175</v>
      </c>
      <c r="AA2621" s="86"/>
      <c r="AB2621" s="94"/>
      <c r="AC2621" s="94"/>
      <c r="AD2621" s="94"/>
      <c r="AE2621" s="386" t="s">
        <v>133</v>
      </c>
    </row>
    <row r="2622" spans="3:31" s="260" customFormat="1" ht="15.75" thickBot="1" x14ac:dyDescent="0.3">
      <c r="D2622" s="375" t="s">
        <v>128</v>
      </c>
      <c r="E2622" s="376" t="s">
        <v>129</v>
      </c>
      <c r="F2622" s="376" t="s">
        <v>130</v>
      </c>
      <c r="G2622" s="376" t="s">
        <v>131</v>
      </c>
      <c r="H2622" s="376" t="s">
        <v>132</v>
      </c>
      <c r="I2622" s="376" t="s">
        <v>133</v>
      </c>
      <c r="J2622" s="377" t="s">
        <v>134</v>
      </c>
      <c r="M2622" s="86"/>
      <c r="N2622" s="94"/>
      <c r="O2622" s="94"/>
      <c r="P2622" s="94"/>
      <c r="Q2622" s="86"/>
      <c r="R2622" s="86"/>
      <c r="S2622" s="86"/>
      <c r="T2622" s="440"/>
      <c r="U2622" s="523"/>
      <c r="V2622" s="523"/>
      <c r="Y2622" s="390"/>
      <c r="Z2622" s="385"/>
      <c r="AA2622" s="86"/>
      <c r="AB2622" s="94"/>
      <c r="AC2622" s="94"/>
      <c r="AD2622" s="94"/>
      <c r="AE2622" s="386" t="s">
        <v>133</v>
      </c>
    </row>
    <row r="2623" spans="3:31" s="260" customFormat="1" ht="15.75" thickBot="1" x14ac:dyDescent="0.3">
      <c r="D2623" s="355"/>
      <c r="E2623" s="367"/>
      <c r="F2623" s="367"/>
      <c r="G2623" s="367"/>
      <c r="H2623" s="412"/>
      <c r="I2623" s="412">
        <f>H2614</f>
        <v>3.04</v>
      </c>
      <c r="J2623" s="422"/>
      <c r="M2623" s="524" t="s">
        <v>11</v>
      </c>
      <c r="N2623" s="525"/>
      <c r="O2623" s="525"/>
      <c r="P2623" s="525"/>
      <c r="Q2623" s="525"/>
      <c r="R2623" s="525"/>
      <c r="S2623" s="525"/>
      <c r="T2623" s="526"/>
      <c r="U2623" s="527">
        <f>+U2621+U2614</f>
        <v>72352.539999999994</v>
      </c>
      <c r="V2623" s="528"/>
      <c r="Y2623" s="429"/>
      <c r="Z2623" s="441">
        <f>+Z2621+Z2614</f>
        <v>24948603.067499999</v>
      </c>
      <c r="AA2623" s="86"/>
      <c r="AB2623" s="94"/>
      <c r="AC2623" s="94"/>
      <c r="AD2623" s="94"/>
      <c r="AE2623" s="405" t="s">
        <v>133</v>
      </c>
    </row>
    <row r="2624" spans="3:31" s="260" customFormat="1" x14ac:dyDescent="0.25"/>
    <row r="2625" spans="3:31" s="260" customFormat="1" ht="15.75" thickBot="1" x14ac:dyDescent="0.3"/>
    <row r="2626" spans="3:31" s="260" customFormat="1" ht="15.75" thickBot="1" x14ac:dyDescent="0.3">
      <c r="M2626" s="363" t="s">
        <v>88</v>
      </c>
      <c r="N2626" s="436" t="str">
        <f>+N2577</f>
        <v>CAP.3</v>
      </c>
      <c r="O2626" s="550" t="str">
        <f>IFERROR(VLOOKUP(N2626,PPTO!C:H,2,0),"----")</f>
        <v>RED CONTRAINCENDIOS</v>
      </c>
      <c r="P2626" s="551"/>
      <c r="Q2626" s="551"/>
      <c r="R2626" s="551"/>
      <c r="S2626" s="551"/>
      <c r="T2626" s="551"/>
      <c r="U2626" s="552"/>
      <c r="V2626" s="74" t="s">
        <v>91</v>
      </c>
      <c r="Y2626" s="365" t="s">
        <v>104</v>
      </c>
      <c r="Z2626" s="94"/>
      <c r="AA2626" s="188"/>
      <c r="AB2626" s="553"/>
      <c r="AC2626" s="553"/>
      <c r="AD2626" s="553"/>
      <c r="AE2626" s="94"/>
    </row>
    <row r="2627" spans="3:31" s="260" customFormat="1" ht="15.75" thickBot="1" x14ac:dyDescent="0.3">
      <c r="C2627" s="369">
        <f>+N2627</f>
        <v>3.05</v>
      </c>
      <c r="D2627" s="86"/>
      <c r="E2627" s="86"/>
      <c r="F2627" s="86"/>
      <c r="G2627" s="86"/>
      <c r="H2627" s="86"/>
      <c r="I2627" s="86"/>
      <c r="J2627" s="86"/>
      <c r="K2627" s="370"/>
      <c r="M2627" s="75" t="s">
        <v>92</v>
      </c>
      <c r="N2627" s="371">
        <f>+ROUNDUP(N2578+0.01,2)</f>
        <v>3.05</v>
      </c>
      <c r="O2627" s="554" t="str">
        <f>IFERROR(VLOOKUP(N2627,PPTO!C:H,2,0),"----")</f>
        <v>Codo 90° C-PVC Ø3"</v>
      </c>
      <c r="P2627" s="555"/>
      <c r="Q2627" s="555"/>
      <c r="R2627" s="555"/>
      <c r="S2627" s="555"/>
      <c r="T2627" s="555"/>
      <c r="U2627" s="556"/>
      <c r="V2627" s="76" t="str">
        <f>IFERROR(VLOOKUP(N2627,PPTO!C:H,3,0),"----")</f>
        <v>UND</v>
      </c>
      <c r="Y2627" s="373">
        <f>SUMIFS(PPTO!F:F,PPTO!C:C,APUS!N2627)</f>
        <v>12</v>
      </c>
      <c r="Z2627" s="94"/>
      <c r="AA2627" s="86"/>
      <c r="AB2627" s="94"/>
      <c r="AC2627" s="94"/>
      <c r="AD2627" s="94"/>
      <c r="AE2627" s="94"/>
    </row>
    <row r="2628" spans="3:31" s="260" customFormat="1" ht="15.75" thickBot="1" x14ac:dyDescent="0.3">
      <c r="C2628" s="84"/>
      <c r="D2628" s="86"/>
      <c r="E2628" s="86"/>
      <c r="F2628" s="86"/>
      <c r="G2628" s="86"/>
      <c r="H2628" s="86"/>
      <c r="I2628" s="86"/>
      <c r="J2628" s="86"/>
      <c r="K2628" s="88"/>
      <c r="M2628" s="557"/>
      <c r="N2628" s="557"/>
      <c r="O2628" s="557"/>
      <c r="P2628" s="557"/>
      <c r="Q2628" s="557"/>
      <c r="R2628" s="557"/>
      <c r="S2628" s="557"/>
      <c r="T2628" s="557"/>
      <c r="U2628" s="557"/>
      <c r="V2628" s="557"/>
      <c r="Y2628" s="374"/>
      <c r="Z2628" s="94"/>
      <c r="AA2628" s="86"/>
      <c r="AB2628" s="94"/>
      <c r="AC2628" s="94"/>
      <c r="AD2628" s="94"/>
      <c r="AE2628" s="94"/>
    </row>
    <row r="2629" spans="3:31" s="260" customFormat="1" ht="15.75" thickBot="1" x14ac:dyDescent="0.3">
      <c r="C2629" s="84"/>
      <c r="D2629" s="375" t="s">
        <v>128</v>
      </c>
      <c r="E2629" s="376" t="s">
        <v>129</v>
      </c>
      <c r="F2629" s="376" t="s">
        <v>130</v>
      </c>
      <c r="G2629" s="376" t="s">
        <v>131</v>
      </c>
      <c r="H2629" s="376" t="s">
        <v>132</v>
      </c>
      <c r="I2629" s="376" t="s">
        <v>133</v>
      </c>
      <c r="J2629" s="377" t="s">
        <v>134</v>
      </c>
      <c r="K2629" s="88"/>
      <c r="M2629" s="558" t="s">
        <v>93</v>
      </c>
      <c r="N2629" s="559"/>
      <c r="O2629" s="559"/>
      <c r="P2629" s="559"/>
      <c r="Q2629" s="559"/>
      <c r="R2629" s="559"/>
      <c r="S2629" s="559"/>
      <c r="T2629" s="559"/>
      <c r="U2629" s="559"/>
      <c r="V2629" s="560"/>
      <c r="Y2629" s="378"/>
      <c r="Z2629" s="121"/>
      <c r="AA2629" s="86"/>
      <c r="AB2629" s="513"/>
      <c r="AC2629" s="514"/>
      <c r="AD2629" s="94"/>
      <c r="AE2629" s="379"/>
    </row>
    <row r="2630" spans="3:31" s="260" customFormat="1" x14ac:dyDescent="0.25">
      <c r="C2630" s="84"/>
      <c r="D2630" s="380"/>
      <c r="E2630" s="381"/>
      <c r="F2630" s="381"/>
      <c r="G2630" s="381"/>
      <c r="H2630" s="381"/>
      <c r="I2630" s="381"/>
      <c r="J2630" s="382"/>
      <c r="K2630" s="88"/>
      <c r="M2630" s="99" t="s">
        <v>94</v>
      </c>
      <c r="N2630" s="561" t="s">
        <v>95</v>
      </c>
      <c r="O2630" s="561"/>
      <c r="P2630" s="561"/>
      <c r="Q2630" s="561"/>
      <c r="R2630" s="95" t="s">
        <v>96</v>
      </c>
      <c r="S2630" s="95" t="s">
        <v>97</v>
      </c>
      <c r="T2630" s="562" t="s">
        <v>8</v>
      </c>
      <c r="U2630" s="562"/>
      <c r="V2630" s="100" t="s">
        <v>98</v>
      </c>
      <c r="Y2630" s="383" t="s">
        <v>104</v>
      </c>
      <c r="Z2630" s="119" t="s">
        <v>9</v>
      </c>
      <c r="AA2630" s="86"/>
      <c r="AB2630" s="384"/>
      <c r="AC2630" s="385"/>
      <c r="AD2630" s="94"/>
      <c r="AE2630" s="386"/>
    </row>
    <row r="2631" spans="3:31" s="260" customFormat="1" x14ac:dyDescent="0.25">
      <c r="C2631" s="84"/>
      <c r="D2631" s="85"/>
      <c r="E2631" s="86"/>
      <c r="F2631" s="86"/>
      <c r="G2631" s="86"/>
      <c r="H2631" s="86"/>
      <c r="I2631" s="86"/>
      <c r="J2631" s="87"/>
      <c r="K2631" s="88"/>
      <c r="M2631" s="102"/>
      <c r="N2631" s="533" t="s">
        <v>99</v>
      </c>
      <c r="O2631" s="533"/>
      <c r="P2631" s="533"/>
      <c r="Q2631" s="533"/>
      <c r="R2631" s="78" t="s">
        <v>100</v>
      </c>
      <c r="S2631" s="387">
        <f>+$AA$10</f>
        <v>0.05</v>
      </c>
      <c r="T2631" s="563">
        <f>V2661</f>
        <v>19458.53</v>
      </c>
      <c r="U2631" s="563"/>
      <c r="V2631" s="389">
        <f>+IFERROR(T2631*S2631,0)</f>
        <v>972.92650000000003</v>
      </c>
      <c r="Y2631" s="390"/>
      <c r="Z2631" s="391">
        <f>Y2627*V2631</f>
        <v>11675.118</v>
      </c>
      <c r="AA2631" s="86"/>
      <c r="AB2631" s="384"/>
      <c r="AC2631" s="385"/>
      <c r="AD2631" s="94"/>
      <c r="AE2631" s="386" t="str">
        <f>+IF(V2631=0,"CERO","NO")</f>
        <v>NO</v>
      </c>
    </row>
    <row r="2632" spans="3:31" s="260" customFormat="1" x14ac:dyDescent="0.25">
      <c r="C2632" s="84"/>
      <c r="D2632" s="85"/>
      <c r="E2632" s="86"/>
      <c r="F2632" s="86"/>
      <c r="G2632" s="86"/>
      <c r="H2632" s="86"/>
      <c r="I2632" s="86"/>
      <c r="J2632" s="87"/>
      <c r="K2632" s="88"/>
      <c r="M2632" s="106"/>
      <c r="N2632" s="533" t="str">
        <f>IFERROR(VLOOKUP(M2632,INSUMOS!$C$8:$K$928,2,0),"-----")</f>
        <v>-----</v>
      </c>
      <c r="O2632" s="533"/>
      <c r="P2632" s="533"/>
      <c r="Q2632" s="533"/>
      <c r="R2632" s="78" t="str">
        <f>IFERROR(VLOOKUP(M2632,INSUMOS!$C$8:$K$928,6,0),"-----")</f>
        <v>-----</v>
      </c>
      <c r="S2632" s="392"/>
      <c r="T2632" s="529" t="str">
        <f>IFERROR(VLOOKUP(M2632,INSUMOS!$C$8:$K$928,7,0),"0")</f>
        <v>0</v>
      </c>
      <c r="U2632" s="529"/>
      <c r="V2632" s="389">
        <f>+IFERROR(T2632*S2632,0)</f>
        <v>0</v>
      </c>
      <c r="Y2632" s="393">
        <f>+IFERROR(Y2627*S2632,0)</f>
        <v>0</v>
      </c>
      <c r="Z2632" s="391">
        <f>Y2627*V2632</f>
        <v>0</v>
      </c>
      <c r="AA2632" s="394"/>
      <c r="AB2632" s="395">
        <f>+Y2632*T2632</f>
        <v>0</v>
      </c>
      <c r="AC2632" s="93">
        <f>+AB2632-Z2632</f>
        <v>0</v>
      </c>
      <c r="AD2632" s="94"/>
      <c r="AE2632" s="386" t="str">
        <f>+IF(V2632=0,"CERO","NO")</f>
        <v>CERO</v>
      </c>
    </row>
    <row r="2633" spans="3:31" s="260" customFormat="1" x14ac:dyDescent="0.25">
      <c r="C2633" s="84"/>
      <c r="D2633" s="85"/>
      <c r="E2633" s="86"/>
      <c r="F2633" s="86"/>
      <c r="G2633" s="86"/>
      <c r="H2633" s="86"/>
      <c r="I2633" s="86"/>
      <c r="J2633" s="87"/>
      <c r="K2633" s="88"/>
      <c r="M2633" s="102">
        <v>0</v>
      </c>
      <c r="N2633" s="533"/>
      <c r="O2633" s="533"/>
      <c r="P2633" s="533"/>
      <c r="Q2633" s="533"/>
      <c r="R2633" s="78"/>
      <c r="S2633" s="396"/>
      <c r="T2633" s="529"/>
      <c r="U2633" s="529"/>
      <c r="V2633" s="397"/>
      <c r="Y2633" s="393">
        <f>+IFERROR(Y2627*S2633,0)</f>
        <v>0</v>
      </c>
      <c r="Z2633" s="391">
        <f>Y2627*V2633</f>
        <v>0</v>
      </c>
      <c r="AA2633" s="394"/>
      <c r="AB2633" s="395">
        <f>+Y2633*T2633</f>
        <v>0</v>
      </c>
      <c r="AC2633" s="93">
        <f>+AB2633-Z2633</f>
        <v>0</v>
      </c>
      <c r="AD2633" s="94"/>
      <c r="AE2633" s="386" t="str">
        <f>+IF(V2633=0,"CERO","NO")</f>
        <v>CERO</v>
      </c>
    </row>
    <row r="2634" spans="3:31" s="260" customFormat="1" x14ac:dyDescent="0.25">
      <c r="C2634" s="84"/>
      <c r="D2634" s="85"/>
      <c r="E2634" s="86"/>
      <c r="F2634" s="86"/>
      <c r="G2634" s="86"/>
      <c r="H2634" s="86"/>
      <c r="I2634" s="86"/>
      <c r="J2634" s="87"/>
      <c r="K2634" s="88"/>
      <c r="M2634" s="102">
        <v>0</v>
      </c>
      <c r="N2634" s="533"/>
      <c r="O2634" s="533"/>
      <c r="P2634" s="533"/>
      <c r="Q2634" s="533"/>
      <c r="R2634" s="78"/>
      <c r="S2634" s="396"/>
      <c r="T2634" s="529"/>
      <c r="U2634" s="529"/>
      <c r="V2634" s="397"/>
      <c r="Y2634" s="393">
        <f>+IFERROR(Y2627*S2634,0)</f>
        <v>0</v>
      </c>
      <c r="Z2634" s="391">
        <f>Y2627*V2634</f>
        <v>0</v>
      </c>
      <c r="AA2634" s="394"/>
      <c r="AB2634" s="395">
        <f>+Y2634*T2634</f>
        <v>0</v>
      </c>
      <c r="AC2634" s="93">
        <f>+AB2634-Z2634</f>
        <v>0</v>
      </c>
      <c r="AD2634" s="94"/>
      <c r="AE2634" s="386" t="str">
        <f>+IF(V2634=0,"CERO","NO")</f>
        <v>CERO</v>
      </c>
    </row>
    <row r="2635" spans="3:31" s="260" customFormat="1" ht="15.75" thickBot="1" x14ac:dyDescent="0.3">
      <c r="C2635" s="84"/>
      <c r="D2635" s="85"/>
      <c r="E2635" s="86"/>
      <c r="F2635" s="86"/>
      <c r="G2635" s="86"/>
      <c r="H2635" s="86"/>
      <c r="I2635" s="86"/>
      <c r="J2635" s="87"/>
      <c r="K2635" s="88"/>
      <c r="M2635" s="102">
        <v>0</v>
      </c>
      <c r="N2635" s="564"/>
      <c r="O2635" s="564"/>
      <c r="P2635" s="564"/>
      <c r="Q2635" s="564"/>
      <c r="R2635" s="96"/>
      <c r="S2635" s="96"/>
      <c r="T2635" s="565"/>
      <c r="U2635" s="565"/>
      <c r="V2635" s="101"/>
      <c r="Y2635" s="393">
        <f>+IFERROR(Y2627*S2635,0)</f>
        <v>0</v>
      </c>
      <c r="Z2635" s="391">
        <f>Y2627*V2635</f>
        <v>0</v>
      </c>
      <c r="AA2635" s="394"/>
      <c r="AB2635" s="395">
        <f>+Y2635*T2635</f>
        <v>0</v>
      </c>
      <c r="AC2635" s="93">
        <f>+AB2635-Z2635</f>
        <v>0</v>
      </c>
      <c r="AD2635" s="94"/>
      <c r="AE2635" s="386" t="str">
        <f>+IF(V2635=0,"CERO","NO")</f>
        <v>CERO</v>
      </c>
    </row>
    <row r="2636" spans="3:31" s="260" customFormat="1" ht="15.75" thickBot="1" x14ac:dyDescent="0.3">
      <c r="C2636" s="84"/>
      <c r="D2636" s="375" t="s">
        <v>128</v>
      </c>
      <c r="E2636" s="376" t="s">
        <v>129</v>
      </c>
      <c r="F2636" s="376" t="s">
        <v>130</v>
      </c>
      <c r="G2636" s="376" t="s">
        <v>131</v>
      </c>
      <c r="H2636" s="376" t="s">
        <v>132</v>
      </c>
      <c r="I2636" s="376" t="s">
        <v>133</v>
      </c>
      <c r="J2636" s="377" t="s">
        <v>134</v>
      </c>
      <c r="K2636" s="88"/>
      <c r="M2636" s="534"/>
      <c r="N2636" s="536" t="s">
        <v>101</v>
      </c>
      <c r="O2636" s="536"/>
      <c r="P2636" s="536"/>
      <c r="Q2636" s="536"/>
      <c r="R2636" s="536"/>
      <c r="S2636" s="536"/>
      <c r="T2636" s="536"/>
      <c r="U2636" s="536"/>
      <c r="V2636" s="389">
        <f>+SUM(V2631:V2635)</f>
        <v>972.92650000000003</v>
      </c>
      <c r="Y2636" s="398" t="s">
        <v>135</v>
      </c>
      <c r="Z2636" s="397">
        <f>+SUM(Z2631:Z2635)</f>
        <v>11675.118</v>
      </c>
      <c r="AA2636" s="86"/>
      <c r="AB2636" s="384"/>
      <c r="AC2636" s="385"/>
      <c r="AD2636" s="94"/>
      <c r="AE2636" s="399"/>
    </row>
    <row r="2637" spans="3:31" s="260" customFormat="1" ht="15.75" thickBot="1" x14ac:dyDescent="0.3">
      <c r="C2637" s="84"/>
      <c r="D2637" s="375">
        <f>C2627</f>
        <v>3.05</v>
      </c>
      <c r="E2637" s="376"/>
      <c r="F2637" s="376"/>
      <c r="G2637" s="376"/>
      <c r="H2637" s="376"/>
      <c r="I2637" s="376"/>
      <c r="J2637" s="377"/>
      <c r="K2637" s="88"/>
      <c r="M2637" s="566"/>
      <c r="N2637" s="567" t="s">
        <v>102</v>
      </c>
      <c r="O2637" s="567"/>
      <c r="P2637" s="567"/>
      <c r="Q2637" s="567"/>
      <c r="R2637" s="567"/>
      <c r="S2637" s="567"/>
      <c r="T2637" s="567"/>
      <c r="U2637" s="567"/>
      <c r="V2637" s="400">
        <f>+ROUND(V2636,$AA$5)</f>
        <v>972.93</v>
      </c>
      <c r="Y2637" s="401" t="s">
        <v>136</v>
      </c>
      <c r="Z2637" s="402">
        <f>+ROUND(Z2636,$AA$5)</f>
        <v>11675.12</v>
      </c>
      <c r="AA2637" s="86"/>
      <c r="AB2637" s="403">
        <f>+V2637*Y2627</f>
        <v>11675.16</v>
      </c>
      <c r="AC2637" s="404">
        <f>+AB2637-Z2637</f>
        <v>3.9999999999054126E-2</v>
      </c>
      <c r="AD2637" s="94"/>
      <c r="AE2637" s="405"/>
    </row>
    <row r="2638" spans="3:31" s="260" customFormat="1" x14ac:dyDescent="0.25">
      <c r="C2638" s="84"/>
      <c r="D2638" s="380"/>
      <c r="E2638" s="381"/>
      <c r="F2638" s="381"/>
      <c r="G2638" s="381"/>
      <c r="H2638" s="381"/>
      <c r="I2638" s="381"/>
      <c r="J2638" s="382"/>
      <c r="K2638" s="88"/>
      <c r="M2638" s="510" t="s">
        <v>103</v>
      </c>
      <c r="N2638" s="511"/>
      <c r="O2638" s="511"/>
      <c r="P2638" s="511"/>
      <c r="Q2638" s="511"/>
      <c r="R2638" s="511"/>
      <c r="S2638" s="511"/>
      <c r="T2638" s="511"/>
      <c r="U2638" s="511"/>
      <c r="V2638" s="512"/>
      <c r="Y2638" s="378"/>
      <c r="Z2638" s="121"/>
      <c r="AA2638" s="86"/>
      <c r="AB2638" s="513"/>
      <c r="AC2638" s="514"/>
      <c r="AD2638" s="94"/>
      <c r="AE2638" s="126"/>
    </row>
    <row r="2639" spans="3:31" s="260" customFormat="1" x14ac:dyDescent="0.25">
      <c r="C2639" s="84"/>
      <c r="D2639" s="85"/>
      <c r="E2639" s="86"/>
      <c r="F2639" s="86"/>
      <c r="G2639" s="86"/>
      <c r="H2639" s="86"/>
      <c r="I2639" s="86"/>
      <c r="J2639" s="87"/>
      <c r="K2639" s="88"/>
      <c r="M2639" s="99" t="s">
        <v>94</v>
      </c>
      <c r="N2639" s="561" t="s">
        <v>95</v>
      </c>
      <c r="O2639" s="561"/>
      <c r="P2639" s="561"/>
      <c r="Q2639" s="561"/>
      <c r="R2639" s="95" t="s">
        <v>96</v>
      </c>
      <c r="S2639" s="95" t="s">
        <v>104</v>
      </c>
      <c r="T2639" s="356" t="s">
        <v>105</v>
      </c>
      <c r="U2639" s="356" t="s">
        <v>8</v>
      </c>
      <c r="V2639" s="100" t="s">
        <v>98</v>
      </c>
      <c r="Y2639" s="383" t="s">
        <v>104</v>
      </c>
      <c r="Z2639" s="119" t="s">
        <v>9</v>
      </c>
      <c r="AA2639" s="86"/>
      <c r="AB2639" s="384"/>
      <c r="AC2639" s="385"/>
      <c r="AD2639" s="94"/>
      <c r="AE2639" s="406"/>
    </row>
    <row r="2640" spans="3:31" s="260" customFormat="1" x14ac:dyDescent="0.25">
      <c r="C2640" s="84"/>
      <c r="D2640" s="85"/>
      <c r="E2640" s="86"/>
      <c r="F2640" s="86"/>
      <c r="G2640" s="86"/>
      <c r="H2640" s="86"/>
      <c r="I2640" s="86"/>
      <c r="J2640" s="87"/>
      <c r="K2640" s="88"/>
      <c r="M2640" s="102">
        <v>738</v>
      </c>
      <c r="N2640" s="533" t="str">
        <f>IFERROR(VLOOKUP(M2640,INSUMOS!$C$8:$K$928,2,0),"-----")</f>
        <v>CODO CPVC Ø3"</v>
      </c>
      <c r="O2640" s="533"/>
      <c r="P2640" s="533"/>
      <c r="Q2640" s="533"/>
      <c r="R2640" s="78" t="str">
        <f>IFERROR(VLOOKUP(M2640,INSUMOS!$C$8:$K$928,6,0),"-----")</f>
        <v>und</v>
      </c>
      <c r="S2640" s="396">
        <v>1</v>
      </c>
      <c r="T2640" s="387">
        <v>0</v>
      </c>
      <c r="U2640" s="388">
        <f>IFERROR(VLOOKUP(M2640,INSUMOS!$C$8:$K$928,7,0),"0")</f>
        <v>137359</v>
      </c>
      <c r="V2640" s="389">
        <f>+IFERROR(U2640*(S2640*(1+T2640)),0)</f>
        <v>137359</v>
      </c>
      <c r="Y2640" s="393">
        <f>+IFERROR(Y2627*(S2640*(1+T2640)),0)</f>
        <v>12</v>
      </c>
      <c r="Z2640" s="391">
        <f>Y2627*V2640</f>
        <v>1648308</v>
      </c>
      <c r="AA2640" s="394"/>
      <c r="AB2640" s="395">
        <f>+Y2640*U2640</f>
        <v>1648308</v>
      </c>
      <c r="AC2640" s="93">
        <f>+AB2640-Z2640</f>
        <v>0</v>
      </c>
      <c r="AD2640" s="94"/>
      <c r="AE2640" s="406" t="str">
        <f>+IF(V2640=0,"CERO","NO")</f>
        <v>NO</v>
      </c>
    </row>
    <row r="2641" spans="3:31" s="260" customFormat="1" x14ac:dyDescent="0.25">
      <c r="C2641" s="84"/>
      <c r="D2641" s="85"/>
      <c r="E2641" s="86"/>
      <c r="F2641" s="86"/>
      <c r="G2641" s="86"/>
      <c r="H2641" s="86"/>
      <c r="I2641" s="86"/>
      <c r="J2641" s="87"/>
      <c r="K2641" s="88"/>
      <c r="M2641" s="102">
        <v>699</v>
      </c>
      <c r="N2641" s="533" t="str">
        <f>IFERROR(VLOOKUP(M2641,INSUMOS!$C$8:$K$928,2,0),"-----")</f>
        <v>SOLDADURA PVC LIQUIDA 1/4"</v>
      </c>
      <c r="O2641" s="533"/>
      <c r="P2641" s="533"/>
      <c r="Q2641" s="533"/>
      <c r="R2641" s="78" t="str">
        <f>IFERROR(VLOOKUP(M2641,INSUMOS!$C$8:$K$928,6,0),"-----")</f>
        <v>und</v>
      </c>
      <c r="S2641" s="392">
        <v>0.01</v>
      </c>
      <c r="T2641" s="387">
        <v>0.02</v>
      </c>
      <c r="U2641" s="388">
        <f>IFERROR(VLOOKUP(M2641,INSUMOS!$C$8:$K$928,7,0),"0")</f>
        <v>146569</v>
      </c>
      <c r="V2641" s="389">
        <f>+IFERROR(U2641*(S2641*(1+T2641)),0)</f>
        <v>1495.0038000000002</v>
      </c>
      <c r="Y2641" s="393">
        <f>+IFERROR(Y2627*(S2641*(1+T2641)),0)</f>
        <v>0.12240000000000001</v>
      </c>
      <c r="Z2641" s="391">
        <f>Y2627*V2641</f>
        <v>17940.045600000001</v>
      </c>
      <c r="AA2641" s="394"/>
      <c r="AB2641" s="395">
        <f>+Y2641*U2641</f>
        <v>17940.045600000001</v>
      </c>
      <c r="AC2641" s="93">
        <f>+AB2641-Z2641</f>
        <v>0</v>
      </c>
      <c r="AD2641" s="94"/>
      <c r="AE2641" s="406" t="str">
        <f>+IF(V2641=0,"CERO","NO")</f>
        <v>NO</v>
      </c>
    </row>
    <row r="2642" spans="3:31" s="260" customFormat="1" x14ac:dyDescent="0.25">
      <c r="C2642" s="84"/>
      <c r="D2642" s="85"/>
      <c r="E2642" s="86"/>
      <c r="F2642" s="86"/>
      <c r="G2642" s="86"/>
      <c r="H2642" s="86"/>
      <c r="I2642" s="86"/>
      <c r="J2642" s="87"/>
      <c r="K2642" s="88"/>
      <c r="M2642" s="102">
        <v>700</v>
      </c>
      <c r="N2642" s="533" t="str">
        <f>IFERROR(VLOOKUP(M2642,INSUMOS!$C$8:$K$928,2,0),"-----")</f>
        <v>LIMPIADOR PVC 1/4</v>
      </c>
      <c r="O2642" s="533"/>
      <c r="P2642" s="533"/>
      <c r="Q2642" s="533"/>
      <c r="R2642" s="78" t="str">
        <f>IFERROR(VLOOKUP(M2642,INSUMOS!$C$8:$K$928,6,0),"-----")</f>
        <v>und</v>
      </c>
      <c r="S2642" s="396">
        <v>0.01</v>
      </c>
      <c r="T2642" s="387">
        <v>0.02</v>
      </c>
      <c r="U2642" s="388">
        <f>IFERROR(VLOOKUP(M2642,INSUMOS!$C$8:$K$928,7,0),"0")</f>
        <v>65913</v>
      </c>
      <c r="V2642" s="389">
        <f>+IFERROR(U2642*(S2642*(1+T2642)),0)</f>
        <v>672.31260000000009</v>
      </c>
      <c r="Y2642" s="393">
        <f>+IFERROR(Y2627*(S2642*(1+T2642)),0)</f>
        <v>0.12240000000000001</v>
      </c>
      <c r="Z2642" s="391">
        <f>Y2627*V2642</f>
        <v>8067.7512000000006</v>
      </c>
      <c r="AA2642" s="394"/>
      <c r="AB2642" s="395">
        <f>+Y2642*U2642</f>
        <v>8067.7512000000006</v>
      </c>
      <c r="AC2642" s="93">
        <f>+AB2642-Z2642</f>
        <v>0</v>
      </c>
      <c r="AD2642" s="94"/>
      <c r="AE2642" s="406" t="str">
        <f>+IF(V2642=0,"CERO","NO")</f>
        <v>NO</v>
      </c>
    </row>
    <row r="2643" spans="3:31" s="260" customFormat="1" x14ac:dyDescent="0.25">
      <c r="C2643" s="84"/>
      <c r="D2643" s="85"/>
      <c r="E2643" s="86"/>
      <c r="F2643" s="86"/>
      <c r="G2643" s="86"/>
      <c r="H2643" s="86"/>
      <c r="I2643" s="86"/>
      <c r="J2643" s="87"/>
      <c r="K2643" s="88"/>
      <c r="M2643" s="102">
        <v>0</v>
      </c>
      <c r="N2643" s="533" t="str">
        <f>IFERROR(VLOOKUP(M2643,INSUMOS!$C$8:$K$928,2,0),"-----")</f>
        <v>-----</v>
      </c>
      <c r="O2643" s="533"/>
      <c r="P2643" s="533"/>
      <c r="Q2643" s="533"/>
      <c r="R2643" s="78" t="str">
        <f>IFERROR(VLOOKUP(M2643,INSUMOS!$C$8:$K$928,6,0),"-----")</f>
        <v>-----</v>
      </c>
      <c r="S2643" s="396"/>
      <c r="T2643" s="387"/>
      <c r="U2643" s="388" t="str">
        <f>IFERROR(VLOOKUP(M2643,INSUMOS!$C$8:$K$928,7,0),"0")</f>
        <v>0</v>
      </c>
      <c r="V2643" s="389">
        <f>+IFERROR(U2643*(S2643*(1+T2643)),0)</f>
        <v>0</v>
      </c>
      <c r="Y2643" s="393">
        <f>+IFERROR(Y2627*(S2643*(1+T2643)),0)</f>
        <v>0</v>
      </c>
      <c r="Z2643" s="391">
        <f>Y2627*V2643</f>
        <v>0</v>
      </c>
      <c r="AA2643" s="394"/>
      <c r="AB2643" s="395">
        <f>+Y2643*U2643</f>
        <v>0</v>
      </c>
      <c r="AC2643" s="93">
        <f>+AB2643-Z2643</f>
        <v>0</v>
      </c>
      <c r="AD2643" s="94"/>
      <c r="AE2643" s="406" t="str">
        <f>+IF(V2643=0,"CERO","NO")</f>
        <v>CERO</v>
      </c>
    </row>
    <row r="2644" spans="3:31" s="260" customFormat="1" ht="15.75" thickBot="1" x14ac:dyDescent="0.3">
      <c r="C2644" s="84"/>
      <c r="D2644" s="85"/>
      <c r="E2644" s="86"/>
      <c r="F2644" s="86"/>
      <c r="G2644" s="86"/>
      <c r="H2644" s="86"/>
      <c r="I2644" s="86"/>
      <c r="J2644" s="87"/>
      <c r="K2644" s="88"/>
      <c r="M2644" s="102">
        <v>0</v>
      </c>
      <c r="N2644" s="564"/>
      <c r="O2644" s="564"/>
      <c r="P2644" s="564"/>
      <c r="Q2644" s="564"/>
      <c r="R2644" s="96"/>
      <c r="S2644" s="79"/>
      <c r="T2644" s="97"/>
      <c r="U2644" s="358"/>
      <c r="V2644" s="397"/>
      <c r="Y2644" s="393">
        <f>+IFERROR(Y2627*(S2644*(1+T2644)),0)</f>
        <v>0</v>
      </c>
      <c r="Z2644" s="391">
        <f>Y2627*V2644</f>
        <v>0</v>
      </c>
      <c r="AA2644" s="394"/>
      <c r="AB2644" s="395">
        <f>+Y2644*U2644</f>
        <v>0</v>
      </c>
      <c r="AC2644" s="93">
        <f>+AB2644-Z2644</f>
        <v>0</v>
      </c>
      <c r="AD2644" s="94"/>
      <c r="AE2644" s="406" t="str">
        <f>+IF(V2644=0,"CERO","NO")</f>
        <v>CERO</v>
      </c>
    </row>
    <row r="2645" spans="3:31" s="260" customFormat="1" ht="15.75" thickBot="1" x14ac:dyDescent="0.3">
      <c r="C2645" s="84"/>
      <c r="D2645" s="375" t="s">
        <v>128</v>
      </c>
      <c r="E2645" s="376" t="s">
        <v>129</v>
      </c>
      <c r="F2645" s="376" t="s">
        <v>130</v>
      </c>
      <c r="G2645" s="376" t="s">
        <v>131</v>
      </c>
      <c r="H2645" s="376" t="s">
        <v>132</v>
      </c>
      <c r="I2645" s="376" t="s">
        <v>133</v>
      </c>
      <c r="J2645" s="377" t="s">
        <v>134</v>
      </c>
      <c r="K2645" s="88"/>
      <c r="M2645" s="534"/>
      <c r="N2645" s="536" t="s">
        <v>106</v>
      </c>
      <c r="O2645" s="536"/>
      <c r="P2645" s="536"/>
      <c r="Q2645" s="536"/>
      <c r="R2645" s="536"/>
      <c r="S2645" s="536"/>
      <c r="T2645" s="536"/>
      <c r="U2645" s="536"/>
      <c r="V2645" s="389">
        <f>+SUM(V2640:V2644)</f>
        <v>139526.31640000001</v>
      </c>
      <c r="Y2645" s="398" t="s">
        <v>135</v>
      </c>
      <c r="Z2645" s="397">
        <f>+SUM(Z2640:Z2644)</f>
        <v>1674315.7968000001</v>
      </c>
      <c r="AA2645" s="86"/>
      <c r="AB2645" s="384"/>
      <c r="AC2645" s="385"/>
      <c r="AD2645" s="94"/>
      <c r="AE2645" s="399"/>
    </row>
    <row r="2646" spans="3:31" s="260" customFormat="1" ht="15.75" thickBot="1" x14ac:dyDescent="0.3">
      <c r="C2646" s="84"/>
      <c r="D2646" s="375"/>
      <c r="E2646" s="407">
        <f>+D2637</f>
        <v>3.05</v>
      </c>
      <c r="F2646" s="376"/>
      <c r="G2646" s="376"/>
      <c r="H2646" s="376"/>
      <c r="I2646" s="376"/>
      <c r="J2646" s="377"/>
      <c r="K2646" s="88"/>
      <c r="M2646" s="535"/>
      <c r="N2646" s="537" t="s">
        <v>107</v>
      </c>
      <c r="O2646" s="537"/>
      <c r="P2646" s="537"/>
      <c r="Q2646" s="537"/>
      <c r="R2646" s="537"/>
      <c r="S2646" s="537"/>
      <c r="T2646" s="537"/>
      <c r="U2646" s="537"/>
      <c r="V2646" s="408">
        <f>+ROUND(V2645,$AA$5)</f>
        <v>139526.32</v>
      </c>
      <c r="Y2646" s="401" t="s">
        <v>136</v>
      </c>
      <c r="Z2646" s="402">
        <f>+ROUND(Z2645,$AA$5)</f>
        <v>1674315.8</v>
      </c>
      <c r="AA2646" s="86"/>
      <c r="AB2646" s="403">
        <f>+V2646*Y2627</f>
        <v>1674315.84</v>
      </c>
      <c r="AC2646" s="404">
        <f>+AB2646-Z2646</f>
        <v>4.0000000037252903E-2</v>
      </c>
      <c r="AD2646" s="94"/>
      <c r="AE2646" s="405"/>
    </row>
    <row r="2647" spans="3:31" s="260" customFormat="1" x14ac:dyDescent="0.25">
      <c r="C2647" s="84"/>
      <c r="D2647" s="380"/>
      <c r="E2647" s="381"/>
      <c r="F2647" s="381"/>
      <c r="G2647" s="381"/>
      <c r="H2647" s="381"/>
      <c r="I2647" s="381"/>
      <c r="J2647" s="382"/>
      <c r="K2647" s="88"/>
      <c r="M2647" s="568" t="s">
        <v>108</v>
      </c>
      <c r="N2647" s="569"/>
      <c r="O2647" s="569"/>
      <c r="P2647" s="569"/>
      <c r="Q2647" s="569"/>
      <c r="R2647" s="569"/>
      <c r="S2647" s="569"/>
      <c r="T2647" s="569"/>
      <c r="U2647" s="569"/>
      <c r="V2647" s="570"/>
      <c r="Y2647" s="378"/>
      <c r="Z2647" s="121"/>
      <c r="AA2647" s="86"/>
      <c r="AB2647" s="409"/>
      <c r="AC2647" s="121"/>
      <c r="AD2647" s="94"/>
      <c r="AE2647" s="126"/>
    </row>
    <row r="2648" spans="3:31" s="260" customFormat="1" ht="25.5" x14ac:dyDescent="0.25">
      <c r="C2648" s="84"/>
      <c r="D2648" s="85"/>
      <c r="E2648" s="86"/>
      <c r="F2648" s="86"/>
      <c r="G2648" s="86"/>
      <c r="H2648" s="86"/>
      <c r="I2648" s="86"/>
      <c r="J2648" s="87"/>
      <c r="K2648" s="88"/>
      <c r="M2648" s="99" t="s">
        <v>94</v>
      </c>
      <c r="N2648" s="561" t="s">
        <v>95</v>
      </c>
      <c r="O2648" s="561"/>
      <c r="P2648" s="561"/>
      <c r="Q2648" s="95" t="s">
        <v>109</v>
      </c>
      <c r="R2648" s="95" t="s">
        <v>110</v>
      </c>
      <c r="S2648" s="95" t="s">
        <v>111</v>
      </c>
      <c r="T2648" s="562" t="s">
        <v>112</v>
      </c>
      <c r="U2648" s="562"/>
      <c r="V2648" s="100" t="s">
        <v>98</v>
      </c>
      <c r="Y2648" s="383" t="s">
        <v>104</v>
      </c>
      <c r="Z2648" s="119" t="s">
        <v>9</v>
      </c>
      <c r="AA2648" s="86"/>
      <c r="AB2648" s="384"/>
      <c r="AC2648" s="385"/>
      <c r="AD2648" s="94"/>
      <c r="AE2648" s="410"/>
    </row>
    <row r="2649" spans="3:31" s="260" customFormat="1" x14ac:dyDescent="0.25">
      <c r="C2649" s="84"/>
      <c r="D2649" s="85"/>
      <c r="E2649" s="86"/>
      <c r="F2649" s="86"/>
      <c r="G2649" s="86"/>
      <c r="H2649" s="86"/>
      <c r="I2649" s="86"/>
      <c r="J2649" s="87"/>
      <c r="K2649" s="88"/>
      <c r="M2649" s="102">
        <v>129</v>
      </c>
      <c r="N2649" s="530" t="str">
        <f>IFERROR(VLOOKUP(M2649,INSUMOS!$C$8:$K$928,2,0),"-----")</f>
        <v>transporte materiales en general</v>
      </c>
      <c r="O2649" s="531"/>
      <c r="P2649" s="532"/>
      <c r="Q2649" s="78" t="str">
        <f>IFERROR(VLOOKUP(M2649,INSUMOS!$C$8:$K$928,5,0),"-----")</f>
        <v>Km</v>
      </c>
      <c r="R2649" s="80">
        <v>1</v>
      </c>
      <c r="S2649" s="80">
        <f>IFERROR(VLOOKUP(M2649,INSUMOS!$C$8:$K$928,6,0),"0")</f>
        <v>348</v>
      </c>
      <c r="T2649" s="529">
        <f>IFERROR(VLOOKUP(M2649,INSUMOS!$C$8:$K$928,7,0),"0")</f>
        <v>0.99776362060288992</v>
      </c>
      <c r="U2649" s="529"/>
      <c r="V2649" s="82">
        <f>+T2649*S2649*R2649</f>
        <v>347.2217399698057</v>
      </c>
      <c r="Y2649" s="393">
        <f>+IFERROR((R2649*S2649)*Y2627,0)</f>
        <v>4176</v>
      </c>
      <c r="Z2649" s="391">
        <f>Y2627*V2649</f>
        <v>4166.6608796376686</v>
      </c>
      <c r="AA2649" s="86"/>
      <c r="AB2649" s="92">
        <f>+Y2649*T2649</f>
        <v>4166.6608796376686</v>
      </c>
      <c r="AC2649" s="93">
        <f>+AB2649-Z2649</f>
        <v>0</v>
      </c>
      <c r="AD2649" s="94"/>
      <c r="AE2649" s="406" t="str">
        <f>+IF(V2649=0,"CERO","NO")</f>
        <v>NO</v>
      </c>
    </row>
    <row r="2650" spans="3:31" s="260" customFormat="1" x14ac:dyDescent="0.25">
      <c r="C2650" s="84"/>
      <c r="D2650" s="85"/>
      <c r="E2650" s="86"/>
      <c r="F2650" s="86"/>
      <c r="G2650" s="86"/>
      <c r="H2650" s="86"/>
      <c r="I2650" s="86"/>
      <c r="J2650" s="87"/>
      <c r="K2650" s="88"/>
      <c r="M2650" s="102">
        <v>0</v>
      </c>
      <c r="N2650" s="530" t="str">
        <f>IFERROR(VLOOKUP(M2650,INSUMOS!$C$8:$K$928,2,0),"-----")</f>
        <v>-----</v>
      </c>
      <c r="O2650" s="531"/>
      <c r="P2650" s="532"/>
      <c r="Q2650" s="78" t="str">
        <f>IFERROR(VLOOKUP(M2650,INSUMOS!$C$8:$K$928,5,0),"-----")</f>
        <v>-----</v>
      </c>
      <c r="R2650" s="80"/>
      <c r="S2650" s="80" t="str">
        <f>IFERROR(VLOOKUP(M2650,INSUMOS!$C$8:$K$928,6,0),"0")</f>
        <v>0</v>
      </c>
      <c r="T2650" s="529" t="str">
        <f>IFERROR(VLOOKUP(M2650,INSUMOS!$C$8:$K$928,7,0),"0")</f>
        <v>0</v>
      </c>
      <c r="U2650" s="529"/>
      <c r="V2650" s="82">
        <f>+T2650*S2650*R2650</f>
        <v>0</v>
      </c>
      <c r="Y2650" s="393">
        <f>+IFERROR((R2650*S2650)*Y2627,0)</f>
        <v>0</v>
      </c>
      <c r="Z2650" s="391">
        <f>Y2627*V2650</f>
        <v>0</v>
      </c>
      <c r="AA2650" s="86"/>
      <c r="AB2650" s="92">
        <f>+Y2650*T2650</f>
        <v>0</v>
      </c>
      <c r="AC2650" s="93">
        <f>+AB2650-Z2650</f>
        <v>0</v>
      </c>
      <c r="AD2650" s="94"/>
      <c r="AE2650" s="406" t="str">
        <f>+IF(V2650=0,"CERO","NO")</f>
        <v>CERO</v>
      </c>
    </row>
    <row r="2651" spans="3:31" s="260" customFormat="1" x14ac:dyDescent="0.25">
      <c r="C2651" s="84"/>
      <c r="D2651" s="85"/>
      <c r="E2651" s="86"/>
      <c r="F2651" s="86"/>
      <c r="G2651" s="86"/>
      <c r="H2651" s="86"/>
      <c r="I2651" s="86"/>
      <c r="J2651" s="87"/>
      <c r="K2651" s="88"/>
      <c r="M2651" s="102">
        <v>0</v>
      </c>
      <c r="N2651" s="530" t="str">
        <f>IFERROR(VLOOKUP(M2651,INSUMOS!$C$8:$K$928,2,0),"-----")</f>
        <v>-----</v>
      </c>
      <c r="O2651" s="531"/>
      <c r="P2651" s="532"/>
      <c r="Q2651" s="78" t="str">
        <f>IFERROR(VLOOKUP(M2651,INSUMOS!$C$8:$K$928,5,0),"-----")</f>
        <v>-----</v>
      </c>
      <c r="R2651" s="80"/>
      <c r="S2651" s="80" t="str">
        <f>IFERROR(VLOOKUP(M2651,INSUMOS!$C$8:$K$928,6,0),"0")</f>
        <v>0</v>
      </c>
      <c r="T2651" s="529" t="str">
        <f>IFERROR(VLOOKUP(M2651,INSUMOS!$C$8:$K$928,7,0),"0")</f>
        <v>0</v>
      </c>
      <c r="U2651" s="529"/>
      <c r="V2651" s="82">
        <f>+T2651*S2651*R2651</f>
        <v>0</v>
      </c>
      <c r="Y2651" s="393">
        <f>+IFERROR((R2651*S2651)*Y2627,0)</f>
        <v>0</v>
      </c>
      <c r="Z2651" s="391">
        <f>Y2627*V2651</f>
        <v>0</v>
      </c>
      <c r="AA2651" s="86"/>
      <c r="AB2651" s="92">
        <f>+Y2651*T2651</f>
        <v>0</v>
      </c>
      <c r="AC2651" s="93">
        <f>+AB2651-Z2651</f>
        <v>0</v>
      </c>
      <c r="AD2651" s="94"/>
      <c r="AE2651" s="406" t="str">
        <f>+IF(V2651=0,"CERO","NO")</f>
        <v>CERO</v>
      </c>
    </row>
    <row r="2652" spans="3:31" s="260" customFormat="1" ht="15.75" thickBot="1" x14ac:dyDescent="0.3">
      <c r="C2652" s="84"/>
      <c r="D2652" s="89"/>
      <c r="E2652" s="90"/>
      <c r="F2652" s="90"/>
      <c r="G2652" s="90"/>
      <c r="H2652" s="90"/>
      <c r="I2652" s="90"/>
      <c r="J2652" s="91"/>
      <c r="K2652" s="88"/>
      <c r="M2652" s="102">
        <v>0</v>
      </c>
      <c r="N2652" s="533"/>
      <c r="O2652" s="533"/>
      <c r="P2652" s="533"/>
      <c r="Q2652" s="79"/>
      <c r="R2652" s="78"/>
      <c r="S2652" s="81"/>
      <c r="T2652" s="529"/>
      <c r="U2652" s="529"/>
      <c r="V2652" s="82"/>
      <c r="Y2652" s="393">
        <f>+IFERROR((R2652*S2652)*Y2627,0)</f>
        <v>0</v>
      </c>
      <c r="Z2652" s="391">
        <f>Y2627*V2652</f>
        <v>0</v>
      </c>
      <c r="AA2652" s="86"/>
      <c r="AB2652" s="92">
        <f>+Y2652*T2652</f>
        <v>0</v>
      </c>
      <c r="AC2652" s="93">
        <f>+AB2652-Z2652</f>
        <v>0</v>
      </c>
      <c r="AD2652" s="94"/>
      <c r="AE2652" s="406" t="str">
        <f>+IF(V2652=0,"CERO","NO")</f>
        <v>CERO</v>
      </c>
    </row>
    <row r="2653" spans="3:31" s="260" customFormat="1" ht="15.75" thickBot="1" x14ac:dyDescent="0.3">
      <c r="C2653" s="84"/>
      <c r="D2653" s="375" t="s">
        <v>128</v>
      </c>
      <c r="E2653" s="376" t="s">
        <v>129</v>
      </c>
      <c r="F2653" s="376" t="s">
        <v>130</v>
      </c>
      <c r="G2653" s="376" t="s">
        <v>131</v>
      </c>
      <c r="H2653" s="376" t="s">
        <v>132</v>
      </c>
      <c r="I2653" s="376" t="s">
        <v>133</v>
      </c>
      <c r="J2653" s="377" t="s">
        <v>134</v>
      </c>
      <c r="K2653" s="88"/>
      <c r="M2653" s="534"/>
      <c r="N2653" s="536" t="s">
        <v>113</v>
      </c>
      <c r="O2653" s="536"/>
      <c r="P2653" s="536"/>
      <c r="Q2653" s="536"/>
      <c r="R2653" s="536"/>
      <c r="S2653" s="536"/>
      <c r="T2653" s="536"/>
      <c r="U2653" s="536"/>
      <c r="V2653" s="411">
        <f>+SUM(V2649:V2652)</f>
        <v>347.2217399698057</v>
      </c>
      <c r="Y2653" s="398" t="s">
        <v>135</v>
      </c>
      <c r="Z2653" s="397">
        <f>+SUM(Z2649:Z2652)</f>
        <v>4166.6608796376686</v>
      </c>
      <c r="AA2653" s="86"/>
      <c r="AB2653" s="384"/>
      <c r="AC2653" s="385"/>
      <c r="AD2653" s="94"/>
      <c r="AE2653" s="399"/>
    </row>
    <row r="2654" spans="3:31" s="260" customFormat="1" ht="15.75" thickBot="1" x14ac:dyDescent="0.3">
      <c r="C2654" s="84"/>
      <c r="D2654" s="355"/>
      <c r="E2654" s="367"/>
      <c r="F2654" s="412">
        <f>+E2646</f>
        <v>3.05</v>
      </c>
      <c r="G2654" s="367"/>
      <c r="H2654" s="367"/>
      <c r="I2654" s="367"/>
      <c r="J2654" s="368"/>
      <c r="K2654" s="88"/>
      <c r="M2654" s="535"/>
      <c r="N2654" s="537" t="s">
        <v>114</v>
      </c>
      <c r="O2654" s="537"/>
      <c r="P2654" s="537"/>
      <c r="Q2654" s="537"/>
      <c r="R2654" s="537"/>
      <c r="S2654" s="537"/>
      <c r="T2654" s="537"/>
      <c r="U2654" s="537"/>
      <c r="V2654" s="413">
        <f>+ROUND(V2653,$AA$5)</f>
        <v>347.22</v>
      </c>
      <c r="Y2654" s="401" t="s">
        <v>136</v>
      </c>
      <c r="Z2654" s="402">
        <f>+ROUND(Z2653,$AA$5)</f>
        <v>4166.66</v>
      </c>
      <c r="AA2654" s="86"/>
      <c r="AB2654" s="403">
        <f>+V2654*Y2627</f>
        <v>4166.6400000000003</v>
      </c>
      <c r="AC2654" s="414"/>
      <c r="AD2654" s="94"/>
      <c r="AE2654" s="405"/>
    </row>
    <row r="2655" spans="3:31" s="260" customFormat="1" ht="15.75" thickBot="1" x14ac:dyDescent="0.3">
      <c r="C2655" s="84"/>
      <c r="D2655" s="415"/>
      <c r="E2655" s="416"/>
      <c r="F2655" s="416"/>
      <c r="G2655" s="416"/>
      <c r="H2655" s="416"/>
      <c r="I2655" s="416"/>
      <c r="J2655" s="417"/>
      <c r="K2655" s="88"/>
      <c r="M2655" s="538" t="s">
        <v>115</v>
      </c>
      <c r="N2655" s="539"/>
      <c r="O2655" s="539"/>
      <c r="P2655" s="539"/>
      <c r="Q2655" s="539"/>
      <c r="R2655" s="539"/>
      <c r="S2655" s="539"/>
      <c r="T2655" s="539"/>
      <c r="U2655" s="539"/>
      <c r="V2655" s="540"/>
      <c r="Y2655" s="378"/>
      <c r="Z2655" s="121"/>
      <c r="AA2655" s="86"/>
      <c r="AB2655" s="409"/>
      <c r="AC2655" s="121"/>
      <c r="AD2655" s="94"/>
      <c r="AE2655" s="126"/>
    </row>
    <row r="2656" spans="3:31" s="260" customFormat="1" ht="15.75" thickBot="1" x14ac:dyDescent="0.3">
      <c r="C2656" s="84"/>
      <c r="D2656" s="375" t="s">
        <v>128</v>
      </c>
      <c r="E2656" s="376" t="s">
        <v>129</v>
      </c>
      <c r="F2656" s="376" t="s">
        <v>130</v>
      </c>
      <c r="G2656" s="376" t="s">
        <v>131</v>
      </c>
      <c r="H2656" s="376" t="s">
        <v>132</v>
      </c>
      <c r="I2656" s="376" t="s">
        <v>133</v>
      </c>
      <c r="J2656" s="377" t="s">
        <v>134</v>
      </c>
      <c r="K2656" s="88"/>
      <c r="M2656" s="99" t="s">
        <v>94</v>
      </c>
      <c r="N2656" s="98" t="s">
        <v>95</v>
      </c>
      <c r="O2656" s="95" t="s">
        <v>96</v>
      </c>
      <c r="P2656" s="359" t="s">
        <v>104</v>
      </c>
      <c r="Q2656" s="95" t="s">
        <v>116</v>
      </c>
      <c r="R2656" s="418" t="s">
        <v>117</v>
      </c>
      <c r="S2656" s="95" t="s">
        <v>347</v>
      </c>
      <c r="T2656" s="419" t="s">
        <v>118</v>
      </c>
      <c r="U2656" s="189" t="s">
        <v>119</v>
      </c>
      <c r="V2656" s="100" t="s">
        <v>98</v>
      </c>
      <c r="Y2656" s="383" t="s">
        <v>104</v>
      </c>
      <c r="Z2656" s="119" t="s">
        <v>9</v>
      </c>
      <c r="AA2656" s="86"/>
      <c r="AB2656" s="384"/>
      <c r="AC2656" s="385"/>
      <c r="AD2656" s="94"/>
      <c r="AE2656" s="410"/>
    </row>
    <row r="2657" spans="3:31" s="260" customFormat="1" ht="25.5" x14ac:dyDescent="0.25">
      <c r="C2657" s="84"/>
      <c r="D2657" s="354"/>
      <c r="E2657" s="96"/>
      <c r="F2657" s="96"/>
      <c r="G2657" s="96"/>
      <c r="H2657" s="96"/>
      <c r="I2657" s="96"/>
      <c r="J2657" s="420">
        <f>+F2654</f>
        <v>3.05</v>
      </c>
      <c r="K2657" s="88"/>
      <c r="M2657" s="102">
        <v>207</v>
      </c>
      <c r="N2657" s="347" t="str">
        <f>IFERROR(VLOOKUP(M2657,INSUMOS!$C$8:$K$928,2,0),"-----")</f>
        <v>Oficial Hidrosanitario</v>
      </c>
      <c r="O2657" s="78" t="str">
        <f>IFERROR(VLOOKUP(M2657,INSUMOS!$C$8:$K$928,3,0),"-----")</f>
        <v>JORNAL+PS</v>
      </c>
      <c r="P2657" s="80">
        <v>1</v>
      </c>
      <c r="Q2657" s="79">
        <v>15</v>
      </c>
      <c r="R2657" s="190">
        <f>IFERROR(VLOOKUP(M2657,INSUMOS!$C$8:$K$928,4,0),"-----")</f>
        <v>92983</v>
      </c>
      <c r="S2657" s="190">
        <f>IFERROR(VLOOKUP(M2657,INSUMOS!$C$8:$K$928,6,0),"-----")</f>
        <v>74386</v>
      </c>
      <c r="T2657" s="190">
        <f>IFERROR(VLOOKUP(M2657,INSUMOS!$C$8:$K$928,5,0),"-----")</f>
        <v>0</v>
      </c>
      <c r="U2657" s="388">
        <f>SUM(R2657:T2657)</f>
        <v>167369</v>
      </c>
      <c r="V2657" s="82">
        <f>+IFERROR((P2657/Q2657)*U2657,0)</f>
        <v>11157.933333333332</v>
      </c>
      <c r="Y2657" s="393">
        <f>+IFERROR((Y2627/Q2657*P2657),0)</f>
        <v>0.8</v>
      </c>
      <c r="Z2657" s="391">
        <f>Y2627*V2657</f>
        <v>133895.19999999998</v>
      </c>
      <c r="AA2657" s="86"/>
      <c r="AB2657" s="92">
        <f>+(U2657)*Y2657</f>
        <v>133895.20000000001</v>
      </c>
      <c r="AC2657" s="93">
        <f>+AB2657-Z2657</f>
        <v>0</v>
      </c>
      <c r="AD2657" s="421"/>
      <c r="AE2657" s="410" t="str">
        <f>+IF(V2657=0,"CERO","NO")</f>
        <v>NO</v>
      </c>
    </row>
    <row r="2658" spans="3:31" s="260" customFormat="1" ht="26.25" thickBot="1" x14ac:dyDescent="0.3">
      <c r="C2658" s="84"/>
      <c r="D2658" s="355"/>
      <c r="E2658" s="367"/>
      <c r="F2658" s="367"/>
      <c r="G2658" s="367"/>
      <c r="H2658" s="367"/>
      <c r="I2658" s="367"/>
      <c r="J2658" s="422">
        <f>+J2657</f>
        <v>3.05</v>
      </c>
      <c r="K2658" s="88"/>
      <c r="M2658" s="102">
        <v>208</v>
      </c>
      <c r="N2658" s="347" t="str">
        <f>IFERROR(VLOOKUP(M2658,INSUMOS!$C$8:$K$928,2,0),"-----")</f>
        <v>Ayudante Hidrosanitario</v>
      </c>
      <c r="O2658" s="78" t="str">
        <f>IFERROR(VLOOKUP(M2658,INSUMOS!$C$8:$K$928,3,0),"-----")</f>
        <v>JORNAL+PS</v>
      </c>
      <c r="P2658" s="80">
        <v>1</v>
      </c>
      <c r="Q2658" s="79">
        <v>15</v>
      </c>
      <c r="R2658" s="190">
        <f>IFERROR(VLOOKUP(M2658,INSUMOS!$C$8:$K$928,4,0),"-----")</f>
        <v>69172</v>
      </c>
      <c r="S2658" s="190">
        <f>IFERROR(VLOOKUP(M2658,INSUMOS!$C$8:$K$928,6,0),"-----")</f>
        <v>55337</v>
      </c>
      <c r="T2658" s="190">
        <f>IFERROR(VLOOKUP(M2658,INSUMOS!$C$8:$K$928,5,0),"-----")</f>
        <v>0</v>
      </c>
      <c r="U2658" s="388">
        <f>SUM(R2658:T2658)</f>
        <v>124509</v>
      </c>
      <c r="V2658" s="82">
        <f>+IFERROR((P2658/Q2658)*U2658,0)</f>
        <v>8300.6</v>
      </c>
      <c r="Y2658" s="393">
        <f>+IFERROR((Y2627/Q2658*P2658),0)</f>
        <v>0.8</v>
      </c>
      <c r="Z2658" s="391">
        <f>Y2627*V2658</f>
        <v>99607.200000000012</v>
      </c>
      <c r="AA2658" s="86"/>
      <c r="AB2658" s="92">
        <f>+U2658*Y2658</f>
        <v>99607.200000000012</v>
      </c>
      <c r="AC2658" s="93">
        <f>+AB2658-Z2658</f>
        <v>0</v>
      </c>
      <c r="AD2658" s="94"/>
      <c r="AE2658" s="410" t="str">
        <f>+IF(V2658=0,"CERO","NO")</f>
        <v>NO</v>
      </c>
    </row>
    <row r="2659" spans="3:31" s="260" customFormat="1" ht="15.75" thickBot="1" x14ac:dyDescent="0.3">
      <c r="C2659" s="84"/>
      <c r="D2659" s="380"/>
      <c r="E2659" s="381"/>
      <c r="F2659" s="381"/>
      <c r="G2659" s="381"/>
      <c r="H2659" s="381"/>
      <c r="I2659" s="381"/>
      <c r="J2659" s="382"/>
      <c r="K2659" s="88"/>
      <c r="M2659" s="102">
        <v>0</v>
      </c>
      <c r="N2659" s="347"/>
      <c r="O2659" s="79"/>
      <c r="P2659" s="423"/>
      <c r="Q2659" s="81"/>
      <c r="R2659" s="111"/>
      <c r="S2659" s="357"/>
      <c r="T2659" s="111"/>
      <c r="U2659" s="388"/>
      <c r="V2659" s="426"/>
      <c r="Y2659" s="393">
        <f>+IFERROR((Y2627/Q2659*P2659),0)</f>
        <v>0</v>
      </c>
      <c r="Z2659" s="391">
        <f>Y2627*V2659</f>
        <v>0</v>
      </c>
      <c r="AA2659" s="86"/>
      <c r="AB2659" s="92">
        <f>+(U2659)*Y2659*P2659</f>
        <v>0</v>
      </c>
      <c r="AC2659" s="93">
        <f>+AB2659-Z2659</f>
        <v>0</v>
      </c>
      <c r="AD2659" s="94"/>
      <c r="AE2659" s="410" t="str">
        <f>+IF(V2659=0,"CERO","NO")</f>
        <v>CERO</v>
      </c>
    </row>
    <row r="2660" spans="3:31" s="260" customFormat="1" ht="15.75" thickBot="1" x14ac:dyDescent="0.3">
      <c r="C2660" s="84"/>
      <c r="D2660" s="375" t="s">
        <v>128</v>
      </c>
      <c r="E2660" s="376" t="s">
        <v>129</v>
      </c>
      <c r="F2660" s="376" t="s">
        <v>130</v>
      </c>
      <c r="G2660" s="376" t="s">
        <v>131</v>
      </c>
      <c r="H2660" s="376" t="s">
        <v>132</v>
      </c>
      <c r="I2660" s="376" t="s">
        <v>133</v>
      </c>
      <c r="J2660" s="377" t="s">
        <v>134</v>
      </c>
      <c r="K2660" s="88"/>
      <c r="M2660" s="534"/>
      <c r="N2660" s="536" t="s">
        <v>120</v>
      </c>
      <c r="O2660" s="536"/>
      <c r="P2660" s="536"/>
      <c r="Q2660" s="536"/>
      <c r="R2660" s="536"/>
      <c r="S2660" s="536"/>
      <c r="T2660" s="536"/>
      <c r="U2660" s="536"/>
      <c r="V2660" s="82">
        <f>+SUM(V2657:V2659)</f>
        <v>19458.533333333333</v>
      </c>
      <c r="Y2660" s="398" t="s">
        <v>135</v>
      </c>
      <c r="Z2660" s="397">
        <f>+SUM(Z2657:Z2659)</f>
        <v>233502.4</v>
      </c>
      <c r="AA2660" s="86"/>
      <c r="AB2660" s="384"/>
      <c r="AC2660" s="385"/>
      <c r="AD2660" s="94"/>
      <c r="AE2660" s="399"/>
    </row>
    <row r="2661" spans="3:31" s="260" customFormat="1" ht="15.75" thickBot="1" x14ac:dyDescent="0.3">
      <c r="C2661" s="84"/>
      <c r="D2661" s="354"/>
      <c r="E2661" s="96"/>
      <c r="F2661" s="96"/>
      <c r="G2661" s="107">
        <f>+F2654</f>
        <v>3.05</v>
      </c>
      <c r="H2661" s="96"/>
      <c r="I2661" s="96"/>
      <c r="J2661" s="427"/>
      <c r="K2661" s="88"/>
      <c r="M2661" s="535"/>
      <c r="N2661" s="537" t="s">
        <v>121</v>
      </c>
      <c r="O2661" s="537"/>
      <c r="P2661" s="537"/>
      <c r="Q2661" s="537"/>
      <c r="R2661" s="537"/>
      <c r="S2661" s="537"/>
      <c r="T2661" s="537"/>
      <c r="U2661" s="537"/>
      <c r="V2661" s="413">
        <f>+ROUND(V2660,$AA$5)</f>
        <v>19458.53</v>
      </c>
      <c r="Y2661" s="401" t="s">
        <v>136</v>
      </c>
      <c r="Z2661" s="402">
        <f>+ROUND(Z2660,$AA$5)</f>
        <v>233502.4</v>
      </c>
      <c r="AA2661" s="86"/>
      <c r="AB2661" s="403">
        <f>+V2661*Y2627</f>
        <v>233502.36</v>
      </c>
      <c r="AC2661" s="404">
        <f>+AB2661-Z2661</f>
        <v>-4.0000000008149073E-2</v>
      </c>
      <c r="AD2661" s="94"/>
      <c r="AE2661" s="405"/>
    </row>
    <row r="2662" spans="3:31" s="260" customFormat="1" ht="15.75" thickBot="1" x14ac:dyDescent="0.3">
      <c r="C2662" s="84"/>
      <c r="D2662" s="375" t="s">
        <v>128</v>
      </c>
      <c r="E2662" s="376" t="s">
        <v>129</v>
      </c>
      <c r="F2662" s="376" t="s">
        <v>130</v>
      </c>
      <c r="G2662" s="376" t="s">
        <v>131</v>
      </c>
      <c r="H2662" s="376" t="s">
        <v>132</v>
      </c>
      <c r="I2662" s="376" t="s">
        <v>133</v>
      </c>
      <c r="J2662" s="377" t="s">
        <v>134</v>
      </c>
      <c r="K2662" s="88"/>
      <c r="M2662" s="541"/>
      <c r="N2662" s="542"/>
      <c r="O2662" s="542"/>
      <c r="P2662" s="542"/>
      <c r="Q2662" s="542"/>
      <c r="R2662" s="542"/>
      <c r="S2662" s="542"/>
      <c r="T2662" s="542"/>
      <c r="U2662" s="542"/>
      <c r="V2662" s="543"/>
      <c r="Y2662" s="378"/>
      <c r="Z2662" s="121"/>
      <c r="AA2662" s="86"/>
      <c r="AB2662" s="409"/>
      <c r="AC2662" s="121"/>
      <c r="AD2662" s="94"/>
      <c r="AE2662" s="428"/>
    </row>
    <row r="2663" spans="3:31" s="260" customFormat="1" ht="15.75" thickBot="1" x14ac:dyDescent="0.3">
      <c r="C2663" s="84"/>
      <c r="D2663" s="355"/>
      <c r="E2663" s="367"/>
      <c r="F2663" s="367"/>
      <c r="G2663" s="367"/>
      <c r="H2663" s="412">
        <f>G2661</f>
        <v>3.05</v>
      </c>
      <c r="I2663" s="412"/>
      <c r="J2663" s="422"/>
      <c r="K2663" s="88"/>
      <c r="M2663" s="544" t="s">
        <v>122</v>
      </c>
      <c r="N2663" s="537"/>
      <c r="O2663" s="537"/>
      <c r="P2663" s="537"/>
      <c r="Q2663" s="537"/>
      <c r="R2663" s="537"/>
      <c r="S2663" s="537"/>
      <c r="T2663" s="537"/>
      <c r="U2663" s="545">
        <f>+V2661+V2654+V2646+V2637</f>
        <v>160305</v>
      </c>
      <c r="V2663" s="546"/>
      <c r="Y2663" s="429"/>
      <c r="Z2663" s="430">
        <f>+Z2661+Z2654+Z2646+Z2637</f>
        <v>1923659.9800000002</v>
      </c>
      <c r="AA2663" s="86"/>
      <c r="AB2663" s="431">
        <f>+AB2661+AB2654+AB2646+AB2637</f>
        <v>1923660</v>
      </c>
      <c r="AC2663" s="404">
        <f>+AB2663-Z2663</f>
        <v>1.9999999785795808E-2</v>
      </c>
      <c r="AD2663" s="94"/>
      <c r="AE2663" s="432"/>
    </row>
    <row r="2664" spans="3:31" s="260" customFormat="1" ht="15.75" thickBot="1" x14ac:dyDescent="0.3"/>
    <row r="2665" spans="3:31" s="260" customFormat="1" x14ac:dyDescent="0.25">
      <c r="M2665" s="547" t="s">
        <v>348</v>
      </c>
      <c r="N2665" s="548"/>
      <c r="O2665" s="548"/>
      <c r="P2665" s="548"/>
      <c r="Q2665" s="548"/>
      <c r="R2665" s="548"/>
      <c r="S2665" s="548"/>
      <c r="T2665" s="548"/>
      <c r="U2665" s="548"/>
      <c r="V2665" s="549"/>
      <c r="Y2665" s="378"/>
      <c r="Z2665" s="121"/>
      <c r="AA2665" s="86"/>
      <c r="AB2665" s="94"/>
      <c r="AC2665" s="94"/>
      <c r="AD2665" s="94"/>
      <c r="AE2665" s="126" t="s">
        <v>133</v>
      </c>
    </row>
    <row r="2666" spans="3:31" s="260" customFormat="1" x14ac:dyDescent="0.25">
      <c r="M2666" s="515" t="s">
        <v>138</v>
      </c>
      <c r="N2666" s="516"/>
      <c r="O2666" s="516"/>
      <c r="P2666" s="516"/>
      <c r="Q2666" s="516"/>
      <c r="R2666" s="516"/>
      <c r="S2666" s="516"/>
      <c r="T2666" s="437">
        <v>0</v>
      </c>
      <c r="U2666" s="517">
        <f>+ROUND(U2663*T2666,$AA$5)</f>
        <v>0</v>
      </c>
      <c r="V2666" s="518"/>
      <c r="Y2666" s="390"/>
      <c r="Z2666" s="438">
        <f>+Z2663*T2666</f>
        <v>0</v>
      </c>
      <c r="AA2666" s="86"/>
      <c r="AB2666" s="94"/>
      <c r="AC2666" s="94"/>
      <c r="AD2666" s="94"/>
      <c r="AE2666" s="386" t="s">
        <v>133</v>
      </c>
    </row>
    <row r="2667" spans="3:31" s="260" customFormat="1" x14ac:dyDescent="0.25">
      <c r="M2667" s="515" t="s">
        <v>19</v>
      </c>
      <c r="N2667" s="516"/>
      <c r="O2667" s="516"/>
      <c r="P2667" s="516"/>
      <c r="Q2667" s="516"/>
      <c r="R2667" s="516"/>
      <c r="S2667" s="516"/>
      <c r="T2667" s="437">
        <v>0.05</v>
      </c>
      <c r="U2667" s="517">
        <f>+ROUND(U2663*T2667,$AA$5)</f>
        <v>8015.25</v>
      </c>
      <c r="V2667" s="518"/>
      <c r="Y2667" s="390"/>
      <c r="Z2667" s="438">
        <f>+Z2663*T2667</f>
        <v>96182.999000000011</v>
      </c>
      <c r="AA2667" s="86"/>
      <c r="AB2667" s="94"/>
      <c r="AC2667" s="94"/>
      <c r="AD2667" s="94"/>
      <c r="AE2667" s="386" t="s">
        <v>133</v>
      </c>
    </row>
    <row r="2668" spans="3:31" s="260" customFormat="1" x14ac:dyDescent="0.25">
      <c r="M2668" s="515" t="s">
        <v>20</v>
      </c>
      <c r="N2668" s="516"/>
      <c r="O2668" s="516"/>
      <c r="P2668" s="516"/>
      <c r="Q2668" s="516"/>
      <c r="R2668" s="516"/>
      <c r="S2668" s="516"/>
      <c r="T2668" s="437">
        <v>0</v>
      </c>
      <c r="U2668" s="517">
        <f>+ROUND(U2663*T2668,$AA$5)</f>
        <v>0</v>
      </c>
      <c r="V2668" s="518"/>
      <c r="Y2668" s="390"/>
      <c r="Z2668" s="438">
        <f>+Z2663*T2668</f>
        <v>0</v>
      </c>
      <c r="AA2668" s="86"/>
      <c r="AB2668" s="94"/>
      <c r="AC2668" s="94"/>
      <c r="AD2668" s="94"/>
      <c r="AE2668" s="386" t="s">
        <v>133</v>
      </c>
    </row>
    <row r="2669" spans="3:31" s="260" customFormat="1" x14ac:dyDescent="0.25">
      <c r="M2669" s="515" t="s">
        <v>21</v>
      </c>
      <c r="N2669" s="516"/>
      <c r="O2669" s="516"/>
      <c r="P2669" s="516"/>
      <c r="Q2669" s="516"/>
      <c r="R2669" s="516"/>
      <c r="S2669" s="516"/>
      <c r="T2669" s="437">
        <f>$AA$9</f>
        <v>0</v>
      </c>
      <c r="U2669" s="517">
        <f>+ROUND(U2663*T2669,$AA$5)</f>
        <v>0</v>
      </c>
      <c r="V2669" s="518"/>
      <c r="Y2669" s="390"/>
      <c r="Z2669" s="438">
        <f>+Z2668*T2669</f>
        <v>0</v>
      </c>
      <c r="AA2669" s="86"/>
      <c r="AB2669" s="94"/>
      <c r="AC2669" s="94"/>
      <c r="AD2669" s="94"/>
      <c r="AE2669" s="386" t="s">
        <v>133</v>
      </c>
    </row>
    <row r="2670" spans="3:31" s="260" customFormat="1" ht="15.75" thickBot="1" x14ac:dyDescent="0.3">
      <c r="M2670" s="519" t="s">
        <v>349</v>
      </c>
      <c r="N2670" s="520"/>
      <c r="O2670" s="520"/>
      <c r="P2670" s="520"/>
      <c r="Q2670" s="520"/>
      <c r="R2670" s="520"/>
      <c r="S2670" s="520"/>
      <c r="T2670" s="520"/>
      <c r="U2670" s="521">
        <f>+SUM(U2666:V2669)</f>
        <v>8015.25</v>
      </c>
      <c r="V2670" s="522"/>
      <c r="Y2670" s="390"/>
      <c r="Z2670" s="439">
        <f>+SUM(Z2666:Z2669)</f>
        <v>96182.999000000011</v>
      </c>
      <c r="AA2670" s="86"/>
      <c r="AB2670" s="94"/>
      <c r="AC2670" s="94"/>
      <c r="AD2670" s="94"/>
      <c r="AE2670" s="386" t="s">
        <v>133</v>
      </c>
    </row>
    <row r="2671" spans="3:31" s="260" customFormat="1" ht="15.75" thickBot="1" x14ac:dyDescent="0.3">
      <c r="D2671" s="375" t="s">
        <v>128</v>
      </c>
      <c r="E2671" s="376" t="s">
        <v>129</v>
      </c>
      <c r="F2671" s="376" t="s">
        <v>130</v>
      </c>
      <c r="G2671" s="376" t="s">
        <v>131</v>
      </c>
      <c r="H2671" s="376" t="s">
        <v>132</v>
      </c>
      <c r="I2671" s="376" t="s">
        <v>133</v>
      </c>
      <c r="J2671" s="377" t="s">
        <v>134</v>
      </c>
      <c r="M2671" s="86"/>
      <c r="N2671" s="94"/>
      <c r="O2671" s="94"/>
      <c r="P2671" s="94"/>
      <c r="Q2671" s="86"/>
      <c r="R2671" s="86"/>
      <c r="S2671" s="86"/>
      <c r="T2671" s="440"/>
      <c r="U2671" s="523"/>
      <c r="V2671" s="523"/>
      <c r="Y2671" s="390"/>
      <c r="Z2671" s="385"/>
      <c r="AA2671" s="86"/>
      <c r="AB2671" s="94"/>
      <c r="AC2671" s="94"/>
      <c r="AD2671" s="94"/>
      <c r="AE2671" s="386" t="s">
        <v>133</v>
      </c>
    </row>
    <row r="2672" spans="3:31" s="260" customFormat="1" ht="15.75" thickBot="1" x14ac:dyDescent="0.3">
      <c r="D2672" s="355"/>
      <c r="E2672" s="367"/>
      <c r="F2672" s="367"/>
      <c r="G2672" s="367"/>
      <c r="H2672" s="412"/>
      <c r="I2672" s="412">
        <f>H2663</f>
        <v>3.05</v>
      </c>
      <c r="J2672" s="422"/>
      <c r="M2672" s="524" t="s">
        <v>11</v>
      </c>
      <c r="N2672" s="525"/>
      <c r="O2672" s="525"/>
      <c r="P2672" s="525"/>
      <c r="Q2672" s="525"/>
      <c r="R2672" s="525"/>
      <c r="S2672" s="525"/>
      <c r="T2672" s="526"/>
      <c r="U2672" s="527">
        <f>+U2670+U2663</f>
        <v>168320.25</v>
      </c>
      <c r="V2672" s="528"/>
      <c r="Y2672" s="429"/>
      <c r="Z2672" s="441">
        <f>+Z2670+Z2663</f>
        <v>2019842.9790000003</v>
      </c>
      <c r="AA2672" s="86"/>
      <c r="AB2672" s="94"/>
      <c r="AC2672" s="94"/>
      <c r="AD2672" s="94"/>
      <c r="AE2672" s="405" t="s">
        <v>133</v>
      </c>
    </row>
    <row r="2673" spans="3:31" s="260" customFormat="1" x14ac:dyDescent="0.25"/>
    <row r="2674" spans="3:31" s="260" customFormat="1" ht="15.75" thickBot="1" x14ac:dyDescent="0.3"/>
    <row r="2675" spans="3:31" s="260" customFormat="1" ht="15.75" thickBot="1" x14ac:dyDescent="0.3">
      <c r="M2675" s="363" t="s">
        <v>88</v>
      </c>
      <c r="N2675" s="436" t="str">
        <f>+N2626</f>
        <v>CAP.3</v>
      </c>
      <c r="O2675" s="550" t="str">
        <f>IFERROR(VLOOKUP(N2675,PPTO!C:H,2,0),"----")</f>
        <v>RED CONTRAINCENDIOS</v>
      </c>
      <c r="P2675" s="551"/>
      <c r="Q2675" s="551"/>
      <c r="R2675" s="551"/>
      <c r="S2675" s="551"/>
      <c r="T2675" s="551"/>
      <c r="U2675" s="552"/>
      <c r="V2675" s="74" t="s">
        <v>91</v>
      </c>
      <c r="Y2675" s="365" t="s">
        <v>104</v>
      </c>
      <c r="Z2675" s="94"/>
      <c r="AA2675" s="188"/>
      <c r="AB2675" s="553"/>
      <c r="AC2675" s="553"/>
      <c r="AD2675" s="553"/>
      <c r="AE2675" s="94"/>
    </row>
    <row r="2676" spans="3:31" s="260" customFormat="1" ht="15.75" thickBot="1" x14ac:dyDescent="0.3">
      <c r="C2676" s="369">
        <f>+N2676</f>
        <v>3.06</v>
      </c>
      <c r="D2676" s="86"/>
      <c r="E2676" s="86"/>
      <c r="F2676" s="86"/>
      <c r="G2676" s="86"/>
      <c r="H2676" s="86"/>
      <c r="I2676" s="86"/>
      <c r="J2676" s="86"/>
      <c r="K2676" s="370"/>
      <c r="M2676" s="75" t="s">
        <v>92</v>
      </c>
      <c r="N2676" s="371">
        <f>+ROUNDUP(N2627+0.01,2)</f>
        <v>3.06</v>
      </c>
      <c r="O2676" s="554" t="str">
        <f>IFERROR(VLOOKUP(N2676,PPTO!C:H,2,0),"----")</f>
        <v>Tee C-PVC Ø3"</v>
      </c>
      <c r="P2676" s="555"/>
      <c r="Q2676" s="555"/>
      <c r="R2676" s="555"/>
      <c r="S2676" s="555"/>
      <c r="T2676" s="555"/>
      <c r="U2676" s="556"/>
      <c r="V2676" s="76" t="str">
        <f>IFERROR(VLOOKUP(N2676,PPTO!C:H,3,0),"----")</f>
        <v>UND</v>
      </c>
      <c r="Y2676" s="373">
        <f>SUMIFS(PPTO!F:F,PPTO!C:C,APUS!N2676)</f>
        <v>37</v>
      </c>
      <c r="Z2676" s="94"/>
      <c r="AA2676" s="86"/>
      <c r="AB2676" s="94"/>
      <c r="AC2676" s="94"/>
      <c r="AD2676" s="94"/>
      <c r="AE2676" s="94"/>
    </row>
    <row r="2677" spans="3:31" s="260" customFormat="1" ht="15.75" thickBot="1" x14ac:dyDescent="0.3">
      <c r="C2677" s="84"/>
      <c r="D2677" s="86"/>
      <c r="E2677" s="86"/>
      <c r="F2677" s="86"/>
      <c r="G2677" s="86"/>
      <c r="H2677" s="86"/>
      <c r="I2677" s="86"/>
      <c r="J2677" s="86"/>
      <c r="K2677" s="88"/>
      <c r="M2677" s="557"/>
      <c r="N2677" s="557"/>
      <c r="O2677" s="557"/>
      <c r="P2677" s="557"/>
      <c r="Q2677" s="557"/>
      <c r="R2677" s="557"/>
      <c r="S2677" s="557"/>
      <c r="T2677" s="557"/>
      <c r="U2677" s="557"/>
      <c r="V2677" s="557"/>
      <c r="Y2677" s="374"/>
      <c r="Z2677" s="94"/>
      <c r="AA2677" s="86"/>
      <c r="AB2677" s="94"/>
      <c r="AC2677" s="94"/>
      <c r="AD2677" s="94"/>
      <c r="AE2677" s="94"/>
    </row>
    <row r="2678" spans="3:31" s="260" customFormat="1" ht="15.75" thickBot="1" x14ac:dyDescent="0.3">
      <c r="C2678" s="84"/>
      <c r="D2678" s="375" t="s">
        <v>128</v>
      </c>
      <c r="E2678" s="376" t="s">
        <v>129</v>
      </c>
      <c r="F2678" s="376" t="s">
        <v>130</v>
      </c>
      <c r="G2678" s="376" t="s">
        <v>131</v>
      </c>
      <c r="H2678" s="376" t="s">
        <v>132</v>
      </c>
      <c r="I2678" s="376" t="s">
        <v>133</v>
      </c>
      <c r="J2678" s="377" t="s">
        <v>134</v>
      </c>
      <c r="K2678" s="88"/>
      <c r="M2678" s="558" t="s">
        <v>93</v>
      </c>
      <c r="N2678" s="559"/>
      <c r="O2678" s="559"/>
      <c r="P2678" s="559"/>
      <c r="Q2678" s="559"/>
      <c r="R2678" s="559"/>
      <c r="S2678" s="559"/>
      <c r="T2678" s="559"/>
      <c r="U2678" s="559"/>
      <c r="V2678" s="560"/>
      <c r="Y2678" s="378"/>
      <c r="Z2678" s="121"/>
      <c r="AA2678" s="86"/>
      <c r="AB2678" s="513"/>
      <c r="AC2678" s="514"/>
      <c r="AD2678" s="94"/>
      <c r="AE2678" s="379"/>
    </row>
    <row r="2679" spans="3:31" s="260" customFormat="1" x14ac:dyDescent="0.25">
      <c r="C2679" s="84"/>
      <c r="D2679" s="380"/>
      <c r="E2679" s="381"/>
      <c r="F2679" s="381"/>
      <c r="G2679" s="381"/>
      <c r="H2679" s="381"/>
      <c r="I2679" s="381"/>
      <c r="J2679" s="382"/>
      <c r="K2679" s="88"/>
      <c r="M2679" s="99" t="s">
        <v>94</v>
      </c>
      <c r="N2679" s="561" t="s">
        <v>95</v>
      </c>
      <c r="O2679" s="561"/>
      <c r="P2679" s="561"/>
      <c r="Q2679" s="561"/>
      <c r="R2679" s="95" t="s">
        <v>96</v>
      </c>
      <c r="S2679" s="95" t="s">
        <v>97</v>
      </c>
      <c r="T2679" s="562" t="s">
        <v>8</v>
      </c>
      <c r="U2679" s="562"/>
      <c r="V2679" s="100" t="s">
        <v>98</v>
      </c>
      <c r="Y2679" s="383" t="s">
        <v>104</v>
      </c>
      <c r="Z2679" s="119" t="s">
        <v>9</v>
      </c>
      <c r="AA2679" s="86"/>
      <c r="AB2679" s="384"/>
      <c r="AC2679" s="385"/>
      <c r="AD2679" s="94"/>
      <c r="AE2679" s="386"/>
    </row>
    <row r="2680" spans="3:31" s="260" customFormat="1" x14ac:dyDescent="0.25">
      <c r="C2680" s="84"/>
      <c r="D2680" s="85"/>
      <c r="E2680" s="86"/>
      <c r="F2680" s="86"/>
      <c r="G2680" s="86"/>
      <c r="H2680" s="86"/>
      <c r="I2680" s="86"/>
      <c r="J2680" s="87"/>
      <c r="K2680" s="88"/>
      <c r="M2680" s="102"/>
      <c r="N2680" s="533" t="s">
        <v>99</v>
      </c>
      <c r="O2680" s="533"/>
      <c r="P2680" s="533"/>
      <c r="Q2680" s="533"/>
      <c r="R2680" s="78" t="s">
        <v>100</v>
      </c>
      <c r="S2680" s="387">
        <f>+$AA$10</f>
        <v>0.05</v>
      </c>
      <c r="T2680" s="563">
        <f>V2710</f>
        <v>19458.53</v>
      </c>
      <c r="U2680" s="563"/>
      <c r="V2680" s="389">
        <f>+IFERROR(T2680*S2680,0)</f>
        <v>972.92650000000003</v>
      </c>
      <c r="Y2680" s="390"/>
      <c r="Z2680" s="391">
        <f>Y2676*V2680</f>
        <v>35998.280500000001</v>
      </c>
      <c r="AA2680" s="86"/>
      <c r="AB2680" s="384"/>
      <c r="AC2680" s="385"/>
      <c r="AD2680" s="94"/>
      <c r="AE2680" s="386" t="str">
        <f>+IF(V2680=0,"CERO","NO")</f>
        <v>NO</v>
      </c>
    </row>
    <row r="2681" spans="3:31" s="260" customFormat="1" x14ac:dyDescent="0.25">
      <c r="C2681" s="84"/>
      <c r="D2681" s="85"/>
      <c r="E2681" s="86"/>
      <c r="F2681" s="86"/>
      <c r="G2681" s="86"/>
      <c r="H2681" s="86"/>
      <c r="I2681" s="86"/>
      <c r="J2681" s="87"/>
      <c r="K2681" s="88"/>
      <c r="M2681" s="106"/>
      <c r="N2681" s="533" t="str">
        <f>IFERROR(VLOOKUP(M2681,INSUMOS!$C$8:$K$928,2,0),"-----")</f>
        <v>-----</v>
      </c>
      <c r="O2681" s="533"/>
      <c r="P2681" s="533"/>
      <c r="Q2681" s="533"/>
      <c r="R2681" s="78" t="str">
        <f>IFERROR(VLOOKUP(M2681,INSUMOS!$C$8:$K$928,6,0),"-----")</f>
        <v>-----</v>
      </c>
      <c r="S2681" s="392"/>
      <c r="T2681" s="529" t="str">
        <f>IFERROR(VLOOKUP(M2681,INSUMOS!$C$8:$K$928,7,0),"0")</f>
        <v>0</v>
      </c>
      <c r="U2681" s="529"/>
      <c r="V2681" s="389">
        <f>+IFERROR(T2681*S2681,0)</f>
        <v>0</v>
      </c>
      <c r="Y2681" s="393">
        <f>+IFERROR(Y2676*S2681,0)</f>
        <v>0</v>
      </c>
      <c r="Z2681" s="391">
        <f>Y2676*V2681</f>
        <v>0</v>
      </c>
      <c r="AA2681" s="394"/>
      <c r="AB2681" s="395">
        <f>+Y2681*T2681</f>
        <v>0</v>
      </c>
      <c r="AC2681" s="93">
        <f>+AB2681-Z2681</f>
        <v>0</v>
      </c>
      <c r="AD2681" s="94"/>
      <c r="AE2681" s="386" t="str">
        <f>+IF(V2681=0,"CERO","NO")</f>
        <v>CERO</v>
      </c>
    </row>
    <row r="2682" spans="3:31" s="260" customFormat="1" x14ac:dyDescent="0.25">
      <c r="C2682" s="84"/>
      <c r="D2682" s="85"/>
      <c r="E2682" s="86"/>
      <c r="F2682" s="86"/>
      <c r="G2682" s="86"/>
      <c r="H2682" s="86"/>
      <c r="I2682" s="86"/>
      <c r="J2682" s="87"/>
      <c r="K2682" s="88"/>
      <c r="M2682" s="102">
        <v>0</v>
      </c>
      <c r="N2682" s="533"/>
      <c r="O2682" s="533"/>
      <c r="P2682" s="533"/>
      <c r="Q2682" s="533"/>
      <c r="R2682" s="78"/>
      <c r="S2682" s="396"/>
      <c r="T2682" s="529"/>
      <c r="U2682" s="529"/>
      <c r="V2682" s="397"/>
      <c r="Y2682" s="393">
        <f>+IFERROR(Y2676*S2682,0)</f>
        <v>0</v>
      </c>
      <c r="Z2682" s="391">
        <f>Y2676*V2682</f>
        <v>0</v>
      </c>
      <c r="AA2682" s="394"/>
      <c r="AB2682" s="395">
        <f>+Y2682*T2682</f>
        <v>0</v>
      </c>
      <c r="AC2682" s="93">
        <f>+AB2682-Z2682</f>
        <v>0</v>
      </c>
      <c r="AD2682" s="94"/>
      <c r="AE2682" s="386" t="str">
        <f>+IF(V2682=0,"CERO","NO")</f>
        <v>CERO</v>
      </c>
    </row>
    <row r="2683" spans="3:31" s="260" customFormat="1" x14ac:dyDescent="0.25">
      <c r="C2683" s="84"/>
      <c r="D2683" s="85"/>
      <c r="E2683" s="86"/>
      <c r="F2683" s="86"/>
      <c r="G2683" s="86"/>
      <c r="H2683" s="86"/>
      <c r="I2683" s="86"/>
      <c r="J2683" s="87"/>
      <c r="K2683" s="88"/>
      <c r="M2683" s="102">
        <v>0</v>
      </c>
      <c r="N2683" s="533"/>
      <c r="O2683" s="533"/>
      <c r="P2683" s="533"/>
      <c r="Q2683" s="533"/>
      <c r="R2683" s="78"/>
      <c r="S2683" s="396"/>
      <c r="T2683" s="529"/>
      <c r="U2683" s="529"/>
      <c r="V2683" s="397"/>
      <c r="Y2683" s="393">
        <f>+IFERROR(Y2676*S2683,0)</f>
        <v>0</v>
      </c>
      <c r="Z2683" s="391">
        <f>Y2676*V2683</f>
        <v>0</v>
      </c>
      <c r="AA2683" s="394"/>
      <c r="AB2683" s="395">
        <f>+Y2683*T2683</f>
        <v>0</v>
      </c>
      <c r="AC2683" s="93">
        <f>+AB2683-Z2683</f>
        <v>0</v>
      </c>
      <c r="AD2683" s="94"/>
      <c r="AE2683" s="386" t="str">
        <f>+IF(V2683=0,"CERO","NO")</f>
        <v>CERO</v>
      </c>
    </row>
    <row r="2684" spans="3:31" s="260" customFormat="1" ht="15.75" thickBot="1" x14ac:dyDescent="0.3">
      <c r="C2684" s="84"/>
      <c r="D2684" s="85"/>
      <c r="E2684" s="86"/>
      <c r="F2684" s="86"/>
      <c r="G2684" s="86"/>
      <c r="H2684" s="86"/>
      <c r="I2684" s="86"/>
      <c r="J2684" s="87"/>
      <c r="K2684" s="88"/>
      <c r="M2684" s="102">
        <v>0</v>
      </c>
      <c r="N2684" s="564"/>
      <c r="O2684" s="564"/>
      <c r="P2684" s="564"/>
      <c r="Q2684" s="564"/>
      <c r="R2684" s="96"/>
      <c r="S2684" s="96"/>
      <c r="T2684" s="565"/>
      <c r="U2684" s="565"/>
      <c r="V2684" s="101"/>
      <c r="Y2684" s="393">
        <f>+IFERROR(Y2676*S2684,0)</f>
        <v>0</v>
      </c>
      <c r="Z2684" s="391">
        <f>Y2676*V2684</f>
        <v>0</v>
      </c>
      <c r="AA2684" s="394"/>
      <c r="AB2684" s="395">
        <f>+Y2684*T2684</f>
        <v>0</v>
      </c>
      <c r="AC2684" s="93">
        <f>+AB2684-Z2684</f>
        <v>0</v>
      </c>
      <c r="AD2684" s="94"/>
      <c r="AE2684" s="386" t="str">
        <f>+IF(V2684=0,"CERO","NO")</f>
        <v>CERO</v>
      </c>
    </row>
    <row r="2685" spans="3:31" s="260" customFormat="1" ht="15.75" thickBot="1" x14ac:dyDescent="0.3">
      <c r="C2685" s="84"/>
      <c r="D2685" s="375" t="s">
        <v>128</v>
      </c>
      <c r="E2685" s="376" t="s">
        <v>129</v>
      </c>
      <c r="F2685" s="376" t="s">
        <v>130</v>
      </c>
      <c r="G2685" s="376" t="s">
        <v>131</v>
      </c>
      <c r="H2685" s="376" t="s">
        <v>132</v>
      </c>
      <c r="I2685" s="376" t="s">
        <v>133</v>
      </c>
      <c r="J2685" s="377" t="s">
        <v>134</v>
      </c>
      <c r="K2685" s="88"/>
      <c r="M2685" s="534"/>
      <c r="N2685" s="536" t="s">
        <v>101</v>
      </c>
      <c r="O2685" s="536"/>
      <c r="P2685" s="536"/>
      <c r="Q2685" s="536"/>
      <c r="R2685" s="536"/>
      <c r="S2685" s="536"/>
      <c r="T2685" s="536"/>
      <c r="U2685" s="536"/>
      <c r="V2685" s="389">
        <f>+SUM(V2680:V2684)</f>
        <v>972.92650000000003</v>
      </c>
      <c r="Y2685" s="398" t="s">
        <v>135</v>
      </c>
      <c r="Z2685" s="397">
        <f>+SUM(Z2680:Z2684)</f>
        <v>35998.280500000001</v>
      </c>
      <c r="AA2685" s="86"/>
      <c r="AB2685" s="384"/>
      <c r="AC2685" s="385"/>
      <c r="AD2685" s="94"/>
      <c r="AE2685" s="399"/>
    </row>
    <row r="2686" spans="3:31" s="260" customFormat="1" ht="15.75" thickBot="1" x14ac:dyDescent="0.3">
      <c r="C2686" s="84"/>
      <c r="D2686" s="375">
        <f>C2676</f>
        <v>3.06</v>
      </c>
      <c r="E2686" s="376"/>
      <c r="F2686" s="376"/>
      <c r="G2686" s="376"/>
      <c r="H2686" s="376"/>
      <c r="I2686" s="376"/>
      <c r="J2686" s="377"/>
      <c r="K2686" s="88"/>
      <c r="M2686" s="566"/>
      <c r="N2686" s="567" t="s">
        <v>102</v>
      </c>
      <c r="O2686" s="567"/>
      <c r="P2686" s="567"/>
      <c r="Q2686" s="567"/>
      <c r="R2686" s="567"/>
      <c r="S2686" s="567"/>
      <c r="T2686" s="567"/>
      <c r="U2686" s="567"/>
      <c r="V2686" s="400">
        <f>+ROUND(V2685,$AA$5)</f>
        <v>972.93</v>
      </c>
      <c r="Y2686" s="401" t="s">
        <v>136</v>
      </c>
      <c r="Z2686" s="402">
        <f>+ROUND(Z2685,$AA$5)</f>
        <v>35998.28</v>
      </c>
      <c r="AA2686" s="86"/>
      <c r="AB2686" s="403">
        <f>+V2686*Y2676</f>
        <v>35998.409999999996</v>
      </c>
      <c r="AC2686" s="404">
        <f>+AB2686-Z2686</f>
        <v>0.12999999999738066</v>
      </c>
      <c r="AD2686" s="94"/>
      <c r="AE2686" s="405"/>
    </row>
    <row r="2687" spans="3:31" s="260" customFormat="1" x14ac:dyDescent="0.25">
      <c r="C2687" s="84"/>
      <c r="D2687" s="380"/>
      <c r="E2687" s="381"/>
      <c r="F2687" s="381"/>
      <c r="G2687" s="381"/>
      <c r="H2687" s="381"/>
      <c r="I2687" s="381"/>
      <c r="J2687" s="382"/>
      <c r="K2687" s="88"/>
      <c r="M2687" s="510" t="s">
        <v>103</v>
      </c>
      <c r="N2687" s="511"/>
      <c r="O2687" s="511"/>
      <c r="P2687" s="511"/>
      <c r="Q2687" s="511"/>
      <c r="R2687" s="511"/>
      <c r="S2687" s="511"/>
      <c r="T2687" s="511"/>
      <c r="U2687" s="511"/>
      <c r="V2687" s="512"/>
      <c r="Y2687" s="378"/>
      <c r="Z2687" s="121"/>
      <c r="AA2687" s="86"/>
      <c r="AB2687" s="513"/>
      <c r="AC2687" s="514"/>
      <c r="AD2687" s="94"/>
      <c r="AE2687" s="126"/>
    </row>
    <row r="2688" spans="3:31" s="260" customFormat="1" x14ac:dyDescent="0.25">
      <c r="C2688" s="84"/>
      <c r="D2688" s="85"/>
      <c r="E2688" s="86"/>
      <c r="F2688" s="86"/>
      <c r="G2688" s="86"/>
      <c r="H2688" s="86"/>
      <c r="I2688" s="86"/>
      <c r="J2688" s="87"/>
      <c r="K2688" s="88"/>
      <c r="M2688" s="99" t="s">
        <v>94</v>
      </c>
      <c r="N2688" s="561" t="s">
        <v>95</v>
      </c>
      <c r="O2688" s="561"/>
      <c r="P2688" s="561"/>
      <c r="Q2688" s="561"/>
      <c r="R2688" s="95" t="s">
        <v>96</v>
      </c>
      <c r="S2688" s="95" t="s">
        <v>104</v>
      </c>
      <c r="T2688" s="356" t="s">
        <v>105</v>
      </c>
      <c r="U2688" s="356" t="s">
        <v>8</v>
      </c>
      <c r="V2688" s="100" t="s">
        <v>98</v>
      </c>
      <c r="Y2688" s="383" t="s">
        <v>104</v>
      </c>
      <c r="Z2688" s="119" t="s">
        <v>9</v>
      </c>
      <c r="AA2688" s="86"/>
      <c r="AB2688" s="384"/>
      <c r="AC2688" s="385"/>
      <c r="AD2688" s="94"/>
      <c r="AE2688" s="406"/>
    </row>
    <row r="2689" spans="3:31" s="260" customFormat="1" x14ac:dyDescent="0.25">
      <c r="C2689" s="84"/>
      <c r="D2689" s="85"/>
      <c r="E2689" s="86"/>
      <c r="F2689" s="86"/>
      <c r="G2689" s="86"/>
      <c r="H2689" s="86"/>
      <c r="I2689" s="86"/>
      <c r="J2689" s="87"/>
      <c r="K2689" s="88"/>
      <c r="M2689" s="102">
        <v>740</v>
      </c>
      <c r="N2689" s="533" t="str">
        <f>IFERROR(VLOOKUP(M2689,INSUMOS!$C$8:$K$928,2,0),"-----")</f>
        <v>TEE CPVC Ø3"</v>
      </c>
      <c r="O2689" s="533"/>
      <c r="P2689" s="533"/>
      <c r="Q2689" s="533"/>
      <c r="R2689" s="78" t="str">
        <f>IFERROR(VLOOKUP(M2689,INSUMOS!$C$8:$K$928,6,0),"-----")</f>
        <v>und</v>
      </c>
      <c r="S2689" s="396">
        <v>1</v>
      </c>
      <c r="T2689" s="387">
        <v>0</v>
      </c>
      <c r="U2689" s="388">
        <f>IFERROR(VLOOKUP(M2689,INSUMOS!$C$8:$K$928,7,0),"0")</f>
        <v>589017</v>
      </c>
      <c r="V2689" s="389">
        <f>+IFERROR(U2689*(S2689*(1+T2689)),0)</f>
        <v>589017</v>
      </c>
      <c r="Y2689" s="393">
        <f>+IFERROR(Y2676*(S2689*(1+T2689)),0)</f>
        <v>37</v>
      </c>
      <c r="Z2689" s="391">
        <f>Y2676*V2689</f>
        <v>21793629</v>
      </c>
      <c r="AA2689" s="394"/>
      <c r="AB2689" s="395">
        <f>+Y2689*U2689</f>
        <v>21793629</v>
      </c>
      <c r="AC2689" s="93">
        <f>+AB2689-Z2689</f>
        <v>0</v>
      </c>
      <c r="AD2689" s="94"/>
      <c r="AE2689" s="406" t="str">
        <f>+IF(V2689=0,"CERO","NO")</f>
        <v>NO</v>
      </c>
    </row>
    <row r="2690" spans="3:31" s="260" customFormat="1" x14ac:dyDescent="0.25">
      <c r="C2690" s="84"/>
      <c r="D2690" s="85"/>
      <c r="E2690" s="86"/>
      <c r="F2690" s="86"/>
      <c r="G2690" s="86"/>
      <c r="H2690" s="86"/>
      <c r="I2690" s="86"/>
      <c r="J2690" s="87"/>
      <c r="K2690" s="88"/>
      <c r="M2690" s="102">
        <v>699</v>
      </c>
      <c r="N2690" s="533" t="str">
        <f>IFERROR(VLOOKUP(M2690,INSUMOS!$C$8:$K$928,2,0),"-----")</f>
        <v>SOLDADURA PVC LIQUIDA 1/4"</v>
      </c>
      <c r="O2690" s="533"/>
      <c r="P2690" s="533"/>
      <c r="Q2690" s="533"/>
      <c r="R2690" s="78" t="str">
        <f>IFERROR(VLOOKUP(M2690,INSUMOS!$C$8:$K$928,6,0),"-----")</f>
        <v>und</v>
      </c>
      <c r="S2690" s="392">
        <v>0.01</v>
      </c>
      <c r="T2690" s="387">
        <v>0.02</v>
      </c>
      <c r="U2690" s="388">
        <f>IFERROR(VLOOKUP(M2690,INSUMOS!$C$8:$K$928,7,0),"0")</f>
        <v>146569</v>
      </c>
      <c r="V2690" s="389">
        <f>+IFERROR(U2690*(S2690*(1+T2690)),0)</f>
        <v>1495.0038000000002</v>
      </c>
      <c r="Y2690" s="393">
        <f>+IFERROR(Y2676*(S2690*(1+T2690)),0)</f>
        <v>0.37740000000000001</v>
      </c>
      <c r="Z2690" s="391">
        <f>Y2676*V2690</f>
        <v>55315.140600000006</v>
      </c>
      <c r="AA2690" s="394"/>
      <c r="AB2690" s="395">
        <f>+Y2690*U2690</f>
        <v>55315.140599999999</v>
      </c>
      <c r="AC2690" s="93">
        <f>+AB2690-Z2690</f>
        <v>0</v>
      </c>
      <c r="AD2690" s="94"/>
      <c r="AE2690" s="406" t="str">
        <f>+IF(V2690=0,"CERO","NO")</f>
        <v>NO</v>
      </c>
    </row>
    <row r="2691" spans="3:31" s="260" customFormat="1" x14ac:dyDescent="0.25">
      <c r="C2691" s="84"/>
      <c r="D2691" s="85"/>
      <c r="E2691" s="86"/>
      <c r="F2691" s="86"/>
      <c r="G2691" s="86"/>
      <c r="H2691" s="86"/>
      <c r="I2691" s="86"/>
      <c r="J2691" s="87"/>
      <c r="K2691" s="88"/>
      <c r="M2691" s="102">
        <v>700</v>
      </c>
      <c r="N2691" s="533" t="str">
        <f>IFERROR(VLOOKUP(M2691,INSUMOS!$C$8:$K$928,2,0),"-----")</f>
        <v>LIMPIADOR PVC 1/4</v>
      </c>
      <c r="O2691" s="533"/>
      <c r="P2691" s="533"/>
      <c r="Q2691" s="533"/>
      <c r="R2691" s="78" t="str">
        <f>IFERROR(VLOOKUP(M2691,INSUMOS!$C$8:$K$928,6,0),"-----")</f>
        <v>und</v>
      </c>
      <c r="S2691" s="396">
        <v>0.01</v>
      </c>
      <c r="T2691" s="387">
        <v>0.02</v>
      </c>
      <c r="U2691" s="388">
        <f>IFERROR(VLOOKUP(M2691,INSUMOS!$C$8:$K$928,7,0),"0")</f>
        <v>65913</v>
      </c>
      <c r="V2691" s="389">
        <f>+IFERROR(U2691*(S2691*(1+T2691)),0)</f>
        <v>672.31260000000009</v>
      </c>
      <c r="Y2691" s="393">
        <f>+IFERROR(Y2676*(S2691*(1+T2691)),0)</f>
        <v>0.37740000000000001</v>
      </c>
      <c r="Z2691" s="391">
        <f>Y2676*V2691</f>
        <v>24875.566200000005</v>
      </c>
      <c r="AA2691" s="394"/>
      <c r="AB2691" s="395">
        <f>+Y2691*U2691</f>
        <v>24875.566200000001</v>
      </c>
      <c r="AC2691" s="93">
        <f>+AB2691-Z2691</f>
        <v>0</v>
      </c>
      <c r="AD2691" s="94"/>
      <c r="AE2691" s="406" t="str">
        <f>+IF(V2691=0,"CERO","NO")</f>
        <v>NO</v>
      </c>
    </row>
    <row r="2692" spans="3:31" s="260" customFormat="1" x14ac:dyDescent="0.25">
      <c r="C2692" s="84"/>
      <c r="D2692" s="85"/>
      <c r="E2692" s="86"/>
      <c r="F2692" s="86"/>
      <c r="G2692" s="86"/>
      <c r="H2692" s="86"/>
      <c r="I2692" s="86"/>
      <c r="J2692" s="87"/>
      <c r="K2692" s="88"/>
      <c r="M2692" s="102">
        <v>0</v>
      </c>
      <c r="N2692" s="533" t="str">
        <f>IFERROR(VLOOKUP(M2692,INSUMOS!$C$8:$K$928,2,0),"-----")</f>
        <v>-----</v>
      </c>
      <c r="O2692" s="533"/>
      <c r="P2692" s="533"/>
      <c r="Q2692" s="533"/>
      <c r="R2692" s="78" t="str">
        <f>IFERROR(VLOOKUP(M2692,INSUMOS!$C$8:$K$928,6,0),"-----")</f>
        <v>-----</v>
      </c>
      <c r="S2692" s="396"/>
      <c r="T2692" s="387"/>
      <c r="U2692" s="388" t="str">
        <f>IFERROR(VLOOKUP(M2692,INSUMOS!$C$8:$K$928,7,0),"0")</f>
        <v>0</v>
      </c>
      <c r="V2692" s="389">
        <f>+IFERROR(U2692*(S2692*(1+T2692)),0)</f>
        <v>0</v>
      </c>
      <c r="Y2692" s="393">
        <f>+IFERROR(Y2676*(S2692*(1+T2692)),0)</f>
        <v>0</v>
      </c>
      <c r="Z2692" s="391">
        <f>Y2676*V2692</f>
        <v>0</v>
      </c>
      <c r="AA2692" s="394"/>
      <c r="AB2692" s="395">
        <f>+Y2692*U2692</f>
        <v>0</v>
      </c>
      <c r="AC2692" s="93">
        <f>+AB2692-Z2692</f>
        <v>0</v>
      </c>
      <c r="AD2692" s="94"/>
      <c r="AE2692" s="406" t="str">
        <f>+IF(V2692=0,"CERO","NO")</f>
        <v>CERO</v>
      </c>
    </row>
    <row r="2693" spans="3:31" s="260" customFormat="1" ht="15.75" thickBot="1" x14ac:dyDescent="0.3">
      <c r="C2693" s="84"/>
      <c r="D2693" s="85"/>
      <c r="E2693" s="86"/>
      <c r="F2693" s="86"/>
      <c r="G2693" s="86"/>
      <c r="H2693" s="86"/>
      <c r="I2693" s="86"/>
      <c r="J2693" s="87"/>
      <c r="K2693" s="88"/>
      <c r="M2693" s="102">
        <v>0</v>
      </c>
      <c r="N2693" s="564"/>
      <c r="O2693" s="564"/>
      <c r="P2693" s="564"/>
      <c r="Q2693" s="564"/>
      <c r="R2693" s="96"/>
      <c r="S2693" s="79"/>
      <c r="T2693" s="97"/>
      <c r="U2693" s="358"/>
      <c r="V2693" s="397"/>
      <c r="Y2693" s="393">
        <f>+IFERROR(Y2676*(S2693*(1+T2693)),0)</f>
        <v>0</v>
      </c>
      <c r="Z2693" s="391">
        <f>Y2676*V2693</f>
        <v>0</v>
      </c>
      <c r="AA2693" s="394"/>
      <c r="AB2693" s="395">
        <f>+Y2693*U2693</f>
        <v>0</v>
      </c>
      <c r="AC2693" s="93">
        <f>+AB2693-Z2693</f>
        <v>0</v>
      </c>
      <c r="AD2693" s="94"/>
      <c r="AE2693" s="406" t="str">
        <f>+IF(V2693=0,"CERO","NO")</f>
        <v>CERO</v>
      </c>
    </row>
    <row r="2694" spans="3:31" s="260" customFormat="1" ht="15.75" thickBot="1" x14ac:dyDescent="0.3">
      <c r="C2694" s="84"/>
      <c r="D2694" s="375" t="s">
        <v>128</v>
      </c>
      <c r="E2694" s="376" t="s">
        <v>129</v>
      </c>
      <c r="F2694" s="376" t="s">
        <v>130</v>
      </c>
      <c r="G2694" s="376" t="s">
        <v>131</v>
      </c>
      <c r="H2694" s="376" t="s">
        <v>132</v>
      </c>
      <c r="I2694" s="376" t="s">
        <v>133</v>
      </c>
      <c r="J2694" s="377" t="s">
        <v>134</v>
      </c>
      <c r="K2694" s="88"/>
      <c r="M2694" s="534"/>
      <c r="N2694" s="536" t="s">
        <v>106</v>
      </c>
      <c r="O2694" s="536"/>
      <c r="P2694" s="536"/>
      <c r="Q2694" s="536"/>
      <c r="R2694" s="536"/>
      <c r="S2694" s="536"/>
      <c r="T2694" s="536"/>
      <c r="U2694" s="536"/>
      <c r="V2694" s="389">
        <f>+SUM(V2689:V2693)</f>
        <v>591184.31639999989</v>
      </c>
      <c r="Y2694" s="398" t="s">
        <v>135</v>
      </c>
      <c r="Z2694" s="397">
        <f>+SUM(Z2689:Z2693)</f>
        <v>21873819.706799999</v>
      </c>
      <c r="AA2694" s="86"/>
      <c r="AB2694" s="384"/>
      <c r="AC2694" s="385"/>
      <c r="AD2694" s="94"/>
      <c r="AE2694" s="399"/>
    </row>
    <row r="2695" spans="3:31" s="260" customFormat="1" ht="15.75" thickBot="1" x14ac:dyDescent="0.3">
      <c r="C2695" s="84"/>
      <c r="D2695" s="375"/>
      <c r="E2695" s="407">
        <f>+D2686</f>
        <v>3.06</v>
      </c>
      <c r="F2695" s="376"/>
      <c r="G2695" s="376"/>
      <c r="H2695" s="376"/>
      <c r="I2695" s="376"/>
      <c r="J2695" s="377"/>
      <c r="K2695" s="88"/>
      <c r="M2695" s="535"/>
      <c r="N2695" s="537" t="s">
        <v>107</v>
      </c>
      <c r="O2695" s="537"/>
      <c r="P2695" s="537"/>
      <c r="Q2695" s="537"/>
      <c r="R2695" s="537"/>
      <c r="S2695" s="537"/>
      <c r="T2695" s="537"/>
      <c r="U2695" s="537"/>
      <c r="V2695" s="408">
        <f>+ROUND(V2694,$AA$5)</f>
        <v>591184.31999999995</v>
      </c>
      <c r="Y2695" s="401" t="s">
        <v>136</v>
      </c>
      <c r="Z2695" s="402">
        <f>+ROUND(Z2694,$AA$5)</f>
        <v>21873819.710000001</v>
      </c>
      <c r="AA2695" s="86"/>
      <c r="AB2695" s="403">
        <f>+V2695*Y2676</f>
        <v>21873819.84</v>
      </c>
      <c r="AC2695" s="404">
        <f>+AB2695-Z2695</f>
        <v>0.12999999895691872</v>
      </c>
      <c r="AD2695" s="94"/>
      <c r="AE2695" s="405"/>
    </row>
    <row r="2696" spans="3:31" s="260" customFormat="1" x14ac:dyDescent="0.25">
      <c r="C2696" s="84"/>
      <c r="D2696" s="380"/>
      <c r="E2696" s="381"/>
      <c r="F2696" s="381"/>
      <c r="G2696" s="381"/>
      <c r="H2696" s="381"/>
      <c r="I2696" s="381"/>
      <c r="J2696" s="382"/>
      <c r="K2696" s="88"/>
      <c r="M2696" s="568" t="s">
        <v>108</v>
      </c>
      <c r="N2696" s="569"/>
      <c r="O2696" s="569"/>
      <c r="P2696" s="569"/>
      <c r="Q2696" s="569"/>
      <c r="R2696" s="569"/>
      <c r="S2696" s="569"/>
      <c r="T2696" s="569"/>
      <c r="U2696" s="569"/>
      <c r="V2696" s="570"/>
      <c r="Y2696" s="378"/>
      <c r="Z2696" s="121"/>
      <c r="AA2696" s="86"/>
      <c r="AB2696" s="409"/>
      <c r="AC2696" s="121"/>
      <c r="AD2696" s="94"/>
      <c r="AE2696" s="126"/>
    </row>
    <row r="2697" spans="3:31" s="260" customFormat="1" ht="25.5" x14ac:dyDescent="0.25">
      <c r="C2697" s="84"/>
      <c r="D2697" s="85"/>
      <c r="E2697" s="86"/>
      <c r="F2697" s="86"/>
      <c r="G2697" s="86"/>
      <c r="H2697" s="86"/>
      <c r="I2697" s="86"/>
      <c r="J2697" s="87"/>
      <c r="K2697" s="88"/>
      <c r="M2697" s="99" t="s">
        <v>94</v>
      </c>
      <c r="N2697" s="561" t="s">
        <v>95</v>
      </c>
      <c r="O2697" s="561"/>
      <c r="P2697" s="561"/>
      <c r="Q2697" s="95" t="s">
        <v>109</v>
      </c>
      <c r="R2697" s="95" t="s">
        <v>110</v>
      </c>
      <c r="S2697" s="95" t="s">
        <v>111</v>
      </c>
      <c r="T2697" s="562" t="s">
        <v>112</v>
      </c>
      <c r="U2697" s="562"/>
      <c r="V2697" s="100" t="s">
        <v>98</v>
      </c>
      <c r="Y2697" s="383" t="s">
        <v>104</v>
      </c>
      <c r="Z2697" s="119" t="s">
        <v>9</v>
      </c>
      <c r="AA2697" s="86"/>
      <c r="AB2697" s="384"/>
      <c r="AC2697" s="385"/>
      <c r="AD2697" s="94"/>
      <c r="AE2697" s="410"/>
    </row>
    <row r="2698" spans="3:31" s="260" customFormat="1" x14ac:dyDescent="0.25">
      <c r="C2698" s="84"/>
      <c r="D2698" s="85"/>
      <c r="E2698" s="86"/>
      <c r="F2698" s="86"/>
      <c r="G2698" s="86"/>
      <c r="H2698" s="86"/>
      <c r="I2698" s="86"/>
      <c r="J2698" s="87"/>
      <c r="K2698" s="88"/>
      <c r="M2698" s="102">
        <v>129</v>
      </c>
      <c r="N2698" s="530" t="str">
        <f>IFERROR(VLOOKUP(M2698,INSUMOS!$C$8:$K$928,2,0),"-----")</f>
        <v>transporte materiales en general</v>
      </c>
      <c r="O2698" s="531"/>
      <c r="P2698" s="532"/>
      <c r="Q2698" s="78" t="str">
        <f>IFERROR(VLOOKUP(M2698,INSUMOS!$C$8:$K$928,5,0),"-----")</f>
        <v>Km</v>
      </c>
      <c r="R2698" s="80">
        <v>1</v>
      </c>
      <c r="S2698" s="80">
        <f>IFERROR(VLOOKUP(M2698,INSUMOS!$C$8:$K$928,6,0),"0")</f>
        <v>348</v>
      </c>
      <c r="T2698" s="529">
        <f>IFERROR(VLOOKUP(M2698,INSUMOS!$C$8:$K$928,7,0),"0")</f>
        <v>0.99776362060288992</v>
      </c>
      <c r="U2698" s="529"/>
      <c r="V2698" s="82">
        <f>+T2698*S2698*R2698</f>
        <v>347.2217399698057</v>
      </c>
      <c r="Y2698" s="393">
        <f>+IFERROR((R2698*S2698)*Y2676,0)</f>
        <v>12876</v>
      </c>
      <c r="Z2698" s="391">
        <f>Y2676*V2698</f>
        <v>12847.20437888281</v>
      </c>
      <c r="AA2698" s="86"/>
      <c r="AB2698" s="92">
        <f>+Y2698*T2698</f>
        <v>12847.20437888281</v>
      </c>
      <c r="AC2698" s="93">
        <f>+AB2698-Z2698</f>
        <v>0</v>
      </c>
      <c r="AD2698" s="94"/>
      <c r="AE2698" s="406" t="str">
        <f>+IF(V2698=0,"CERO","NO")</f>
        <v>NO</v>
      </c>
    </row>
    <row r="2699" spans="3:31" s="260" customFormat="1" x14ac:dyDescent="0.25">
      <c r="C2699" s="84"/>
      <c r="D2699" s="85"/>
      <c r="E2699" s="86"/>
      <c r="F2699" s="86"/>
      <c r="G2699" s="86"/>
      <c r="H2699" s="86"/>
      <c r="I2699" s="86"/>
      <c r="J2699" s="87"/>
      <c r="K2699" s="88"/>
      <c r="M2699" s="102">
        <v>0</v>
      </c>
      <c r="N2699" s="530" t="str">
        <f>IFERROR(VLOOKUP(M2699,INSUMOS!$C$8:$K$928,2,0),"-----")</f>
        <v>-----</v>
      </c>
      <c r="O2699" s="531"/>
      <c r="P2699" s="532"/>
      <c r="Q2699" s="78" t="str">
        <f>IFERROR(VLOOKUP(M2699,INSUMOS!$C$8:$K$928,5,0),"-----")</f>
        <v>-----</v>
      </c>
      <c r="R2699" s="80"/>
      <c r="S2699" s="80" t="str">
        <f>IFERROR(VLOOKUP(M2699,INSUMOS!$C$8:$K$928,6,0),"0")</f>
        <v>0</v>
      </c>
      <c r="T2699" s="529" t="str">
        <f>IFERROR(VLOOKUP(M2699,INSUMOS!$C$8:$K$928,7,0),"0")</f>
        <v>0</v>
      </c>
      <c r="U2699" s="529"/>
      <c r="V2699" s="82">
        <f>+T2699*S2699*R2699</f>
        <v>0</v>
      </c>
      <c r="Y2699" s="393">
        <f>+IFERROR((R2699*S2699)*Y2676,0)</f>
        <v>0</v>
      </c>
      <c r="Z2699" s="391">
        <f>Y2676*V2699</f>
        <v>0</v>
      </c>
      <c r="AA2699" s="86"/>
      <c r="AB2699" s="92">
        <f>+Y2699*T2699</f>
        <v>0</v>
      </c>
      <c r="AC2699" s="93">
        <f>+AB2699-Z2699</f>
        <v>0</v>
      </c>
      <c r="AD2699" s="94"/>
      <c r="AE2699" s="406" t="str">
        <f>+IF(V2699=0,"CERO","NO")</f>
        <v>CERO</v>
      </c>
    </row>
    <row r="2700" spans="3:31" s="260" customFormat="1" x14ac:dyDescent="0.25">
      <c r="C2700" s="84"/>
      <c r="D2700" s="85"/>
      <c r="E2700" s="86"/>
      <c r="F2700" s="86"/>
      <c r="G2700" s="86"/>
      <c r="H2700" s="86"/>
      <c r="I2700" s="86"/>
      <c r="J2700" s="87"/>
      <c r="K2700" s="88"/>
      <c r="M2700" s="102">
        <v>0</v>
      </c>
      <c r="N2700" s="530" t="str">
        <f>IFERROR(VLOOKUP(M2700,INSUMOS!$C$8:$K$928,2,0),"-----")</f>
        <v>-----</v>
      </c>
      <c r="O2700" s="531"/>
      <c r="P2700" s="532"/>
      <c r="Q2700" s="78" t="str">
        <f>IFERROR(VLOOKUP(M2700,INSUMOS!$C$8:$K$928,5,0),"-----")</f>
        <v>-----</v>
      </c>
      <c r="R2700" s="80"/>
      <c r="S2700" s="80" t="str">
        <f>IFERROR(VLOOKUP(M2700,INSUMOS!$C$8:$K$928,6,0),"0")</f>
        <v>0</v>
      </c>
      <c r="T2700" s="529" t="str">
        <f>IFERROR(VLOOKUP(M2700,INSUMOS!$C$8:$K$928,7,0),"0")</f>
        <v>0</v>
      </c>
      <c r="U2700" s="529"/>
      <c r="V2700" s="82">
        <f>+T2700*S2700*R2700</f>
        <v>0</v>
      </c>
      <c r="Y2700" s="393">
        <f>+IFERROR((R2700*S2700)*Y2676,0)</f>
        <v>0</v>
      </c>
      <c r="Z2700" s="391">
        <f>Y2676*V2700</f>
        <v>0</v>
      </c>
      <c r="AA2700" s="86"/>
      <c r="AB2700" s="92">
        <f>+Y2700*T2700</f>
        <v>0</v>
      </c>
      <c r="AC2700" s="93">
        <f>+AB2700-Z2700</f>
        <v>0</v>
      </c>
      <c r="AD2700" s="94"/>
      <c r="AE2700" s="406" t="str">
        <f>+IF(V2700=0,"CERO","NO")</f>
        <v>CERO</v>
      </c>
    </row>
    <row r="2701" spans="3:31" s="260" customFormat="1" ht="15.75" thickBot="1" x14ac:dyDescent="0.3">
      <c r="C2701" s="84"/>
      <c r="D2701" s="89"/>
      <c r="E2701" s="90"/>
      <c r="F2701" s="90"/>
      <c r="G2701" s="90"/>
      <c r="H2701" s="90"/>
      <c r="I2701" s="90"/>
      <c r="J2701" s="91"/>
      <c r="K2701" s="88"/>
      <c r="M2701" s="102">
        <v>0</v>
      </c>
      <c r="N2701" s="533"/>
      <c r="O2701" s="533"/>
      <c r="P2701" s="533"/>
      <c r="Q2701" s="79"/>
      <c r="R2701" s="78"/>
      <c r="S2701" s="81"/>
      <c r="T2701" s="529"/>
      <c r="U2701" s="529"/>
      <c r="V2701" s="82"/>
      <c r="Y2701" s="393">
        <f>+IFERROR((R2701*S2701)*Y2676,0)</f>
        <v>0</v>
      </c>
      <c r="Z2701" s="391">
        <f>Y2676*V2701</f>
        <v>0</v>
      </c>
      <c r="AA2701" s="86"/>
      <c r="AB2701" s="92">
        <f>+Y2701*T2701</f>
        <v>0</v>
      </c>
      <c r="AC2701" s="93">
        <f>+AB2701-Z2701</f>
        <v>0</v>
      </c>
      <c r="AD2701" s="94"/>
      <c r="AE2701" s="406" t="str">
        <f>+IF(V2701=0,"CERO","NO")</f>
        <v>CERO</v>
      </c>
    </row>
    <row r="2702" spans="3:31" s="260" customFormat="1" ht="15.75" thickBot="1" x14ac:dyDescent="0.3">
      <c r="C2702" s="84"/>
      <c r="D2702" s="375" t="s">
        <v>128</v>
      </c>
      <c r="E2702" s="376" t="s">
        <v>129</v>
      </c>
      <c r="F2702" s="376" t="s">
        <v>130</v>
      </c>
      <c r="G2702" s="376" t="s">
        <v>131</v>
      </c>
      <c r="H2702" s="376" t="s">
        <v>132</v>
      </c>
      <c r="I2702" s="376" t="s">
        <v>133</v>
      </c>
      <c r="J2702" s="377" t="s">
        <v>134</v>
      </c>
      <c r="K2702" s="88"/>
      <c r="M2702" s="534"/>
      <c r="N2702" s="536" t="s">
        <v>113</v>
      </c>
      <c r="O2702" s="536"/>
      <c r="P2702" s="536"/>
      <c r="Q2702" s="536"/>
      <c r="R2702" s="536"/>
      <c r="S2702" s="536"/>
      <c r="T2702" s="536"/>
      <c r="U2702" s="536"/>
      <c r="V2702" s="411">
        <f>+SUM(V2698:V2701)</f>
        <v>347.2217399698057</v>
      </c>
      <c r="Y2702" s="398" t="s">
        <v>135</v>
      </c>
      <c r="Z2702" s="397">
        <f>+SUM(Z2698:Z2701)</f>
        <v>12847.20437888281</v>
      </c>
      <c r="AA2702" s="86"/>
      <c r="AB2702" s="384"/>
      <c r="AC2702" s="385"/>
      <c r="AD2702" s="94"/>
      <c r="AE2702" s="399"/>
    </row>
    <row r="2703" spans="3:31" s="260" customFormat="1" ht="15.75" thickBot="1" x14ac:dyDescent="0.3">
      <c r="C2703" s="84"/>
      <c r="D2703" s="355"/>
      <c r="E2703" s="367"/>
      <c r="F2703" s="412">
        <f>+E2695</f>
        <v>3.06</v>
      </c>
      <c r="G2703" s="367"/>
      <c r="H2703" s="367"/>
      <c r="I2703" s="367"/>
      <c r="J2703" s="368"/>
      <c r="K2703" s="88"/>
      <c r="M2703" s="535"/>
      <c r="N2703" s="537" t="s">
        <v>114</v>
      </c>
      <c r="O2703" s="537"/>
      <c r="P2703" s="537"/>
      <c r="Q2703" s="537"/>
      <c r="R2703" s="537"/>
      <c r="S2703" s="537"/>
      <c r="T2703" s="537"/>
      <c r="U2703" s="537"/>
      <c r="V2703" s="413">
        <f>+ROUND(V2702,$AA$5)</f>
        <v>347.22</v>
      </c>
      <c r="Y2703" s="401" t="s">
        <v>136</v>
      </c>
      <c r="Z2703" s="402">
        <f>+ROUND(Z2702,$AA$5)</f>
        <v>12847.2</v>
      </c>
      <c r="AA2703" s="86"/>
      <c r="AB2703" s="403">
        <f>+V2703*Y2676</f>
        <v>12847.140000000001</v>
      </c>
      <c r="AC2703" s="414"/>
      <c r="AD2703" s="94"/>
      <c r="AE2703" s="405"/>
    </row>
    <row r="2704" spans="3:31" s="260" customFormat="1" ht="15.75" thickBot="1" x14ac:dyDescent="0.3">
      <c r="C2704" s="84"/>
      <c r="D2704" s="415"/>
      <c r="E2704" s="416"/>
      <c r="F2704" s="416"/>
      <c r="G2704" s="416"/>
      <c r="H2704" s="416"/>
      <c r="I2704" s="416"/>
      <c r="J2704" s="417"/>
      <c r="K2704" s="88"/>
      <c r="M2704" s="538" t="s">
        <v>115</v>
      </c>
      <c r="N2704" s="539"/>
      <c r="O2704" s="539"/>
      <c r="P2704" s="539"/>
      <c r="Q2704" s="539"/>
      <c r="R2704" s="539"/>
      <c r="S2704" s="539"/>
      <c r="T2704" s="539"/>
      <c r="U2704" s="539"/>
      <c r="V2704" s="540"/>
      <c r="Y2704" s="378"/>
      <c r="Z2704" s="121"/>
      <c r="AA2704" s="86"/>
      <c r="AB2704" s="409"/>
      <c r="AC2704" s="121"/>
      <c r="AD2704" s="94"/>
      <c r="AE2704" s="126"/>
    </row>
    <row r="2705" spans="3:31" s="260" customFormat="1" ht="15.75" thickBot="1" x14ac:dyDescent="0.3">
      <c r="C2705" s="84"/>
      <c r="D2705" s="375" t="s">
        <v>128</v>
      </c>
      <c r="E2705" s="376" t="s">
        <v>129</v>
      </c>
      <c r="F2705" s="376" t="s">
        <v>130</v>
      </c>
      <c r="G2705" s="376" t="s">
        <v>131</v>
      </c>
      <c r="H2705" s="376" t="s">
        <v>132</v>
      </c>
      <c r="I2705" s="376" t="s">
        <v>133</v>
      </c>
      <c r="J2705" s="377" t="s">
        <v>134</v>
      </c>
      <c r="K2705" s="88"/>
      <c r="M2705" s="99" t="s">
        <v>94</v>
      </c>
      <c r="N2705" s="98" t="s">
        <v>95</v>
      </c>
      <c r="O2705" s="95" t="s">
        <v>96</v>
      </c>
      <c r="P2705" s="359" t="s">
        <v>104</v>
      </c>
      <c r="Q2705" s="95" t="s">
        <v>116</v>
      </c>
      <c r="R2705" s="418" t="s">
        <v>117</v>
      </c>
      <c r="S2705" s="95" t="s">
        <v>347</v>
      </c>
      <c r="T2705" s="419" t="s">
        <v>118</v>
      </c>
      <c r="U2705" s="189" t="s">
        <v>119</v>
      </c>
      <c r="V2705" s="100" t="s">
        <v>98</v>
      </c>
      <c r="Y2705" s="383" t="s">
        <v>104</v>
      </c>
      <c r="Z2705" s="119" t="s">
        <v>9</v>
      </c>
      <c r="AA2705" s="86"/>
      <c r="AB2705" s="384"/>
      <c r="AC2705" s="385"/>
      <c r="AD2705" s="94"/>
      <c r="AE2705" s="410"/>
    </row>
    <row r="2706" spans="3:31" s="260" customFormat="1" ht="25.5" x14ac:dyDescent="0.25">
      <c r="C2706" s="84"/>
      <c r="D2706" s="354"/>
      <c r="E2706" s="96"/>
      <c r="F2706" s="96"/>
      <c r="G2706" s="96"/>
      <c r="H2706" s="96"/>
      <c r="I2706" s="96"/>
      <c r="J2706" s="420">
        <f>+F2703</f>
        <v>3.06</v>
      </c>
      <c r="K2706" s="88"/>
      <c r="M2706" s="102">
        <v>207</v>
      </c>
      <c r="N2706" s="347" t="str">
        <f>IFERROR(VLOOKUP(M2706,INSUMOS!$C$8:$K$928,2,0),"-----")</f>
        <v>Oficial Hidrosanitario</v>
      </c>
      <c r="O2706" s="78" t="str">
        <f>IFERROR(VLOOKUP(M2706,INSUMOS!$C$8:$K$928,3,0),"-----")</f>
        <v>JORNAL+PS</v>
      </c>
      <c r="P2706" s="80">
        <v>1</v>
      </c>
      <c r="Q2706" s="79">
        <v>15</v>
      </c>
      <c r="R2706" s="190">
        <f>IFERROR(VLOOKUP(M2706,INSUMOS!$C$8:$K$928,4,0),"-----")</f>
        <v>92983</v>
      </c>
      <c r="S2706" s="190">
        <f>IFERROR(VLOOKUP(M2706,INSUMOS!$C$8:$K$928,6,0),"-----")</f>
        <v>74386</v>
      </c>
      <c r="T2706" s="190">
        <f>IFERROR(VLOOKUP(M2706,INSUMOS!$C$8:$K$928,5,0),"-----")</f>
        <v>0</v>
      </c>
      <c r="U2706" s="388">
        <f>SUM(R2706:T2706)</f>
        <v>167369</v>
      </c>
      <c r="V2706" s="82">
        <f>+IFERROR((P2706/Q2706)*U2706,0)</f>
        <v>11157.933333333332</v>
      </c>
      <c r="Y2706" s="393">
        <f>+IFERROR((Y2676/Q2706*P2706),0)</f>
        <v>2.4666666666666668</v>
      </c>
      <c r="Z2706" s="391">
        <f>Y2676*V2706</f>
        <v>412843.53333333333</v>
      </c>
      <c r="AA2706" s="86"/>
      <c r="AB2706" s="92">
        <f>+(U2706)*Y2706</f>
        <v>412843.53333333333</v>
      </c>
      <c r="AC2706" s="93">
        <f>+AB2706-Z2706</f>
        <v>0</v>
      </c>
      <c r="AD2706" s="421"/>
      <c r="AE2706" s="410" t="str">
        <f>+IF(V2706=0,"CERO","NO")</f>
        <v>NO</v>
      </c>
    </row>
    <row r="2707" spans="3:31" s="260" customFormat="1" ht="26.25" thickBot="1" x14ac:dyDescent="0.3">
      <c r="C2707" s="84"/>
      <c r="D2707" s="355"/>
      <c r="E2707" s="367"/>
      <c r="F2707" s="367"/>
      <c r="G2707" s="367"/>
      <c r="H2707" s="367"/>
      <c r="I2707" s="367"/>
      <c r="J2707" s="422">
        <f>+J2706</f>
        <v>3.06</v>
      </c>
      <c r="K2707" s="88"/>
      <c r="M2707" s="102">
        <v>208</v>
      </c>
      <c r="N2707" s="347" t="str">
        <f>IFERROR(VLOOKUP(M2707,INSUMOS!$C$8:$K$928,2,0),"-----")</f>
        <v>Ayudante Hidrosanitario</v>
      </c>
      <c r="O2707" s="78" t="str">
        <f>IFERROR(VLOOKUP(M2707,INSUMOS!$C$8:$K$928,3,0),"-----")</f>
        <v>JORNAL+PS</v>
      </c>
      <c r="P2707" s="80">
        <v>1</v>
      </c>
      <c r="Q2707" s="79">
        <v>15</v>
      </c>
      <c r="R2707" s="190">
        <f>IFERROR(VLOOKUP(M2707,INSUMOS!$C$8:$K$928,4,0),"-----")</f>
        <v>69172</v>
      </c>
      <c r="S2707" s="190">
        <f>IFERROR(VLOOKUP(M2707,INSUMOS!$C$8:$K$928,6,0),"-----")</f>
        <v>55337</v>
      </c>
      <c r="T2707" s="190">
        <f>IFERROR(VLOOKUP(M2707,INSUMOS!$C$8:$K$928,5,0),"-----")</f>
        <v>0</v>
      </c>
      <c r="U2707" s="388">
        <f>SUM(R2707:T2707)</f>
        <v>124509</v>
      </c>
      <c r="V2707" s="82">
        <f>+IFERROR((P2707/Q2707)*U2707,0)</f>
        <v>8300.6</v>
      </c>
      <c r="Y2707" s="393">
        <f>+IFERROR((Y2676/Q2707*P2707),0)</f>
        <v>2.4666666666666668</v>
      </c>
      <c r="Z2707" s="391">
        <f>Y2676*V2707</f>
        <v>307122.2</v>
      </c>
      <c r="AA2707" s="86"/>
      <c r="AB2707" s="92">
        <f>+U2707*Y2707</f>
        <v>307122.2</v>
      </c>
      <c r="AC2707" s="93">
        <f>+AB2707-Z2707</f>
        <v>0</v>
      </c>
      <c r="AD2707" s="94"/>
      <c r="AE2707" s="410" t="str">
        <f>+IF(V2707=0,"CERO","NO")</f>
        <v>NO</v>
      </c>
    </row>
    <row r="2708" spans="3:31" s="260" customFormat="1" ht="15.75" thickBot="1" x14ac:dyDescent="0.3">
      <c r="C2708" s="84"/>
      <c r="D2708" s="380"/>
      <c r="E2708" s="381"/>
      <c r="F2708" s="381"/>
      <c r="G2708" s="381"/>
      <c r="H2708" s="381"/>
      <c r="I2708" s="381"/>
      <c r="J2708" s="382"/>
      <c r="K2708" s="88"/>
      <c r="M2708" s="102">
        <v>0</v>
      </c>
      <c r="N2708" s="347"/>
      <c r="O2708" s="79"/>
      <c r="P2708" s="423"/>
      <c r="Q2708" s="81"/>
      <c r="R2708" s="111"/>
      <c r="S2708" s="357"/>
      <c r="T2708" s="111"/>
      <c r="U2708" s="388"/>
      <c r="V2708" s="426"/>
      <c r="Y2708" s="393">
        <f>+IFERROR((Y2676/Q2708*P2708),0)</f>
        <v>0</v>
      </c>
      <c r="Z2708" s="391">
        <f>Y2676*V2708</f>
        <v>0</v>
      </c>
      <c r="AA2708" s="86"/>
      <c r="AB2708" s="92">
        <f>+(U2708)*Y2708*P2708</f>
        <v>0</v>
      </c>
      <c r="AC2708" s="93">
        <f>+AB2708-Z2708</f>
        <v>0</v>
      </c>
      <c r="AD2708" s="94"/>
      <c r="AE2708" s="410" t="str">
        <f>+IF(V2708=0,"CERO","NO")</f>
        <v>CERO</v>
      </c>
    </row>
    <row r="2709" spans="3:31" s="260" customFormat="1" ht="15.75" thickBot="1" x14ac:dyDescent="0.3">
      <c r="C2709" s="84"/>
      <c r="D2709" s="375" t="s">
        <v>128</v>
      </c>
      <c r="E2709" s="376" t="s">
        <v>129</v>
      </c>
      <c r="F2709" s="376" t="s">
        <v>130</v>
      </c>
      <c r="G2709" s="376" t="s">
        <v>131</v>
      </c>
      <c r="H2709" s="376" t="s">
        <v>132</v>
      </c>
      <c r="I2709" s="376" t="s">
        <v>133</v>
      </c>
      <c r="J2709" s="377" t="s">
        <v>134</v>
      </c>
      <c r="K2709" s="88"/>
      <c r="M2709" s="534"/>
      <c r="N2709" s="536" t="s">
        <v>120</v>
      </c>
      <c r="O2709" s="536"/>
      <c r="P2709" s="536"/>
      <c r="Q2709" s="536"/>
      <c r="R2709" s="536"/>
      <c r="S2709" s="536"/>
      <c r="T2709" s="536"/>
      <c r="U2709" s="536"/>
      <c r="V2709" s="82">
        <f>+SUM(V2706:V2708)</f>
        <v>19458.533333333333</v>
      </c>
      <c r="Y2709" s="398" t="s">
        <v>135</v>
      </c>
      <c r="Z2709" s="397">
        <f>+SUM(Z2706:Z2708)</f>
        <v>719965.7333333334</v>
      </c>
      <c r="AA2709" s="86"/>
      <c r="AB2709" s="384"/>
      <c r="AC2709" s="385"/>
      <c r="AD2709" s="94"/>
      <c r="AE2709" s="399"/>
    </row>
    <row r="2710" spans="3:31" s="260" customFormat="1" ht="15.75" thickBot="1" x14ac:dyDescent="0.3">
      <c r="C2710" s="84"/>
      <c r="D2710" s="354"/>
      <c r="E2710" s="96"/>
      <c r="F2710" s="96"/>
      <c r="G2710" s="107">
        <f>+F2703</f>
        <v>3.06</v>
      </c>
      <c r="H2710" s="96"/>
      <c r="I2710" s="96"/>
      <c r="J2710" s="427"/>
      <c r="K2710" s="88"/>
      <c r="M2710" s="535"/>
      <c r="N2710" s="537" t="s">
        <v>121</v>
      </c>
      <c r="O2710" s="537"/>
      <c r="P2710" s="537"/>
      <c r="Q2710" s="537"/>
      <c r="R2710" s="537"/>
      <c r="S2710" s="537"/>
      <c r="T2710" s="537"/>
      <c r="U2710" s="537"/>
      <c r="V2710" s="413">
        <f>+ROUND(V2709,$AA$5)</f>
        <v>19458.53</v>
      </c>
      <c r="Y2710" s="401" t="s">
        <v>136</v>
      </c>
      <c r="Z2710" s="402">
        <f>+ROUND(Z2709,$AA$5)</f>
        <v>719965.73</v>
      </c>
      <c r="AA2710" s="86"/>
      <c r="AB2710" s="403">
        <f>+V2710*Y2676</f>
        <v>719965.61</v>
      </c>
      <c r="AC2710" s="404">
        <f>+AB2710-Z2710</f>
        <v>-0.11999999999534339</v>
      </c>
      <c r="AD2710" s="94"/>
      <c r="AE2710" s="405"/>
    </row>
    <row r="2711" spans="3:31" s="260" customFormat="1" ht="15.75" thickBot="1" x14ac:dyDescent="0.3">
      <c r="C2711" s="84"/>
      <c r="D2711" s="375" t="s">
        <v>128</v>
      </c>
      <c r="E2711" s="376" t="s">
        <v>129</v>
      </c>
      <c r="F2711" s="376" t="s">
        <v>130</v>
      </c>
      <c r="G2711" s="376" t="s">
        <v>131</v>
      </c>
      <c r="H2711" s="376" t="s">
        <v>132</v>
      </c>
      <c r="I2711" s="376" t="s">
        <v>133</v>
      </c>
      <c r="J2711" s="377" t="s">
        <v>134</v>
      </c>
      <c r="K2711" s="88"/>
      <c r="M2711" s="541"/>
      <c r="N2711" s="542"/>
      <c r="O2711" s="542"/>
      <c r="P2711" s="542"/>
      <c r="Q2711" s="542"/>
      <c r="R2711" s="542"/>
      <c r="S2711" s="542"/>
      <c r="T2711" s="542"/>
      <c r="U2711" s="542"/>
      <c r="V2711" s="543"/>
      <c r="Y2711" s="378"/>
      <c r="Z2711" s="121"/>
      <c r="AA2711" s="86"/>
      <c r="AB2711" s="409"/>
      <c r="AC2711" s="121"/>
      <c r="AD2711" s="94"/>
      <c r="AE2711" s="428"/>
    </row>
    <row r="2712" spans="3:31" s="260" customFormat="1" ht="15.75" thickBot="1" x14ac:dyDescent="0.3">
      <c r="C2712" s="84"/>
      <c r="D2712" s="355"/>
      <c r="E2712" s="367"/>
      <c r="F2712" s="367"/>
      <c r="G2712" s="367"/>
      <c r="H2712" s="412">
        <f>G2710</f>
        <v>3.06</v>
      </c>
      <c r="I2712" s="412"/>
      <c r="J2712" s="422"/>
      <c r="K2712" s="88"/>
      <c r="M2712" s="544" t="s">
        <v>122</v>
      </c>
      <c r="N2712" s="537"/>
      <c r="O2712" s="537"/>
      <c r="P2712" s="537"/>
      <c r="Q2712" s="537"/>
      <c r="R2712" s="537"/>
      <c r="S2712" s="537"/>
      <c r="T2712" s="537"/>
      <c r="U2712" s="545">
        <f>+V2710+V2703+V2695+V2686</f>
        <v>611963</v>
      </c>
      <c r="V2712" s="546"/>
      <c r="Y2712" s="429"/>
      <c r="Z2712" s="430">
        <f>+Z2710+Z2703+Z2695+Z2686</f>
        <v>22642630.920000002</v>
      </c>
      <c r="AA2712" s="86"/>
      <c r="AB2712" s="431">
        <f>+AB2710+AB2703+AB2695+AB2686</f>
        <v>22642631</v>
      </c>
      <c r="AC2712" s="404">
        <f>+AB2712-Z2712</f>
        <v>7.9999998211860657E-2</v>
      </c>
      <c r="AD2712" s="94"/>
      <c r="AE2712" s="432"/>
    </row>
    <row r="2713" spans="3:31" s="260" customFormat="1" ht="15.75" thickBot="1" x14ac:dyDescent="0.3"/>
    <row r="2714" spans="3:31" s="260" customFormat="1" x14ac:dyDescent="0.25">
      <c r="M2714" s="547" t="s">
        <v>348</v>
      </c>
      <c r="N2714" s="548"/>
      <c r="O2714" s="548"/>
      <c r="P2714" s="548"/>
      <c r="Q2714" s="548"/>
      <c r="R2714" s="548"/>
      <c r="S2714" s="548"/>
      <c r="T2714" s="548"/>
      <c r="U2714" s="548"/>
      <c r="V2714" s="549"/>
      <c r="Y2714" s="378"/>
      <c r="Z2714" s="121"/>
      <c r="AA2714" s="86"/>
      <c r="AB2714" s="94"/>
      <c r="AC2714" s="94"/>
      <c r="AD2714" s="94"/>
      <c r="AE2714" s="126" t="s">
        <v>133</v>
      </c>
    </row>
    <row r="2715" spans="3:31" s="260" customFormat="1" x14ac:dyDescent="0.25">
      <c r="M2715" s="515" t="s">
        <v>138</v>
      </c>
      <c r="N2715" s="516"/>
      <c r="O2715" s="516"/>
      <c r="P2715" s="516"/>
      <c r="Q2715" s="516"/>
      <c r="R2715" s="516"/>
      <c r="S2715" s="516"/>
      <c r="T2715" s="437">
        <v>0</v>
      </c>
      <c r="U2715" s="517">
        <f>+ROUND(U2712*T2715,$AA$5)</f>
        <v>0</v>
      </c>
      <c r="V2715" s="518"/>
      <c r="Y2715" s="390"/>
      <c r="Z2715" s="438">
        <f>+Z2712*T2715</f>
        <v>0</v>
      </c>
      <c r="AA2715" s="86"/>
      <c r="AB2715" s="94"/>
      <c r="AC2715" s="94"/>
      <c r="AD2715" s="94"/>
      <c r="AE2715" s="386" t="s">
        <v>133</v>
      </c>
    </row>
    <row r="2716" spans="3:31" s="260" customFormat="1" x14ac:dyDescent="0.25">
      <c r="M2716" s="515" t="s">
        <v>19</v>
      </c>
      <c r="N2716" s="516"/>
      <c r="O2716" s="516"/>
      <c r="P2716" s="516"/>
      <c r="Q2716" s="516"/>
      <c r="R2716" s="516"/>
      <c r="S2716" s="516"/>
      <c r="T2716" s="437">
        <v>0.05</v>
      </c>
      <c r="U2716" s="517">
        <f>+ROUND(U2712*T2716,$AA$5)</f>
        <v>30598.15</v>
      </c>
      <c r="V2716" s="518"/>
      <c r="Y2716" s="390"/>
      <c r="Z2716" s="438">
        <f>+Z2712*T2716</f>
        <v>1132131.5460000001</v>
      </c>
      <c r="AA2716" s="86"/>
      <c r="AB2716" s="94"/>
      <c r="AC2716" s="94"/>
      <c r="AD2716" s="94"/>
      <c r="AE2716" s="386" t="s">
        <v>133</v>
      </c>
    </row>
    <row r="2717" spans="3:31" s="260" customFormat="1" x14ac:dyDescent="0.25">
      <c r="M2717" s="515" t="s">
        <v>20</v>
      </c>
      <c r="N2717" s="516"/>
      <c r="O2717" s="516"/>
      <c r="P2717" s="516"/>
      <c r="Q2717" s="516"/>
      <c r="R2717" s="516"/>
      <c r="S2717" s="516"/>
      <c r="T2717" s="437">
        <v>0</v>
      </c>
      <c r="U2717" s="517">
        <f>+ROUND(U2712*T2717,$AA$5)</f>
        <v>0</v>
      </c>
      <c r="V2717" s="518"/>
      <c r="Y2717" s="390"/>
      <c r="Z2717" s="438">
        <f>+Z2712*T2717</f>
        <v>0</v>
      </c>
      <c r="AA2717" s="86"/>
      <c r="AB2717" s="94"/>
      <c r="AC2717" s="94"/>
      <c r="AD2717" s="94"/>
      <c r="AE2717" s="386" t="s">
        <v>133</v>
      </c>
    </row>
    <row r="2718" spans="3:31" s="260" customFormat="1" x14ac:dyDescent="0.25">
      <c r="M2718" s="515" t="s">
        <v>21</v>
      </c>
      <c r="N2718" s="516"/>
      <c r="O2718" s="516"/>
      <c r="P2718" s="516"/>
      <c r="Q2718" s="516"/>
      <c r="R2718" s="516"/>
      <c r="S2718" s="516"/>
      <c r="T2718" s="437">
        <f>$AA$9</f>
        <v>0</v>
      </c>
      <c r="U2718" s="517">
        <f>+ROUND(U2712*T2718,$AA$5)</f>
        <v>0</v>
      </c>
      <c r="V2718" s="518"/>
      <c r="Y2718" s="390"/>
      <c r="Z2718" s="438">
        <f>+Z2717*T2718</f>
        <v>0</v>
      </c>
      <c r="AA2718" s="86"/>
      <c r="AB2718" s="94"/>
      <c r="AC2718" s="94"/>
      <c r="AD2718" s="94"/>
      <c r="AE2718" s="386" t="s">
        <v>133</v>
      </c>
    </row>
    <row r="2719" spans="3:31" s="260" customFormat="1" ht="15.75" thickBot="1" x14ac:dyDescent="0.3">
      <c r="M2719" s="519" t="s">
        <v>349</v>
      </c>
      <c r="N2719" s="520"/>
      <c r="O2719" s="520"/>
      <c r="P2719" s="520"/>
      <c r="Q2719" s="520"/>
      <c r="R2719" s="520"/>
      <c r="S2719" s="520"/>
      <c r="T2719" s="520"/>
      <c r="U2719" s="521">
        <f>+SUM(U2715:V2718)</f>
        <v>30598.15</v>
      </c>
      <c r="V2719" s="522"/>
      <c r="Y2719" s="390"/>
      <c r="Z2719" s="439">
        <f>+SUM(Z2715:Z2718)</f>
        <v>1132131.5460000001</v>
      </c>
      <c r="AA2719" s="86"/>
      <c r="AB2719" s="94"/>
      <c r="AC2719" s="94"/>
      <c r="AD2719" s="94"/>
      <c r="AE2719" s="386" t="s">
        <v>133</v>
      </c>
    </row>
    <row r="2720" spans="3:31" s="260" customFormat="1" ht="15.75" thickBot="1" x14ac:dyDescent="0.3">
      <c r="D2720" s="375" t="s">
        <v>128</v>
      </c>
      <c r="E2720" s="376" t="s">
        <v>129</v>
      </c>
      <c r="F2720" s="376" t="s">
        <v>130</v>
      </c>
      <c r="G2720" s="376" t="s">
        <v>131</v>
      </c>
      <c r="H2720" s="376" t="s">
        <v>132</v>
      </c>
      <c r="I2720" s="376" t="s">
        <v>133</v>
      </c>
      <c r="J2720" s="377" t="s">
        <v>134</v>
      </c>
      <c r="M2720" s="86"/>
      <c r="N2720" s="94"/>
      <c r="O2720" s="94"/>
      <c r="P2720" s="94"/>
      <c r="Q2720" s="86"/>
      <c r="R2720" s="86"/>
      <c r="S2720" s="86"/>
      <c r="T2720" s="440"/>
      <c r="U2720" s="523"/>
      <c r="V2720" s="523"/>
      <c r="Y2720" s="390"/>
      <c r="Z2720" s="385"/>
      <c r="AA2720" s="86"/>
      <c r="AB2720" s="94"/>
      <c r="AC2720" s="94"/>
      <c r="AD2720" s="94"/>
      <c r="AE2720" s="386" t="s">
        <v>133</v>
      </c>
    </row>
    <row r="2721" spans="3:31" s="260" customFormat="1" ht="15.75" thickBot="1" x14ac:dyDescent="0.3">
      <c r="D2721" s="355"/>
      <c r="E2721" s="367"/>
      <c r="F2721" s="367"/>
      <c r="G2721" s="367"/>
      <c r="H2721" s="412"/>
      <c r="I2721" s="412">
        <f>H2712</f>
        <v>3.06</v>
      </c>
      <c r="J2721" s="422"/>
      <c r="M2721" s="524" t="s">
        <v>11</v>
      </c>
      <c r="N2721" s="525"/>
      <c r="O2721" s="525"/>
      <c r="P2721" s="525"/>
      <c r="Q2721" s="525"/>
      <c r="R2721" s="525"/>
      <c r="S2721" s="525"/>
      <c r="T2721" s="526"/>
      <c r="U2721" s="527">
        <f>+U2719+U2712</f>
        <v>642561.15</v>
      </c>
      <c r="V2721" s="528"/>
      <c r="Y2721" s="429"/>
      <c r="Z2721" s="441">
        <f>+Z2719+Z2712</f>
        <v>23774762.466000002</v>
      </c>
      <c r="AA2721" s="86"/>
      <c r="AB2721" s="94"/>
      <c r="AC2721" s="94"/>
      <c r="AD2721" s="94"/>
      <c r="AE2721" s="405" t="s">
        <v>133</v>
      </c>
    </row>
    <row r="2722" spans="3:31" s="260" customFormat="1" x14ac:dyDescent="0.25"/>
    <row r="2723" spans="3:31" s="260" customFormat="1" ht="15.75" thickBot="1" x14ac:dyDescent="0.3"/>
    <row r="2724" spans="3:31" s="260" customFormat="1" ht="15.75" thickBot="1" x14ac:dyDescent="0.3">
      <c r="M2724" s="363" t="s">
        <v>88</v>
      </c>
      <c r="N2724" s="436" t="str">
        <f>+N2675</f>
        <v>CAP.3</v>
      </c>
      <c r="O2724" s="550" t="str">
        <f>IFERROR(VLOOKUP(N2724,PPTO!C:H,2,0),"----")</f>
        <v>RED CONTRAINCENDIOS</v>
      </c>
      <c r="P2724" s="551"/>
      <c r="Q2724" s="551"/>
      <c r="R2724" s="551"/>
      <c r="S2724" s="551"/>
      <c r="T2724" s="551"/>
      <c r="U2724" s="552"/>
      <c r="V2724" s="74" t="s">
        <v>91</v>
      </c>
      <c r="Y2724" s="365" t="s">
        <v>104</v>
      </c>
      <c r="Z2724" s="94"/>
      <c r="AA2724" s="188"/>
      <c r="AB2724" s="553"/>
      <c r="AC2724" s="553"/>
      <c r="AD2724" s="553"/>
      <c r="AE2724" s="94"/>
    </row>
    <row r="2725" spans="3:31" s="260" customFormat="1" ht="15.75" thickBot="1" x14ac:dyDescent="0.3">
      <c r="C2725" s="369">
        <f>+N2725</f>
        <v>3.07</v>
      </c>
      <c r="D2725" s="86"/>
      <c r="E2725" s="86"/>
      <c r="F2725" s="86"/>
      <c r="G2725" s="86"/>
      <c r="H2725" s="86"/>
      <c r="I2725" s="86"/>
      <c r="J2725" s="86"/>
      <c r="K2725" s="370"/>
      <c r="M2725" s="75" t="s">
        <v>92</v>
      </c>
      <c r="N2725" s="371">
        <f>+ROUNDUP(N2676+0.01,2)</f>
        <v>3.07</v>
      </c>
      <c r="O2725" s="554" t="str">
        <f>IFERROR(VLOOKUP(N2725,PPTO!C:H,2,0),"----")</f>
        <v>Reduccion C-PVC Ø3" a Ø1"</v>
      </c>
      <c r="P2725" s="555"/>
      <c r="Q2725" s="555"/>
      <c r="R2725" s="555"/>
      <c r="S2725" s="555"/>
      <c r="T2725" s="555"/>
      <c r="U2725" s="556"/>
      <c r="V2725" s="76" t="str">
        <f>IFERROR(VLOOKUP(N2725,PPTO!C:H,3,0),"----")</f>
        <v>UND</v>
      </c>
      <c r="Y2725" s="373">
        <f>SUMIFS(PPTO!F:F,PPTO!C:C,APUS!N2725)</f>
        <v>24</v>
      </c>
      <c r="Z2725" s="94"/>
      <c r="AA2725" s="86"/>
      <c r="AB2725" s="94"/>
      <c r="AC2725" s="94"/>
      <c r="AD2725" s="94"/>
      <c r="AE2725" s="94"/>
    </row>
    <row r="2726" spans="3:31" s="260" customFormat="1" ht="15.75" thickBot="1" x14ac:dyDescent="0.3">
      <c r="C2726" s="84"/>
      <c r="D2726" s="86"/>
      <c r="E2726" s="86"/>
      <c r="F2726" s="86"/>
      <c r="G2726" s="86"/>
      <c r="H2726" s="86"/>
      <c r="I2726" s="86"/>
      <c r="J2726" s="86"/>
      <c r="K2726" s="88"/>
      <c r="M2726" s="557"/>
      <c r="N2726" s="557"/>
      <c r="O2726" s="557"/>
      <c r="P2726" s="557"/>
      <c r="Q2726" s="557"/>
      <c r="R2726" s="557"/>
      <c r="S2726" s="557"/>
      <c r="T2726" s="557"/>
      <c r="U2726" s="557"/>
      <c r="V2726" s="557"/>
      <c r="Y2726" s="374"/>
      <c r="Z2726" s="94"/>
      <c r="AA2726" s="86"/>
      <c r="AB2726" s="94"/>
      <c r="AC2726" s="94"/>
      <c r="AD2726" s="94"/>
      <c r="AE2726" s="94"/>
    </row>
    <row r="2727" spans="3:31" s="260" customFormat="1" ht="15.75" thickBot="1" x14ac:dyDescent="0.3">
      <c r="C2727" s="84"/>
      <c r="D2727" s="375" t="s">
        <v>128</v>
      </c>
      <c r="E2727" s="376" t="s">
        <v>129</v>
      </c>
      <c r="F2727" s="376" t="s">
        <v>130</v>
      </c>
      <c r="G2727" s="376" t="s">
        <v>131</v>
      </c>
      <c r="H2727" s="376" t="s">
        <v>132</v>
      </c>
      <c r="I2727" s="376" t="s">
        <v>133</v>
      </c>
      <c r="J2727" s="377" t="s">
        <v>134</v>
      </c>
      <c r="K2727" s="88"/>
      <c r="M2727" s="558" t="s">
        <v>93</v>
      </c>
      <c r="N2727" s="559"/>
      <c r="O2727" s="559"/>
      <c r="P2727" s="559"/>
      <c r="Q2727" s="559"/>
      <c r="R2727" s="559"/>
      <c r="S2727" s="559"/>
      <c r="T2727" s="559"/>
      <c r="U2727" s="559"/>
      <c r="V2727" s="560"/>
      <c r="Y2727" s="378"/>
      <c r="Z2727" s="121"/>
      <c r="AA2727" s="86"/>
      <c r="AB2727" s="513"/>
      <c r="AC2727" s="514"/>
      <c r="AD2727" s="94"/>
      <c r="AE2727" s="379"/>
    </row>
    <row r="2728" spans="3:31" s="260" customFormat="1" x14ac:dyDescent="0.25">
      <c r="C2728" s="84"/>
      <c r="D2728" s="380"/>
      <c r="E2728" s="381"/>
      <c r="F2728" s="381"/>
      <c r="G2728" s="381"/>
      <c r="H2728" s="381"/>
      <c r="I2728" s="381"/>
      <c r="J2728" s="382"/>
      <c r="K2728" s="88"/>
      <c r="M2728" s="99" t="s">
        <v>94</v>
      </c>
      <c r="N2728" s="561" t="s">
        <v>95</v>
      </c>
      <c r="O2728" s="561"/>
      <c r="P2728" s="561"/>
      <c r="Q2728" s="561"/>
      <c r="R2728" s="95" t="s">
        <v>96</v>
      </c>
      <c r="S2728" s="95" t="s">
        <v>97</v>
      </c>
      <c r="T2728" s="562" t="s">
        <v>8</v>
      </c>
      <c r="U2728" s="562"/>
      <c r="V2728" s="100" t="s">
        <v>98</v>
      </c>
      <c r="Y2728" s="383" t="s">
        <v>104</v>
      </c>
      <c r="Z2728" s="119" t="s">
        <v>9</v>
      </c>
      <c r="AA2728" s="86"/>
      <c r="AB2728" s="384"/>
      <c r="AC2728" s="385"/>
      <c r="AD2728" s="94"/>
      <c r="AE2728" s="386"/>
    </row>
    <row r="2729" spans="3:31" s="260" customFormat="1" x14ac:dyDescent="0.25">
      <c r="C2729" s="84"/>
      <c r="D2729" s="85"/>
      <c r="E2729" s="86"/>
      <c r="F2729" s="86"/>
      <c r="G2729" s="86"/>
      <c r="H2729" s="86"/>
      <c r="I2729" s="86"/>
      <c r="J2729" s="87"/>
      <c r="K2729" s="88"/>
      <c r="M2729" s="102"/>
      <c r="N2729" s="533" t="s">
        <v>99</v>
      </c>
      <c r="O2729" s="533"/>
      <c r="P2729" s="533"/>
      <c r="Q2729" s="533"/>
      <c r="R2729" s="78" t="s">
        <v>100</v>
      </c>
      <c r="S2729" s="387">
        <f>+$AA$10</f>
        <v>0.05</v>
      </c>
      <c r="T2729" s="563">
        <f>V2759</f>
        <v>19458.53</v>
      </c>
      <c r="U2729" s="563"/>
      <c r="V2729" s="389">
        <f>+IFERROR(T2729*S2729,0)</f>
        <v>972.92650000000003</v>
      </c>
      <c r="Y2729" s="390"/>
      <c r="Z2729" s="391">
        <f>Y2725*V2729</f>
        <v>23350.236000000001</v>
      </c>
      <c r="AA2729" s="86"/>
      <c r="AB2729" s="384"/>
      <c r="AC2729" s="385"/>
      <c r="AD2729" s="94"/>
      <c r="AE2729" s="386" t="str">
        <f>+IF(V2729=0,"CERO","NO")</f>
        <v>NO</v>
      </c>
    </row>
    <row r="2730" spans="3:31" s="260" customFormat="1" x14ac:dyDescent="0.25">
      <c r="C2730" s="84"/>
      <c r="D2730" s="85"/>
      <c r="E2730" s="86"/>
      <c r="F2730" s="86"/>
      <c r="G2730" s="86"/>
      <c r="H2730" s="86"/>
      <c r="I2730" s="86"/>
      <c r="J2730" s="87"/>
      <c r="K2730" s="88"/>
      <c r="M2730" s="106"/>
      <c r="N2730" s="533" t="str">
        <f>IFERROR(VLOOKUP(M2730,INSUMOS!$C$8:$K$928,2,0),"-----")</f>
        <v>-----</v>
      </c>
      <c r="O2730" s="533"/>
      <c r="P2730" s="533"/>
      <c r="Q2730" s="533"/>
      <c r="R2730" s="78" t="str">
        <f>IFERROR(VLOOKUP(M2730,INSUMOS!$C$8:$K$928,6,0),"-----")</f>
        <v>-----</v>
      </c>
      <c r="S2730" s="392"/>
      <c r="T2730" s="529" t="str">
        <f>IFERROR(VLOOKUP(M2730,INSUMOS!$C$8:$K$928,7,0),"0")</f>
        <v>0</v>
      </c>
      <c r="U2730" s="529"/>
      <c r="V2730" s="389">
        <f>+IFERROR(T2730*S2730,0)</f>
        <v>0</v>
      </c>
      <c r="Y2730" s="393">
        <f>+IFERROR(Y2725*S2730,0)</f>
        <v>0</v>
      </c>
      <c r="Z2730" s="391">
        <f>Y2725*V2730</f>
        <v>0</v>
      </c>
      <c r="AA2730" s="394"/>
      <c r="AB2730" s="395">
        <f>+Y2730*T2730</f>
        <v>0</v>
      </c>
      <c r="AC2730" s="93">
        <f>+AB2730-Z2730</f>
        <v>0</v>
      </c>
      <c r="AD2730" s="94"/>
      <c r="AE2730" s="386" t="str">
        <f>+IF(V2730=0,"CERO","NO")</f>
        <v>CERO</v>
      </c>
    </row>
    <row r="2731" spans="3:31" s="260" customFormat="1" x14ac:dyDescent="0.25">
      <c r="C2731" s="84"/>
      <c r="D2731" s="85"/>
      <c r="E2731" s="86"/>
      <c r="F2731" s="86"/>
      <c r="G2731" s="86"/>
      <c r="H2731" s="86"/>
      <c r="I2731" s="86"/>
      <c r="J2731" s="87"/>
      <c r="K2731" s="88"/>
      <c r="M2731" s="102">
        <v>0</v>
      </c>
      <c r="N2731" s="533"/>
      <c r="O2731" s="533"/>
      <c r="P2731" s="533"/>
      <c r="Q2731" s="533"/>
      <c r="R2731" s="78"/>
      <c r="S2731" s="396"/>
      <c r="T2731" s="529"/>
      <c r="U2731" s="529"/>
      <c r="V2731" s="397"/>
      <c r="Y2731" s="393">
        <f>+IFERROR(Y2725*S2731,0)</f>
        <v>0</v>
      </c>
      <c r="Z2731" s="391">
        <f>Y2725*V2731</f>
        <v>0</v>
      </c>
      <c r="AA2731" s="394"/>
      <c r="AB2731" s="395">
        <f>+Y2731*T2731</f>
        <v>0</v>
      </c>
      <c r="AC2731" s="93">
        <f>+AB2731-Z2731</f>
        <v>0</v>
      </c>
      <c r="AD2731" s="94"/>
      <c r="AE2731" s="386" t="str">
        <f>+IF(V2731=0,"CERO","NO")</f>
        <v>CERO</v>
      </c>
    </row>
    <row r="2732" spans="3:31" s="260" customFormat="1" x14ac:dyDescent="0.25">
      <c r="C2732" s="84"/>
      <c r="D2732" s="85"/>
      <c r="E2732" s="86"/>
      <c r="F2732" s="86"/>
      <c r="G2732" s="86"/>
      <c r="H2732" s="86"/>
      <c r="I2732" s="86"/>
      <c r="J2732" s="87"/>
      <c r="K2732" s="88"/>
      <c r="M2732" s="102">
        <v>0</v>
      </c>
      <c r="N2732" s="533"/>
      <c r="O2732" s="533"/>
      <c r="P2732" s="533"/>
      <c r="Q2732" s="533"/>
      <c r="R2732" s="78"/>
      <c r="S2732" s="396"/>
      <c r="T2732" s="529"/>
      <c r="U2732" s="529"/>
      <c r="V2732" s="397"/>
      <c r="Y2732" s="393">
        <f>+IFERROR(Y2725*S2732,0)</f>
        <v>0</v>
      </c>
      <c r="Z2732" s="391">
        <f>Y2725*V2732</f>
        <v>0</v>
      </c>
      <c r="AA2732" s="394"/>
      <c r="AB2732" s="395">
        <f>+Y2732*T2732</f>
        <v>0</v>
      </c>
      <c r="AC2732" s="93">
        <f>+AB2732-Z2732</f>
        <v>0</v>
      </c>
      <c r="AD2732" s="94"/>
      <c r="AE2732" s="386" t="str">
        <f>+IF(V2732=0,"CERO","NO")</f>
        <v>CERO</v>
      </c>
    </row>
    <row r="2733" spans="3:31" s="260" customFormat="1" ht="15.75" thickBot="1" x14ac:dyDescent="0.3">
      <c r="C2733" s="84"/>
      <c r="D2733" s="85"/>
      <c r="E2733" s="86"/>
      <c r="F2733" s="86"/>
      <c r="G2733" s="86"/>
      <c r="H2733" s="86"/>
      <c r="I2733" s="86"/>
      <c r="J2733" s="87"/>
      <c r="K2733" s="88"/>
      <c r="M2733" s="102">
        <v>0</v>
      </c>
      <c r="N2733" s="564"/>
      <c r="O2733" s="564"/>
      <c r="P2733" s="564"/>
      <c r="Q2733" s="564"/>
      <c r="R2733" s="96"/>
      <c r="S2733" s="96"/>
      <c r="T2733" s="565"/>
      <c r="U2733" s="565"/>
      <c r="V2733" s="101"/>
      <c r="Y2733" s="393">
        <f>+IFERROR(Y2725*S2733,0)</f>
        <v>0</v>
      </c>
      <c r="Z2733" s="391">
        <f>Y2725*V2733</f>
        <v>0</v>
      </c>
      <c r="AA2733" s="394"/>
      <c r="AB2733" s="395">
        <f>+Y2733*T2733</f>
        <v>0</v>
      </c>
      <c r="AC2733" s="93">
        <f>+AB2733-Z2733</f>
        <v>0</v>
      </c>
      <c r="AD2733" s="94"/>
      <c r="AE2733" s="386" t="str">
        <f>+IF(V2733=0,"CERO","NO")</f>
        <v>CERO</v>
      </c>
    </row>
    <row r="2734" spans="3:31" s="260" customFormat="1" ht="15.75" thickBot="1" x14ac:dyDescent="0.3">
      <c r="C2734" s="84"/>
      <c r="D2734" s="375" t="s">
        <v>128</v>
      </c>
      <c r="E2734" s="376" t="s">
        <v>129</v>
      </c>
      <c r="F2734" s="376" t="s">
        <v>130</v>
      </c>
      <c r="G2734" s="376" t="s">
        <v>131</v>
      </c>
      <c r="H2734" s="376" t="s">
        <v>132</v>
      </c>
      <c r="I2734" s="376" t="s">
        <v>133</v>
      </c>
      <c r="J2734" s="377" t="s">
        <v>134</v>
      </c>
      <c r="K2734" s="88"/>
      <c r="M2734" s="534"/>
      <c r="N2734" s="536" t="s">
        <v>101</v>
      </c>
      <c r="O2734" s="536"/>
      <c r="P2734" s="536"/>
      <c r="Q2734" s="536"/>
      <c r="R2734" s="536"/>
      <c r="S2734" s="536"/>
      <c r="T2734" s="536"/>
      <c r="U2734" s="536"/>
      <c r="V2734" s="389">
        <f>+SUM(V2729:V2733)</f>
        <v>972.92650000000003</v>
      </c>
      <c r="Y2734" s="398" t="s">
        <v>135</v>
      </c>
      <c r="Z2734" s="397">
        <f>+SUM(Z2729:Z2733)</f>
        <v>23350.236000000001</v>
      </c>
      <c r="AA2734" s="86"/>
      <c r="AB2734" s="384"/>
      <c r="AC2734" s="385"/>
      <c r="AD2734" s="94"/>
      <c r="AE2734" s="399"/>
    </row>
    <row r="2735" spans="3:31" s="260" customFormat="1" ht="15.75" thickBot="1" x14ac:dyDescent="0.3">
      <c r="C2735" s="84"/>
      <c r="D2735" s="375">
        <f>C2725</f>
        <v>3.07</v>
      </c>
      <c r="E2735" s="376"/>
      <c r="F2735" s="376"/>
      <c r="G2735" s="376"/>
      <c r="H2735" s="376"/>
      <c r="I2735" s="376"/>
      <c r="J2735" s="377"/>
      <c r="K2735" s="88"/>
      <c r="M2735" s="566"/>
      <c r="N2735" s="567" t="s">
        <v>102</v>
      </c>
      <c r="O2735" s="567"/>
      <c r="P2735" s="567"/>
      <c r="Q2735" s="567"/>
      <c r="R2735" s="567"/>
      <c r="S2735" s="567"/>
      <c r="T2735" s="567"/>
      <c r="U2735" s="567"/>
      <c r="V2735" s="400">
        <f>+ROUND(V2734,$AA$5)</f>
        <v>972.93</v>
      </c>
      <c r="Y2735" s="401" t="s">
        <v>136</v>
      </c>
      <c r="Z2735" s="402">
        <f>+ROUND(Z2734,$AA$5)</f>
        <v>23350.240000000002</v>
      </c>
      <c r="AA2735" s="86"/>
      <c r="AB2735" s="403">
        <f>+V2735*Y2725</f>
        <v>23350.32</v>
      </c>
      <c r="AC2735" s="404">
        <f>+AB2735-Z2735</f>
        <v>7.9999999998108251E-2</v>
      </c>
      <c r="AD2735" s="94"/>
      <c r="AE2735" s="405"/>
    </row>
    <row r="2736" spans="3:31" s="260" customFormat="1" x14ac:dyDescent="0.25">
      <c r="C2736" s="84"/>
      <c r="D2736" s="380"/>
      <c r="E2736" s="381"/>
      <c r="F2736" s="381"/>
      <c r="G2736" s="381"/>
      <c r="H2736" s="381"/>
      <c r="I2736" s="381"/>
      <c r="J2736" s="382"/>
      <c r="K2736" s="88"/>
      <c r="M2736" s="510" t="s">
        <v>103</v>
      </c>
      <c r="N2736" s="511"/>
      <c r="O2736" s="511"/>
      <c r="P2736" s="511"/>
      <c r="Q2736" s="511"/>
      <c r="R2736" s="511"/>
      <c r="S2736" s="511"/>
      <c r="T2736" s="511"/>
      <c r="U2736" s="511"/>
      <c r="V2736" s="512"/>
      <c r="Y2736" s="378"/>
      <c r="Z2736" s="121"/>
      <c r="AA2736" s="86"/>
      <c r="AB2736" s="513"/>
      <c r="AC2736" s="514"/>
      <c r="AD2736" s="94"/>
      <c r="AE2736" s="126"/>
    </row>
    <row r="2737" spans="3:31" s="260" customFormat="1" x14ac:dyDescent="0.25">
      <c r="C2737" s="84"/>
      <c r="D2737" s="85"/>
      <c r="E2737" s="86"/>
      <c r="F2737" s="86"/>
      <c r="G2737" s="86"/>
      <c r="H2737" s="86"/>
      <c r="I2737" s="86"/>
      <c r="J2737" s="87"/>
      <c r="K2737" s="88"/>
      <c r="M2737" s="99" t="s">
        <v>94</v>
      </c>
      <c r="N2737" s="561" t="s">
        <v>95</v>
      </c>
      <c r="O2737" s="561"/>
      <c r="P2737" s="561"/>
      <c r="Q2737" s="561"/>
      <c r="R2737" s="95" t="s">
        <v>96</v>
      </c>
      <c r="S2737" s="95" t="s">
        <v>104</v>
      </c>
      <c r="T2737" s="356" t="s">
        <v>105</v>
      </c>
      <c r="U2737" s="356" t="s">
        <v>8</v>
      </c>
      <c r="V2737" s="100" t="s">
        <v>98</v>
      </c>
      <c r="Y2737" s="383" t="s">
        <v>104</v>
      </c>
      <c r="Z2737" s="119" t="s">
        <v>9</v>
      </c>
      <c r="AA2737" s="86"/>
      <c r="AB2737" s="384"/>
      <c r="AC2737" s="385"/>
      <c r="AD2737" s="94"/>
      <c r="AE2737" s="406"/>
    </row>
    <row r="2738" spans="3:31" s="260" customFormat="1" x14ac:dyDescent="0.25">
      <c r="C2738" s="84"/>
      <c r="D2738" s="85"/>
      <c r="E2738" s="86"/>
      <c r="F2738" s="86"/>
      <c r="G2738" s="86"/>
      <c r="H2738" s="86"/>
      <c r="I2738" s="86"/>
      <c r="J2738" s="87"/>
      <c r="K2738" s="88"/>
      <c r="M2738" s="102">
        <v>875</v>
      </c>
      <c r="N2738" s="533" t="str">
        <f>IFERROR(VLOOKUP(M2738,INSUMOS!$C$8:$K$928,2,0),"-----")</f>
        <v>REDUCCION CPVC Ø3" A Ø1"</v>
      </c>
      <c r="O2738" s="533"/>
      <c r="P2738" s="533"/>
      <c r="Q2738" s="533"/>
      <c r="R2738" s="78" t="str">
        <f>IFERROR(VLOOKUP(M2738,INSUMOS!$C$8:$K$928,6,0),"-----")</f>
        <v>und</v>
      </c>
      <c r="S2738" s="396">
        <v>1</v>
      </c>
      <c r="T2738" s="387">
        <v>0</v>
      </c>
      <c r="U2738" s="388">
        <f>IFERROR(VLOOKUP(M2738,INSUMOS!$C$8:$K$928,7,0),"0")</f>
        <v>159096</v>
      </c>
      <c r="V2738" s="389">
        <f>+IFERROR(U2738*(S2738*(1+T2738)),0)</f>
        <v>159096</v>
      </c>
      <c r="Y2738" s="393">
        <f>+IFERROR(Y2725*(S2738*(1+T2738)),0)</f>
        <v>24</v>
      </c>
      <c r="Z2738" s="391">
        <f>Y2725*V2738</f>
        <v>3818304</v>
      </c>
      <c r="AA2738" s="394"/>
      <c r="AB2738" s="395">
        <f>+Y2738*U2738</f>
        <v>3818304</v>
      </c>
      <c r="AC2738" s="93">
        <f>+AB2738-Z2738</f>
        <v>0</v>
      </c>
      <c r="AD2738" s="94"/>
      <c r="AE2738" s="406" t="str">
        <f>+IF(V2738=0,"CERO","NO")</f>
        <v>NO</v>
      </c>
    </row>
    <row r="2739" spans="3:31" s="260" customFormat="1" x14ac:dyDescent="0.25">
      <c r="C2739" s="84"/>
      <c r="D2739" s="85"/>
      <c r="E2739" s="86"/>
      <c r="F2739" s="86"/>
      <c r="G2739" s="86"/>
      <c r="H2739" s="86"/>
      <c r="I2739" s="86"/>
      <c r="J2739" s="87"/>
      <c r="K2739" s="88"/>
      <c r="M2739" s="102">
        <v>699</v>
      </c>
      <c r="N2739" s="533" t="str">
        <f>IFERROR(VLOOKUP(M2739,INSUMOS!$C$8:$K$928,2,0),"-----")</f>
        <v>SOLDADURA PVC LIQUIDA 1/4"</v>
      </c>
      <c r="O2739" s="533"/>
      <c r="P2739" s="533"/>
      <c r="Q2739" s="533"/>
      <c r="R2739" s="78" t="str">
        <f>IFERROR(VLOOKUP(M2739,INSUMOS!$C$8:$K$928,6,0),"-----")</f>
        <v>und</v>
      </c>
      <c r="S2739" s="392">
        <v>0.01</v>
      </c>
      <c r="T2739" s="387">
        <v>0.02</v>
      </c>
      <c r="U2739" s="388">
        <f>IFERROR(VLOOKUP(M2739,INSUMOS!$C$8:$K$928,7,0),"0")</f>
        <v>146569</v>
      </c>
      <c r="V2739" s="389">
        <f>+IFERROR(U2739*(S2739*(1+T2739)),0)</f>
        <v>1495.0038000000002</v>
      </c>
      <c r="Y2739" s="393">
        <f>+IFERROR(Y2725*(S2739*(1+T2739)),0)</f>
        <v>0.24480000000000002</v>
      </c>
      <c r="Z2739" s="391">
        <f>Y2725*V2739</f>
        <v>35880.091200000003</v>
      </c>
      <c r="AA2739" s="394"/>
      <c r="AB2739" s="395">
        <f>+Y2739*U2739</f>
        <v>35880.091200000003</v>
      </c>
      <c r="AC2739" s="93">
        <f>+AB2739-Z2739</f>
        <v>0</v>
      </c>
      <c r="AD2739" s="94"/>
      <c r="AE2739" s="406" t="str">
        <f>+IF(V2739=0,"CERO","NO")</f>
        <v>NO</v>
      </c>
    </row>
    <row r="2740" spans="3:31" s="260" customFormat="1" x14ac:dyDescent="0.25">
      <c r="C2740" s="84"/>
      <c r="D2740" s="85"/>
      <c r="E2740" s="86"/>
      <c r="F2740" s="86"/>
      <c r="G2740" s="86"/>
      <c r="H2740" s="86"/>
      <c r="I2740" s="86"/>
      <c r="J2740" s="87"/>
      <c r="K2740" s="88"/>
      <c r="M2740" s="102">
        <v>700</v>
      </c>
      <c r="N2740" s="533" t="str">
        <f>IFERROR(VLOOKUP(M2740,INSUMOS!$C$8:$K$928,2,0),"-----")</f>
        <v>LIMPIADOR PVC 1/4</v>
      </c>
      <c r="O2740" s="533"/>
      <c r="P2740" s="533"/>
      <c r="Q2740" s="533"/>
      <c r="R2740" s="78" t="str">
        <f>IFERROR(VLOOKUP(M2740,INSUMOS!$C$8:$K$928,6,0),"-----")</f>
        <v>und</v>
      </c>
      <c r="S2740" s="396">
        <v>0.01</v>
      </c>
      <c r="T2740" s="387">
        <v>0.02</v>
      </c>
      <c r="U2740" s="388">
        <f>IFERROR(VLOOKUP(M2740,INSUMOS!$C$8:$K$928,7,0),"0")</f>
        <v>65913</v>
      </c>
      <c r="V2740" s="389">
        <f>+IFERROR(U2740*(S2740*(1+T2740)),0)</f>
        <v>672.31260000000009</v>
      </c>
      <c r="Y2740" s="393">
        <f>+IFERROR(Y2725*(S2740*(1+T2740)),0)</f>
        <v>0.24480000000000002</v>
      </c>
      <c r="Z2740" s="391">
        <f>Y2725*V2740</f>
        <v>16135.502400000001</v>
      </c>
      <c r="AA2740" s="394"/>
      <c r="AB2740" s="395">
        <f>+Y2740*U2740</f>
        <v>16135.502400000001</v>
      </c>
      <c r="AC2740" s="93">
        <f>+AB2740-Z2740</f>
        <v>0</v>
      </c>
      <c r="AD2740" s="94"/>
      <c r="AE2740" s="406" t="str">
        <f>+IF(V2740=0,"CERO","NO")</f>
        <v>NO</v>
      </c>
    </row>
    <row r="2741" spans="3:31" s="260" customFormat="1" x14ac:dyDescent="0.25">
      <c r="C2741" s="84"/>
      <c r="D2741" s="85"/>
      <c r="E2741" s="86"/>
      <c r="F2741" s="86"/>
      <c r="G2741" s="86"/>
      <c r="H2741" s="86"/>
      <c r="I2741" s="86"/>
      <c r="J2741" s="87"/>
      <c r="K2741" s="88"/>
      <c r="M2741" s="102">
        <v>0</v>
      </c>
      <c r="N2741" s="533" t="str">
        <f>IFERROR(VLOOKUP(M2741,INSUMOS!$C$8:$K$928,2,0),"-----")</f>
        <v>-----</v>
      </c>
      <c r="O2741" s="533"/>
      <c r="P2741" s="533"/>
      <c r="Q2741" s="533"/>
      <c r="R2741" s="78" t="str">
        <f>IFERROR(VLOOKUP(M2741,INSUMOS!$C$8:$K$928,6,0),"-----")</f>
        <v>-----</v>
      </c>
      <c r="S2741" s="396"/>
      <c r="T2741" s="387"/>
      <c r="U2741" s="388" t="str">
        <f>IFERROR(VLOOKUP(M2741,INSUMOS!$C$8:$K$928,7,0),"0")</f>
        <v>0</v>
      </c>
      <c r="V2741" s="389">
        <f>+IFERROR(U2741*(S2741*(1+T2741)),0)</f>
        <v>0</v>
      </c>
      <c r="Y2741" s="393">
        <f>+IFERROR(Y2725*(S2741*(1+T2741)),0)</f>
        <v>0</v>
      </c>
      <c r="Z2741" s="391">
        <f>Y2725*V2741</f>
        <v>0</v>
      </c>
      <c r="AA2741" s="394"/>
      <c r="AB2741" s="395">
        <f>+Y2741*U2741</f>
        <v>0</v>
      </c>
      <c r="AC2741" s="93">
        <f>+AB2741-Z2741</f>
        <v>0</v>
      </c>
      <c r="AD2741" s="94"/>
      <c r="AE2741" s="406" t="str">
        <f>+IF(V2741=0,"CERO","NO")</f>
        <v>CERO</v>
      </c>
    </row>
    <row r="2742" spans="3:31" s="260" customFormat="1" ht="15.75" thickBot="1" x14ac:dyDescent="0.3">
      <c r="C2742" s="84"/>
      <c r="D2742" s="85"/>
      <c r="E2742" s="86"/>
      <c r="F2742" s="86"/>
      <c r="G2742" s="86"/>
      <c r="H2742" s="86"/>
      <c r="I2742" s="86"/>
      <c r="J2742" s="87"/>
      <c r="K2742" s="88"/>
      <c r="M2742" s="102">
        <v>0</v>
      </c>
      <c r="N2742" s="564"/>
      <c r="O2742" s="564"/>
      <c r="P2742" s="564"/>
      <c r="Q2742" s="564"/>
      <c r="R2742" s="96"/>
      <c r="S2742" s="79"/>
      <c r="T2742" s="97"/>
      <c r="U2742" s="358"/>
      <c r="V2742" s="397"/>
      <c r="Y2742" s="393">
        <f>+IFERROR(Y2725*(S2742*(1+T2742)),0)</f>
        <v>0</v>
      </c>
      <c r="Z2742" s="391">
        <f>Y2725*V2742</f>
        <v>0</v>
      </c>
      <c r="AA2742" s="394"/>
      <c r="AB2742" s="395">
        <f>+Y2742*U2742</f>
        <v>0</v>
      </c>
      <c r="AC2742" s="93">
        <f>+AB2742-Z2742</f>
        <v>0</v>
      </c>
      <c r="AD2742" s="94"/>
      <c r="AE2742" s="406" t="str">
        <f>+IF(V2742=0,"CERO","NO")</f>
        <v>CERO</v>
      </c>
    </row>
    <row r="2743" spans="3:31" s="260" customFormat="1" ht="15.75" thickBot="1" x14ac:dyDescent="0.3">
      <c r="C2743" s="84"/>
      <c r="D2743" s="375" t="s">
        <v>128</v>
      </c>
      <c r="E2743" s="376" t="s">
        <v>129</v>
      </c>
      <c r="F2743" s="376" t="s">
        <v>130</v>
      </c>
      <c r="G2743" s="376" t="s">
        <v>131</v>
      </c>
      <c r="H2743" s="376" t="s">
        <v>132</v>
      </c>
      <c r="I2743" s="376" t="s">
        <v>133</v>
      </c>
      <c r="J2743" s="377" t="s">
        <v>134</v>
      </c>
      <c r="K2743" s="88"/>
      <c r="M2743" s="534"/>
      <c r="N2743" s="536" t="s">
        <v>106</v>
      </c>
      <c r="O2743" s="536"/>
      <c r="P2743" s="536"/>
      <c r="Q2743" s="536"/>
      <c r="R2743" s="536"/>
      <c r="S2743" s="536"/>
      <c r="T2743" s="536"/>
      <c r="U2743" s="536"/>
      <c r="V2743" s="389">
        <f>+SUM(V2738:V2742)</f>
        <v>161263.31640000001</v>
      </c>
      <c r="Y2743" s="398" t="s">
        <v>135</v>
      </c>
      <c r="Z2743" s="397">
        <f>+SUM(Z2738:Z2742)</f>
        <v>3870319.5936000003</v>
      </c>
      <c r="AA2743" s="86"/>
      <c r="AB2743" s="384"/>
      <c r="AC2743" s="385"/>
      <c r="AD2743" s="94"/>
      <c r="AE2743" s="399"/>
    </row>
    <row r="2744" spans="3:31" s="260" customFormat="1" ht="15.75" thickBot="1" x14ac:dyDescent="0.3">
      <c r="C2744" s="84"/>
      <c r="D2744" s="375"/>
      <c r="E2744" s="407">
        <f>+D2735</f>
        <v>3.07</v>
      </c>
      <c r="F2744" s="376"/>
      <c r="G2744" s="376"/>
      <c r="H2744" s="376"/>
      <c r="I2744" s="376"/>
      <c r="J2744" s="377"/>
      <c r="K2744" s="88"/>
      <c r="M2744" s="535"/>
      <c r="N2744" s="537" t="s">
        <v>107</v>
      </c>
      <c r="O2744" s="537"/>
      <c r="P2744" s="537"/>
      <c r="Q2744" s="537"/>
      <c r="R2744" s="537"/>
      <c r="S2744" s="537"/>
      <c r="T2744" s="537"/>
      <c r="U2744" s="537"/>
      <c r="V2744" s="408">
        <f>+ROUND(V2743,$AA$5)</f>
        <v>161263.32</v>
      </c>
      <c r="Y2744" s="401" t="s">
        <v>136</v>
      </c>
      <c r="Z2744" s="402">
        <f>+ROUND(Z2743,$AA$5)</f>
        <v>3870319.59</v>
      </c>
      <c r="AA2744" s="86"/>
      <c r="AB2744" s="403">
        <f>+V2744*Y2725</f>
        <v>3870319.68</v>
      </c>
      <c r="AC2744" s="404">
        <f>+AB2744-Z2744</f>
        <v>9.0000000316649675E-2</v>
      </c>
      <c r="AD2744" s="94"/>
      <c r="AE2744" s="405"/>
    </row>
    <row r="2745" spans="3:31" s="260" customFormat="1" x14ac:dyDescent="0.25">
      <c r="C2745" s="84"/>
      <c r="D2745" s="380"/>
      <c r="E2745" s="381"/>
      <c r="F2745" s="381"/>
      <c r="G2745" s="381"/>
      <c r="H2745" s="381"/>
      <c r="I2745" s="381"/>
      <c r="J2745" s="382"/>
      <c r="K2745" s="88"/>
      <c r="M2745" s="568" t="s">
        <v>108</v>
      </c>
      <c r="N2745" s="569"/>
      <c r="O2745" s="569"/>
      <c r="P2745" s="569"/>
      <c r="Q2745" s="569"/>
      <c r="R2745" s="569"/>
      <c r="S2745" s="569"/>
      <c r="T2745" s="569"/>
      <c r="U2745" s="569"/>
      <c r="V2745" s="570"/>
      <c r="Y2745" s="378"/>
      <c r="Z2745" s="121"/>
      <c r="AA2745" s="86"/>
      <c r="AB2745" s="409"/>
      <c r="AC2745" s="121"/>
      <c r="AD2745" s="94"/>
      <c r="AE2745" s="126"/>
    </row>
    <row r="2746" spans="3:31" s="260" customFormat="1" ht="25.5" x14ac:dyDescent="0.25">
      <c r="C2746" s="84"/>
      <c r="D2746" s="85"/>
      <c r="E2746" s="86"/>
      <c r="F2746" s="86"/>
      <c r="G2746" s="86"/>
      <c r="H2746" s="86"/>
      <c r="I2746" s="86"/>
      <c r="J2746" s="87"/>
      <c r="K2746" s="88"/>
      <c r="M2746" s="99" t="s">
        <v>94</v>
      </c>
      <c r="N2746" s="561" t="s">
        <v>95</v>
      </c>
      <c r="O2746" s="561"/>
      <c r="P2746" s="561"/>
      <c r="Q2746" s="95" t="s">
        <v>109</v>
      </c>
      <c r="R2746" s="95" t="s">
        <v>110</v>
      </c>
      <c r="S2746" s="95" t="s">
        <v>111</v>
      </c>
      <c r="T2746" s="562" t="s">
        <v>112</v>
      </c>
      <c r="U2746" s="562"/>
      <c r="V2746" s="100" t="s">
        <v>98</v>
      </c>
      <c r="Y2746" s="383" t="s">
        <v>104</v>
      </c>
      <c r="Z2746" s="119" t="s">
        <v>9</v>
      </c>
      <c r="AA2746" s="86"/>
      <c r="AB2746" s="384"/>
      <c r="AC2746" s="385"/>
      <c r="AD2746" s="94"/>
      <c r="AE2746" s="410"/>
    </row>
    <row r="2747" spans="3:31" s="260" customFormat="1" x14ac:dyDescent="0.25">
      <c r="C2747" s="84"/>
      <c r="D2747" s="85"/>
      <c r="E2747" s="86"/>
      <c r="F2747" s="86"/>
      <c r="G2747" s="86"/>
      <c r="H2747" s="86"/>
      <c r="I2747" s="86"/>
      <c r="J2747" s="87"/>
      <c r="K2747" s="88"/>
      <c r="M2747" s="102">
        <v>129</v>
      </c>
      <c r="N2747" s="530" t="str">
        <f>IFERROR(VLOOKUP(M2747,INSUMOS!$C$8:$K$928,2,0),"-----")</f>
        <v>transporte materiales en general</v>
      </c>
      <c r="O2747" s="531"/>
      <c r="P2747" s="532"/>
      <c r="Q2747" s="78" t="str">
        <f>IFERROR(VLOOKUP(M2747,INSUMOS!$C$8:$K$928,5,0),"-----")</f>
        <v>Km</v>
      </c>
      <c r="R2747" s="80">
        <v>1</v>
      </c>
      <c r="S2747" s="80">
        <f>IFERROR(VLOOKUP(M2747,INSUMOS!$C$8:$K$928,6,0),"0")</f>
        <v>348</v>
      </c>
      <c r="T2747" s="529">
        <f>IFERROR(VLOOKUP(M2747,INSUMOS!$C$8:$K$928,7,0),"0")</f>
        <v>0.99776362060288992</v>
      </c>
      <c r="U2747" s="529"/>
      <c r="V2747" s="82">
        <f>+T2747*S2747*R2747</f>
        <v>347.2217399698057</v>
      </c>
      <c r="Y2747" s="393">
        <f>+IFERROR((R2747*S2747)*Y2725,0)</f>
        <v>8352</v>
      </c>
      <c r="Z2747" s="391">
        <f>Y2725*V2747</f>
        <v>8333.3217592753372</v>
      </c>
      <c r="AA2747" s="86"/>
      <c r="AB2747" s="92">
        <f>+Y2747*T2747</f>
        <v>8333.3217592753372</v>
      </c>
      <c r="AC2747" s="93">
        <f>+AB2747-Z2747</f>
        <v>0</v>
      </c>
      <c r="AD2747" s="94"/>
      <c r="AE2747" s="406" t="str">
        <f>+IF(V2747=0,"CERO","NO")</f>
        <v>NO</v>
      </c>
    </row>
    <row r="2748" spans="3:31" s="260" customFormat="1" x14ac:dyDescent="0.25">
      <c r="C2748" s="84"/>
      <c r="D2748" s="85"/>
      <c r="E2748" s="86"/>
      <c r="F2748" s="86"/>
      <c r="G2748" s="86"/>
      <c r="H2748" s="86"/>
      <c r="I2748" s="86"/>
      <c r="J2748" s="87"/>
      <c r="K2748" s="88"/>
      <c r="M2748" s="102">
        <v>0</v>
      </c>
      <c r="N2748" s="530" t="str">
        <f>IFERROR(VLOOKUP(M2748,INSUMOS!$C$8:$K$928,2,0),"-----")</f>
        <v>-----</v>
      </c>
      <c r="O2748" s="531"/>
      <c r="P2748" s="532"/>
      <c r="Q2748" s="78" t="str">
        <f>IFERROR(VLOOKUP(M2748,INSUMOS!$C$8:$K$928,5,0),"-----")</f>
        <v>-----</v>
      </c>
      <c r="R2748" s="80"/>
      <c r="S2748" s="80" t="str">
        <f>IFERROR(VLOOKUP(M2748,INSUMOS!$C$8:$K$928,6,0),"0")</f>
        <v>0</v>
      </c>
      <c r="T2748" s="529" t="str">
        <f>IFERROR(VLOOKUP(M2748,INSUMOS!$C$8:$K$928,7,0),"0")</f>
        <v>0</v>
      </c>
      <c r="U2748" s="529"/>
      <c r="V2748" s="82">
        <f>+T2748*S2748*R2748</f>
        <v>0</v>
      </c>
      <c r="Y2748" s="393">
        <f>+IFERROR((R2748*S2748)*Y2725,0)</f>
        <v>0</v>
      </c>
      <c r="Z2748" s="391">
        <f>Y2725*V2748</f>
        <v>0</v>
      </c>
      <c r="AA2748" s="86"/>
      <c r="AB2748" s="92">
        <f>+Y2748*T2748</f>
        <v>0</v>
      </c>
      <c r="AC2748" s="93">
        <f>+AB2748-Z2748</f>
        <v>0</v>
      </c>
      <c r="AD2748" s="94"/>
      <c r="AE2748" s="406" t="str">
        <f>+IF(V2748=0,"CERO","NO")</f>
        <v>CERO</v>
      </c>
    </row>
    <row r="2749" spans="3:31" s="260" customFormat="1" x14ac:dyDescent="0.25">
      <c r="C2749" s="84"/>
      <c r="D2749" s="85"/>
      <c r="E2749" s="86"/>
      <c r="F2749" s="86"/>
      <c r="G2749" s="86"/>
      <c r="H2749" s="86"/>
      <c r="I2749" s="86"/>
      <c r="J2749" s="87"/>
      <c r="K2749" s="88"/>
      <c r="M2749" s="102">
        <v>0</v>
      </c>
      <c r="N2749" s="530" t="str">
        <f>IFERROR(VLOOKUP(M2749,INSUMOS!$C$8:$K$928,2,0),"-----")</f>
        <v>-----</v>
      </c>
      <c r="O2749" s="531"/>
      <c r="P2749" s="532"/>
      <c r="Q2749" s="78" t="str">
        <f>IFERROR(VLOOKUP(M2749,INSUMOS!$C$8:$K$928,5,0),"-----")</f>
        <v>-----</v>
      </c>
      <c r="R2749" s="80"/>
      <c r="S2749" s="80" t="str">
        <f>IFERROR(VLOOKUP(M2749,INSUMOS!$C$8:$K$928,6,0),"0")</f>
        <v>0</v>
      </c>
      <c r="T2749" s="529" t="str">
        <f>IFERROR(VLOOKUP(M2749,INSUMOS!$C$8:$K$928,7,0),"0")</f>
        <v>0</v>
      </c>
      <c r="U2749" s="529"/>
      <c r="V2749" s="82">
        <f>+T2749*S2749*R2749</f>
        <v>0</v>
      </c>
      <c r="Y2749" s="393">
        <f>+IFERROR((R2749*S2749)*Y2725,0)</f>
        <v>0</v>
      </c>
      <c r="Z2749" s="391">
        <f>Y2725*V2749</f>
        <v>0</v>
      </c>
      <c r="AA2749" s="86"/>
      <c r="AB2749" s="92">
        <f>+Y2749*T2749</f>
        <v>0</v>
      </c>
      <c r="AC2749" s="93">
        <f>+AB2749-Z2749</f>
        <v>0</v>
      </c>
      <c r="AD2749" s="94"/>
      <c r="AE2749" s="406" t="str">
        <f>+IF(V2749=0,"CERO","NO")</f>
        <v>CERO</v>
      </c>
    </row>
    <row r="2750" spans="3:31" s="260" customFormat="1" ht="15.75" thickBot="1" x14ac:dyDescent="0.3">
      <c r="C2750" s="84"/>
      <c r="D2750" s="89"/>
      <c r="E2750" s="90"/>
      <c r="F2750" s="90"/>
      <c r="G2750" s="90"/>
      <c r="H2750" s="90"/>
      <c r="I2750" s="90"/>
      <c r="J2750" s="91"/>
      <c r="K2750" s="88"/>
      <c r="M2750" s="102">
        <v>0</v>
      </c>
      <c r="N2750" s="533"/>
      <c r="O2750" s="533"/>
      <c r="P2750" s="533"/>
      <c r="Q2750" s="79"/>
      <c r="R2750" s="78"/>
      <c r="S2750" s="81"/>
      <c r="T2750" s="529"/>
      <c r="U2750" s="529"/>
      <c r="V2750" s="82"/>
      <c r="Y2750" s="393">
        <f>+IFERROR((R2750*S2750)*Y2725,0)</f>
        <v>0</v>
      </c>
      <c r="Z2750" s="391">
        <f>Y2725*V2750</f>
        <v>0</v>
      </c>
      <c r="AA2750" s="86"/>
      <c r="AB2750" s="92">
        <f>+Y2750*T2750</f>
        <v>0</v>
      </c>
      <c r="AC2750" s="93">
        <f>+AB2750-Z2750</f>
        <v>0</v>
      </c>
      <c r="AD2750" s="94"/>
      <c r="AE2750" s="406" t="str">
        <f>+IF(V2750=0,"CERO","NO")</f>
        <v>CERO</v>
      </c>
    </row>
    <row r="2751" spans="3:31" s="260" customFormat="1" ht="15.75" thickBot="1" x14ac:dyDescent="0.3">
      <c r="C2751" s="84"/>
      <c r="D2751" s="375" t="s">
        <v>128</v>
      </c>
      <c r="E2751" s="376" t="s">
        <v>129</v>
      </c>
      <c r="F2751" s="376" t="s">
        <v>130</v>
      </c>
      <c r="G2751" s="376" t="s">
        <v>131</v>
      </c>
      <c r="H2751" s="376" t="s">
        <v>132</v>
      </c>
      <c r="I2751" s="376" t="s">
        <v>133</v>
      </c>
      <c r="J2751" s="377" t="s">
        <v>134</v>
      </c>
      <c r="K2751" s="88"/>
      <c r="M2751" s="534"/>
      <c r="N2751" s="536" t="s">
        <v>113</v>
      </c>
      <c r="O2751" s="536"/>
      <c r="P2751" s="536"/>
      <c r="Q2751" s="536"/>
      <c r="R2751" s="536"/>
      <c r="S2751" s="536"/>
      <c r="T2751" s="536"/>
      <c r="U2751" s="536"/>
      <c r="V2751" s="411">
        <f>+SUM(V2747:V2750)</f>
        <v>347.2217399698057</v>
      </c>
      <c r="Y2751" s="398" t="s">
        <v>135</v>
      </c>
      <c r="Z2751" s="397">
        <f>+SUM(Z2747:Z2750)</f>
        <v>8333.3217592753372</v>
      </c>
      <c r="AA2751" s="86"/>
      <c r="AB2751" s="384"/>
      <c r="AC2751" s="385"/>
      <c r="AD2751" s="94"/>
      <c r="AE2751" s="399"/>
    </row>
    <row r="2752" spans="3:31" s="260" customFormat="1" ht="15.75" thickBot="1" x14ac:dyDescent="0.3">
      <c r="C2752" s="84"/>
      <c r="D2752" s="355"/>
      <c r="E2752" s="367"/>
      <c r="F2752" s="412">
        <f>+E2744</f>
        <v>3.07</v>
      </c>
      <c r="G2752" s="367"/>
      <c r="H2752" s="367"/>
      <c r="I2752" s="367"/>
      <c r="J2752" s="368"/>
      <c r="K2752" s="88"/>
      <c r="M2752" s="535"/>
      <c r="N2752" s="537" t="s">
        <v>114</v>
      </c>
      <c r="O2752" s="537"/>
      <c r="P2752" s="537"/>
      <c r="Q2752" s="537"/>
      <c r="R2752" s="537"/>
      <c r="S2752" s="537"/>
      <c r="T2752" s="537"/>
      <c r="U2752" s="537"/>
      <c r="V2752" s="413">
        <f>+ROUND(V2751,$AA$5)</f>
        <v>347.22</v>
      </c>
      <c r="Y2752" s="401" t="s">
        <v>136</v>
      </c>
      <c r="Z2752" s="402">
        <f>+ROUND(Z2751,$AA$5)</f>
        <v>8333.32</v>
      </c>
      <c r="AA2752" s="86"/>
      <c r="AB2752" s="403">
        <f>+V2752*Y2725</f>
        <v>8333.2800000000007</v>
      </c>
      <c r="AC2752" s="414"/>
      <c r="AD2752" s="94"/>
      <c r="AE2752" s="405"/>
    </row>
    <row r="2753" spans="3:31" s="260" customFormat="1" ht="15.75" thickBot="1" x14ac:dyDescent="0.3">
      <c r="C2753" s="84"/>
      <c r="D2753" s="415"/>
      <c r="E2753" s="416"/>
      <c r="F2753" s="416"/>
      <c r="G2753" s="416"/>
      <c r="H2753" s="416"/>
      <c r="I2753" s="416"/>
      <c r="J2753" s="417"/>
      <c r="K2753" s="88"/>
      <c r="M2753" s="538" t="s">
        <v>115</v>
      </c>
      <c r="N2753" s="539"/>
      <c r="O2753" s="539"/>
      <c r="P2753" s="539"/>
      <c r="Q2753" s="539"/>
      <c r="R2753" s="539"/>
      <c r="S2753" s="539"/>
      <c r="T2753" s="539"/>
      <c r="U2753" s="539"/>
      <c r="V2753" s="540"/>
      <c r="Y2753" s="378"/>
      <c r="Z2753" s="121"/>
      <c r="AA2753" s="86"/>
      <c r="AB2753" s="409"/>
      <c r="AC2753" s="121"/>
      <c r="AD2753" s="94"/>
      <c r="AE2753" s="126"/>
    </row>
    <row r="2754" spans="3:31" s="260" customFormat="1" ht="15.75" thickBot="1" x14ac:dyDescent="0.3">
      <c r="C2754" s="84"/>
      <c r="D2754" s="375" t="s">
        <v>128</v>
      </c>
      <c r="E2754" s="376" t="s">
        <v>129</v>
      </c>
      <c r="F2754" s="376" t="s">
        <v>130</v>
      </c>
      <c r="G2754" s="376" t="s">
        <v>131</v>
      </c>
      <c r="H2754" s="376" t="s">
        <v>132</v>
      </c>
      <c r="I2754" s="376" t="s">
        <v>133</v>
      </c>
      <c r="J2754" s="377" t="s">
        <v>134</v>
      </c>
      <c r="K2754" s="88"/>
      <c r="M2754" s="99" t="s">
        <v>94</v>
      </c>
      <c r="N2754" s="98" t="s">
        <v>95</v>
      </c>
      <c r="O2754" s="95" t="s">
        <v>96</v>
      </c>
      <c r="P2754" s="359" t="s">
        <v>104</v>
      </c>
      <c r="Q2754" s="95" t="s">
        <v>116</v>
      </c>
      <c r="R2754" s="418" t="s">
        <v>117</v>
      </c>
      <c r="S2754" s="95" t="s">
        <v>347</v>
      </c>
      <c r="T2754" s="419" t="s">
        <v>118</v>
      </c>
      <c r="U2754" s="189" t="s">
        <v>119</v>
      </c>
      <c r="V2754" s="100" t="s">
        <v>98</v>
      </c>
      <c r="Y2754" s="383" t="s">
        <v>104</v>
      </c>
      <c r="Z2754" s="119" t="s">
        <v>9</v>
      </c>
      <c r="AA2754" s="86"/>
      <c r="AB2754" s="384"/>
      <c r="AC2754" s="385"/>
      <c r="AD2754" s="94"/>
      <c r="AE2754" s="410"/>
    </row>
    <row r="2755" spans="3:31" s="260" customFormat="1" ht="25.5" x14ac:dyDescent="0.25">
      <c r="C2755" s="84"/>
      <c r="D2755" s="354"/>
      <c r="E2755" s="96"/>
      <c r="F2755" s="96"/>
      <c r="G2755" s="96"/>
      <c r="H2755" s="96"/>
      <c r="I2755" s="96"/>
      <c r="J2755" s="420">
        <f>+F2752</f>
        <v>3.07</v>
      </c>
      <c r="K2755" s="88"/>
      <c r="M2755" s="102">
        <v>207</v>
      </c>
      <c r="N2755" s="347" t="str">
        <f>IFERROR(VLOOKUP(M2755,INSUMOS!$C$8:$K$928,2,0),"-----")</f>
        <v>Oficial Hidrosanitario</v>
      </c>
      <c r="O2755" s="78" t="str">
        <f>IFERROR(VLOOKUP(M2755,INSUMOS!$C$8:$K$928,3,0),"-----")</f>
        <v>JORNAL+PS</v>
      </c>
      <c r="P2755" s="80">
        <v>1</v>
      </c>
      <c r="Q2755" s="79">
        <v>15</v>
      </c>
      <c r="R2755" s="190">
        <f>IFERROR(VLOOKUP(M2755,INSUMOS!$C$8:$K$928,4,0),"-----")</f>
        <v>92983</v>
      </c>
      <c r="S2755" s="190">
        <f>IFERROR(VLOOKUP(M2755,INSUMOS!$C$8:$K$928,6,0),"-----")</f>
        <v>74386</v>
      </c>
      <c r="T2755" s="190">
        <f>IFERROR(VLOOKUP(M2755,INSUMOS!$C$8:$K$928,5,0),"-----")</f>
        <v>0</v>
      </c>
      <c r="U2755" s="388">
        <f>SUM(R2755:T2755)</f>
        <v>167369</v>
      </c>
      <c r="V2755" s="82">
        <f>+IFERROR((P2755/Q2755)*U2755,0)</f>
        <v>11157.933333333332</v>
      </c>
      <c r="Y2755" s="393">
        <f>+IFERROR((Y2725/Q2755*P2755),0)</f>
        <v>1.6</v>
      </c>
      <c r="Z2755" s="391">
        <f>Y2725*V2755</f>
        <v>267790.39999999997</v>
      </c>
      <c r="AA2755" s="86"/>
      <c r="AB2755" s="92">
        <f>+(U2755)*Y2755</f>
        <v>267790.40000000002</v>
      </c>
      <c r="AC2755" s="93">
        <f>+AB2755-Z2755</f>
        <v>0</v>
      </c>
      <c r="AD2755" s="421"/>
      <c r="AE2755" s="410" t="str">
        <f>+IF(V2755=0,"CERO","NO")</f>
        <v>NO</v>
      </c>
    </row>
    <row r="2756" spans="3:31" s="260" customFormat="1" ht="26.25" thickBot="1" x14ac:dyDescent="0.3">
      <c r="C2756" s="84"/>
      <c r="D2756" s="355"/>
      <c r="E2756" s="367"/>
      <c r="F2756" s="367"/>
      <c r="G2756" s="367"/>
      <c r="H2756" s="367"/>
      <c r="I2756" s="367"/>
      <c r="J2756" s="422">
        <f>+J2755</f>
        <v>3.07</v>
      </c>
      <c r="K2756" s="88"/>
      <c r="M2756" s="102">
        <v>208</v>
      </c>
      <c r="N2756" s="347" t="str">
        <f>IFERROR(VLOOKUP(M2756,INSUMOS!$C$8:$K$928,2,0),"-----")</f>
        <v>Ayudante Hidrosanitario</v>
      </c>
      <c r="O2756" s="78" t="str">
        <f>IFERROR(VLOOKUP(M2756,INSUMOS!$C$8:$K$928,3,0),"-----")</f>
        <v>JORNAL+PS</v>
      </c>
      <c r="P2756" s="80">
        <v>1</v>
      </c>
      <c r="Q2756" s="79">
        <v>15</v>
      </c>
      <c r="R2756" s="190">
        <f>IFERROR(VLOOKUP(M2756,INSUMOS!$C$8:$K$928,4,0),"-----")</f>
        <v>69172</v>
      </c>
      <c r="S2756" s="190">
        <f>IFERROR(VLOOKUP(M2756,INSUMOS!$C$8:$K$928,6,0),"-----")</f>
        <v>55337</v>
      </c>
      <c r="T2756" s="190">
        <f>IFERROR(VLOOKUP(M2756,INSUMOS!$C$8:$K$928,5,0),"-----")</f>
        <v>0</v>
      </c>
      <c r="U2756" s="388">
        <f>SUM(R2756:T2756)</f>
        <v>124509</v>
      </c>
      <c r="V2756" s="82">
        <f>+IFERROR((P2756/Q2756)*U2756,0)</f>
        <v>8300.6</v>
      </c>
      <c r="Y2756" s="393">
        <f>+IFERROR((Y2725/Q2756*P2756),0)</f>
        <v>1.6</v>
      </c>
      <c r="Z2756" s="391">
        <f>Y2725*V2756</f>
        <v>199214.40000000002</v>
      </c>
      <c r="AA2756" s="86"/>
      <c r="AB2756" s="92">
        <f>+U2756*Y2756</f>
        <v>199214.40000000002</v>
      </c>
      <c r="AC2756" s="93">
        <f>+AB2756-Z2756</f>
        <v>0</v>
      </c>
      <c r="AD2756" s="94"/>
      <c r="AE2756" s="410" t="str">
        <f>+IF(V2756=0,"CERO","NO")</f>
        <v>NO</v>
      </c>
    </row>
    <row r="2757" spans="3:31" s="260" customFormat="1" ht="15.75" thickBot="1" x14ac:dyDescent="0.3">
      <c r="C2757" s="84"/>
      <c r="D2757" s="380"/>
      <c r="E2757" s="381"/>
      <c r="F2757" s="381"/>
      <c r="G2757" s="381"/>
      <c r="H2757" s="381"/>
      <c r="I2757" s="381"/>
      <c r="J2757" s="382"/>
      <c r="K2757" s="88"/>
      <c r="M2757" s="102">
        <v>0</v>
      </c>
      <c r="N2757" s="347"/>
      <c r="O2757" s="79"/>
      <c r="P2757" s="423"/>
      <c r="Q2757" s="81"/>
      <c r="R2757" s="111"/>
      <c r="S2757" s="357"/>
      <c r="T2757" s="111"/>
      <c r="U2757" s="388"/>
      <c r="V2757" s="426"/>
      <c r="Y2757" s="393">
        <f>+IFERROR((Y2725/Q2757*P2757),0)</f>
        <v>0</v>
      </c>
      <c r="Z2757" s="391">
        <f>Y2725*V2757</f>
        <v>0</v>
      </c>
      <c r="AA2757" s="86"/>
      <c r="AB2757" s="92">
        <f>+(U2757)*Y2757*P2757</f>
        <v>0</v>
      </c>
      <c r="AC2757" s="93">
        <f>+AB2757-Z2757</f>
        <v>0</v>
      </c>
      <c r="AD2757" s="94"/>
      <c r="AE2757" s="410" t="str">
        <f>+IF(V2757=0,"CERO","NO")</f>
        <v>CERO</v>
      </c>
    </row>
    <row r="2758" spans="3:31" s="260" customFormat="1" ht="15.75" thickBot="1" x14ac:dyDescent="0.3">
      <c r="C2758" s="84"/>
      <c r="D2758" s="375" t="s">
        <v>128</v>
      </c>
      <c r="E2758" s="376" t="s">
        <v>129</v>
      </c>
      <c r="F2758" s="376" t="s">
        <v>130</v>
      </c>
      <c r="G2758" s="376" t="s">
        <v>131</v>
      </c>
      <c r="H2758" s="376" t="s">
        <v>132</v>
      </c>
      <c r="I2758" s="376" t="s">
        <v>133</v>
      </c>
      <c r="J2758" s="377" t="s">
        <v>134</v>
      </c>
      <c r="K2758" s="88"/>
      <c r="M2758" s="534"/>
      <c r="N2758" s="536" t="s">
        <v>120</v>
      </c>
      <c r="O2758" s="536"/>
      <c r="P2758" s="536"/>
      <c r="Q2758" s="536"/>
      <c r="R2758" s="536"/>
      <c r="S2758" s="536"/>
      <c r="T2758" s="536"/>
      <c r="U2758" s="536"/>
      <c r="V2758" s="82">
        <f>+SUM(V2755:V2757)</f>
        <v>19458.533333333333</v>
      </c>
      <c r="Y2758" s="398" t="s">
        <v>135</v>
      </c>
      <c r="Z2758" s="397">
        <f>+SUM(Z2755:Z2757)</f>
        <v>467004.8</v>
      </c>
      <c r="AA2758" s="86"/>
      <c r="AB2758" s="384"/>
      <c r="AC2758" s="385"/>
      <c r="AD2758" s="94"/>
      <c r="AE2758" s="399"/>
    </row>
    <row r="2759" spans="3:31" s="260" customFormat="1" ht="15.75" thickBot="1" x14ac:dyDescent="0.3">
      <c r="C2759" s="84"/>
      <c r="D2759" s="354"/>
      <c r="E2759" s="96"/>
      <c r="F2759" s="96"/>
      <c r="G2759" s="107">
        <f>+F2752</f>
        <v>3.07</v>
      </c>
      <c r="H2759" s="96"/>
      <c r="I2759" s="96"/>
      <c r="J2759" s="427"/>
      <c r="K2759" s="88"/>
      <c r="M2759" s="535"/>
      <c r="N2759" s="537" t="s">
        <v>121</v>
      </c>
      <c r="O2759" s="537"/>
      <c r="P2759" s="537"/>
      <c r="Q2759" s="537"/>
      <c r="R2759" s="537"/>
      <c r="S2759" s="537"/>
      <c r="T2759" s="537"/>
      <c r="U2759" s="537"/>
      <c r="V2759" s="413">
        <f>+ROUND(V2758,$AA$5)</f>
        <v>19458.53</v>
      </c>
      <c r="Y2759" s="401" t="s">
        <v>136</v>
      </c>
      <c r="Z2759" s="402">
        <f>+ROUND(Z2758,$AA$5)</f>
        <v>467004.8</v>
      </c>
      <c r="AA2759" s="86"/>
      <c r="AB2759" s="403">
        <f>+V2759*Y2725</f>
        <v>467004.72</v>
      </c>
      <c r="AC2759" s="404">
        <f>+AB2759-Z2759</f>
        <v>-8.0000000016298145E-2</v>
      </c>
      <c r="AD2759" s="94"/>
      <c r="AE2759" s="405"/>
    </row>
    <row r="2760" spans="3:31" s="260" customFormat="1" ht="15.75" thickBot="1" x14ac:dyDescent="0.3">
      <c r="C2760" s="84"/>
      <c r="D2760" s="375" t="s">
        <v>128</v>
      </c>
      <c r="E2760" s="376" t="s">
        <v>129</v>
      </c>
      <c r="F2760" s="376" t="s">
        <v>130</v>
      </c>
      <c r="G2760" s="376" t="s">
        <v>131</v>
      </c>
      <c r="H2760" s="376" t="s">
        <v>132</v>
      </c>
      <c r="I2760" s="376" t="s">
        <v>133</v>
      </c>
      <c r="J2760" s="377" t="s">
        <v>134</v>
      </c>
      <c r="K2760" s="88"/>
      <c r="M2760" s="541"/>
      <c r="N2760" s="542"/>
      <c r="O2760" s="542"/>
      <c r="P2760" s="542"/>
      <c r="Q2760" s="542"/>
      <c r="R2760" s="542"/>
      <c r="S2760" s="542"/>
      <c r="T2760" s="542"/>
      <c r="U2760" s="542"/>
      <c r="V2760" s="543"/>
      <c r="Y2760" s="378"/>
      <c r="Z2760" s="121"/>
      <c r="AA2760" s="86"/>
      <c r="AB2760" s="409"/>
      <c r="AC2760" s="121"/>
      <c r="AD2760" s="94"/>
      <c r="AE2760" s="428"/>
    </row>
    <row r="2761" spans="3:31" s="260" customFormat="1" ht="15.75" thickBot="1" x14ac:dyDescent="0.3">
      <c r="C2761" s="84"/>
      <c r="D2761" s="355"/>
      <c r="E2761" s="367"/>
      <c r="F2761" s="367"/>
      <c r="G2761" s="367"/>
      <c r="H2761" s="412">
        <f>G2759</f>
        <v>3.07</v>
      </c>
      <c r="I2761" s="412"/>
      <c r="J2761" s="422"/>
      <c r="K2761" s="88"/>
      <c r="M2761" s="544" t="s">
        <v>122</v>
      </c>
      <c r="N2761" s="537"/>
      <c r="O2761" s="537"/>
      <c r="P2761" s="537"/>
      <c r="Q2761" s="537"/>
      <c r="R2761" s="537"/>
      <c r="S2761" s="537"/>
      <c r="T2761" s="537"/>
      <c r="U2761" s="545">
        <f>+V2759+V2752+V2744+V2735</f>
        <v>182042</v>
      </c>
      <c r="V2761" s="546"/>
      <c r="Y2761" s="429"/>
      <c r="Z2761" s="430">
        <f>+Z2759+Z2752+Z2744+Z2735</f>
        <v>4369007.95</v>
      </c>
      <c r="AA2761" s="86"/>
      <c r="AB2761" s="431">
        <f>+AB2759+AB2752+AB2744+AB2735</f>
        <v>4369008</v>
      </c>
      <c r="AC2761" s="404">
        <f>+AB2761-Z2761</f>
        <v>4.9999999813735485E-2</v>
      </c>
      <c r="AD2761" s="94"/>
      <c r="AE2761" s="432"/>
    </row>
    <row r="2762" spans="3:31" s="260" customFormat="1" ht="15.75" thickBot="1" x14ac:dyDescent="0.3"/>
    <row r="2763" spans="3:31" s="260" customFormat="1" x14ac:dyDescent="0.25">
      <c r="M2763" s="547" t="s">
        <v>348</v>
      </c>
      <c r="N2763" s="548"/>
      <c r="O2763" s="548"/>
      <c r="P2763" s="548"/>
      <c r="Q2763" s="548"/>
      <c r="R2763" s="548"/>
      <c r="S2763" s="548"/>
      <c r="T2763" s="548"/>
      <c r="U2763" s="548"/>
      <c r="V2763" s="549"/>
      <c r="Y2763" s="378"/>
      <c r="Z2763" s="121"/>
      <c r="AA2763" s="86"/>
      <c r="AB2763" s="94"/>
      <c r="AC2763" s="94"/>
      <c r="AD2763" s="94"/>
      <c r="AE2763" s="126" t="s">
        <v>133</v>
      </c>
    </row>
    <row r="2764" spans="3:31" s="260" customFormat="1" x14ac:dyDescent="0.25">
      <c r="M2764" s="515" t="s">
        <v>138</v>
      </c>
      <c r="N2764" s="516"/>
      <c r="O2764" s="516"/>
      <c r="P2764" s="516"/>
      <c r="Q2764" s="516"/>
      <c r="R2764" s="516"/>
      <c r="S2764" s="516"/>
      <c r="T2764" s="437">
        <v>0</v>
      </c>
      <c r="U2764" s="517">
        <f>+ROUND(U2761*T2764,$AA$5)</f>
        <v>0</v>
      </c>
      <c r="V2764" s="518"/>
      <c r="Y2764" s="390"/>
      <c r="Z2764" s="438">
        <f>+Z2761*T2764</f>
        <v>0</v>
      </c>
      <c r="AA2764" s="86"/>
      <c r="AB2764" s="94"/>
      <c r="AC2764" s="94"/>
      <c r="AD2764" s="94"/>
      <c r="AE2764" s="386" t="s">
        <v>133</v>
      </c>
    </row>
    <row r="2765" spans="3:31" s="260" customFormat="1" x14ac:dyDescent="0.25">
      <c r="M2765" s="515" t="s">
        <v>19</v>
      </c>
      <c r="N2765" s="516"/>
      <c r="O2765" s="516"/>
      <c r="P2765" s="516"/>
      <c r="Q2765" s="516"/>
      <c r="R2765" s="516"/>
      <c r="S2765" s="516"/>
      <c r="T2765" s="437">
        <v>0.05</v>
      </c>
      <c r="U2765" s="517">
        <f>+ROUND(U2761*T2765,$AA$5)</f>
        <v>9102.1</v>
      </c>
      <c r="V2765" s="518"/>
      <c r="Y2765" s="390"/>
      <c r="Z2765" s="438">
        <f>+Z2761*T2765</f>
        <v>218450.39750000002</v>
      </c>
      <c r="AA2765" s="86"/>
      <c r="AB2765" s="94"/>
      <c r="AC2765" s="94"/>
      <c r="AD2765" s="94"/>
      <c r="AE2765" s="386" t="s">
        <v>133</v>
      </c>
    </row>
    <row r="2766" spans="3:31" s="260" customFormat="1" x14ac:dyDescent="0.25">
      <c r="M2766" s="515" t="s">
        <v>20</v>
      </c>
      <c r="N2766" s="516"/>
      <c r="O2766" s="516"/>
      <c r="P2766" s="516"/>
      <c r="Q2766" s="516"/>
      <c r="R2766" s="516"/>
      <c r="S2766" s="516"/>
      <c r="T2766" s="437">
        <v>0</v>
      </c>
      <c r="U2766" s="517">
        <f>+ROUND(U2761*T2766,$AA$5)</f>
        <v>0</v>
      </c>
      <c r="V2766" s="518"/>
      <c r="Y2766" s="390"/>
      <c r="Z2766" s="438">
        <f>+Z2761*T2766</f>
        <v>0</v>
      </c>
      <c r="AA2766" s="86"/>
      <c r="AB2766" s="94"/>
      <c r="AC2766" s="94"/>
      <c r="AD2766" s="94"/>
      <c r="AE2766" s="386" t="s">
        <v>133</v>
      </c>
    </row>
    <row r="2767" spans="3:31" s="260" customFormat="1" x14ac:dyDescent="0.25">
      <c r="M2767" s="515" t="s">
        <v>21</v>
      </c>
      <c r="N2767" s="516"/>
      <c r="O2767" s="516"/>
      <c r="P2767" s="516"/>
      <c r="Q2767" s="516"/>
      <c r="R2767" s="516"/>
      <c r="S2767" s="516"/>
      <c r="T2767" s="437">
        <f>$AA$9</f>
        <v>0</v>
      </c>
      <c r="U2767" s="517">
        <f>+ROUND(U2761*T2767,$AA$5)</f>
        <v>0</v>
      </c>
      <c r="V2767" s="518"/>
      <c r="Y2767" s="390"/>
      <c r="Z2767" s="438">
        <f>+Z2766*T2767</f>
        <v>0</v>
      </c>
      <c r="AA2767" s="86"/>
      <c r="AB2767" s="94"/>
      <c r="AC2767" s="94"/>
      <c r="AD2767" s="94"/>
      <c r="AE2767" s="386" t="s">
        <v>133</v>
      </c>
    </row>
    <row r="2768" spans="3:31" s="260" customFormat="1" ht="15.75" thickBot="1" x14ac:dyDescent="0.3">
      <c r="M2768" s="519" t="s">
        <v>349</v>
      </c>
      <c r="N2768" s="520"/>
      <c r="O2768" s="520"/>
      <c r="P2768" s="520"/>
      <c r="Q2768" s="520"/>
      <c r="R2768" s="520"/>
      <c r="S2768" s="520"/>
      <c r="T2768" s="520"/>
      <c r="U2768" s="521">
        <f>+SUM(U2764:V2767)</f>
        <v>9102.1</v>
      </c>
      <c r="V2768" s="522"/>
      <c r="Y2768" s="390"/>
      <c r="Z2768" s="439">
        <f>+SUM(Z2764:Z2767)</f>
        <v>218450.39750000002</v>
      </c>
      <c r="AA2768" s="86"/>
      <c r="AB2768" s="94"/>
      <c r="AC2768" s="94"/>
      <c r="AD2768" s="94"/>
      <c r="AE2768" s="386" t="s">
        <v>133</v>
      </c>
    </row>
    <row r="2769" spans="3:31" s="260" customFormat="1" ht="15.75" thickBot="1" x14ac:dyDescent="0.3">
      <c r="D2769" s="375" t="s">
        <v>128</v>
      </c>
      <c r="E2769" s="376" t="s">
        <v>129</v>
      </c>
      <c r="F2769" s="376" t="s">
        <v>130</v>
      </c>
      <c r="G2769" s="376" t="s">
        <v>131</v>
      </c>
      <c r="H2769" s="376" t="s">
        <v>132</v>
      </c>
      <c r="I2769" s="376" t="s">
        <v>133</v>
      </c>
      <c r="J2769" s="377" t="s">
        <v>134</v>
      </c>
      <c r="M2769" s="86"/>
      <c r="N2769" s="94"/>
      <c r="O2769" s="94"/>
      <c r="P2769" s="94"/>
      <c r="Q2769" s="86"/>
      <c r="R2769" s="86"/>
      <c r="S2769" s="86"/>
      <c r="T2769" s="440"/>
      <c r="U2769" s="523"/>
      <c r="V2769" s="523"/>
      <c r="Y2769" s="390"/>
      <c r="Z2769" s="385"/>
      <c r="AA2769" s="86"/>
      <c r="AB2769" s="94"/>
      <c r="AC2769" s="94"/>
      <c r="AD2769" s="94"/>
      <c r="AE2769" s="386" t="s">
        <v>133</v>
      </c>
    </row>
    <row r="2770" spans="3:31" s="260" customFormat="1" ht="15.75" thickBot="1" x14ac:dyDescent="0.3">
      <c r="D2770" s="355"/>
      <c r="E2770" s="367"/>
      <c r="F2770" s="367"/>
      <c r="G2770" s="367"/>
      <c r="H2770" s="412"/>
      <c r="I2770" s="412">
        <f>H2761</f>
        <v>3.07</v>
      </c>
      <c r="J2770" s="422"/>
      <c r="M2770" s="524" t="s">
        <v>11</v>
      </c>
      <c r="N2770" s="525"/>
      <c r="O2770" s="525"/>
      <c r="P2770" s="525"/>
      <c r="Q2770" s="525"/>
      <c r="R2770" s="525"/>
      <c r="S2770" s="525"/>
      <c r="T2770" s="526"/>
      <c r="U2770" s="527">
        <f>+U2768+U2761</f>
        <v>191144.1</v>
      </c>
      <c r="V2770" s="528"/>
      <c r="Y2770" s="429"/>
      <c r="Z2770" s="441">
        <f>+Z2768+Z2761</f>
        <v>4587458.3475000001</v>
      </c>
      <c r="AA2770" s="86"/>
      <c r="AB2770" s="94"/>
      <c r="AC2770" s="94"/>
      <c r="AD2770" s="94"/>
      <c r="AE2770" s="405" t="s">
        <v>133</v>
      </c>
    </row>
    <row r="2771" spans="3:31" s="260" customFormat="1" x14ac:dyDescent="0.25"/>
    <row r="2772" spans="3:31" s="260" customFormat="1" ht="15.75" thickBot="1" x14ac:dyDescent="0.3"/>
    <row r="2773" spans="3:31" s="260" customFormat="1" ht="15.75" thickBot="1" x14ac:dyDescent="0.3">
      <c r="M2773" s="363" t="s">
        <v>88</v>
      </c>
      <c r="N2773" s="436" t="str">
        <f>+N2724</f>
        <v>CAP.3</v>
      </c>
      <c r="O2773" s="550" t="str">
        <f>IFERROR(VLOOKUP(N2773,PPTO!C:H,2,0),"----")</f>
        <v>RED CONTRAINCENDIOS</v>
      </c>
      <c r="P2773" s="551"/>
      <c r="Q2773" s="551"/>
      <c r="R2773" s="551"/>
      <c r="S2773" s="551"/>
      <c r="T2773" s="551"/>
      <c r="U2773" s="552"/>
      <c r="V2773" s="74" t="s">
        <v>91</v>
      </c>
      <c r="Y2773" s="365" t="s">
        <v>104</v>
      </c>
      <c r="Z2773" s="94"/>
      <c r="AA2773" s="188"/>
      <c r="AB2773" s="553"/>
      <c r="AC2773" s="553"/>
      <c r="AD2773" s="553"/>
      <c r="AE2773" s="94"/>
    </row>
    <row r="2774" spans="3:31" s="260" customFormat="1" ht="15.75" thickBot="1" x14ac:dyDescent="0.3">
      <c r="C2774" s="369">
        <f>+N2774</f>
        <v>3.08</v>
      </c>
      <c r="D2774" s="86"/>
      <c r="E2774" s="86"/>
      <c r="F2774" s="86"/>
      <c r="G2774" s="86"/>
      <c r="H2774" s="86"/>
      <c r="I2774" s="86"/>
      <c r="J2774" s="86"/>
      <c r="K2774" s="370"/>
      <c r="M2774" s="75" t="s">
        <v>92</v>
      </c>
      <c r="N2774" s="371">
        <f>+ROUNDUP(N2725+0.01,2)</f>
        <v>3.08</v>
      </c>
      <c r="O2774" s="554" t="str">
        <f>IFERROR(VLOOKUP(N2774,PPTO!C:H,2,0),"----")</f>
        <v>Codo 90° C-PVC Ø1"</v>
      </c>
      <c r="P2774" s="555"/>
      <c r="Q2774" s="555"/>
      <c r="R2774" s="555"/>
      <c r="S2774" s="555"/>
      <c r="T2774" s="555"/>
      <c r="U2774" s="556"/>
      <c r="V2774" s="76" t="str">
        <f>IFERROR(VLOOKUP(N2774,PPTO!C:H,3,0),"----")</f>
        <v>UND</v>
      </c>
      <c r="Y2774" s="373">
        <f>SUMIFS(PPTO!F:F,PPTO!C:C,APUS!N2774)</f>
        <v>24</v>
      </c>
      <c r="Z2774" s="94"/>
      <c r="AA2774" s="86"/>
      <c r="AB2774" s="94"/>
      <c r="AC2774" s="94"/>
      <c r="AD2774" s="94"/>
      <c r="AE2774" s="94"/>
    </row>
    <row r="2775" spans="3:31" s="260" customFormat="1" ht="15.75" thickBot="1" x14ac:dyDescent="0.3">
      <c r="C2775" s="84"/>
      <c r="D2775" s="86"/>
      <c r="E2775" s="86"/>
      <c r="F2775" s="86"/>
      <c r="G2775" s="86"/>
      <c r="H2775" s="86"/>
      <c r="I2775" s="86"/>
      <c r="J2775" s="86"/>
      <c r="K2775" s="88"/>
      <c r="M2775" s="557"/>
      <c r="N2775" s="557"/>
      <c r="O2775" s="557"/>
      <c r="P2775" s="557"/>
      <c r="Q2775" s="557"/>
      <c r="R2775" s="557"/>
      <c r="S2775" s="557"/>
      <c r="T2775" s="557"/>
      <c r="U2775" s="557"/>
      <c r="V2775" s="557"/>
      <c r="Y2775" s="374"/>
      <c r="Z2775" s="94"/>
      <c r="AA2775" s="86"/>
      <c r="AB2775" s="94"/>
      <c r="AC2775" s="94"/>
      <c r="AD2775" s="94"/>
      <c r="AE2775" s="94"/>
    </row>
    <row r="2776" spans="3:31" s="260" customFormat="1" ht="15.75" thickBot="1" x14ac:dyDescent="0.3">
      <c r="C2776" s="84"/>
      <c r="D2776" s="375" t="s">
        <v>128</v>
      </c>
      <c r="E2776" s="376" t="s">
        <v>129</v>
      </c>
      <c r="F2776" s="376" t="s">
        <v>130</v>
      </c>
      <c r="G2776" s="376" t="s">
        <v>131</v>
      </c>
      <c r="H2776" s="376" t="s">
        <v>132</v>
      </c>
      <c r="I2776" s="376" t="s">
        <v>133</v>
      </c>
      <c r="J2776" s="377" t="s">
        <v>134</v>
      </c>
      <c r="K2776" s="88"/>
      <c r="M2776" s="558" t="s">
        <v>93</v>
      </c>
      <c r="N2776" s="559"/>
      <c r="O2776" s="559"/>
      <c r="P2776" s="559"/>
      <c r="Q2776" s="559"/>
      <c r="R2776" s="559"/>
      <c r="S2776" s="559"/>
      <c r="T2776" s="559"/>
      <c r="U2776" s="559"/>
      <c r="V2776" s="560"/>
      <c r="Y2776" s="378"/>
      <c r="Z2776" s="121"/>
      <c r="AA2776" s="86"/>
      <c r="AB2776" s="513"/>
      <c r="AC2776" s="514"/>
      <c r="AD2776" s="94"/>
      <c r="AE2776" s="379"/>
    </row>
    <row r="2777" spans="3:31" s="260" customFormat="1" x14ac:dyDescent="0.25">
      <c r="C2777" s="84"/>
      <c r="D2777" s="380"/>
      <c r="E2777" s="381"/>
      <c r="F2777" s="381"/>
      <c r="G2777" s="381"/>
      <c r="H2777" s="381"/>
      <c r="I2777" s="381"/>
      <c r="J2777" s="382"/>
      <c r="K2777" s="88"/>
      <c r="M2777" s="99" t="s">
        <v>94</v>
      </c>
      <c r="N2777" s="561" t="s">
        <v>95</v>
      </c>
      <c r="O2777" s="561"/>
      <c r="P2777" s="561"/>
      <c r="Q2777" s="561"/>
      <c r="R2777" s="95" t="s">
        <v>96</v>
      </c>
      <c r="S2777" s="95" t="s">
        <v>97</v>
      </c>
      <c r="T2777" s="562" t="s">
        <v>8</v>
      </c>
      <c r="U2777" s="562"/>
      <c r="V2777" s="100" t="s">
        <v>98</v>
      </c>
      <c r="Y2777" s="383" t="s">
        <v>104</v>
      </c>
      <c r="Z2777" s="119" t="s">
        <v>9</v>
      </c>
      <c r="AA2777" s="86"/>
      <c r="AB2777" s="384"/>
      <c r="AC2777" s="385"/>
      <c r="AD2777" s="94"/>
      <c r="AE2777" s="386"/>
    </row>
    <row r="2778" spans="3:31" s="260" customFormat="1" x14ac:dyDescent="0.25">
      <c r="C2778" s="84"/>
      <c r="D2778" s="85"/>
      <c r="E2778" s="86"/>
      <c r="F2778" s="86"/>
      <c r="G2778" s="86"/>
      <c r="H2778" s="86"/>
      <c r="I2778" s="86"/>
      <c r="J2778" s="87"/>
      <c r="K2778" s="88"/>
      <c r="M2778" s="102"/>
      <c r="N2778" s="533" t="s">
        <v>99</v>
      </c>
      <c r="O2778" s="533"/>
      <c r="P2778" s="533"/>
      <c r="Q2778" s="533"/>
      <c r="R2778" s="78" t="s">
        <v>100</v>
      </c>
      <c r="S2778" s="387">
        <f>+$AA$10</f>
        <v>0.05</v>
      </c>
      <c r="T2778" s="563">
        <f>V2808</f>
        <v>19458.53</v>
      </c>
      <c r="U2778" s="563"/>
      <c r="V2778" s="389">
        <f>+IFERROR(T2778*S2778,0)</f>
        <v>972.92650000000003</v>
      </c>
      <c r="Y2778" s="390"/>
      <c r="Z2778" s="391">
        <f>Y2774*V2778</f>
        <v>23350.236000000001</v>
      </c>
      <c r="AA2778" s="86"/>
      <c r="AB2778" s="384"/>
      <c r="AC2778" s="385"/>
      <c r="AD2778" s="94"/>
      <c r="AE2778" s="386" t="str">
        <f>+IF(V2778=0,"CERO","NO")</f>
        <v>NO</v>
      </c>
    </row>
    <row r="2779" spans="3:31" s="260" customFormat="1" x14ac:dyDescent="0.25">
      <c r="C2779" s="84"/>
      <c r="D2779" s="85"/>
      <c r="E2779" s="86"/>
      <c r="F2779" s="86"/>
      <c r="G2779" s="86"/>
      <c r="H2779" s="86"/>
      <c r="I2779" s="86"/>
      <c r="J2779" s="87"/>
      <c r="K2779" s="88"/>
      <c r="M2779" s="106"/>
      <c r="N2779" s="533" t="str">
        <f>IFERROR(VLOOKUP(M2779,INSUMOS!$C$8:$K$928,2,0),"-----")</f>
        <v>-----</v>
      </c>
      <c r="O2779" s="533"/>
      <c r="P2779" s="533"/>
      <c r="Q2779" s="533"/>
      <c r="R2779" s="78" t="str">
        <f>IFERROR(VLOOKUP(M2779,INSUMOS!$C$8:$K$928,6,0),"-----")</f>
        <v>-----</v>
      </c>
      <c r="S2779" s="392"/>
      <c r="T2779" s="529" t="str">
        <f>IFERROR(VLOOKUP(M2779,INSUMOS!$C$8:$K$928,7,0),"0")</f>
        <v>0</v>
      </c>
      <c r="U2779" s="529"/>
      <c r="V2779" s="389">
        <f>+IFERROR(T2779*S2779,0)</f>
        <v>0</v>
      </c>
      <c r="Y2779" s="393">
        <f>+IFERROR(Y2774*S2779,0)</f>
        <v>0</v>
      </c>
      <c r="Z2779" s="391">
        <f>Y2774*V2779</f>
        <v>0</v>
      </c>
      <c r="AA2779" s="394"/>
      <c r="AB2779" s="395">
        <f>+Y2779*T2779</f>
        <v>0</v>
      </c>
      <c r="AC2779" s="93">
        <f>+AB2779-Z2779</f>
        <v>0</v>
      </c>
      <c r="AD2779" s="94"/>
      <c r="AE2779" s="386" t="str">
        <f>+IF(V2779=0,"CERO","NO")</f>
        <v>CERO</v>
      </c>
    </row>
    <row r="2780" spans="3:31" s="260" customFormat="1" x14ac:dyDescent="0.25">
      <c r="C2780" s="84"/>
      <c r="D2780" s="85"/>
      <c r="E2780" s="86"/>
      <c r="F2780" s="86"/>
      <c r="G2780" s="86"/>
      <c r="H2780" s="86"/>
      <c r="I2780" s="86"/>
      <c r="J2780" s="87"/>
      <c r="K2780" s="88"/>
      <c r="M2780" s="102">
        <v>0</v>
      </c>
      <c r="N2780" s="533"/>
      <c r="O2780" s="533"/>
      <c r="P2780" s="533"/>
      <c r="Q2780" s="533"/>
      <c r="R2780" s="78"/>
      <c r="S2780" s="396"/>
      <c r="T2780" s="529"/>
      <c r="U2780" s="529"/>
      <c r="V2780" s="397"/>
      <c r="Y2780" s="393">
        <f>+IFERROR(Y2774*S2780,0)</f>
        <v>0</v>
      </c>
      <c r="Z2780" s="391">
        <f>Y2774*V2780</f>
        <v>0</v>
      </c>
      <c r="AA2780" s="394"/>
      <c r="AB2780" s="395">
        <f>+Y2780*T2780</f>
        <v>0</v>
      </c>
      <c r="AC2780" s="93">
        <f>+AB2780-Z2780</f>
        <v>0</v>
      </c>
      <c r="AD2780" s="94"/>
      <c r="AE2780" s="386" t="str">
        <f>+IF(V2780=0,"CERO","NO")</f>
        <v>CERO</v>
      </c>
    </row>
    <row r="2781" spans="3:31" s="260" customFormat="1" x14ac:dyDescent="0.25">
      <c r="C2781" s="84"/>
      <c r="D2781" s="85"/>
      <c r="E2781" s="86"/>
      <c r="F2781" s="86"/>
      <c r="G2781" s="86"/>
      <c r="H2781" s="86"/>
      <c r="I2781" s="86"/>
      <c r="J2781" s="87"/>
      <c r="K2781" s="88"/>
      <c r="M2781" s="102">
        <v>0</v>
      </c>
      <c r="N2781" s="533"/>
      <c r="O2781" s="533"/>
      <c r="P2781" s="533"/>
      <c r="Q2781" s="533"/>
      <c r="R2781" s="78"/>
      <c r="S2781" s="396"/>
      <c r="T2781" s="529"/>
      <c r="U2781" s="529"/>
      <c r="V2781" s="397"/>
      <c r="Y2781" s="393">
        <f>+IFERROR(Y2774*S2781,0)</f>
        <v>0</v>
      </c>
      <c r="Z2781" s="391">
        <f>Y2774*V2781</f>
        <v>0</v>
      </c>
      <c r="AA2781" s="394"/>
      <c r="AB2781" s="395">
        <f>+Y2781*T2781</f>
        <v>0</v>
      </c>
      <c r="AC2781" s="93">
        <f>+AB2781-Z2781</f>
        <v>0</v>
      </c>
      <c r="AD2781" s="94"/>
      <c r="AE2781" s="386" t="str">
        <f>+IF(V2781=0,"CERO","NO")</f>
        <v>CERO</v>
      </c>
    </row>
    <row r="2782" spans="3:31" s="260" customFormat="1" ht="15.75" thickBot="1" x14ac:dyDescent="0.3">
      <c r="C2782" s="84"/>
      <c r="D2782" s="85"/>
      <c r="E2782" s="86"/>
      <c r="F2782" s="86"/>
      <c r="G2782" s="86"/>
      <c r="H2782" s="86"/>
      <c r="I2782" s="86"/>
      <c r="J2782" s="87"/>
      <c r="K2782" s="88"/>
      <c r="M2782" s="102">
        <v>0</v>
      </c>
      <c r="N2782" s="564"/>
      <c r="O2782" s="564"/>
      <c r="P2782" s="564"/>
      <c r="Q2782" s="564"/>
      <c r="R2782" s="96"/>
      <c r="S2782" s="96"/>
      <c r="T2782" s="565"/>
      <c r="U2782" s="565"/>
      <c r="V2782" s="101"/>
      <c r="Y2782" s="393">
        <f>+IFERROR(Y2774*S2782,0)</f>
        <v>0</v>
      </c>
      <c r="Z2782" s="391">
        <f>Y2774*V2782</f>
        <v>0</v>
      </c>
      <c r="AA2782" s="394"/>
      <c r="AB2782" s="395">
        <f>+Y2782*T2782</f>
        <v>0</v>
      </c>
      <c r="AC2782" s="93">
        <f>+AB2782-Z2782</f>
        <v>0</v>
      </c>
      <c r="AD2782" s="94"/>
      <c r="AE2782" s="386" t="str">
        <f>+IF(V2782=0,"CERO","NO")</f>
        <v>CERO</v>
      </c>
    </row>
    <row r="2783" spans="3:31" s="260" customFormat="1" ht="15.75" thickBot="1" x14ac:dyDescent="0.3">
      <c r="C2783" s="84"/>
      <c r="D2783" s="375" t="s">
        <v>128</v>
      </c>
      <c r="E2783" s="376" t="s">
        <v>129</v>
      </c>
      <c r="F2783" s="376" t="s">
        <v>130</v>
      </c>
      <c r="G2783" s="376" t="s">
        <v>131</v>
      </c>
      <c r="H2783" s="376" t="s">
        <v>132</v>
      </c>
      <c r="I2783" s="376" t="s">
        <v>133</v>
      </c>
      <c r="J2783" s="377" t="s">
        <v>134</v>
      </c>
      <c r="K2783" s="88"/>
      <c r="M2783" s="534"/>
      <c r="N2783" s="536" t="s">
        <v>101</v>
      </c>
      <c r="O2783" s="536"/>
      <c r="P2783" s="536"/>
      <c r="Q2783" s="536"/>
      <c r="R2783" s="536"/>
      <c r="S2783" s="536"/>
      <c r="T2783" s="536"/>
      <c r="U2783" s="536"/>
      <c r="V2783" s="389">
        <f>+SUM(V2778:V2782)</f>
        <v>972.92650000000003</v>
      </c>
      <c r="Y2783" s="398" t="s">
        <v>135</v>
      </c>
      <c r="Z2783" s="397">
        <f>+SUM(Z2778:Z2782)</f>
        <v>23350.236000000001</v>
      </c>
      <c r="AA2783" s="86"/>
      <c r="AB2783" s="384"/>
      <c r="AC2783" s="385"/>
      <c r="AD2783" s="94"/>
      <c r="AE2783" s="399"/>
    </row>
    <row r="2784" spans="3:31" s="260" customFormat="1" ht="15.75" thickBot="1" x14ac:dyDescent="0.3">
      <c r="C2784" s="84"/>
      <c r="D2784" s="375">
        <f>C2774</f>
        <v>3.08</v>
      </c>
      <c r="E2784" s="376"/>
      <c r="F2784" s="376"/>
      <c r="G2784" s="376"/>
      <c r="H2784" s="376"/>
      <c r="I2784" s="376"/>
      <c r="J2784" s="377"/>
      <c r="K2784" s="88"/>
      <c r="M2784" s="566"/>
      <c r="N2784" s="567" t="s">
        <v>102</v>
      </c>
      <c r="O2784" s="567"/>
      <c r="P2784" s="567"/>
      <c r="Q2784" s="567"/>
      <c r="R2784" s="567"/>
      <c r="S2784" s="567"/>
      <c r="T2784" s="567"/>
      <c r="U2784" s="567"/>
      <c r="V2784" s="400">
        <f>+ROUND(V2783,$AA$5)</f>
        <v>972.93</v>
      </c>
      <c r="Y2784" s="401" t="s">
        <v>136</v>
      </c>
      <c r="Z2784" s="402">
        <f>+ROUND(Z2783,$AA$5)</f>
        <v>23350.240000000002</v>
      </c>
      <c r="AA2784" s="86"/>
      <c r="AB2784" s="403">
        <f>+V2784*Y2774</f>
        <v>23350.32</v>
      </c>
      <c r="AC2784" s="404">
        <f>+AB2784-Z2784</f>
        <v>7.9999999998108251E-2</v>
      </c>
      <c r="AD2784" s="94"/>
      <c r="AE2784" s="405"/>
    </row>
    <row r="2785" spans="3:31" s="260" customFormat="1" x14ac:dyDescent="0.25">
      <c r="C2785" s="84"/>
      <c r="D2785" s="380"/>
      <c r="E2785" s="381"/>
      <c r="F2785" s="381"/>
      <c r="G2785" s="381"/>
      <c r="H2785" s="381"/>
      <c r="I2785" s="381"/>
      <c r="J2785" s="382"/>
      <c r="K2785" s="88"/>
      <c r="M2785" s="510" t="s">
        <v>103</v>
      </c>
      <c r="N2785" s="511"/>
      <c r="O2785" s="511"/>
      <c r="P2785" s="511"/>
      <c r="Q2785" s="511"/>
      <c r="R2785" s="511"/>
      <c r="S2785" s="511"/>
      <c r="T2785" s="511"/>
      <c r="U2785" s="511"/>
      <c r="V2785" s="512"/>
      <c r="Y2785" s="378"/>
      <c r="Z2785" s="121"/>
      <c r="AA2785" s="86"/>
      <c r="AB2785" s="513"/>
      <c r="AC2785" s="514"/>
      <c r="AD2785" s="94"/>
      <c r="AE2785" s="126"/>
    </row>
    <row r="2786" spans="3:31" s="260" customFormat="1" x14ac:dyDescent="0.25">
      <c r="C2786" s="84"/>
      <c r="D2786" s="85"/>
      <c r="E2786" s="86"/>
      <c r="F2786" s="86"/>
      <c r="G2786" s="86"/>
      <c r="H2786" s="86"/>
      <c r="I2786" s="86"/>
      <c r="J2786" s="87"/>
      <c r="K2786" s="88"/>
      <c r="M2786" s="99" t="s">
        <v>94</v>
      </c>
      <c r="N2786" s="561" t="s">
        <v>95</v>
      </c>
      <c r="O2786" s="561"/>
      <c r="P2786" s="561"/>
      <c r="Q2786" s="561"/>
      <c r="R2786" s="95" t="s">
        <v>96</v>
      </c>
      <c r="S2786" s="95" t="s">
        <v>104</v>
      </c>
      <c r="T2786" s="356" t="s">
        <v>105</v>
      </c>
      <c r="U2786" s="356" t="s">
        <v>8</v>
      </c>
      <c r="V2786" s="100" t="s">
        <v>98</v>
      </c>
      <c r="Y2786" s="383" t="s">
        <v>104</v>
      </c>
      <c r="Z2786" s="119" t="s">
        <v>9</v>
      </c>
      <c r="AA2786" s="86"/>
      <c r="AB2786" s="384"/>
      <c r="AC2786" s="385"/>
      <c r="AD2786" s="94"/>
      <c r="AE2786" s="406"/>
    </row>
    <row r="2787" spans="3:31" s="260" customFormat="1" x14ac:dyDescent="0.25">
      <c r="C2787" s="84"/>
      <c r="D2787" s="85"/>
      <c r="E2787" s="86"/>
      <c r="F2787" s="86"/>
      <c r="G2787" s="86"/>
      <c r="H2787" s="86"/>
      <c r="I2787" s="86"/>
      <c r="J2787" s="87"/>
      <c r="K2787" s="88"/>
      <c r="M2787" s="102">
        <v>737</v>
      </c>
      <c r="N2787" s="533" t="str">
        <f>IFERROR(VLOOKUP(M2787,INSUMOS!$C$8:$K$928,2,0),"-----")</f>
        <v>CODO CPVC Ø1"</v>
      </c>
      <c r="O2787" s="533"/>
      <c r="P2787" s="533"/>
      <c r="Q2787" s="533"/>
      <c r="R2787" s="78" t="str">
        <f>IFERROR(VLOOKUP(M2787,INSUMOS!$C$8:$K$928,6,0),"-----")</f>
        <v>und</v>
      </c>
      <c r="S2787" s="396">
        <v>1</v>
      </c>
      <c r="T2787" s="387">
        <v>0</v>
      </c>
      <c r="U2787" s="388">
        <f>IFERROR(VLOOKUP(M2787,INSUMOS!$C$8:$K$928,7,0),"0")</f>
        <v>21605</v>
      </c>
      <c r="V2787" s="389">
        <f>+IFERROR(U2787*(S2787*(1+T2787)),0)</f>
        <v>21605</v>
      </c>
      <c r="Y2787" s="393">
        <f>+IFERROR(Y2774*(S2787*(1+T2787)),0)</f>
        <v>24</v>
      </c>
      <c r="Z2787" s="391">
        <f>Y2774*V2787</f>
        <v>518520</v>
      </c>
      <c r="AA2787" s="394"/>
      <c r="AB2787" s="395">
        <f>+Y2787*U2787</f>
        <v>518520</v>
      </c>
      <c r="AC2787" s="93">
        <f>+AB2787-Z2787</f>
        <v>0</v>
      </c>
      <c r="AD2787" s="94"/>
      <c r="AE2787" s="406" t="str">
        <f>+IF(V2787=0,"CERO","NO")</f>
        <v>NO</v>
      </c>
    </row>
    <row r="2788" spans="3:31" s="260" customFormat="1" x14ac:dyDescent="0.25">
      <c r="C2788" s="84"/>
      <c r="D2788" s="85"/>
      <c r="E2788" s="86"/>
      <c r="F2788" s="86"/>
      <c r="G2788" s="86"/>
      <c r="H2788" s="86"/>
      <c r="I2788" s="86"/>
      <c r="J2788" s="87"/>
      <c r="K2788" s="88"/>
      <c r="M2788" s="102">
        <v>699</v>
      </c>
      <c r="N2788" s="533" t="str">
        <f>IFERROR(VLOOKUP(M2788,INSUMOS!$C$8:$K$928,2,0),"-----")</f>
        <v>SOLDADURA PVC LIQUIDA 1/4"</v>
      </c>
      <c r="O2788" s="533"/>
      <c r="P2788" s="533"/>
      <c r="Q2788" s="533"/>
      <c r="R2788" s="78" t="str">
        <f>IFERROR(VLOOKUP(M2788,INSUMOS!$C$8:$K$928,6,0),"-----")</f>
        <v>und</v>
      </c>
      <c r="S2788" s="392">
        <v>0.01</v>
      </c>
      <c r="T2788" s="387">
        <v>0.02</v>
      </c>
      <c r="U2788" s="388">
        <f>IFERROR(VLOOKUP(M2788,INSUMOS!$C$8:$K$928,7,0),"0")</f>
        <v>146569</v>
      </c>
      <c r="V2788" s="389">
        <f>+IFERROR(U2788*(S2788*(1+T2788)),0)</f>
        <v>1495.0038000000002</v>
      </c>
      <c r="Y2788" s="393">
        <f>+IFERROR(Y2774*(S2788*(1+T2788)),0)</f>
        <v>0.24480000000000002</v>
      </c>
      <c r="Z2788" s="391">
        <f>Y2774*V2788</f>
        <v>35880.091200000003</v>
      </c>
      <c r="AA2788" s="394"/>
      <c r="AB2788" s="395">
        <f>+Y2788*U2788</f>
        <v>35880.091200000003</v>
      </c>
      <c r="AC2788" s="93">
        <f>+AB2788-Z2788</f>
        <v>0</v>
      </c>
      <c r="AD2788" s="94"/>
      <c r="AE2788" s="406" t="str">
        <f>+IF(V2788=0,"CERO","NO")</f>
        <v>NO</v>
      </c>
    </row>
    <row r="2789" spans="3:31" s="260" customFormat="1" x14ac:dyDescent="0.25">
      <c r="C2789" s="84"/>
      <c r="D2789" s="85"/>
      <c r="E2789" s="86"/>
      <c r="F2789" s="86"/>
      <c r="G2789" s="86"/>
      <c r="H2789" s="86"/>
      <c r="I2789" s="86"/>
      <c r="J2789" s="87"/>
      <c r="K2789" s="88"/>
      <c r="M2789" s="102">
        <v>700</v>
      </c>
      <c r="N2789" s="533" t="str">
        <f>IFERROR(VLOOKUP(M2789,INSUMOS!$C$8:$K$928,2,0),"-----")</f>
        <v>LIMPIADOR PVC 1/4</v>
      </c>
      <c r="O2789" s="533"/>
      <c r="P2789" s="533"/>
      <c r="Q2789" s="533"/>
      <c r="R2789" s="78" t="str">
        <f>IFERROR(VLOOKUP(M2789,INSUMOS!$C$8:$K$928,6,0),"-----")</f>
        <v>und</v>
      </c>
      <c r="S2789" s="392">
        <v>0.01</v>
      </c>
      <c r="T2789" s="387">
        <v>0.02</v>
      </c>
      <c r="U2789" s="388">
        <f>IFERROR(VLOOKUP(M2789,INSUMOS!$C$8:$K$928,7,0),"0")</f>
        <v>65913</v>
      </c>
      <c r="V2789" s="389">
        <f>+IFERROR(U2789*(S2789*(1+T2789)),0)</f>
        <v>672.31260000000009</v>
      </c>
      <c r="Y2789" s="393">
        <f>+IFERROR(Y2774*(S2789*(1+T2789)),0)</f>
        <v>0.24480000000000002</v>
      </c>
      <c r="Z2789" s="391">
        <f>Y2774*V2789</f>
        <v>16135.502400000001</v>
      </c>
      <c r="AA2789" s="394"/>
      <c r="AB2789" s="395">
        <f>+Y2789*U2789</f>
        <v>16135.502400000001</v>
      </c>
      <c r="AC2789" s="93">
        <f>+AB2789-Z2789</f>
        <v>0</v>
      </c>
      <c r="AD2789" s="94"/>
      <c r="AE2789" s="406" t="str">
        <f>+IF(V2789=0,"CERO","NO")</f>
        <v>NO</v>
      </c>
    </row>
    <row r="2790" spans="3:31" s="260" customFormat="1" x14ac:dyDescent="0.25">
      <c r="C2790" s="84"/>
      <c r="D2790" s="85"/>
      <c r="E2790" s="86"/>
      <c r="F2790" s="86"/>
      <c r="G2790" s="86"/>
      <c r="H2790" s="86"/>
      <c r="I2790" s="86"/>
      <c r="J2790" s="87"/>
      <c r="K2790" s="88"/>
      <c r="M2790" s="102">
        <v>0</v>
      </c>
      <c r="N2790" s="533" t="str">
        <f>IFERROR(VLOOKUP(M2790,INSUMOS!$C$8:$K$928,2,0),"-----")</f>
        <v>-----</v>
      </c>
      <c r="O2790" s="533"/>
      <c r="P2790" s="533"/>
      <c r="Q2790" s="533"/>
      <c r="R2790" s="78" t="str">
        <f>IFERROR(VLOOKUP(M2790,INSUMOS!$C$8:$K$928,6,0),"-----")</f>
        <v>-----</v>
      </c>
      <c r="S2790" s="396"/>
      <c r="T2790" s="387"/>
      <c r="U2790" s="388" t="str">
        <f>IFERROR(VLOOKUP(M2790,INSUMOS!$C$8:$K$928,7,0),"0")</f>
        <v>0</v>
      </c>
      <c r="V2790" s="389">
        <f>+IFERROR(U2790*(S2790*(1+T2790)),0)</f>
        <v>0</v>
      </c>
      <c r="Y2790" s="393">
        <f>+IFERROR(Y2774*(S2790*(1+T2790)),0)</f>
        <v>0</v>
      </c>
      <c r="Z2790" s="391">
        <f>Y2774*V2790</f>
        <v>0</v>
      </c>
      <c r="AA2790" s="394"/>
      <c r="AB2790" s="395">
        <f>+Y2790*U2790</f>
        <v>0</v>
      </c>
      <c r="AC2790" s="93">
        <f>+AB2790-Z2790</f>
        <v>0</v>
      </c>
      <c r="AD2790" s="94"/>
      <c r="AE2790" s="406" t="str">
        <f>+IF(V2790=0,"CERO","NO")</f>
        <v>CERO</v>
      </c>
    </row>
    <row r="2791" spans="3:31" s="260" customFormat="1" ht="15.75" thickBot="1" x14ac:dyDescent="0.3">
      <c r="C2791" s="84"/>
      <c r="D2791" s="85"/>
      <c r="E2791" s="86"/>
      <c r="F2791" s="86"/>
      <c r="G2791" s="86"/>
      <c r="H2791" s="86"/>
      <c r="I2791" s="86"/>
      <c r="J2791" s="87"/>
      <c r="K2791" s="88"/>
      <c r="M2791" s="102">
        <v>0</v>
      </c>
      <c r="N2791" s="564"/>
      <c r="O2791" s="564"/>
      <c r="P2791" s="564"/>
      <c r="Q2791" s="564"/>
      <c r="R2791" s="96"/>
      <c r="S2791" s="79"/>
      <c r="T2791" s="97"/>
      <c r="U2791" s="358"/>
      <c r="V2791" s="397"/>
      <c r="Y2791" s="393">
        <f>+IFERROR(Y2774*(S2791*(1+T2791)),0)</f>
        <v>0</v>
      </c>
      <c r="Z2791" s="391">
        <f>Y2774*V2791</f>
        <v>0</v>
      </c>
      <c r="AA2791" s="394"/>
      <c r="AB2791" s="395">
        <f>+Y2791*U2791</f>
        <v>0</v>
      </c>
      <c r="AC2791" s="93">
        <f>+AB2791-Z2791</f>
        <v>0</v>
      </c>
      <c r="AD2791" s="94"/>
      <c r="AE2791" s="406" t="str">
        <f>+IF(V2791=0,"CERO","NO")</f>
        <v>CERO</v>
      </c>
    </row>
    <row r="2792" spans="3:31" s="260" customFormat="1" ht="15.75" thickBot="1" x14ac:dyDescent="0.3">
      <c r="C2792" s="84"/>
      <c r="D2792" s="375" t="s">
        <v>128</v>
      </c>
      <c r="E2792" s="376" t="s">
        <v>129</v>
      </c>
      <c r="F2792" s="376" t="s">
        <v>130</v>
      </c>
      <c r="G2792" s="376" t="s">
        <v>131</v>
      </c>
      <c r="H2792" s="376" t="s">
        <v>132</v>
      </c>
      <c r="I2792" s="376" t="s">
        <v>133</v>
      </c>
      <c r="J2792" s="377" t="s">
        <v>134</v>
      </c>
      <c r="K2792" s="88"/>
      <c r="M2792" s="534"/>
      <c r="N2792" s="536" t="s">
        <v>106</v>
      </c>
      <c r="O2792" s="536"/>
      <c r="P2792" s="536"/>
      <c r="Q2792" s="536"/>
      <c r="R2792" s="536"/>
      <c r="S2792" s="536"/>
      <c r="T2792" s="536"/>
      <c r="U2792" s="536"/>
      <c r="V2792" s="389">
        <f>+SUM(V2787:V2791)</f>
        <v>23772.3164</v>
      </c>
      <c r="Y2792" s="398" t="s">
        <v>135</v>
      </c>
      <c r="Z2792" s="397">
        <f>+SUM(Z2787:Z2791)</f>
        <v>570535.59360000002</v>
      </c>
      <c r="AA2792" s="86"/>
      <c r="AB2792" s="384"/>
      <c r="AC2792" s="385"/>
      <c r="AD2792" s="94"/>
      <c r="AE2792" s="399"/>
    </row>
    <row r="2793" spans="3:31" s="260" customFormat="1" ht="15.75" thickBot="1" x14ac:dyDescent="0.3">
      <c r="C2793" s="84"/>
      <c r="D2793" s="375"/>
      <c r="E2793" s="407">
        <f>+D2784</f>
        <v>3.08</v>
      </c>
      <c r="F2793" s="376"/>
      <c r="G2793" s="376"/>
      <c r="H2793" s="376"/>
      <c r="I2793" s="376"/>
      <c r="J2793" s="377"/>
      <c r="K2793" s="88"/>
      <c r="M2793" s="535"/>
      <c r="N2793" s="537" t="s">
        <v>107</v>
      </c>
      <c r="O2793" s="537"/>
      <c r="P2793" s="537"/>
      <c r="Q2793" s="537"/>
      <c r="R2793" s="537"/>
      <c r="S2793" s="537"/>
      <c r="T2793" s="537"/>
      <c r="U2793" s="537"/>
      <c r="V2793" s="408">
        <f>+ROUND(V2792,$AA$5)</f>
        <v>23772.32</v>
      </c>
      <c r="Y2793" s="401" t="s">
        <v>136</v>
      </c>
      <c r="Z2793" s="402">
        <f>+ROUND(Z2792,$AA$5)</f>
        <v>570535.59</v>
      </c>
      <c r="AA2793" s="86"/>
      <c r="AB2793" s="403">
        <f>+V2793*Y2774</f>
        <v>570535.67999999993</v>
      </c>
      <c r="AC2793" s="404">
        <f>+AB2793-Z2793</f>
        <v>8.999999996740371E-2</v>
      </c>
      <c r="AD2793" s="94"/>
      <c r="AE2793" s="405"/>
    </row>
    <row r="2794" spans="3:31" s="260" customFormat="1" x14ac:dyDescent="0.25">
      <c r="C2794" s="84"/>
      <c r="D2794" s="380"/>
      <c r="E2794" s="381"/>
      <c r="F2794" s="381"/>
      <c r="G2794" s="381"/>
      <c r="H2794" s="381"/>
      <c r="I2794" s="381"/>
      <c r="J2794" s="382"/>
      <c r="K2794" s="88"/>
      <c r="M2794" s="568" t="s">
        <v>108</v>
      </c>
      <c r="N2794" s="569"/>
      <c r="O2794" s="569"/>
      <c r="P2794" s="569"/>
      <c r="Q2794" s="569"/>
      <c r="R2794" s="569"/>
      <c r="S2794" s="569"/>
      <c r="T2794" s="569"/>
      <c r="U2794" s="569"/>
      <c r="V2794" s="570"/>
      <c r="Y2794" s="378"/>
      <c r="Z2794" s="121"/>
      <c r="AA2794" s="86"/>
      <c r="AB2794" s="409"/>
      <c r="AC2794" s="121"/>
      <c r="AD2794" s="94"/>
      <c r="AE2794" s="126"/>
    </row>
    <row r="2795" spans="3:31" s="260" customFormat="1" ht="25.5" x14ac:dyDescent="0.25">
      <c r="C2795" s="84"/>
      <c r="D2795" s="85"/>
      <c r="E2795" s="86"/>
      <c r="F2795" s="86"/>
      <c r="G2795" s="86"/>
      <c r="H2795" s="86"/>
      <c r="I2795" s="86"/>
      <c r="J2795" s="87"/>
      <c r="K2795" s="88"/>
      <c r="M2795" s="99" t="s">
        <v>94</v>
      </c>
      <c r="N2795" s="561" t="s">
        <v>95</v>
      </c>
      <c r="O2795" s="561"/>
      <c r="P2795" s="561"/>
      <c r="Q2795" s="95" t="s">
        <v>109</v>
      </c>
      <c r="R2795" s="95" t="s">
        <v>110</v>
      </c>
      <c r="S2795" s="95" t="s">
        <v>111</v>
      </c>
      <c r="T2795" s="562" t="s">
        <v>112</v>
      </c>
      <c r="U2795" s="562"/>
      <c r="V2795" s="100" t="s">
        <v>98</v>
      </c>
      <c r="Y2795" s="383" t="s">
        <v>104</v>
      </c>
      <c r="Z2795" s="119" t="s">
        <v>9</v>
      </c>
      <c r="AA2795" s="86"/>
      <c r="AB2795" s="384"/>
      <c r="AC2795" s="385"/>
      <c r="AD2795" s="94"/>
      <c r="AE2795" s="410"/>
    </row>
    <row r="2796" spans="3:31" s="260" customFormat="1" x14ac:dyDescent="0.25">
      <c r="C2796" s="84"/>
      <c r="D2796" s="85"/>
      <c r="E2796" s="86"/>
      <c r="F2796" s="86"/>
      <c r="G2796" s="86"/>
      <c r="H2796" s="86"/>
      <c r="I2796" s="86"/>
      <c r="J2796" s="87"/>
      <c r="K2796" s="88"/>
      <c r="M2796" s="102">
        <v>129</v>
      </c>
      <c r="N2796" s="530" t="str">
        <f>IFERROR(VLOOKUP(M2796,INSUMOS!$C$8:$K$928,2,0),"-----")</f>
        <v>transporte materiales en general</v>
      </c>
      <c r="O2796" s="531"/>
      <c r="P2796" s="532"/>
      <c r="Q2796" s="78" t="str">
        <f>IFERROR(VLOOKUP(M2796,INSUMOS!$C$8:$K$928,5,0),"-----")</f>
        <v>Km</v>
      </c>
      <c r="R2796" s="80">
        <v>1</v>
      </c>
      <c r="S2796" s="80">
        <f>IFERROR(VLOOKUP(M2796,INSUMOS!$C$8:$K$928,6,0),"0")</f>
        <v>348</v>
      </c>
      <c r="T2796" s="529">
        <f>IFERROR(VLOOKUP(M2796,INSUMOS!$C$8:$K$928,7,0),"0")</f>
        <v>0.99776362060288992</v>
      </c>
      <c r="U2796" s="529"/>
      <c r="V2796" s="82">
        <f>+T2796*S2796*R2796</f>
        <v>347.2217399698057</v>
      </c>
      <c r="Y2796" s="393">
        <f>+IFERROR((R2796*S2796)*Y2774,0)</f>
        <v>8352</v>
      </c>
      <c r="Z2796" s="391">
        <f>Y2774*V2796</f>
        <v>8333.3217592753372</v>
      </c>
      <c r="AA2796" s="86"/>
      <c r="AB2796" s="92">
        <f>+Y2796*T2796</f>
        <v>8333.3217592753372</v>
      </c>
      <c r="AC2796" s="93">
        <f>+AB2796-Z2796</f>
        <v>0</v>
      </c>
      <c r="AD2796" s="94"/>
      <c r="AE2796" s="406" t="str">
        <f>+IF(V2796=0,"CERO","NO")</f>
        <v>NO</v>
      </c>
    </row>
    <row r="2797" spans="3:31" s="260" customFormat="1" x14ac:dyDescent="0.25">
      <c r="C2797" s="84"/>
      <c r="D2797" s="85"/>
      <c r="E2797" s="86"/>
      <c r="F2797" s="86"/>
      <c r="G2797" s="86"/>
      <c r="H2797" s="86"/>
      <c r="I2797" s="86"/>
      <c r="J2797" s="87"/>
      <c r="K2797" s="88"/>
      <c r="M2797" s="102">
        <v>0</v>
      </c>
      <c r="N2797" s="530" t="str">
        <f>IFERROR(VLOOKUP(M2797,INSUMOS!$C$8:$K$928,2,0),"-----")</f>
        <v>-----</v>
      </c>
      <c r="O2797" s="531"/>
      <c r="P2797" s="532"/>
      <c r="Q2797" s="78" t="str">
        <f>IFERROR(VLOOKUP(M2797,INSUMOS!$C$8:$K$928,5,0),"-----")</f>
        <v>-----</v>
      </c>
      <c r="R2797" s="80"/>
      <c r="S2797" s="80" t="str">
        <f>IFERROR(VLOOKUP(M2797,INSUMOS!$C$8:$K$928,6,0),"0")</f>
        <v>0</v>
      </c>
      <c r="T2797" s="529" t="str">
        <f>IFERROR(VLOOKUP(M2797,INSUMOS!$C$8:$K$928,7,0),"0")</f>
        <v>0</v>
      </c>
      <c r="U2797" s="529"/>
      <c r="V2797" s="82">
        <f>+T2797*S2797*R2797</f>
        <v>0</v>
      </c>
      <c r="Y2797" s="393">
        <f>+IFERROR((R2797*S2797)*Y2774,0)</f>
        <v>0</v>
      </c>
      <c r="Z2797" s="391">
        <f>Y2774*V2797</f>
        <v>0</v>
      </c>
      <c r="AA2797" s="86"/>
      <c r="AB2797" s="92">
        <f>+Y2797*T2797</f>
        <v>0</v>
      </c>
      <c r="AC2797" s="93">
        <f>+AB2797-Z2797</f>
        <v>0</v>
      </c>
      <c r="AD2797" s="94"/>
      <c r="AE2797" s="406" t="str">
        <f>+IF(V2797=0,"CERO","NO")</f>
        <v>CERO</v>
      </c>
    </row>
    <row r="2798" spans="3:31" s="260" customFormat="1" x14ac:dyDescent="0.25">
      <c r="C2798" s="84"/>
      <c r="D2798" s="85"/>
      <c r="E2798" s="86"/>
      <c r="F2798" s="86"/>
      <c r="G2798" s="86"/>
      <c r="H2798" s="86"/>
      <c r="I2798" s="86"/>
      <c r="J2798" s="87"/>
      <c r="K2798" s="88"/>
      <c r="M2798" s="102">
        <v>0</v>
      </c>
      <c r="N2798" s="530" t="str">
        <f>IFERROR(VLOOKUP(M2798,INSUMOS!$C$8:$K$928,2,0),"-----")</f>
        <v>-----</v>
      </c>
      <c r="O2798" s="531"/>
      <c r="P2798" s="532"/>
      <c r="Q2798" s="78" t="str">
        <f>IFERROR(VLOOKUP(M2798,INSUMOS!$C$8:$K$928,5,0),"-----")</f>
        <v>-----</v>
      </c>
      <c r="R2798" s="80"/>
      <c r="S2798" s="80" t="str">
        <f>IFERROR(VLOOKUP(M2798,INSUMOS!$C$8:$K$928,6,0),"0")</f>
        <v>0</v>
      </c>
      <c r="T2798" s="529" t="str">
        <f>IFERROR(VLOOKUP(M2798,INSUMOS!$C$8:$K$928,7,0),"0")</f>
        <v>0</v>
      </c>
      <c r="U2798" s="529"/>
      <c r="V2798" s="82">
        <f>+T2798*S2798*R2798</f>
        <v>0</v>
      </c>
      <c r="Y2798" s="393">
        <f>+IFERROR((R2798*S2798)*Y2774,0)</f>
        <v>0</v>
      </c>
      <c r="Z2798" s="391">
        <f>Y2774*V2798</f>
        <v>0</v>
      </c>
      <c r="AA2798" s="86"/>
      <c r="AB2798" s="92">
        <f>+Y2798*T2798</f>
        <v>0</v>
      </c>
      <c r="AC2798" s="93">
        <f>+AB2798-Z2798</f>
        <v>0</v>
      </c>
      <c r="AD2798" s="94"/>
      <c r="AE2798" s="406" t="str">
        <f>+IF(V2798=0,"CERO","NO")</f>
        <v>CERO</v>
      </c>
    </row>
    <row r="2799" spans="3:31" s="260" customFormat="1" ht="15.75" thickBot="1" x14ac:dyDescent="0.3">
      <c r="C2799" s="84"/>
      <c r="D2799" s="89"/>
      <c r="E2799" s="90"/>
      <c r="F2799" s="90"/>
      <c r="G2799" s="90"/>
      <c r="H2799" s="90"/>
      <c r="I2799" s="90"/>
      <c r="J2799" s="91"/>
      <c r="K2799" s="88"/>
      <c r="M2799" s="102">
        <v>0</v>
      </c>
      <c r="N2799" s="533"/>
      <c r="O2799" s="533"/>
      <c r="P2799" s="533"/>
      <c r="Q2799" s="79"/>
      <c r="R2799" s="78"/>
      <c r="S2799" s="81"/>
      <c r="T2799" s="529"/>
      <c r="U2799" s="529"/>
      <c r="V2799" s="82"/>
      <c r="Y2799" s="393">
        <f>+IFERROR((R2799*S2799)*Y2774,0)</f>
        <v>0</v>
      </c>
      <c r="Z2799" s="391">
        <f>Y2774*V2799</f>
        <v>0</v>
      </c>
      <c r="AA2799" s="86"/>
      <c r="AB2799" s="92">
        <f>+Y2799*T2799</f>
        <v>0</v>
      </c>
      <c r="AC2799" s="93">
        <f>+AB2799-Z2799</f>
        <v>0</v>
      </c>
      <c r="AD2799" s="94"/>
      <c r="AE2799" s="406" t="str">
        <f>+IF(V2799=0,"CERO","NO")</f>
        <v>CERO</v>
      </c>
    </row>
    <row r="2800" spans="3:31" s="260" customFormat="1" ht="15.75" thickBot="1" x14ac:dyDescent="0.3">
      <c r="C2800" s="84"/>
      <c r="D2800" s="375" t="s">
        <v>128</v>
      </c>
      <c r="E2800" s="376" t="s">
        <v>129</v>
      </c>
      <c r="F2800" s="376" t="s">
        <v>130</v>
      </c>
      <c r="G2800" s="376" t="s">
        <v>131</v>
      </c>
      <c r="H2800" s="376" t="s">
        <v>132</v>
      </c>
      <c r="I2800" s="376" t="s">
        <v>133</v>
      </c>
      <c r="J2800" s="377" t="s">
        <v>134</v>
      </c>
      <c r="K2800" s="88"/>
      <c r="M2800" s="534"/>
      <c r="N2800" s="536" t="s">
        <v>113</v>
      </c>
      <c r="O2800" s="536"/>
      <c r="P2800" s="536"/>
      <c r="Q2800" s="536"/>
      <c r="R2800" s="536"/>
      <c r="S2800" s="536"/>
      <c r="T2800" s="536"/>
      <c r="U2800" s="536"/>
      <c r="V2800" s="411">
        <f>+SUM(V2796:V2799)</f>
        <v>347.2217399698057</v>
      </c>
      <c r="Y2800" s="398" t="s">
        <v>135</v>
      </c>
      <c r="Z2800" s="397">
        <f>+SUM(Z2796:Z2799)</f>
        <v>8333.3217592753372</v>
      </c>
      <c r="AA2800" s="86"/>
      <c r="AB2800" s="384"/>
      <c r="AC2800" s="385"/>
      <c r="AD2800" s="94"/>
      <c r="AE2800" s="399"/>
    </row>
    <row r="2801" spans="3:31" s="260" customFormat="1" ht="15.75" thickBot="1" x14ac:dyDescent="0.3">
      <c r="C2801" s="84"/>
      <c r="D2801" s="355"/>
      <c r="E2801" s="367"/>
      <c r="F2801" s="412">
        <f>+E2793</f>
        <v>3.08</v>
      </c>
      <c r="G2801" s="367"/>
      <c r="H2801" s="367"/>
      <c r="I2801" s="367"/>
      <c r="J2801" s="368"/>
      <c r="K2801" s="88"/>
      <c r="M2801" s="535"/>
      <c r="N2801" s="537" t="s">
        <v>114</v>
      </c>
      <c r="O2801" s="537"/>
      <c r="P2801" s="537"/>
      <c r="Q2801" s="537"/>
      <c r="R2801" s="537"/>
      <c r="S2801" s="537"/>
      <c r="T2801" s="537"/>
      <c r="U2801" s="537"/>
      <c r="V2801" s="413">
        <f>+ROUND(V2800,$AA$5)</f>
        <v>347.22</v>
      </c>
      <c r="Y2801" s="401" t="s">
        <v>136</v>
      </c>
      <c r="Z2801" s="402">
        <f>+ROUND(Z2800,$AA$5)</f>
        <v>8333.32</v>
      </c>
      <c r="AA2801" s="86"/>
      <c r="AB2801" s="403">
        <f>+V2801*Y2774</f>
        <v>8333.2800000000007</v>
      </c>
      <c r="AC2801" s="414"/>
      <c r="AD2801" s="94"/>
      <c r="AE2801" s="405"/>
    </row>
    <row r="2802" spans="3:31" s="260" customFormat="1" ht="15.75" thickBot="1" x14ac:dyDescent="0.3">
      <c r="C2802" s="84"/>
      <c r="D2802" s="415"/>
      <c r="E2802" s="416"/>
      <c r="F2802" s="416"/>
      <c r="G2802" s="416"/>
      <c r="H2802" s="416"/>
      <c r="I2802" s="416"/>
      <c r="J2802" s="417"/>
      <c r="K2802" s="88"/>
      <c r="M2802" s="538" t="s">
        <v>115</v>
      </c>
      <c r="N2802" s="539"/>
      <c r="O2802" s="539"/>
      <c r="P2802" s="539"/>
      <c r="Q2802" s="539"/>
      <c r="R2802" s="539"/>
      <c r="S2802" s="539"/>
      <c r="T2802" s="539"/>
      <c r="U2802" s="539"/>
      <c r="V2802" s="540"/>
      <c r="Y2802" s="378"/>
      <c r="Z2802" s="121"/>
      <c r="AA2802" s="86"/>
      <c r="AB2802" s="409"/>
      <c r="AC2802" s="121"/>
      <c r="AD2802" s="94"/>
      <c r="AE2802" s="126"/>
    </row>
    <row r="2803" spans="3:31" s="260" customFormat="1" ht="15.75" thickBot="1" x14ac:dyDescent="0.3">
      <c r="C2803" s="84"/>
      <c r="D2803" s="375" t="s">
        <v>128</v>
      </c>
      <c r="E2803" s="376" t="s">
        <v>129</v>
      </c>
      <c r="F2803" s="376" t="s">
        <v>130</v>
      </c>
      <c r="G2803" s="376" t="s">
        <v>131</v>
      </c>
      <c r="H2803" s="376" t="s">
        <v>132</v>
      </c>
      <c r="I2803" s="376" t="s">
        <v>133</v>
      </c>
      <c r="J2803" s="377" t="s">
        <v>134</v>
      </c>
      <c r="K2803" s="88"/>
      <c r="M2803" s="99" t="s">
        <v>94</v>
      </c>
      <c r="N2803" s="98" t="s">
        <v>95</v>
      </c>
      <c r="O2803" s="95" t="s">
        <v>96</v>
      </c>
      <c r="P2803" s="359" t="s">
        <v>104</v>
      </c>
      <c r="Q2803" s="95" t="s">
        <v>116</v>
      </c>
      <c r="R2803" s="418" t="s">
        <v>117</v>
      </c>
      <c r="S2803" s="95" t="s">
        <v>347</v>
      </c>
      <c r="T2803" s="419" t="s">
        <v>118</v>
      </c>
      <c r="U2803" s="189" t="s">
        <v>119</v>
      </c>
      <c r="V2803" s="100" t="s">
        <v>98</v>
      </c>
      <c r="Y2803" s="383" t="s">
        <v>104</v>
      </c>
      <c r="Z2803" s="119" t="s">
        <v>9</v>
      </c>
      <c r="AA2803" s="86"/>
      <c r="AB2803" s="384"/>
      <c r="AC2803" s="385"/>
      <c r="AD2803" s="94"/>
      <c r="AE2803" s="410"/>
    </row>
    <row r="2804" spans="3:31" s="260" customFormat="1" ht="25.5" x14ac:dyDescent="0.25">
      <c r="C2804" s="84"/>
      <c r="D2804" s="354"/>
      <c r="E2804" s="96"/>
      <c r="F2804" s="96"/>
      <c r="G2804" s="96"/>
      <c r="H2804" s="96"/>
      <c r="I2804" s="96"/>
      <c r="J2804" s="420">
        <f>+F2801</f>
        <v>3.08</v>
      </c>
      <c r="K2804" s="88"/>
      <c r="M2804" s="102">
        <v>207</v>
      </c>
      <c r="N2804" s="347" t="str">
        <f>IFERROR(VLOOKUP(M2804,INSUMOS!$C$8:$K$928,2,0),"-----")</f>
        <v>Oficial Hidrosanitario</v>
      </c>
      <c r="O2804" s="78" t="str">
        <f>IFERROR(VLOOKUP(M2804,INSUMOS!$C$8:$K$928,3,0),"-----")</f>
        <v>JORNAL+PS</v>
      </c>
      <c r="P2804" s="80">
        <v>1</v>
      </c>
      <c r="Q2804" s="79">
        <v>15</v>
      </c>
      <c r="R2804" s="190">
        <f>IFERROR(VLOOKUP(M2804,INSUMOS!$C$8:$K$928,4,0),"-----")</f>
        <v>92983</v>
      </c>
      <c r="S2804" s="190">
        <f>IFERROR(VLOOKUP(M2804,INSUMOS!$C$8:$K$928,6,0),"-----")</f>
        <v>74386</v>
      </c>
      <c r="T2804" s="190">
        <f>IFERROR(VLOOKUP(M2804,INSUMOS!$C$8:$K$928,5,0),"-----")</f>
        <v>0</v>
      </c>
      <c r="U2804" s="388">
        <f>SUM(R2804:T2804)</f>
        <v>167369</v>
      </c>
      <c r="V2804" s="82">
        <f>+IFERROR((P2804/Q2804)*U2804,0)</f>
        <v>11157.933333333332</v>
      </c>
      <c r="Y2804" s="393">
        <f>+IFERROR((Y2774/Q2804*P2804),0)</f>
        <v>1.6</v>
      </c>
      <c r="Z2804" s="391">
        <f>Y2774*V2804</f>
        <v>267790.39999999997</v>
      </c>
      <c r="AA2804" s="86"/>
      <c r="AB2804" s="92">
        <f>+(U2804)*Y2804</f>
        <v>267790.40000000002</v>
      </c>
      <c r="AC2804" s="93">
        <f>+AB2804-Z2804</f>
        <v>0</v>
      </c>
      <c r="AD2804" s="421"/>
      <c r="AE2804" s="410" t="str">
        <f>+IF(V2804=0,"CERO","NO")</f>
        <v>NO</v>
      </c>
    </row>
    <row r="2805" spans="3:31" s="260" customFormat="1" ht="26.25" thickBot="1" x14ac:dyDescent="0.3">
      <c r="C2805" s="84"/>
      <c r="D2805" s="355"/>
      <c r="E2805" s="367"/>
      <c r="F2805" s="367"/>
      <c r="G2805" s="367"/>
      <c r="H2805" s="367"/>
      <c r="I2805" s="367"/>
      <c r="J2805" s="422">
        <f>+J2804</f>
        <v>3.08</v>
      </c>
      <c r="K2805" s="88"/>
      <c r="M2805" s="102">
        <v>208</v>
      </c>
      <c r="N2805" s="347" t="str">
        <f>IFERROR(VLOOKUP(M2805,INSUMOS!$C$8:$K$928,2,0),"-----")</f>
        <v>Ayudante Hidrosanitario</v>
      </c>
      <c r="O2805" s="78" t="str">
        <f>IFERROR(VLOOKUP(M2805,INSUMOS!$C$8:$K$928,3,0),"-----")</f>
        <v>JORNAL+PS</v>
      </c>
      <c r="P2805" s="80">
        <v>1</v>
      </c>
      <c r="Q2805" s="79">
        <v>15</v>
      </c>
      <c r="R2805" s="190">
        <f>IFERROR(VLOOKUP(M2805,INSUMOS!$C$8:$K$928,4,0),"-----")</f>
        <v>69172</v>
      </c>
      <c r="S2805" s="190">
        <f>IFERROR(VLOOKUP(M2805,INSUMOS!$C$8:$K$928,6,0),"-----")</f>
        <v>55337</v>
      </c>
      <c r="T2805" s="190">
        <f>IFERROR(VLOOKUP(M2805,INSUMOS!$C$8:$K$928,5,0),"-----")</f>
        <v>0</v>
      </c>
      <c r="U2805" s="388">
        <f>SUM(R2805:T2805)</f>
        <v>124509</v>
      </c>
      <c r="V2805" s="82">
        <f>+IFERROR((P2805/Q2805)*U2805,0)</f>
        <v>8300.6</v>
      </c>
      <c r="Y2805" s="393">
        <f>+IFERROR((Y2774/Q2805*P2805),0)</f>
        <v>1.6</v>
      </c>
      <c r="Z2805" s="391">
        <f>Y2774*V2805</f>
        <v>199214.40000000002</v>
      </c>
      <c r="AA2805" s="86"/>
      <c r="AB2805" s="92">
        <f>+U2805*Y2805</f>
        <v>199214.40000000002</v>
      </c>
      <c r="AC2805" s="93">
        <f>+AB2805-Z2805</f>
        <v>0</v>
      </c>
      <c r="AD2805" s="94"/>
      <c r="AE2805" s="410" t="str">
        <f>+IF(V2805=0,"CERO","NO")</f>
        <v>NO</v>
      </c>
    </row>
    <row r="2806" spans="3:31" s="260" customFormat="1" ht="15.75" thickBot="1" x14ac:dyDescent="0.3">
      <c r="C2806" s="84"/>
      <c r="D2806" s="380"/>
      <c r="E2806" s="381"/>
      <c r="F2806" s="381"/>
      <c r="G2806" s="381"/>
      <c r="H2806" s="381"/>
      <c r="I2806" s="381"/>
      <c r="J2806" s="382"/>
      <c r="K2806" s="88"/>
      <c r="M2806" s="102">
        <v>0</v>
      </c>
      <c r="N2806" s="347"/>
      <c r="O2806" s="79"/>
      <c r="P2806" s="423"/>
      <c r="Q2806" s="81"/>
      <c r="R2806" s="111"/>
      <c r="S2806" s="357"/>
      <c r="T2806" s="111"/>
      <c r="U2806" s="388"/>
      <c r="V2806" s="426"/>
      <c r="Y2806" s="393">
        <f>+IFERROR((Y2774/Q2806*P2806),0)</f>
        <v>0</v>
      </c>
      <c r="Z2806" s="391">
        <f>Y2774*V2806</f>
        <v>0</v>
      </c>
      <c r="AA2806" s="86"/>
      <c r="AB2806" s="92">
        <f>+(U2806)*Y2806*P2806</f>
        <v>0</v>
      </c>
      <c r="AC2806" s="93">
        <f>+AB2806-Z2806</f>
        <v>0</v>
      </c>
      <c r="AD2806" s="94"/>
      <c r="AE2806" s="410" t="str">
        <f>+IF(V2806=0,"CERO","NO")</f>
        <v>CERO</v>
      </c>
    </row>
    <row r="2807" spans="3:31" s="260" customFormat="1" ht="15.75" thickBot="1" x14ac:dyDescent="0.3">
      <c r="C2807" s="84"/>
      <c r="D2807" s="375" t="s">
        <v>128</v>
      </c>
      <c r="E2807" s="376" t="s">
        <v>129</v>
      </c>
      <c r="F2807" s="376" t="s">
        <v>130</v>
      </c>
      <c r="G2807" s="376" t="s">
        <v>131</v>
      </c>
      <c r="H2807" s="376" t="s">
        <v>132</v>
      </c>
      <c r="I2807" s="376" t="s">
        <v>133</v>
      </c>
      <c r="J2807" s="377" t="s">
        <v>134</v>
      </c>
      <c r="K2807" s="88"/>
      <c r="M2807" s="534"/>
      <c r="N2807" s="536" t="s">
        <v>120</v>
      </c>
      <c r="O2807" s="536"/>
      <c r="P2807" s="536"/>
      <c r="Q2807" s="536"/>
      <c r="R2807" s="536"/>
      <c r="S2807" s="536"/>
      <c r="T2807" s="536"/>
      <c r="U2807" s="536"/>
      <c r="V2807" s="82">
        <f>+SUM(V2804:V2806)</f>
        <v>19458.533333333333</v>
      </c>
      <c r="Y2807" s="398" t="s">
        <v>135</v>
      </c>
      <c r="Z2807" s="397">
        <f>+SUM(Z2804:Z2806)</f>
        <v>467004.8</v>
      </c>
      <c r="AA2807" s="86"/>
      <c r="AB2807" s="384"/>
      <c r="AC2807" s="385"/>
      <c r="AD2807" s="94"/>
      <c r="AE2807" s="399"/>
    </row>
    <row r="2808" spans="3:31" s="260" customFormat="1" ht="15.75" thickBot="1" x14ac:dyDescent="0.3">
      <c r="C2808" s="84"/>
      <c r="D2808" s="354"/>
      <c r="E2808" s="96"/>
      <c r="F2808" s="96"/>
      <c r="G2808" s="107">
        <f>+F2801</f>
        <v>3.08</v>
      </c>
      <c r="H2808" s="96"/>
      <c r="I2808" s="96"/>
      <c r="J2808" s="427"/>
      <c r="K2808" s="88"/>
      <c r="M2808" s="535"/>
      <c r="N2808" s="537" t="s">
        <v>121</v>
      </c>
      <c r="O2808" s="537"/>
      <c r="P2808" s="537"/>
      <c r="Q2808" s="537"/>
      <c r="R2808" s="537"/>
      <c r="S2808" s="537"/>
      <c r="T2808" s="537"/>
      <c r="U2808" s="537"/>
      <c r="V2808" s="413">
        <f>+ROUND(V2807,$AA$5)</f>
        <v>19458.53</v>
      </c>
      <c r="Y2808" s="401" t="s">
        <v>136</v>
      </c>
      <c r="Z2808" s="402">
        <f>+ROUND(Z2807,$AA$5)</f>
        <v>467004.8</v>
      </c>
      <c r="AA2808" s="86"/>
      <c r="AB2808" s="403">
        <f>+V2808*Y2774</f>
        <v>467004.72</v>
      </c>
      <c r="AC2808" s="404">
        <f>+AB2808-Z2808</f>
        <v>-8.0000000016298145E-2</v>
      </c>
      <c r="AD2808" s="94"/>
      <c r="AE2808" s="405"/>
    </row>
    <row r="2809" spans="3:31" s="260" customFormat="1" ht="15.75" thickBot="1" x14ac:dyDescent="0.3">
      <c r="C2809" s="84"/>
      <c r="D2809" s="375" t="s">
        <v>128</v>
      </c>
      <c r="E2809" s="376" t="s">
        <v>129</v>
      </c>
      <c r="F2809" s="376" t="s">
        <v>130</v>
      </c>
      <c r="G2809" s="376" t="s">
        <v>131</v>
      </c>
      <c r="H2809" s="376" t="s">
        <v>132</v>
      </c>
      <c r="I2809" s="376" t="s">
        <v>133</v>
      </c>
      <c r="J2809" s="377" t="s">
        <v>134</v>
      </c>
      <c r="K2809" s="88"/>
      <c r="M2809" s="541"/>
      <c r="N2809" s="542"/>
      <c r="O2809" s="542"/>
      <c r="P2809" s="542"/>
      <c r="Q2809" s="542"/>
      <c r="R2809" s="542"/>
      <c r="S2809" s="542"/>
      <c r="T2809" s="542"/>
      <c r="U2809" s="542"/>
      <c r="V2809" s="543"/>
      <c r="Y2809" s="378"/>
      <c r="Z2809" s="121"/>
      <c r="AA2809" s="86"/>
      <c r="AB2809" s="409"/>
      <c r="AC2809" s="121"/>
      <c r="AD2809" s="94"/>
      <c r="AE2809" s="428"/>
    </row>
    <row r="2810" spans="3:31" s="260" customFormat="1" ht="15.75" thickBot="1" x14ac:dyDescent="0.3">
      <c r="C2810" s="84"/>
      <c r="D2810" s="355"/>
      <c r="E2810" s="367"/>
      <c r="F2810" s="367"/>
      <c r="G2810" s="367"/>
      <c r="H2810" s="412">
        <f>G2808</f>
        <v>3.08</v>
      </c>
      <c r="I2810" s="412"/>
      <c r="J2810" s="422"/>
      <c r="K2810" s="88"/>
      <c r="M2810" s="544" t="s">
        <v>122</v>
      </c>
      <c r="N2810" s="537"/>
      <c r="O2810" s="537"/>
      <c r="P2810" s="537"/>
      <c r="Q2810" s="537"/>
      <c r="R2810" s="537"/>
      <c r="S2810" s="537"/>
      <c r="T2810" s="537"/>
      <c r="U2810" s="545">
        <f>+V2808+V2801+V2793+V2784</f>
        <v>44551</v>
      </c>
      <c r="V2810" s="546"/>
      <c r="Y2810" s="429"/>
      <c r="Z2810" s="430">
        <f>+Z2808+Z2801+Z2793+Z2784</f>
        <v>1069223.95</v>
      </c>
      <c r="AA2810" s="86"/>
      <c r="AB2810" s="431">
        <f>+AB2808+AB2801+AB2793+AB2784</f>
        <v>1069224</v>
      </c>
      <c r="AC2810" s="404">
        <f>+AB2810-Z2810</f>
        <v>5.0000000046566129E-2</v>
      </c>
      <c r="AD2810" s="94"/>
      <c r="AE2810" s="432"/>
    </row>
    <row r="2811" spans="3:31" s="260" customFormat="1" ht="15.75" thickBot="1" x14ac:dyDescent="0.3"/>
    <row r="2812" spans="3:31" s="260" customFormat="1" x14ac:dyDescent="0.25">
      <c r="M2812" s="547" t="s">
        <v>348</v>
      </c>
      <c r="N2812" s="548"/>
      <c r="O2812" s="548"/>
      <c r="P2812" s="548"/>
      <c r="Q2812" s="548"/>
      <c r="R2812" s="548"/>
      <c r="S2812" s="548"/>
      <c r="T2812" s="548"/>
      <c r="U2812" s="548"/>
      <c r="V2812" s="549"/>
      <c r="Y2812" s="378"/>
      <c r="Z2812" s="121"/>
      <c r="AA2812" s="86"/>
      <c r="AB2812" s="94"/>
      <c r="AC2812" s="94"/>
      <c r="AD2812" s="94"/>
      <c r="AE2812" s="126" t="s">
        <v>133</v>
      </c>
    </row>
    <row r="2813" spans="3:31" s="260" customFormat="1" x14ac:dyDescent="0.25">
      <c r="M2813" s="515" t="s">
        <v>138</v>
      </c>
      <c r="N2813" s="516"/>
      <c r="O2813" s="516"/>
      <c r="P2813" s="516"/>
      <c r="Q2813" s="516"/>
      <c r="R2813" s="516"/>
      <c r="S2813" s="516"/>
      <c r="T2813" s="437">
        <v>0</v>
      </c>
      <c r="U2813" s="517">
        <f>+ROUND(U2810*T2813,$AA$5)</f>
        <v>0</v>
      </c>
      <c r="V2813" s="518"/>
      <c r="Y2813" s="390"/>
      <c r="Z2813" s="438">
        <f>+Z2810*T2813</f>
        <v>0</v>
      </c>
      <c r="AA2813" s="86"/>
      <c r="AB2813" s="94"/>
      <c r="AC2813" s="94"/>
      <c r="AD2813" s="94"/>
      <c r="AE2813" s="386" t="s">
        <v>133</v>
      </c>
    </row>
    <row r="2814" spans="3:31" s="260" customFormat="1" x14ac:dyDescent="0.25">
      <c r="M2814" s="515" t="s">
        <v>19</v>
      </c>
      <c r="N2814" s="516"/>
      <c r="O2814" s="516"/>
      <c r="P2814" s="516"/>
      <c r="Q2814" s="516"/>
      <c r="R2814" s="516"/>
      <c r="S2814" s="516"/>
      <c r="T2814" s="437">
        <v>0.05</v>
      </c>
      <c r="U2814" s="517">
        <f>+ROUND(U2810*T2814,$AA$5)</f>
        <v>2227.5500000000002</v>
      </c>
      <c r="V2814" s="518"/>
      <c r="Y2814" s="390"/>
      <c r="Z2814" s="438">
        <f>+Z2810*T2814</f>
        <v>53461.197500000002</v>
      </c>
      <c r="AA2814" s="86"/>
      <c r="AB2814" s="94"/>
      <c r="AC2814" s="94"/>
      <c r="AD2814" s="94"/>
      <c r="AE2814" s="386" t="s">
        <v>133</v>
      </c>
    </row>
    <row r="2815" spans="3:31" s="260" customFormat="1" x14ac:dyDescent="0.25">
      <c r="M2815" s="515" t="s">
        <v>20</v>
      </c>
      <c r="N2815" s="516"/>
      <c r="O2815" s="516"/>
      <c r="P2815" s="516"/>
      <c r="Q2815" s="516"/>
      <c r="R2815" s="516"/>
      <c r="S2815" s="516"/>
      <c r="T2815" s="437">
        <v>0</v>
      </c>
      <c r="U2815" s="517">
        <f>+ROUND(U2810*T2815,$AA$5)</f>
        <v>0</v>
      </c>
      <c r="V2815" s="518"/>
      <c r="Y2815" s="390"/>
      <c r="Z2815" s="438">
        <f>+Z2810*T2815</f>
        <v>0</v>
      </c>
      <c r="AA2815" s="86"/>
      <c r="AB2815" s="94"/>
      <c r="AC2815" s="94"/>
      <c r="AD2815" s="94"/>
      <c r="AE2815" s="386" t="s">
        <v>133</v>
      </c>
    </row>
    <row r="2816" spans="3:31" s="260" customFormat="1" x14ac:dyDescent="0.25">
      <c r="M2816" s="515" t="s">
        <v>21</v>
      </c>
      <c r="N2816" s="516"/>
      <c r="O2816" s="516"/>
      <c r="P2816" s="516"/>
      <c r="Q2816" s="516"/>
      <c r="R2816" s="516"/>
      <c r="S2816" s="516"/>
      <c r="T2816" s="437">
        <f>$AA$9</f>
        <v>0</v>
      </c>
      <c r="U2816" s="517">
        <f>+ROUND(U2810*T2816,$AA$5)</f>
        <v>0</v>
      </c>
      <c r="V2816" s="518"/>
      <c r="Y2816" s="390"/>
      <c r="Z2816" s="438">
        <f>+Z2815*T2816</f>
        <v>0</v>
      </c>
      <c r="AA2816" s="86"/>
      <c r="AB2816" s="94"/>
      <c r="AC2816" s="94"/>
      <c r="AD2816" s="94"/>
      <c r="AE2816" s="386" t="s">
        <v>133</v>
      </c>
    </row>
    <row r="2817" spans="3:31" s="260" customFormat="1" ht="15.75" thickBot="1" x14ac:dyDescent="0.3">
      <c r="M2817" s="519" t="s">
        <v>349</v>
      </c>
      <c r="N2817" s="520"/>
      <c r="O2817" s="520"/>
      <c r="P2817" s="520"/>
      <c r="Q2817" s="520"/>
      <c r="R2817" s="520"/>
      <c r="S2817" s="520"/>
      <c r="T2817" s="520"/>
      <c r="U2817" s="521">
        <f>+SUM(U2813:V2816)</f>
        <v>2227.5500000000002</v>
      </c>
      <c r="V2817" s="522"/>
      <c r="Y2817" s="390"/>
      <c r="Z2817" s="439">
        <f>+SUM(Z2813:Z2816)</f>
        <v>53461.197500000002</v>
      </c>
      <c r="AA2817" s="86"/>
      <c r="AB2817" s="94"/>
      <c r="AC2817" s="94"/>
      <c r="AD2817" s="94"/>
      <c r="AE2817" s="386" t="s">
        <v>133</v>
      </c>
    </row>
    <row r="2818" spans="3:31" s="260" customFormat="1" ht="15.75" thickBot="1" x14ac:dyDescent="0.3">
      <c r="D2818" s="375" t="s">
        <v>128</v>
      </c>
      <c r="E2818" s="376" t="s">
        <v>129</v>
      </c>
      <c r="F2818" s="376" t="s">
        <v>130</v>
      </c>
      <c r="G2818" s="376" t="s">
        <v>131</v>
      </c>
      <c r="H2818" s="376" t="s">
        <v>132</v>
      </c>
      <c r="I2818" s="376" t="s">
        <v>133</v>
      </c>
      <c r="J2818" s="377" t="s">
        <v>134</v>
      </c>
      <c r="M2818" s="86"/>
      <c r="N2818" s="94"/>
      <c r="O2818" s="94"/>
      <c r="P2818" s="94"/>
      <c r="Q2818" s="86"/>
      <c r="R2818" s="86"/>
      <c r="S2818" s="86"/>
      <c r="T2818" s="440"/>
      <c r="U2818" s="523"/>
      <c r="V2818" s="523"/>
      <c r="Y2818" s="390"/>
      <c r="Z2818" s="385"/>
      <c r="AA2818" s="86"/>
      <c r="AB2818" s="94"/>
      <c r="AC2818" s="94"/>
      <c r="AD2818" s="94"/>
      <c r="AE2818" s="386" t="s">
        <v>133</v>
      </c>
    </row>
    <row r="2819" spans="3:31" s="260" customFormat="1" ht="15.75" thickBot="1" x14ac:dyDescent="0.3">
      <c r="D2819" s="355"/>
      <c r="E2819" s="367"/>
      <c r="F2819" s="367"/>
      <c r="G2819" s="367"/>
      <c r="H2819" s="412"/>
      <c r="I2819" s="412">
        <f>H2810</f>
        <v>3.08</v>
      </c>
      <c r="J2819" s="422"/>
      <c r="M2819" s="524" t="s">
        <v>11</v>
      </c>
      <c r="N2819" s="525"/>
      <c r="O2819" s="525"/>
      <c r="P2819" s="525"/>
      <c r="Q2819" s="525"/>
      <c r="R2819" s="525"/>
      <c r="S2819" s="525"/>
      <c r="T2819" s="526"/>
      <c r="U2819" s="527">
        <f>+U2817+U2810</f>
        <v>46778.55</v>
      </c>
      <c r="V2819" s="528"/>
      <c r="Y2819" s="429"/>
      <c r="Z2819" s="441">
        <f>+Z2817+Z2810</f>
        <v>1122685.1475</v>
      </c>
      <c r="AA2819" s="86"/>
      <c r="AB2819" s="94"/>
      <c r="AC2819" s="94"/>
      <c r="AD2819" s="94"/>
      <c r="AE2819" s="405" t="s">
        <v>133</v>
      </c>
    </row>
    <row r="2820" spans="3:31" s="260" customFormat="1" x14ac:dyDescent="0.25"/>
    <row r="2821" spans="3:31" s="260" customFormat="1" ht="15.75" thickBot="1" x14ac:dyDescent="0.3"/>
    <row r="2822" spans="3:31" s="260" customFormat="1" ht="15.75" thickBot="1" x14ac:dyDescent="0.3">
      <c r="M2822" s="363" t="s">
        <v>88</v>
      </c>
      <c r="N2822" s="436" t="str">
        <f>+N2773</f>
        <v>CAP.3</v>
      </c>
      <c r="O2822" s="550" t="str">
        <f>IFERROR(VLOOKUP(N2822,PPTO!C:H,2,0),"----")</f>
        <v>RED CONTRAINCENDIOS</v>
      </c>
      <c r="P2822" s="551"/>
      <c r="Q2822" s="551"/>
      <c r="R2822" s="551"/>
      <c r="S2822" s="551"/>
      <c r="T2822" s="551"/>
      <c r="U2822" s="552"/>
      <c r="V2822" s="74" t="s">
        <v>91</v>
      </c>
      <c r="Y2822" s="365" t="s">
        <v>104</v>
      </c>
      <c r="Z2822" s="94"/>
      <c r="AA2822" s="188"/>
      <c r="AB2822" s="553"/>
      <c r="AC2822" s="553"/>
      <c r="AD2822" s="553"/>
      <c r="AE2822" s="94"/>
    </row>
    <row r="2823" spans="3:31" s="260" customFormat="1" ht="15.75" thickBot="1" x14ac:dyDescent="0.3">
      <c r="C2823" s="369">
        <f>+N2823</f>
        <v>3.09</v>
      </c>
      <c r="D2823" s="86"/>
      <c r="E2823" s="86"/>
      <c r="F2823" s="86"/>
      <c r="G2823" s="86"/>
      <c r="H2823" s="86"/>
      <c r="I2823" s="86"/>
      <c r="J2823" s="86"/>
      <c r="K2823" s="370"/>
      <c r="M2823" s="75" t="s">
        <v>92</v>
      </c>
      <c r="N2823" s="371">
        <f>+ROUNDUP(N2774+0.01,2)</f>
        <v>3.09</v>
      </c>
      <c r="O2823" s="554" t="str">
        <f>IFERROR(VLOOKUP(N2823,PPTO!C:H,2,0),"----")</f>
        <v>Tee C-PVC Ø1"</v>
      </c>
      <c r="P2823" s="555"/>
      <c r="Q2823" s="555"/>
      <c r="R2823" s="555"/>
      <c r="S2823" s="555"/>
      <c r="T2823" s="555"/>
      <c r="U2823" s="556"/>
      <c r="V2823" s="76" t="str">
        <f>IFERROR(VLOOKUP(N2823,PPTO!C:H,3,0),"----")</f>
        <v>UND</v>
      </c>
      <c r="Y2823" s="373">
        <f>SUMIFS(PPTO!F:F,PPTO!C:C,APUS!N2823)</f>
        <v>14</v>
      </c>
      <c r="Z2823" s="94"/>
      <c r="AA2823" s="86"/>
      <c r="AB2823" s="94"/>
      <c r="AC2823" s="94"/>
      <c r="AD2823" s="94"/>
      <c r="AE2823" s="94"/>
    </row>
    <row r="2824" spans="3:31" s="260" customFormat="1" ht="15.75" thickBot="1" x14ac:dyDescent="0.3">
      <c r="C2824" s="84"/>
      <c r="D2824" s="86"/>
      <c r="E2824" s="86"/>
      <c r="F2824" s="86"/>
      <c r="G2824" s="86"/>
      <c r="H2824" s="86"/>
      <c r="I2824" s="86"/>
      <c r="J2824" s="86"/>
      <c r="K2824" s="88"/>
      <c r="M2824" s="557"/>
      <c r="N2824" s="557"/>
      <c r="O2824" s="557"/>
      <c r="P2824" s="557"/>
      <c r="Q2824" s="557"/>
      <c r="R2824" s="557"/>
      <c r="S2824" s="557"/>
      <c r="T2824" s="557"/>
      <c r="U2824" s="557"/>
      <c r="V2824" s="557"/>
      <c r="Y2824" s="374"/>
      <c r="Z2824" s="94"/>
      <c r="AA2824" s="86"/>
      <c r="AB2824" s="94"/>
      <c r="AC2824" s="94"/>
      <c r="AD2824" s="94"/>
      <c r="AE2824" s="94"/>
    </row>
    <row r="2825" spans="3:31" s="260" customFormat="1" ht="15.75" thickBot="1" x14ac:dyDescent="0.3">
      <c r="C2825" s="84"/>
      <c r="D2825" s="375" t="s">
        <v>128</v>
      </c>
      <c r="E2825" s="376" t="s">
        <v>129</v>
      </c>
      <c r="F2825" s="376" t="s">
        <v>130</v>
      </c>
      <c r="G2825" s="376" t="s">
        <v>131</v>
      </c>
      <c r="H2825" s="376" t="s">
        <v>132</v>
      </c>
      <c r="I2825" s="376" t="s">
        <v>133</v>
      </c>
      <c r="J2825" s="377" t="s">
        <v>134</v>
      </c>
      <c r="K2825" s="88"/>
      <c r="M2825" s="558" t="s">
        <v>93</v>
      </c>
      <c r="N2825" s="559"/>
      <c r="O2825" s="559"/>
      <c r="P2825" s="559"/>
      <c r="Q2825" s="559"/>
      <c r="R2825" s="559"/>
      <c r="S2825" s="559"/>
      <c r="T2825" s="559"/>
      <c r="U2825" s="559"/>
      <c r="V2825" s="560"/>
      <c r="Y2825" s="378"/>
      <c r="Z2825" s="121"/>
      <c r="AA2825" s="86"/>
      <c r="AB2825" s="513"/>
      <c r="AC2825" s="514"/>
      <c r="AD2825" s="94"/>
      <c r="AE2825" s="379"/>
    </row>
    <row r="2826" spans="3:31" s="260" customFormat="1" x14ac:dyDescent="0.25">
      <c r="C2826" s="84"/>
      <c r="D2826" s="380"/>
      <c r="E2826" s="381"/>
      <c r="F2826" s="381"/>
      <c r="G2826" s="381"/>
      <c r="H2826" s="381"/>
      <c r="I2826" s="381"/>
      <c r="J2826" s="382"/>
      <c r="K2826" s="88"/>
      <c r="M2826" s="99" t="s">
        <v>94</v>
      </c>
      <c r="N2826" s="561" t="s">
        <v>95</v>
      </c>
      <c r="O2826" s="561"/>
      <c r="P2826" s="561"/>
      <c r="Q2826" s="561"/>
      <c r="R2826" s="95" t="s">
        <v>96</v>
      </c>
      <c r="S2826" s="95" t="s">
        <v>97</v>
      </c>
      <c r="T2826" s="562" t="s">
        <v>8</v>
      </c>
      <c r="U2826" s="562"/>
      <c r="V2826" s="100" t="s">
        <v>98</v>
      </c>
      <c r="Y2826" s="383" t="s">
        <v>104</v>
      </c>
      <c r="Z2826" s="119" t="s">
        <v>9</v>
      </c>
      <c r="AA2826" s="86"/>
      <c r="AB2826" s="384"/>
      <c r="AC2826" s="385"/>
      <c r="AD2826" s="94"/>
      <c r="AE2826" s="386"/>
    </row>
    <row r="2827" spans="3:31" s="260" customFormat="1" x14ac:dyDescent="0.25">
      <c r="C2827" s="84"/>
      <c r="D2827" s="85"/>
      <c r="E2827" s="86"/>
      <c r="F2827" s="86"/>
      <c r="G2827" s="86"/>
      <c r="H2827" s="86"/>
      <c r="I2827" s="86"/>
      <c r="J2827" s="87"/>
      <c r="K2827" s="88"/>
      <c r="M2827" s="102"/>
      <c r="N2827" s="533" t="s">
        <v>99</v>
      </c>
      <c r="O2827" s="533"/>
      <c r="P2827" s="533"/>
      <c r="Q2827" s="533"/>
      <c r="R2827" s="78" t="s">
        <v>100</v>
      </c>
      <c r="S2827" s="387">
        <f>+$AA$10</f>
        <v>0.05</v>
      </c>
      <c r="T2827" s="563">
        <f>V2857</f>
        <v>19458.53</v>
      </c>
      <c r="U2827" s="563"/>
      <c r="V2827" s="389">
        <f>+IFERROR(T2827*S2827,0)</f>
        <v>972.92650000000003</v>
      </c>
      <c r="Y2827" s="390"/>
      <c r="Z2827" s="391">
        <f>Y2823*V2827</f>
        <v>13620.971000000001</v>
      </c>
      <c r="AA2827" s="86"/>
      <c r="AB2827" s="384"/>
      <c r="AC2827" s="385"/>
      <c r="AD2827" s="94"/>
      <c r="AE2827" s="386" t="str">
        <f>+IF(V2827=0,"CERO","NO")</f>
        <v>NO</v>
      </c>
    </row>
    <row r="2828" spans="3:31" s="260" customFormat="1" x14ac:dyDescent="0.25">
      <c r="C2828" s="84"/>
      <c r="D2828" s="85"/>
      <c r="E2828" s="86"/>
      <c r="F2828" s="86"/>
      <c r="G2828" s="86"/>
      <c r="H2828" s="86"/>
      <c r="I2828" s="86"/>
      <c r="J2828" s="87"/>
      <c r="K2828" s="88"/>
      <c r="M2828" s="106"/>
      <c r="N2828" s="533" t="str">
        <f>IFERROR(VLOOKUP(M2828,INSUMOS!$C$8:$K$928,2,0),"-----")</f>
        <v>-----</v>
      </c>
      <c r="O2828" s="533"/>
      <c r="P2828" s="533"/>
      <c r="Q2828" s="533"/>
      <c r="R2828" s="78" t="str">
        <f>IFERROR(VLOOKUP(M2828,INSUMOS!$C$8:$K$928,6,0),"-----")</f>
        <v>-----</v>
      </c>
      <c r="S2828" s="392"/>
      <c r="T2828" s="529" t="str">
        <f>IFERROR(VLOOKUP(M2828,INSUMOS!$C$8:$K$928,7,0),"0")</f>
        <v>0</v>
      </c>
      <c r="U2828" s="529"/>
      <c r="V2828" s="389">
        <f>+IFERROR(T2828*S2828,0)</f>
        <v>0</v>
      </c>
      <c r="Y2828" s="393">
        <f>+IFERROR(Y2823*S2828,0)</f>
        <v>0</v>
      </c>
      <c r="Z2828" s="391">
        <f>Y2823*V2828</f>
        <v>0</v>
      </c>
      <c r="AA2828" s="394"/>
      <c r="AB2828" s="395">
        <f>+Y2828*T2828</f>
        <v>0</v>
      </c>
      <c r="AC2828" s="93">
        <f>+AB2828-Z2828</f>
        <v>0</v>
      </c>
      <c r="AD2828" s="94"/>
      <c r="AE2828" s="386" t="str">
        <f>+IF(V2828=0,"CERO","NO")</f>
        <v>CERO</v>
      </c>
    </row>
    <row r="2829" spans="3:31" s="260" customFormat="1" x14ac:dyDescent="0.25">
      <c r="C2829" s="84"/>
      <c r="D2829" s="85"/>
      <c r="E2829" s="86"/>
      <c r="F2829" s="86"/>
      <c r="G2829" s="86"/>
      <c r="H2829" s="86"/>
      <c r="I2829" s="86"/>
      <c r="J2829" s="87"/>
      <c r="K2829" s="88"/>
      <c r="M2829" s="102">
        <v>0</v>
      </c>
      <c r="N2829" s="533"/>
      <c r="O2829" s="533"/>
      <c r="P2829" s="533"/>
      <c r="Q2829" s="533"/>
      <c r="R2829" s="78"/>
      <c r="S2829" s="396"/>
      <c r="T2829" s="529"/>
      <c r="U2829" s="529"/>
      <c r="V2829" s="397"/>
      <c r="Y2829" s="393">
        <f>+IFERROR(Y2823*S2829,0)</f>
        <v>0</v>
      </c>
      <c r="Z2829" s="391">
        <f>Y2823*V2829</f>
        <v>0</v>
      </c>
      <c r="AA2829" s="394"/>
      <c r="AB2829" s="395">
        <f>+Y2829*T2829</f>
        <v>0</v>
      </c>
      <c r="AC2829" s="93">
        <f>+AB2829-Z2829</f>
        <v>0</v>
      </c>
      <c r="AD2829" s="94"/>
      <c r="AE2829" s="386" t="str">
        <f>+IF(V2829=0,"CERO","NO")</f>
        <v>CERO</v>
      </c>
    </row>
    <row r="2830" spans="3:31" s="260" customFormat="1" x14ac:dyDescent="0.25">
      <c r="C2830" s="84"/>
      <c r="D2830" s="85"/>
      <c r="E2830" s="86"/>
      <c r="F2830" s="86"/>
      <c r="G2830" s="86"/>
      <c r="H2830" s="86"/>
      <c r="I2830" s="86"/>
      <c r="J2830" s="87"/>
      <c r="K2830" s="88"/>
      <c r="M2830" s="102">
        <v>0</v>
      </c>
      <c r="N2830" s="533"/>
      <c r="O2830" s="533"/>
      <c r="P2830" s="533"/>
      <c r="Q2830" s="533"/>
      <c r="R2830" s="78"/>
      <c r="S2830" s="396"/>
      <c r="T2830" s="529"/>
      <c r="U2830" s="529"/>
      <c r="V2830" s="397"/>
      <c r="Y2830" s="393">
        <f>+IFERROR(Y2823*S2830,0)</f>
        <v>0</v>
      </c>
      <c r="Z2830" s="391">
        <f>Y2823*V2830</f>
        <v>0</v>
      </c>
      <c r="AA2830" s="394"/>
      <c r="AB2830" s="395">
        <f>+Y2830*T2830</f>
        <v>0</v>
      </c>
      <c r="AC2830" s="93">
        <f>+AB2830-Z2830</f>
        <v>0</v>
      </c>
      <c r="AD2830" s="94"/>
      <c r="AE2830" s="386" t="str">
        <f>+IF(V2830=0,"CERO","NO")</f>
        <v>CERO</v>
      </c>
    </row>
    <row r="2831" spans="3:31" s="260" customFormat="1" ht="15.75" thickBot="1" x14ac:dyDescent="0.3">
      <c r="C2831" s="84"/>
      <c r="D2831" s="85"/>
      <c r="E2831" s="86"/>
      <c r="F2831" s="86"/>
      <c r="G2831" s="86"/>
      <c r="H2831" s="86"/>
      <c r="I2831" s="86"/>
      <c r="J2831" s="87"/>
      <c r="K2831" s="88"/>
      <c r="M2831" s="102">
        <v>0</v>
      </c>
      <c r="N2831" s="564"/>
      <c r="O2831" s="564"/>
      <c r="P2831" s="564"/>
      <c r="Q2831" s="564"/>
      <c r="R2831" s="96"/>
      <c r="S2831" s="96"/>
      <c r="T2831" s="565"/>
      <c r="U2831" s="565"/>
      <c r="V2831" s="101"/>
      <c r="Y2831" s="393">
        <f>+IFERROR(Y2823*S2831,0)</f>
        <v>0</v>
      </c>
      <c r="Z2831" s="391">
        <f>Y2823*V2831</f>
        <v>0</v>
      </c>
      <c r="AA2831" s="394"/>
      <c r="AB2831" s="395">
        <f>+Y2831*T2831</f>
        <v>0</v>
      </c>
      <c r="AC2831" s="93">
        <f>+AB2831-Z2831</f>
        <v>0</v>
      </c>
      <c r="AD2831" s="94"/>
      <c r="AE2831" s="386" t="str">
        <f>+IF(V2831=0,"CERO","NO")</f>
        <v>CERO</v>
      </c>
    </row>
    <row r="2832" spans="3:31" s="260" customFormat="1" ht="15.75" thickBot="1" x14ac:dyDescent="0.3">
      <c r="C2832" s="84"/>
      <c r="D2832" s="375" t="s">
        <v>128</v>
      </c>
      <c r="E2832" s="376" t="s">
        <v>129</v>
      </c>
      <c r="F2832" s="376" t="s">
        <v>130</v>
      </c>
      <c r="G2832" s="376" t="s">
        <v>131</v>
      </c>
      <c r="H2832" s="376" t="s">
        <v>132</v>
      </c>
      <c r="I2832" s="376" t="s">
        <v>133</v>
      </c>
      <c r="J2832" s="377" t="s">
        <v>134</v>
      </c>
      <c r="K2832" s="88"/>
      <c r="M2832" s="534"/>
      <c r="N2832" s="536" t="s">
        <v>101</v>
      </c>
      <c r="O2832" s="536"/>
      <c r="P2832" s="536"/>
      <c r="Q2832" s="536"/>
      <c r="R2832" s="536"/>
      <c r="S2832" s="536"/>
      <c r="T2832" s="536"/>
      <c r="U2832" s="536"/>
      <c r="V2832" s="389">
        <f>+SUM(V2827:V2831)</f>
        <v>972.92650000000003</v>
      </c>
      <c r="Y2832" s="398" t="s">
        <v>135</v>
      </c>
      <c r="Z2832" s="397">
        <f>+SUM(Z2827:Z2831)</f>
        <v>13620.971000000001</v>
      </c>
      <c r="AA2832" s="86"/>
      <c r="AB2832" s="384"/>
      <c r="AC2832" s="385"/>
      <c r="AD2832" s="94"/>
      <c r="AE2832" s="399"/>
    </row>
    <row r="2833" spans="3:31" s="260" customFormat="1" ht="15.75" thickBot="1" x14ac:dyDescent="0.3">
      <c r="C2833" s="84"/>
      <c r="D2833" s="375">
        <f>C2823</f>
        <v>3.09</v>
      </c>
      <c r="E2833" s="376"/>
      <c r="F2833" s="376"/>
      <c r="G2833" s="376"/>
      <c r="H2833" s="376"/>
      <c r="I2833" s="376"/>
      <c r="J2833" s="377"/>
      <c r="K2833" s="88"/>
      <c r="M2833" s="566"/>
      <c r="N2833" s="567" t="s">
        <v>102</v>
      </c>
      <c r="O2833" s="567"/>
      <c r="P2833" s="567"/>
      <c r="Q2833" s="567"/>
      <c r="R2833" s="567"/>
      <c r="S2833" s="567"/>
      <c r="T2833" s="567"/>
      <c r="U2833" s="567"/>
      <c r="V2833" s="400">
        <f>+ROUND(V2832,$AA$5)</f>
        <v>972.93</v>
      </c>
      <c r="Y2833" s="401" t="s">
        <v>136</v>
      </c>
      <c r="Z2833" s="402">
        <f>+ROUND(Z2832,$AA$5)</f>
        <v>13620.97</v>
      </c>
      <c r="AA2833" s="86"/>
      <c r="AB2833" s="403">
        <f>+V2833*Y2823</f>
        <v>13621.019999999999</v>
      </c>
      <c r="AC2833" s="404">
        <f>+AB2833-Z2833</f>
        <v>4.9999999999272404E-2</v>
      </c>
      <c r="AD2833" s="94"/>
      <c r="AE2833" s="405"/>
    </row>
    <row r="2834" spans="3:31" s="260" customFormat="1" x14ac:dyDescent="0.25">
      <c r="C2834" s="84"/>
      <c r="D2834" s="380"/>
      <c r="E2834" s="381"/>
      <c r="F2834" s="381"/>
      <c r="G2834" s="381"/>
      <c r="H2834" s="381"/>
      <c r="I2834" s="381"/>
      <c r="J2834" s="382"/>
      <c r="K2834" s="88"/>
      <c r="M2834" s="510" t="s">
        <v>103</v>
      </c>
      <c r="N2834" s="511"/>
      <c r="O2834" s="511"/>
      <c r="P2834" s="511"/>
      <c r="Q2834" s="511"/>
      <c r="R2834" s="511"/>
      <c r="S2834" s="511"/>
      <c r="T2834" s="511"/>
      <c r="U2834" s="511"/>
      <c r="V2834" s="512"/>
      <c r="Y2834" s="378"/>
      <c r="Z2834" s="121"/>
      <c r="AA2834" s="86"/>
      <c r="AB2834" s="513"/>
      <c r="AC2834" s="514"/>
      <c r="AD2834" s="94"/>
      <c r="AE2834" s="126"/>
    </row>
    <row r="2835" spans="3:31" s="260" customFormat="1" x14ac:dyDescent="0.25">
      <c r="C2835" s="84"/>
      <c r="D2835" s="85"/>
      <c r="E2835" s="86"/>
      <c r="F2835" s="86"/>
      <c r="G2835" s="86"/>
      <c r="H2835" s="86"/>
      <c r="I2835" s="86"/>
      <c r="J2835" s="87"/>
      <c r="K2835" s="88"/>
      <c r="M2835" s="99" t="s">
        <v>94</v>
      </c>
      <c r="N2835" s="561" t="s">
        <v>95</v>
      </c>
      <c r="O2835" s="561"/>
      <c r="P2835" s="561"/>
      <c r="Q2835" s="561"/>
      <c r="R2835" s="95" t="s">
        <v>96</v>
      </c>
      <c r="S2835" s="95" t="s">
        <v>104</v>
      </c>
      <c r="T2835" s="356" t="s">
        <v>105</v>
      </c>
      <c r="U2835" s="356" t="s">
        <v>8</v>
      </c>
      <c r="V2835" s="100" t="s">
        <v>98</v>
      </c>
      <c r="Y2835" s="383" t="s">
        <v>104</v>
      </c>
      <c r="Z2835" s="119" t="s">
        <v>9</v>
      </c>
      <c r="AA2835" s="86"/>
      <c r="AB2835" s="384"/>
      <c r="AC2835" s="385"/>
      <c r="AD2835" s="94"/>
      <c r="AE2835" s="406"/>
    </row>
    <row r="2836" spans="3:31" s="260" customFormat="1" x14ac:dyDescent="0.25">
      <c r="C2836" s="84"/>
      <c r="D2836" s="85"/>
      <c r="E2836" s="86"/>
      <c r="F2836" s="86"/>
      <c r="G2836" s="86"/>
      <c r="H2836" s="86"/>
      <c r="I2836" s="86"/>
      <c r="J2836" s="87"/>
      <c r="K2836" s="88"/>
      <c r="M2836" s="102">
        <v>739</v>
      </c>
      <c r="N2836" s="533" t="str">
        <f>IFERROR(VLOOKUP(M2836,INSUMOS!$C$8:$K$928,2,0),"-----")</f>
        <v>TEE CPVC Ø1"</v>
      </c>
      <c r="O2836" s="533"/>
      <c r="P2836" s="533"/>
      <c r="Q2836" s="533"/>
      <c r="R2836" s="78" t="str">
        <f>IFERROR(VLOOKUP(M2836,INSUMOS!$C$8:$K$928,6,0),"-----")</f>
        <v>und</v>
      </c>
      <c r="S2836" s="396">
        <v>1</v>
      </c>
      <c r="T2836" s="387">
        <v>0</v>
      </c>
      <c r="U2836" s="388">
        <f>IFERROR(VLOOKUP(M2836,INSUMOS!$C$8:$K$928,7,0),"0")</f>
        <v>25476</v>
      </c>
      <c r="V2836" s="389">
        <f>+IFERROR(U2836*(S2836*(1+T2836)),0)</f>
        <v>25476</v>
      </c>
      <c r="Y2836" s="393">
        <f>+IFERROR(Y2823*(S2836*(1+T2836)),0)</f>
        <v>14</v>
      </c>
      <c r="Z2836" s="391">
        <f>Y2823*V2836</f>
        <v>356664</v>
      </c>
      <c r="AA2836" s="394"/>
      <c r="AB2836" s="395">
        <f>+Y2836*U2836</f>
        <v>356664</v>
      </c>
      <c r="AC2836" s="93">
        <f>+AB2836-Z2836</f>
        <v>0</v>
      </c>
      <c r="AD2836" s="94"/>
      <c r="AE2836" s="406" t="str">
        <f>+IF(V2836=0,"CERO","NO")</f>
        <v>NO</v>
      </c>
    </row>
    <row r="2837" spans="3:31" s="260" customFormat="1" x14ac:dyDescent="0.25">
      <c r="C2837" s="84"/>
      <c r="D2837" s="85"/>
      <c r="E2837" s="86"/>
      <c r="F2837" s="86"/>
      <c r="G2837" s="86"/>
      <c r="H2837" s="86"/>
      <c r="I2837" s="86"/>
      <c r="J2837" s="87"/>
      <c r="K2837" s="88"/>
      <c r="M2837" s="102">
        <v>699</v>
      </c>
      <c r="N2837" s="533" t="str">
        <f>IFERROR(VLOOKUP(M2837,INSUMOS!$C$8:$K$928,2,0),"-----")</f>
        <v>SOLDADURA PVC LIQUIDA 1/4"</v>
      </c>
      <c r="O2837" s="533"/>
      <c r="P2837" s="533"/>
      <c r="Q2837" s="533"/>
      <c r="R2837" s="78" t="str">
        <f>IFERROR(VLOOKUP(M2837,INSUMOS!$C$8:$K$928,6,0),"-----")</f>
        <v>und</v>
      </c>
      <c r="S2837" s="392">
        <v>0.01</v>
      </c>
      <c r="T2837" s="387">
        <v>0.02</v>
      </c>
      <c r="U2837" s="388">
        <f>IFERROR(VLOOKUP(M2837,INSUMOS!$C$8:$K$928,7,0),"0")</f>
        <v>146569</v>
      </c>
      <c r="V2837" s="389">
        <f>+IFERROR(U2837*(S2837*(1+T2837)),0)</f>
        <v>1495.0038000000002</v>
      </c>
      <c r="Y2837" s="393">
        <f>+IFERROR(Y2823*(S2837*(1+T2837)),0)</f>
        <v>0.14280000000000001</v>
      </c>
      <c r="Z2837" s="391">
        <f>Y2823*V2837</f>
        <v>20930.053200000002</v>
      </c>
      <c r="AA2837" s="394"/>
      <c r="AB2837" s="395">
        <f>+Y2837*U2837</f>
        <v>20930.053200000002</v>
      </c>
      <c r="AC2837" s="93">
        <f>+AB2837-Z2837</f>
        <v>0</v>
      </c>
      <c r="AD2837" s="94"/>
      <c r="AE2837" s="406" t="str">
        <f>+IF(V2837=0,"CERO","NO")</f>
        <v>NO</v>
      </c>
    </row>
    <row r="2838" spans="3:31" s="260" customFormat="1" x14ac:dyDescent="0.25">
      <c r="C2838" s="84"/>
      <c r="D2838" s="85"/>
      <c r="E2838" s="86"/>
      <c r="F2838" s="86"/>
      <c r="G2838" s="86"/>
      <c r="H2838" s="86"/>
      <c r="I2838" s="86"/>
      <c r="J2838" s="87"/>
      <c r="K2838" s="88"/>
      <c r="M2838" s="102">
        <v>700</v>
      </c>
      <c r="N2838" s="533" t="str">
        <f>IFERROR(VLOOKUP(M2838,INSUMOS!$C$8:$K$928,2,0),"-----")</f>
        <v>LIMPIADOR PVC 1/4</v>
      </c>
      <c r="O2838" s="533"/>
      <c r="P2838" s="533"/>
      <c r="Q2838" s="533"/>
      <c r="R2838" s="78" t="str">
        <f>IFERROR(VLOOKUP(M2838,INSUMOS!$C$8:$K$928,6,0),"-----")</f>
        <v>und</v>
      </c>
      <c r="S2838" s="392">
        <v>0.01</v>
      </c>
      <c r="T2838" s="387">
        <v>0.02</v>
      </c>
      <c r="U2838" s="388">
        <f>IFERROR(VLOOKUP(M2838,INSUMOS!$C$8:$K$928,7,0),"0")</f>
        <v>65913</v>
      </c>
      <c r="V2838" s="389">
        <f>+IFERROR(U2838*(S2838*(1+T2838)),0)</f>
        <v>672.31260000000009</v>
      </c>
      <c r="Y2838" s="393">
        <f>+IFERROR(Y2823*(S2838*(1+T2838)),0)</f>
        <v>0.14280000000000001</v>
      </c>
      <c r="Z2838" s="391">
        <f>Y2823*V2838</f>
        <v>9412.376400000001</v>
      </c>
      <c r="AA2838" s="394"/>
      <c r="AB2838" s="395">
        <f>+Y2838*U2838</f>
        <v>9412.376400000001</v>
      </c>
      <c r="AC2838" s="93">
        <f>+AB2838-Z2838</f>
        <v>0</v>
      </c>
      <c r="AD2838" s="94"/>
      <c r="AE2838" s="406" t="str">
        <f>+IF(V2838=0,"CERO","NO")</f>
        <v>NO</v>
      </c>
    </row>
    <row r="2839" spans="3:31" s="260" customFormat="1" x14ac:dyDescent="0.25">
      <c r="C2839" s="84"/>
      <c r="D2839" s="85"/>
      <c r="E2839" s="86"/>
      <c r="F2839" s="86"/>
      <c r="G2839" s="86"/>
      <c r="H2839" s="86"/>
      <c r="I2839" s="86"/>
      <c r="J2839" s="87"/>
      <c r="K2839" s="88"/>
      <c r="M2839" s="102">
        <v>0</v>
      </c>
      <c r="N2839" s="533" t="str">
        <f>IFERROR(VLOOKUP(M2839,INSUMOS!$C$8:$K$928,2,0),"-----")</f>
        <v>-----</v>
      </c>
      <c r="O2839" s="533"/>
      <c r="P2839" s="533"/>
      <c r="Q2839" s="533"/>
      <c r="R2839" s="78" t="str">
        <f>IFERROR(VLOOKUP(M2839,INSUMOS!$C$8:$K$928,6,0),"-----")</f>
        <v>-----</v>
      </c>
      <c r="S2839" s="396"/>
      <c r="T2839" s="387"/>
      <c r="U2839" s="388" t="str">
        <f>IFERROR(VLOOKUP(M2839,INSUMOS!$C$8:$K$928,7,0),"0")</f>
        <v>0</v>
      </c>
      <c r="V2839" s="389">
        <f>+IFERROR(U2839*(S2839*(1+T2839)),0)</f>
        <v>0</v>
      </c>
      <c r="Y2839" s="393">
        <f>+IFERROR(Y2823*(S2839*(1+T2839)),0)</f>
        <v>0</v>
      </c>
      <c r="Z2839" s="391">
        <f>Y2823*V2839</f>
        <v>0</v>
      </c>
      <c r="AA2839" s="394"/>
      <c r="AB2839" s="395">
        <f>+Y2839*U2839</f>
        <v>0</v>
      </c>
      <c r="AC2839" s="93">
        <f>+AB2839-Z2839</f>
        <v>0</v>
      </c>
      <c r="AD2839" s="94"/>
      <c r="AE2839" s="406" t="str">
        <f>+IF(V2839=0,"CERO","NO")</f>
        <v>CERO</v>
      </c>
    </row>
    <row r="2840" spans="3:31" s="260" customFormat="1" ht="15.75" thickBot="1" x14ac:dyDescent="0.3">
      <c r="C2840" s="84"/>
      <c r="D2840" s="85"/>
      <c r="E2840" s="86"/>
      <c r="F2840" s="86"/>
      <c r="G2840" s="86"/>
      <c r="H2840" s="86"/>
      <c r="I2840" s="86"/>
      <c r="J2840" s="87"/>
      <c r="K2840" s="88"/>
      <c r="M2840" s="102">
        <v>0</v>
      </c>
      <c r="N2840" s="564"/>
      <c r="O2840" s="564"/>
      <c r="P2840" s="564"/>
      <c r="Q2840" s="564"/>
      <c r="R2840" s="96"/>
      <c r="S2840" s="79"/>
      <c r="T2840" s="97"/>
      <c r="U2840" s="358"/>
      <c r="V2840" s="397"/>
      <c r="Y2840" s="393">
        <f>+IFERROR(Y2823*(S2840*(1+T2840)),0)</f>
        <v>0</v>
      </c>
      <c r="Z2840" s="391">
        <f>Y2823*V2840</f>
        <v>0</v>
      </c>
      <c r="AA2840" s="394"/>
      <c r="AB2840" s="395">
        <f>+Y2840*U2840</f>
        <v>0</v>
      </c>
      <c r="AC2840" s="93">
        <f>+AB2840-Z2840</f>
        <v>0</v>
      </c>
      <c r="AD2840" s="94"/>
      <c r="AE2840" s="406" t="str">
        <f>+IF(V2840=0,"CERO","NO")</f>
        <v>CERO</v>
      </c>
    </row>
    <row r="2841" spans="3:31" s="260" customFormat="1" ht="15.75" thickBot="1" x14ac:dyDescent="0.3">
      <c r="C2841" s="84"/>
      <c r="D2841" s="375" t="s">
        <v>128</v>
      </c>
      <c r="E2841" s="376" t="s">
        <v>129</v>
      </c>
      <c r="F2841" s="376" t="s">
        <v>130</v>
      </c>
      <c r="G2841" s="376" t="s">
        <v>131</v>
      </c>
      <c r="H2841" s="376" t="s">
        <v>132</v>
      </c>
      <c r="I2841" s="376" t="s">
        <v>133</v>
      </c>
      <c r="J2841" s="377" t="s">
        <v>134</v>
      </c>
      <c r="K2841" s="88"/>
      <c r="M2841" s="534"/>
      <c r="N2841" s="536" t="s">
        <v>106</v>
      </c>
      <c r="O2841" s="536"/>
      <c r="P2841" s="536"/>
      <c r="Q2841" s="536"/>
      <c r="R2841" s="536"/>
      <c r="S2841" s="536"/>
      <c r="T2841" s="536"/>
      <c r="U2841" s="536"/>
      <c r="V2841" s="389">
        <f>+SUM(V2836:V2840)</f>
        <v>27643.3164</v>
      </c>
      <c r="Y2841" s="398" t="s">
        <v>135</v>
      </c>
      <c r="Z2841" s="397">
        <f>+SUM(Z2836:Z2840)</f>
        <v>387006.42960000003</v>
      </c>
      <c r="AA2841" s="86"/>
      <c r="AB2841" s="384"/>
      <c r="AC2841" s="385"/>
      <c r="AD2841" s="94"/>
      <c r="AE2841" s="399"/>
    </row>
    <row r="2842" spans="3:31" s="260" customFormat="1" ht="15.75" thickBot="1" x14ac:dyDescent="0.3">
      <c r="C2842" s="84"/>
      <c r="D2842" s="375"/>
      <c r="E2842" s="407">
        <f>+D2833</f>
        <v>3.09</v>
      </c>
      <c r="F2842" s="376"/>
      <c r="G2842" s="376"/>
      <c r="H2842" s="376"/>
      <c r="I2842" s="376"/>
      <c r="J2842" s="377"/>
      <c r="K2842" s="88"/>
      <c r="M2842" s="535"/>
      <c r="N2842" s="537" t="s">
        <v>107</v>
      </c>
      <c r="O2842" s="537"/>
      <c r="P2842" s="537"/>
      <c r="Q2842" s="537"/>
      <c r="R2842" s="537"/>
      <c r="S2842" s="537"/>
      <c r="T2842" s="537"/>
      <c r="U2842" s="537"/>
      <c r="V2842" s="408">
        <f>+ROUND(V2841,$AA$5)</f>
        <v>27643.32</v>
      </c>
      <c r="Y2842" s="401" t="s">
        <v>136</v>
      </c>
      <c r="Z2842" s="402">
        <f>+ROUND(Z2841,$AA$5)</f>
        <v>387006.43</v>
      </c>
      <c r="AA2842" s="86"/>
      <c r="AB2842" s="403">
        <f>+V2842*Y2823</f>
        <v>387006.48</v>
      </c>
      <c r="AC2842" s="404">
        <f>+AB2842-Z2842</f>
        <v>4.9999999988358468E-2</v>
      </c>
      <c r="AD2842" s="94"/>
      <c r="AE2842" s="405"/>
    </row>
    <row r="2843" spans="3:31" s="260" customFormat="1" x14ac:dyDescent="0.25">
      <c r="C2843" s="84"/>
      <c r="D2843" s="380"/>
      <c r="E2843" s="381"/>
      <c r="F2843" s="381"/>
      <c r="G2843" s="381"/>
      <c r="H2843" s="381"/>
      <c r="I2843" s="381"/>
      <c r="J2843" s="382"/>
      <c r="K2843" s="88"/>
      <c r="M2843" s="568" t="s">
        <v>108</v>
      </c>
      <c r="N2843" s="569"/>
      <c r="O2843" s="569"/>
      <c r="P2843" s="569"/>
      <c r="Q2843" s="569"/>
      <c r="R2843" s="569"/>
      <c r="S2843" s="569"/>
      <c r="T2843" s="569"/>
      <c r="U2843" s="569"/>
      <c r="V2843" s="570"/>
      <c r="Y2843" s="378"/>
      <c r="Z2843" s="121"/>
      <c r="AA2843" s="86"/>
      <c r="AB2843" s="409"/>
      <c r="AC2843" s="121"/>
      <c r="AD2843" s="94"/>
      <c r="AE2843" s="126"/>
    </row>
    <row r="2844" spans="3:31" s="260" customFormat="1" ht="25.5" x14ac:dyDescent="0.25">
      <c r="C2844" s="84"/>
      <c r="D2844" s="85"/>
      <c r="E2844" s="86"/>
      <c r="F2844" s="86"/>
      <c r="G2844" s="86"/>
      <c r="H2844" s="86"/>
      <c r="I2844" s="86"/>
      <c r="J2844" s="87"/>
      <c r="K2844" s="88"/>
      <c r="M2844" s="99" t="s">
        <v>94</v>
      </c>
      <c r="N2844" s="561" t="s">
        <v>95</v>
      </c>
      <c r="O2844" s="561"/>
      <c r="P2844" s="561"/>
      <c r="Q2844" s="95" t="s">
        <v>109</v>
      </c>
      <c r="R2844" s="95" t="s">
        <v>110</v>
      </c>
      <c r="S2844" s="95" t="s">
        <v>111</v>
      </c>
      <c r="T2844" s="562" t="s">
        <v>112</v>
      </c>
      <c r="U2844" s="562"/>
      <c r="V2844" s="100" t="s">
        <v>98</v>
      </c>
      <c r="Y2844" s="383" t="s">
        <v>104</v>
      </c>
      <c r="Z2844" s="119" t="s">
        <v>9</v>
      </c>
      <c r="AA2844" s="86"/>
      <c r="AB2844" s="384"/>
      <c r="AC2844" s="385"/>
      <c r="AD2844" s="94"/>
      <c r="AE2844" s="410"/>
    </row>
    <row r="2845" spans="3:31" s="260" customFormat="1" x14ac:dyDescent="0.25">
      <c r="C2845" s="84"/>
      <c r="D2845" s="85"/>
      <c r="E2845" s="86"/>
      <c r="F2845" s="86"/>
      <c r="G2845" s="86"/>
      <c r="H2845" s="86"/>
      <c r="I2845" s="86"/>
      <c r="J2845" s="87"/>
      <c r="K2845" s="88"/>
      <c r="M2845" s="102">
        <v>129</v>
      </c>
      <c r="N2845" s="530" t="str">
        <f>IFERROR(VLOOKUP(M2845,INSUMOS!$C$8:$K$928,2,0),"-----")</f>
        <v>transporte materiales en general</v>
      </c>
      <c r="O2845" s="531"/>
      <c r="P2845" s="532"/>
      <c r="Q2845" s="78" t="str">
        <f>IFERROR(VLOOKUP(M2845,INSUMOS!$C$8:$K$928,5,0),"-----")</f>
        <v>Km</v>
      </c>
      <c r="R2845" s="80">
        <v>1</v>
      </c>
      <c r="S2845" s="80">
        <f>IFERROR(VLOOKUP(M2845,INSUMOS!$C$8:$K$928,6,0),"0")</f>
        <v>348</v>
      </c>
      <c r="T2845" s="529">
        <f>IFERROR(VLOOKUP(M2845,INSUMOS!$C$8:$K$928,7,0),"0")</f>
        <v>0.99776362060288992</v>
      </c>
      <c r="U2845" s="529"/>
      <c r="V2845" s="82">
        <f>+T2845*S2845*R2845</f>
        <v>347.2217399698057</v>
      </c>
      <c r="Y2845" s="393">
        <f>+IFERROR((R2845*S2845)*Y2823,0)</f>
        <v>4872</v>
      </c>
      <c r="Z2845" s="391">
        <f>Y2823*V2845</f>
        <v>4861.1043595772799</v>
      </c>
      <c r="AA2845" s="86"/>
      <c r="AB2845" s="92">
        <f>+Y2845*T2845</f>
        <v>4861.1043595772799</v>
      </c>
      <c r="AC2845" s="93">
        <f>+AB2845-Z2845</f>
        <v>0</v>
      </c>
      <c r="AD2845" s="94"/>
      <c r="AE2845" s="406" t="str">
        <f>+IF(V2845=0,"CERO","NO")</f>
        <v>NO</v>
      </c>
    </row>
    <row r="2846" spans="3:31" s="260" customFormat="1" x14ac:dyDescent="0.25">
      <c r="C2846" s="84"/>
      <c r="D2846" s="85"/>
      <c r="E2846" s="86"/>
      <c r="F2846" s="86"/>
      <c r="G2846" s="86"/>
      <c r="H2846" s="86"/>
      <c r="I2846" s="86"/>
      <c r="J2846" s="87"/>
      <c r="K2846" s="88"/>
      <c r="M2846" s="102">
        <v>0</v>
      </c>
      <c r="N2846" s="530" t="str">
        <f>IFERROR(VLOOKUP(M2846,INSUMOS!$C$8:$K$928,2,0),"-----")</f>
        <v>-----</v>
      </c>
      <c r="O2846" s="531"/>
      <c r="P2846" s="532"/>
      <c r="Q2846" s="78" t="str">
        <f>IFERROR(VLOOKUP(M2846,INSUMOS!$C$8:$K$928,5,0),"-----")</f>
        <v>-----</v>
      </c>
      <c r="R2846" s="80"/>
      <c r="S2846" s="80" t="str">
        <f>IFERROR(VLOOKUP(M2846,INSUMOS!$C$8:$K$928,6,0),"0")</f>
        <v>0</v>
      </c>
      <c r="T2846" s="529" t="str">
        <f>IFERROR(VLOOKUP(M2846,INSUMOS!$C$8:$K$928,7,0),"0")</f>
        <v>0</v>
      </c>
      <c r="U2846" s="529"/>
      <c r="V2846" s="82">
        <f>+T2846*S2846*R2846</f>
        <v>0</v>
      </c>
      <c r="Y2846" s="393">
        <f>+IFERROR((R2846*S2846)*Y2823,0)</f>
        <v>0</v>
      </c>
      <c r="Z2846" s="391">
        <f>Y2823*V2846</f>
        <v>0</v>
      </c>
      <c r="AA2846" s="86"/>
      <c r="AB2846" s="92">
        <f>+Y2846*T2846</f>
        <v>0</v>
      </c>
      <c r="AC2846" s="93">
        <f>+AB2846-Z2846</f>
        <v>0</v>
      </c>
      <c r="AD2846" s="94"/>
      <c r="AE2846" s="406" t="str">
        <f>+IF(V2846=0,"CERO","NO")</f>
        <v>CERO</v>
      </c>
    </row>
    <row r="2847" spans="3:31" s="260" customFormat="1" x14ac:dyDescent="0.25">
      <c r="C2847" s="84"/>
      <c r="D2847" s="85"/>
      <c r="E2847" s="86"/>
      <c r="F2847" s="86"/>
      <c r="G2847" s="86"/>
      <c r="H2847" s="86"/>
      <c r="I2847" s="86"/>
      <c r="J2847" s="87"/>
      <c r="K2847" s="88"/>
      <c r="M2847" s="102">
        <v>0</v>
      </c>
      <c r="N2847" s="530" t="str">
        <f>IFERROR(VLOOKUP(M2847,INSUMOS!$C$8:$K$928,2,0),"-----")</f>
        <v>-----</v>
      </c>
      <c r="O2847" s="531"/>
      <c r="P2847" s="532"/>
      <c r="Q2847" s="78" t="str">
        <f>IFERROR(VLOOKUP(M2847,INSUMOS!$C$8:$K$928,5,0),"-----")</f>
        <v>-----</v>
      </c>
      <c r="R2847" s="80"/>
      <c r="S2847" s="80" t="str">
        <f>IFERROR(VLOOKUP(M2847,INSUMOS!$C$8:$K$928,6,0),"0")</f>
        <v>0</v>
      </c>
      <c r="T2847" s="529" t="str">
        <f>IFERROR(VLOOKUP(M2847,INSUMOS!$C$8:$K$928,7,0),"0")</f>
        <v>0</v>
      </c>
      <c r="U2847" s="529"/>
      <c r="V2847" s="82">
        <f>+T2847*S2847*R2847</f>
        <v>0</v>
      </c>
      <c r="Y2847" s="393">
        <f>+IFERROR((R2847*S2847)*Y2823,0)</f>
        <v>0</v>
      </c>
      <c r="Z2847" s="391">
        <f>Y2823*V2847</f>
        <v>0</v>
      </c>
      <c r="AA2847" s="86"/>
      <c r="AB2847" s="92">
        <f>+Y2847*T2847</f>
        <v>0</v>
      </c>
      <c r="AC2847" s="93">
        <f>+AB2847-Z2847</f>
        <v>0</v>
      </c>
      <c r="AD2847" s="94"/>
      <c r="AE2847" s="406" t="str">
        <f>+IF(V2847=0,"CERO","NO")</f>
        <v>CERO</v>
      </c>
    </row>
    <row r="2848" spans="3:31" s="260" customFormat="1" ht="15.75" thickBot="1" x14ac:dyDescent="0.3">
      <c r="C2848" s="84"/>
      <c r="D2848" s="89"/>
      <c r="E2848" s="90"/>
      <c r="F2848" s="90"/>
      <c r="G2848" s="90"/>
      <c r="H2848" s="90"/>
      <c r="I2848" s="90"/>
      <c r="J2848" s="91"/>
      <c r="K2848" s="88"/>
      <c r="M2848" s="102">
        <v>0</v>
      </c>
      <c r="N2848" s="533"/>
      <c r="O2848" s="533"/>
      <c r="P2848" s="533"/>
      <c r="Q2848" s="79"/>
      <c r="R2848" s="78"/>
      <c r="S2848" s="81"/>
      <c r="T2848" s="529"/>
      <c r="U2848" s="529"/>
      <c r="V2848" s="82"/>
      <c r="Y2848" s="393">
        <f>+IFERROR((R2848*S2848)*Y2823,0)</f>
        <v>0</v>
      </c>
      <c r="Z2848" s="391">
        <f>Y2823*V2848</f>
        <v>0</v>
      </c>
      <c r="AA2848" s="86"/>
      <c r="AB2848" s="92">
        <f>+Y2848*T2848</f>
        <v>0</v>
      </c>
      <c r="AC2848" s="93">
        <f>+AB2848-Z2848</f>
        <v>0</v>
      </c>
      <c r="AD2848" s="94"/>
      <c r="AE2848" s="406" t="str">
        <f>+IF(V2848=0,"CERO","NO")</f>
        <v>CERO</v>
      </c>
    </row>
    <row r="2849" spans="3:31" s="260" customFormat="1" ht="15.75" thickBot="1" x14ac:dyDescent="0.3">
      <c r="C2849" s="84"/>
      <c r="D2849" s="375" t="s">
        <v>128</v>
      </c>
      <c r="E2849" s="376" t="s">
        <v>129</v>
      </c>
      <c r="F2849" s="376" t="s">
        <v>130</v>
      </c>
      <c r="G2849" s="376" t="s">
        <v>131</v>
      </c>
      <c r="H2849" s="376" t="s">
        <v>132</v>
      </c>
      <c r="I2849" s="376" t="s">
        <v>133</v>
      </c>
      <c r="J2849" s="377" t="s">
        <v>134</v>
      </c>
      <c r="K2849" s="88"/>
      <c r="M2849" s="534"/>
      <c r="N2849" s="536" t="s">
        <v>113</v>
      </c>
      <c r="O2849" s="536"/>
      <c r="P2849" s="536"/>
      <c r="Q2849" s="536"/>
      <c r="R2849" s="536"/>
      <c r="S2849" s="536"/>
      <c r="T2849" s="536"/>
      <c r="U2849" s="536"/>
      <c r="V2849" s="411">
        <f>+SUM(V2845:V2848)</f>
        <v>347.2217399698057</v>
      </c>
      <c r="Y2849" s="398" t="s">
        <v>135</v>
      </c>
      <c r="Z2849" s="397">
        <f>+SUM(Z2845:Z2848)</f>
        <v>4861.1043595772799</v>
      </c>
      <c r="AA2849" s="86"/>
      <c r="AB2849" s="384"/>
      <c r="AC2849" s="385"/>
      <c r="AD2849" s="94"/>
      <c r="AE2849" s="399"/>
    </row>
    <row r="2850" spans="3:31" s="260" customFormat="1" ht="15.75" thickBot="1" x14ac:dyDescent="0.3">
      <c r="C2850" s="84"/>
      <c r="D2850" s="355"/>
      <c r="E2850" s="367"/>
      <c r="F2850" s="412">
        <f>+E2842</f>
        <v>3.09</v>
      </c>
      <c r="G2850" s="367"/>
      <c r="H2850" s="367"/>
      <c r="I2850" s="367"/>
      <c r="J2850" s="368"/>
      <c r="K2850" s="88"/>
      <c r="M2850" s="535"/>
      <c r="N2850" s="537" t="s">
        <v>114</v>
      </c>
      <c r="O2850" s="537"/>
      <c r="P2850" s="537"/>
      <c r="Q2850" s="537"/>
      <c r="R2850" s="537"/>
      <c r="S2850" s="537"/>
      <c r="T2850" s="537"/>
      <c r="U2850" s="537"/>
      <c r="V2850" s="413">
        <f>+ROUND(V2849,$AA$5)</f>
        <v>347.22</v>
      </c>
      <c r="Y2850" s="401" t="s">
        <v>136</v>
      </c>
      <c r="Z2850" s="402">
        <f>+ROUND(Z2849,$AA$5)</f>
        <v>4861.1000000000004</v>
      </c>
      <c r="AA2850" s="86"/>
      <c r="AB2850" s="403">
        <f>+V2850*Y2823</f>
        <v>4861.08</v>
      </c>
      <c r="AC2850" s="414"/>
      <c r="AD2850" s="94"/>
      <c r="AE2850" s="405"/>
    </row>
    <row r="2851" spans="3:31" s="260" customFormat="1" ht="15.75" thickBot="1" x14ac:dyDescent="0.3">
      <c r="C2851" s="84"/>
      <c r="D2851" s="415"/>
      <c r="E2851" s="416"/>
      <c r="F2851" s="416"/>
      <c r="G2851" s="416"/>
      <c r="H2851" s="416"/>
      <c r="I2851" s="416"/>
      <c r="J2851" s="417"/>
      <c r="K2851" s="88"/>
      <c r="M2851" s="538" t="s">
        <v>115</v>
      </c>
      <c r="N2851" s="539"/>
      <c r="O2851" s="539"/>
      <c r="P2851" s="539"/>
      <c r="Q2851" s="539"/>
      <c r="R2851" s="539"/>
      <c r="S2851" s="539"/>
      <c r="T2851" s="539"/>
      <c r="U2851" s="539"/>
      <c r="V2851" s="540"/>
      <c r="Y2851" s="378"/>
      <c r="Z2851" s="121"/>
      <c r="AA2851" s="86"/>
      <c r="AB2851" s="409"/>
      <c r="AC2851" s="121"/>
      <c r="AD2851" s="94"/>
      <c r="AE2851" s="126"/>
    </row>
    <row r="2852" spans="3:31" s="260" customFormat="1" ht="15.75" thickBot="1" x14ac:dyDescent="0.3">
      <c r="C2852" s="84"/>
      <c r="D2852" s="375" t="s">
        <v>128</v>
      </c>
      <c r="E2852" s="376" t="s">
        <v>129</v>
      </c>
      <c r="F2852" s="376" t="s">
        <v>130</v>
      </c>
      <c r="G2852" s="376" t="s">
        <v>131</v>
      </c>
      <c r="H2852" s="376" t="s">
        <v>132</v>
      </c>
      <c r="I2852" s="376" t="s">
        <v>133</v>
      </c>
      <c r="J2852" s="377" t="s">
        <v>134</v>
      </c>
      <c r="K2852" s="88"/>
      <c r="M2852" s="99" t="s">
        <v>94</v>
      </c>
      <c r="N2852" s="98" t="s">
        <v>95</v>
      </c>
      <c r="O2852" s="95" t="s">
        <v>96</v>
      </c>
      <c r="P2852" s="359" t="s">
        <v>104</v>
      </c>
      <c r="Q2852" s="95" t="s">
        <v>116</v>
      </c>
      <c r="R2852" s="418" t="s">
        <v>117</v>
      </c>
      <c r="S2852" s="95" t="s">
        <v>347</v>
      </c>
      <c r="T2852" s="419" t="s">
        <v>118</v>
      </c>
      <c r="U2852" s="189" t="s">
        <v>119</v>
      </c>
      <c r="V2852" s="100" t="s">
        <v>98</v>
      </c>
      <c r="Y2852" s="383" t="s">
        <v>104</v>
      </c>
      <c r="Z2852" s="119" t="s">
        <v>9</v>
      </c>
      <c r="AA2852" s="86"/>
      <c r="AB2852" s="384"/>
      <c r="AC2852" s="385"/>
      <c r="AD2852" s="94"/>
      <c r="AE2852" s="410"/>
    </row>
    <row r="2853" spans="3:31" s="260" customFormat="1" ht="25.5" x14ac:dyDescent="0.25">
      <c r="C2853" s="84"/>
      <c r="D2853" s="354"/>
      <c r="E2853" s="96"/>
      <c r="F2853" s="96"/>
      <c r="G2853" s="96"/>
      <c r="H2853" s="96"/>
      <c r="I2853" s="96"/>
      <c r="J2853" s="420">
        <f>+F2850</f>
        <v>3.09</v>
      </c>
      <c r="K2853" s="88"/>
      <c r="M2853" s="102">
        <v>207</v>
      </c>
      <c r="N2853" s="347" t="str">
        <f>IFERROR(VLOOKUP(M2853,INSUMOS!$C$8:$K$928,2,0),"-----")</f>
        <v>Oficial Hidrosanitario</v>
      </c>
      <c r="O2853" s="78" t="str">
        <f>IFERROR(VLOOKUP(M2853,INSUMOS!$C$8:$K$928,3,0),"-----")</f>
        <v>JORNAL+PS</v>
      </c>
      <c r="P2853" s="80">
        <v>1</v>
      </c>
      <c r="Q2853" s="79">
        <v>15</v>
      </c>
      <c r="R2853" s="190">
        <f>IFERROR(VLOOKUP(M2853,INSUMOS!$C$8:$K$928,4,0),"-----")</f>
        <v>92983</v>
      </c>
      <c r="S2853" s="190">
        <f>IFERROR(VLOOKUP(M2853,INSUMOS!$C$8:$K$928,6,0),"-----")</f>
        <v>74386</v>
      </c>
      <c r="T2853" s="190">
        <f>IFERROR(VLOOKUP(M2853,INSUMOS!$C$8:$K$928,5,0),"-----")</f>
        <v>0</v>
      </c>
      <c r="U2853" s="388">
        <f>SUM(R2853:T2853)</f>
        <v>167369</v>
      </c>
      <c r="V2853" s="82">
        <f>+IFERROR((P2853/Q2853)*U2853,0)</f>
        <v>11157.933333333332</v>
      </c>
      <c r="Y2853" s="393">
        <f>+IFERROR((Y2823/Q2853*P2853),0)</f>
        <v>0.93333333333333335</v>
      </c>
      <c r="Z2853" s="391">
        <f>Y2823*V2853</f>
        <v>156211.06666666665</v>
      </c>
      <c r="AA2853" s="86"/>
      <c r="AB2853" s="92">
        <f>+(U2853)*Y2853</f>
        <v>156211.06666666668</v>
      </c>
      <c r="AC2853" s="93">
        <f>+AB2853-Z2853</f>
        <v>0</v>
      </c>
      <c r="AD2853" s="421"/>
      <c r="AE2853" s="410" t="str">
        <f>+IF(V2853=0,"CERO","NO")</f>
        <v>NO</v>
      </c>
    </row>
    <row r="2854" spans="3:31" s="260" customFormat="1" ht="26.25" thickBot="1" x14ac:dyDescent="0.3">
      <c r="C2854" s="84"/>
      <c r="D2854" s="355"/>
      <c r="E2854" s="367"/>
      <c r="F2854" s="367"/>
      <c r="G2854" s="367"/>
      <c r="H2854" s="367"/>
      <c r="I2854" s="367"/>
      <c r="J2854" s="422">
        <f>+J2853</f>
        <v>3.09</v>
      </c>
      <c r="K2854" s="88"/>
      <c r="M2854" s="102">
        <v>208</v>
      </c>
      <c r="N2854" s="347" t="str">
        <f>IFERROR(VLOOKUP(M2854,INSUMOS!$C$8:$K$928,2,0),"-----")</f>
        <v>Ayudante Hidrosanitario</v>
      </c>
      <c r="O2854" s="78" t="str">
        <f>IFERROR(VLOOKUP(M2854,INSUMOS!$C$8:$K$928,3,0),"-----")</f>
        <v>JORNAL+PS</v>
      </c>
      <c r="P2854" s="80">
        <v>1</v>
      </c>
      <c r="Q2854" s="79">
        <v>15</v>
      </c>
      <c r="R2854" s="190">
        <f>IFERROR(VLOOKUP(M2854,INSUMOS!$C$8:$K$928,4,0),"-----")</f>
        <v>69172</v>
      </c>
      <c r="S2854" s="190">
        <f>IFERROR(VLOOKUP(M2854,INSUMOS!$C$8:$K$928,6,0),"-----")</f>
        <v>55337</v>
      </c>
      <c r="T2854" s="190">
        <f>IFERROR(VLOOKUP(M2854,INSUMOS!$C$8:$K$928,5,0),"-----")</f>
        <v>0</v>
      </c>
      <c r="U2854" s="388">
        <f>SUM(R2854:T2854)</f>
        <v>124509</v>
      </c>
      <c r="V2854" s="82">
        <f>+IFERROR((P2854/Q2854)*U2854,0)</f>
        <v>8300.6</v>
      </c>
      <c r="Y2854" s="393">
        <f>+IFERROR((Y2823/Q2854*P2854),0)</f>
        <v>0.93333333333333335</v>
      </c>
      <c r="Z2854" s="391">
        <f>Y2823*V2854</f>
        <v>116208.40000000001</v>
      </c>
      <c r="AA2854" s="86"/>
      <c r="AB2854" s="92">
        <f>+U2854*Y2854</f>
        <v>116208.40000000001</v>
      </c>
      <c r="AC2854" s="93">
        <f>+AB2854-Z2854</f>
        <v>0</v>
      </c>
      <c r="AD2854" s="94"/>
      <c r="AE2854" s="410" t="str">
        <f>+IF(V2854=0,"CERO","NO")</f>
        <v>NO</v>
      </c>
    </row>
    <row r="2855" spans="3:31" s="260" customFormat="1" ht="15.75" thickBot="1" x14ac:dyDescent="0.3">
      <c r="C2855" s="84"/>
      <c r="D2855" s="380"/>
      <c r="E2855" s="381"/>
      <c r="F2855" s="381"/>
      <c r="G2855" s="381"/>
      <c r="H2855" s="381"/>
      <c r="I2855" s="381"/>
      <c r="J2855" s="382"/>
      <c r="K2855" s="88"/>
      <c r="M2855" s="102">
        <v>0</v>
      </c>
      <c r="N2855" s="347"/>
      <c r="O2855" s="79"/>
      <c r="P2855" s="423"/>
      <c r="Q2855" s="81"/>
      <c r="R2855" s="111"/>
      <c r="S2855" s="357"/>
      <c r="T2855" s="111"/>
      <c r="U2855" s="388"/>
      <c r="V2855" s="426"/>
      <c r="Y2855" s="393">
        <f>+IFERROR((Y2823/Q2855*P2855),0)</f>
        <v>0</v>
      </c>
      <c r="Z2855" s="391">
        <f>Y2823*V2855</f>
        <v>0</v>
      </c>
      <c r="AA2855" s="86"/>
      <c r="AB2855" s="92">
        <f>+(U2855)*Y2855*P2855</f>
        <v>0</v>
      </c>
      <c r="AC2855" s="93">
        <f>+AB2855-Z2855</f>
        <v>0</v>
      </c>
      <c r="AD2855" s="94"/>
      <c r="AE2855" s="410" t="str">
        <f>+IF(V2855=0,"CERO","NO")</f>
        <v>CERO</v>
      </c>
    </row>
    <row r="2856" spans="3:31" s="260" customFormat="1" ht="15.75" thickBot="1" x14ac:dyDescent="0.3">
      <c r="C2856" s="84"/>
      <c r="D2856" s="375" t="s">
        <v>128</v>
      </c>
      <c r="E2856" s="376" t="s">
        <v>129</v>
      </c>
      <c r="F2856" s="376" t="s">
        <v>130</v>
      </c>
      <c r="G2856" s="376" t="s">
        <v>131</v>
      </c>
      <c r="H2856" s="376" t="s">
        <v>132</v>
      </c>
      <c r="I2856" s="376" t="s">
        <v>133</v>
      </c>
      <c r="J2856" s="377" t="s">
        <v>134</v>
      </c>
      <c r="K2856" s="88"/>
      <c r="M2856" s="534"/>
      <c r="N2856" s="536" t="s">
        <v>120</v>
      </c>
      <c r="O2856" s="536"/>
      <c r="P2856" s="536"/>
      <c r="Q2856" s="536"/>
      <c r="R2856" s="536"/>
      <c r="S2856" s="536"/>
      <c r="T2856" s="536"/>
      <c r="U2856" s="536"/>
      <c r="V2856" s="82">
        <f>+SUM(V2853:V2855)</f>
        <v>19458.533333333333</v>
      </c>
      <c r="Y2856" s="398" t="s">
        <v>135</v>
      </c>
      <c r="Z2856" s="397">
        <f>+SUM(Z2853:Z2855)</f>
        <v>272419.46666666667</v>
      </c>
      <c r="AA2856" s="86"/>
      <c r="AB2856" s="384"/>
      <c r="AC2856" s="385"/>
      <c r="AD2856" s="94"/>
      <c r="AE2856" s="399"/>
    </row>
    <row r="2857" spans="3:31" s="260" customFormat="1" ht="15.75" thickBot="1" x14ac:dyDescent="0.3">
      <c r="C2857" s="84"/>
      <c r="D2857" s="354"/>
      <c r="E2857" s="96"/>
      <c r="F2857" s="96"/>
      <c r="G2857" s="107">
        <f>+F2850</f>
        <v>3.09</v>
      </c>
      <c r="H2857" s="96"/>
      <c r="I2857" s="96"/>
      <c r="J2857" s="427"/>
      <c r="K2857" s="88"/>
      <c r="M2857" s="535"/>
      <c r="N2857" s="537" t="s">
        <v>121</v>
      </c>
      <c r="O2857" s="537"/>
      <c r="P2857" s="537"/>
      <c r="Q2857" s="537"/>
      <c r="R2857" s="537"/>
      <c r="S2857" s="537"/>
      <c r="T2857" s="537"/>
      <c r="U2857" s="537"/>
      <c r="V2857" s="413">
        <f>+ROUND(V2856,$AA$5)</f>
        <v>19458.53</v>
      </c>
      <c r="Y2857" s="401" t="s">
        <v>136</v>
      </c>
      <c r="Z2857" s="402">
        <f>+ROUND(Z2856,$AA$5)</f>
        <v>272419.46999999997</v>
      </c>
      <c r="AA2857" s="86"/>
      <c r="AB2857" s="403">
        <f>+V2857*Y2823</f>
        <v>272419.42</v>
      </c>
      <c r="AC2857" s="404">
        <f>+AB2857-Z2857</f>
        <v>-4.9999999988358468E-2</v>
      </c>
      <c r="AD2857" s="94"/>
      <c r="AE2857" s="405"/>
    </row>
    <row r="2858" spans="3:31" s="260" customFormat="1" ht="15.75" thickBot="1" x14ac:dyDescent="0.3">
      <c r="C2858" s="84"/>
      <c r="D2858" s="375" t="s">
        <v>128</v>
      </c>
      <c r="E2858" s="376" t="s">
        <v>129</v>
      </c>
      <c r="F2858" s="376" t="s">
        <v>130</v>
      </c>
      <c r="G2858" s="376" t="s">
        <v>131</v>
      </c>
      <c r="H2858" s="376" t="s">
        <v>132</v>
      </c>
      <c r="I2858" s="376" t="s">
        <v>133</v>
      </c>
      <c r="J2858" s="377" t="s">
        <v>134</v>
      </c>
      <c r="K2858" s="88"/>
      <c r="M2858" s="541"/>
      <c r="N2858" s="542"/>
      <c r="O2858" s="542"/>
      <c r="P2858" s="542"/>
      <c r="Q2858" s="542"/>
      <c r="R2858" s="542"/>
      <c r="S2858" s="542"/>
      <c r="T2858" s="542"/>
      <c r="U2858" s="542"/>
      <c r="V2858" s="543"/>
      <c r="Y2858" s="378"/>
      <c r="Z2858" s="121"/>
      <c r="AA2858" s="86"/>
      <c r="AB2858" s="409"/>
      <c r="AC2858" s="121"/>
      <c r="AD2858" s="94"/>
      <c r="AE2858" s="428"/>
    </row>
    <row r="2859" spans="3:31" s="260" customFormat="1" ht="15.75" thickBot="1" x14ac:dyDescent="0.3">
      <c r="C2859" s="84"/>
      <c r="D2859" s="355"/>
      <c r="E2859" s="367"/>
      <c r="F2859" s="367"/>
      <c r="G2859" s="367"/>
      <c r="H2859" s="412">
        <f>G2857</f>
        <v>3.09</v>
      </c>
      <c r="I2859" s="412"/>
      <c r="J2859" s="422"/>
      <c r="K2859" s="88"/>
      <c r="M2859" s="544" t="s">
        <v>122</v>
      </c>
      <c r="N2859" s="537"/>
      <c r="O2859" s="537"/>
      <c r="P2859" s="537"/>
      <c r="Q2859" s="537"/>
      <c r="R2859" s="537"/>
      <c r="S2859" s="537"/>
      <c r="T2859" s="537"/>
      <c r="U2859" s="545">
        <f>+V2857+V2850+V2842+V2833</f>
        <v>48422</v>
      </c>
      <c r="V2859" s="546"/>
      <c r="Y2859" s="429"/>
      <c r="Z2859" s="430">
        <f>+Z2857+Z2850+Z2842+Z2833</f>
        <v>677907.97</v>
      </c>
      <c r="AA2859" s="86"/>
      <c r="AB2859" s="431">
        <f>+AB2857+AB2850+AB2842+AB2833</f>
        <v>677908</v>
      </c>
      <c r="AC2859" s="404">
        <f>+AB2859-Z2859</f>
        <v>3.0000000027939677E-2</v>
      </c>
      <c r="AD2859" s="94"/>
      <c r="AE2859" s="432"/>
    </row>
    <row r="2860" spans="3:31" s="260" customFormat="1" ht="15.75" thickBot="1" x14ac:dyDescent="0.3"/>
    <row r="2861" spans="3:31" s="260" customFormat="1" x14ac:dyDescent="0.25">
      <c r="M2861" s="547" t="s">
        <v>348</v>
      </c>
      <c r="N2861" s="548"/>
      <c r="O2861" s="548"/>
      <c r="P2861" s="548"/>
      <c r="Q2861" s="548"/>
      <c r="R2861" s="548"/>
      <c r="S2861" s="548"/>
      <c r="T2861" s="548"/>
      <c r="U2861" s="548"/>
      <c r="V2861" s="549"/>
      <c r="Y2861" s="378"/>
      <c r="Z2861" s="121"/>
      <c r="AA2861" s="86"/>
      <c r="AB2861" s="94"/>
      <c r="AC2861" s="94"/>
      <c r="AD2861" s="94"/>
      <c r="AE2861" s="126" t="s">
        <v>133</v>
      </c>
    </row>
    <row r="2862" spans="3:31" s="260" customFormat="1" x14ac:dyDescent="0.25">
      <c r="M2862" s="515" t="s">
        <v>138</v>
      </c>
      <c r="N2862" s="516"/>
      <c r="O2862" s="516"/>
      <c r="P2862" s="516"/>
      <c r="Q2862" s="516"/>
      <c r="R2862" s="516"/>
      <c r="S2862" s="516"/>
      <c r="T2862" s="437">
        <v>0</v>
      </c>
      <c r="U2862" s="517">
        <f>+ROUND(U2859*T2862,$AA$5)</f>
        <v>0</v>
      </c>
      <c r="V2862" s="518"/>
      <c r="Y2862" s="390"/>
      <c r="Z2862" s="438">
        <f>+Z2859*T2862</f>
        <v>0</v>
      </c>
      <c r="AA2862" s="86"/>
      <c r="AB2862" s="94"/>
      <c r="AC2862" s="94"/>
      <c r="AD2862" s="94"/>
      <c r="AE2862" s="386" t="s">
        <v>133</v>
      </c>
    </row>
    <row r="2863" spans="3:31" s="260" customFormat="1" x14ac:dyDescent="0.25">
      <c r="M2863" s="515" t="s">
        <v>19</v>
      </c>
      <c r="N2863" s="516"/>
      <c r="O2863" s="516"/>
      <c r="P2863" s="516"/>
      <c r="Q2863" s="516"/>
      <c r="R2863" s="516"/>
      <c r="S2863" s="516"/>
      <c r="T2863" s="437">
        <v>0.05</v>
      </c>
      <c r="U2863" s="517">
        <f>+ROUND(U2859*T2863,$AA$5)</f>
        <v>2421.1</v>
      </c>
      <c r="V2863" s="518"/>
      <c r="Y2863" s="390"/>
      <c r="Z2863" s="438">
        <f>+Z2859*T2863</f>
        <v>33895.398500000003</v>
      </c>
      <c r="AA2863" s="86"/>
      <c r="AB2863" s="94"/>
      <c r="AC2863" s="94"/>
      <c r="AD2863" s="94"/>
      <c r="AE2863" s="386" t="s">
        <v>133</v>
      </c>
    </row>
    <row r="2864" spans="3:31" s="260" customFormat="1" x14ac:dyDescent="0.25">
      <c r="M2864" s="515" t="s">
        <v>20</v>
      </c>
      <c r="N2864" s="516"/>
      <c r="O2864" s="516"/>
      <c r="P2864" s="516"/>
      <c r="Q2864" s="516"/>
      <c r="R2864" s="516"/>
      <c r="S2864" s="516"/>
      <c r="T2864" s="437">
        <v>0</v>
      </c>
      <c r="U2864" s="517">
        <f>+ROUND(U2859*T2864,$AA$5)</f>
        <v>0</v>
      </c>
      <c r="V2864" s="518"/>
      <c r="Y2864" s="390"/>
      <c r="Z2864" s="438">
        <f>+Z2859*T2864</f>
        <v>0</v>
      </c>
      <c r="AA2864" s="86"/>
      <c r="AB2864" s="94"/>
      <c r="AC2864" s="94"/>
      <c r="AD2864" s="94"/>
      <c r="AE2864" s="386" t="s">
        <v>133</v>
      </c>
    </row>
    <row r="2865" spans="3:31" s="260" customFormat="1" x14ac:dyDescent="0.25">
      <c r="M2865" s="515" t="s">
        <v>21</v>
      </c>
      <c r="N2865" s="516"/>
      <c r="O2865" s="516"/>
      <c r="P2865" s="516"/>
      <c r="Q2865" s="516"/>
      <c r="R2865" s="516"/>
      <c r="S2865" s="516"/>
      <c r="T2865" s="437">
        <f>$AA$9</f>
        <v>0</v>
      </c>
      <c r="U2865" s="517">
        <f>+ROUND(U2859*T2865,$AA$5)</f>
        <v>0</v>
      </c>
      <c r="V2865" s="518"/>
      <c r="Y2865" s="390"/>
      <c r="Z2865" s="438">
        <f>+Z2864*T2865</f>
        <v>0</v>
      </c>
      <c r="AA2865" s="86"/>
      <c r="AB2865" s="94"/>
      <c r="AC2865" s="94"/>
      <c r="AD2865" s="94"/>
      <c r="AE2865" s="386" t="s">
        <v>133</v>
      </c>
    </row>
    <row r="2866" spans="3:31" s="260" customFormat="1" ht="15.75" thickBot="1" x14ac:dyDescent="0.3">
      <c r="M2866" s="519" t="s">
        <v>349</v>
      </c>
      <c r="N2866" s="520"/>
      <c r="O2866" s="520"/>
      <c r="P2866" s="520"/>
      <c r="Q2866" s="520"/>
      <c r="R2866" s="520"/>
      <c r="S2866" s="520"/>
      <c r="T2866" s="520"/>
      <c r="U2866" s="521">
        <f>+SUM(U2862:V2865)</f>
        <v>2421.1</v>
      </c>
      <c r="V2866" s="522"/>
      <c r="Y2866" s="390"/>
      <c r="Z2866" s="439">
        <f>+SUM(Z2862:Z2865)</f>
        <v>33895.398500000003</v>
      </c>
      <c r="AA2866" s="86"/>
      <c r="AB2866" s="94"/>
      <c r="AC2866" s="94"/>
      <c r="AD2866" s="94"/>
      <c r="AE2866" s="386" t="s">
        <v>133</v>
      </c>
    </row>
    <row r="2867" spans="3:31" s="260" customFormat="1" ht="15.75" thickBot="1" x14ac:dyDescent="0.3">
      <c r="D2867" s="375" t="s">
        <v>128</v>
      </c>
      <c r="E2867" s="376" t="s">
        <v>129</v>
      </c>
      <c r="F2867" s="376" t="s">
        <v>130</v>
      </c>
      <c r="G2867" s="376" t="s">
        <v>131</v>
      </c>
      <c r="H2867" s="376" t="s">
        <v>132</v>
      </c>
      <c r="I2867" s="376" t="s">
        <v>133</v>
      </c>
      <c r="J2867" s="377" t="s">
        <v>134</v>
      </c>
      <c r="M2867" s="86"/>
      <c r="N2867" s="94"/>
      <c r="O2867" s="94"/>
      <c r="P2867" s="94"/>
      <c r="Q2867" s="86"/>
      <c r="R2867" s="86"/>
      <c r="S2867" s="86"/>
      <c r="T2867" s="440"/>
      <c r="U2867" s="523"/>
      <c r="V2867" s="523"/>
      <c r="Y2867" s="390"/>
      <c r="Z2867" s="385"/>
      <c r="AA2867" s="86"/>
      <c r="AB2867" s="94"/>
      <c r="AC2867" s="94"/>
      <c r="AD2867" s="94"/>
      <c r="AE2867" s="386" t="s">
        <v>133</v>
      </c>
    </row>
    <row r="2868" spans="3:31" s="260" customFormat="1" ht="15.75" thickBot="1" x14ac:dyDescent="0.3">
      <c r="D2868" s="355"/>
      <c r="E2868" s="367"/>
      <c r="F2868" s="367"/>
      <c r="G2868" s="367"/>
      <c r="H2868" s="412"/>
      <c r="I2868" s="412">
        <f>H2859</f>
        <v>3.09</v>
      </c>
      <c r="J2868" s="422"/>
      <c r="M2868" s="524" t="s">
        <v>11</v>
      </c>
      <c r="N2868" s="525"/>
      <c r="O2868" s="525"/>
      <c r="P2868" s="525"/>
      <c r="Q2868" s="525"/>
      <c r="R2868" s="525"/>
      <c r="S2868" s="525"/>
      <c r="T2868" s="526"/>
      <c r="U2868" s="527">
        <f>+U2866+U2859</f>
        <v>50843.1</v>
      </c>
      <c r="V2868" s="528"/>
      <c r="Y2868" s="429"/>
      <c r="Z2868" s="441">
        <f>+Z2866+Z2859</f>
        <v>711803.36849999998</v>
      </c>
      <c r="AA2868" s="86"/>
      <c r="AB2868" s="94"/>
      <c r="AC2868" s="94"/>
      <c r="AD2868" s="94"/>
      <c r="AE2868" s="405" t="s">
        <v>133</v>
      </c>
    </row>
    <row r="2869" spans="3:31" s="260" customFormat="1" x14ac:dyDescent="0.25"/>
    <row r="2870" spans="3:31" s="260" customFormat="1" ht="15.75" thickBot="1" x14ac:dyDescent="0.3"/>
    <row r="2871" spans="3:31" s="260" customFormat="1" ht="15.75" thickBot="1" x14ac:dyDescent="0.3">
      <c r="M2871" s="363" t="s">
        <v>88</v>
      </c>
      <c r="N2871" s="436" t="str">
        <f>+N2822</f>
        <v>CAP.3</v>
      </c>
      <c r="O2871" s="550" t="str">
        <f>IFERROR(VLOOKUP(N2871,PPTO!C:H,2,0),"----")</f>
        <v>RED CONTRAINCENDIOS</v>
      </c>
      <c r="P2871" s="551"/>
      <c r="Q2871" s="551"/>
      <c r="R2871" s="551"/>
      <c r="S2871" s="551"/>
      <c r="T2871" s="551"/>
      <c r="U2871" s="552"/>
      <c r="V2871" s="74" t="s">
        <v>91</v>
      </c>
      <c r="Y2871" s="365" t="s">
        <v>104</v>
      </c>
      <c r="Z2871" s="94"/>
      <c r="AA2871" s="188"/>
      <c r="AB2871" s="553"/>
      <c r="AC2871" s="553"/>
      <c r="AD2871" s="553"/>
      <c r="AE2871" s="94"/>
    </row>
    <row r="2872" spans="3:31" s="260" customFormat="1" ht="15.75" thickBot="1" x14ac:dyDescent="0.3">
      <c r="C2872" s="369">
        <f>+N2872</f>
        <v>3.1</v>
      </c>
      <c r="D2872" s="86"/>
      <c r="E2872" s="86"/>
      <c r="F2872" s="86"/>
      <c r="G2872" s="86"/>
      <c r="H2872" s="86"/>
      <c r="I2872" s="86"/>
      <c r="J2872" s="86"/>
      <c r="K2872" s="370"/>
      <c r="M2872" s="75" t="s">
        <v>92</v>
      </c>
      <c r="N2872" s="371">
        <f>+ROUNDUP(N2823+0.01,2)</f>
        <v>3.1</v>
      </c>
      <c r="O2872" s="554" t="str">
        <f>IFERROR(VLOOKUP(N2872,PPTO!C:H,2,0),"----")</f>
        <v>Codo 90° ranurado AG Ø3"</v>
      </c>
      <c r="P2872" s="555"/>
      <c r="Q2872" s="555"/>
      <c r="R2872" s="555"/>
      <c r="S2872" s="555"/>
      <c r="T2872" s="555"/>
      <c r="U2872" s="556"/>
      <c r="V2872" s="76" t="str">
        <f>IFERROR(VLOOKUP(N2872,PPTO!C:H,3,0),"----")</f>
        <v>UND</v>
      </c>
      <c r="Y2872" s="373">
        <f>SUMIFS(PPTO!F:F,PPTO!C:C,APUS!N2872)</f>
        <v>28</v>
      </c>
      <c r="Z2872" s="94"/>
      <c r="AA2872" s="86"/>
      <c r="AB2872" s="94"/>
      <c r="AC2872" s="94"/>
      <c r="AD2872" s="94"/>
      <c r="AE2872" s="94"/>
    </row>
    <row r="2873" spans="3:31" s="260" customFormat="1" ht="15.75" thickBot="1" x14ac:dyDescent="0.3">
      <c r="C2873" s="84"/>
      <c r="D2873" s="86"/>
      <c r="E2873" s="86"/>
      <c r="F2873" s="86"/>
      <c r="G2873" s="86"/>
      <c r="H2873" s="86"/>
      <c r="I2873" s="86"/>
      <c r="J2873" s="86"/>
      <c r="K2873" s="88"/>
      <c r="M2873" s="557"/>
      <c r="N2873" s="557"/>
      <c r="O2873" s="557"/>
      <c r="P2873" s="557"/>
      <c r="Q2873" s="557"/>
      <c r="R2873" s="557"/>
      <c r="S2873" s="557"/>
      <c r="T2873" s="557"/>
      <c r="U2873" s="557"/>
      <c r="V2873" s="557"/>
      <c r="Y2873" s="374"/>
      <c r="Z2873" s="94"/>
      <c r="AA2873" s="86"/>
      <c r="AB2873" s="94"/>
      <c r="AC2873" s="94"/>
      <c r="AD2873" s="94"/>
      <c r="AE2873" s="94"/>
    </row>
    <row r="2874" spans="3:31" s="260" customFormat="1" ht="15.75" thickBot="1" x14ac:dyDescent="0.3">
      <c r="C2874" s="84"/>
      <c r="D2874" s="375" t="s">
        <v>128</v>
      </c>
      <c r="E2874" s="376" t="s">
        <v>129</v>
      </c>
      <c r="F2874" s="376" t="s">
        <v>130</v>
      </c>
      <c r="G2874" s="376" t="s">
        <v>131</v>
      </c>
      <c r="H2874" s="376" t="s">
        <v>132</v>
      </c>
      <c r="I2874" s="376" t="s">
        <v>133</v>
      </c>
      <c r="J2874" s="377" t="s">
        <v>134</v>
      </c>
      <c r="K2874" s="88"/>
      <c r="M2874" s="558" t="s">
        <v>93</v>
      </c>
      <c r="N2874" s="559"/>
      <c r="O2874" s="559"/>
      <c r="P2874" s="559"/>
      <c r="Q2874" s="559"/>
      <c r="R2874" s="559"/>
      <c r="S2874" s="559"/>
      <c r="T2874" s="559"/>
      <c r="U2874" s="559"/>
      <c r="V2874" s="560"/>
      <c r="Y2874" s="378"/>
      <c r="Z2874" s="121"/>
      <c r="AA2874" s="86"/>
      <c r="AB2874" s="513"/>
      <c r="AC2874" s="514"/>
      <c r="AD2874" s="94"/>
      <c r="AE2874" s="379"/>
    </row>
    <row r="2875" spans="3:31" s="260" customFormat="1" x14ac:dyDescent="0.25">
      <c r="C2875" s="84"/>
      <c r="D2875" s="380"/>
      <c r="E2875" s="381"/>
      <c r="F2875" s="381"/>
      <c r="G2875" s="381"/>
      <c r="H2875" s="381"/>
      <c r="I2875" s="381"/>
      <c r="J2875" s="382"/>
      <c r="K2875" s="88"/>
      <c r="M2875" s="99" t="s">
        <v>94</v>
      </c>
      <c r="N2875" s="561" t="s">
        <v>95</v>
      </c>
      <c r="O2875" s="561"/>
      <c r="P2875" s="561"/>
      <c r="Q2875" s="561"/>
      <c r="R2875" s="95" t="s">
        <v>96</v>
      </c>
      <c r="S2875" s="95" t="s">
        <v>97</v>
      </c>
      <c r="T2875" s="562" t="s">
        <v>8</v>
      </c>
      <c r="U2875" s="562"/>
      <c r="V2875" s="100" t="s">
        <v>98</v>
      </c>
      <c r="Y2875" s="383" t="s">
        <v>104</v>
      </c>
      <c r="Z2875" s="119" t="s">
        <v>9</v>
      </c>
      <c r="AA2875" s="86"/>
      <c r="AB2875" s="384"/>
      <c r="AC2875" s="385"/>
      <c r="AD2875" s="94"/>
      <c r="AE2875" s="386"/>
    </row>
    <row r="2876" spans="3:31" s="260" customFormat="1" x14ac:dyDescent="0.25">
      <c r="C2876" s="84"/>
      <c r="D2876" s="85"/>
      <c r="E2876" s="86"/>
      <c r="F2876" s="86"/>
      <c r="G2876" s="86"/>
      <c r="H2876" s="86"/>
      <c r="I2876" s="86"/>
      <c r="J2876" s="87"/>
      <c r="K2876" s="88"/>
      <c r="M2876" s="102"/>
      <c r="N2876" s="533" t="s">
        <v>99</v>
      </c>
      <c r="O2876" s="533"/>
      <c r="P2876" s="533"/>
      <c r="Q2876" s="533"/>
      <c r="R2876" s="78" t="s">
        <v>100</v>
      </c>
      <c r="S2876" s="387">
        <f>+$AA$10</f>
        <v>0.05</v>
      </c>
      <c r="T2876" s="563">
        <f>V2906</f>
        <v>19458.53</v>
      </c>
      <c r="U2876" s="563"/>
      <c r="V2876" s="389">
        <f>+IFERROR(T2876*S2876,0)</f>
        <v>972.92650000000003</v>
      </c>
      <c r="Y2876" s="390"/>
      <c r="Z2876" s="391">
        <f>Y2872*V2876</f>
        <v>27241.942000000003</v>
      </c>
      <c r="AA2876" s="86"/>
      <c r="AB2876" s="384"/>
      <c r="AC2876" s="385"/>
      <c r="AD2876" s="94"/>
      <c r="AE2876" s="386" t="str">
        <f>+IF(V2876=0,"CERO","NO")</f>
        <v>NO</v>
      </c>
    </row>
    <row r="2877" spans="3:31" s="260" customFormat="1" x14ac:dyDescent="0.25">
      <c r="C2877" s="84"/>
      <c r="D2877" s="85"/>
      <c r="E2877" s="86"/>
      <c r="F2877" s="86"/>
      <c r="G2877" s="86"/>
      <c r="H2877" s="86"/>
      <c r="I2877" s="86"/>
      <c r="J2877" s="87"/>
      <c r="K2877" s="88"/>
      <c r="M2877" s="106"/>
      <c r="N2877" s="533" t="str">
        <f>IFERROR(VLOOKUP(M2877,INSUMOS!$C$8:$K$928,2,0),"-----")</f>
        <v>-----</v>
      </c>
      <c r="O2877" s="533"/>
      <c r="P2877" s="533"/>
      <c r="Q2877" s="533"/>
      <c r="R2877" s="78" t="str">
        <f>IFERROR(VLOOKUP(M2877,INSUMOS!$C$8:$K$928,6,0),"-----")</f>
        <v>-----</v>
      </c>
      <c r="S2877" s="392"/>
      <c r="T2877" s="529" t="str">
        <f>IFERROR(VLOOKUP(M2877,INSUMOS!$C$8:$K$928,7,0),"0")</f>
        <v>0</v>
      </c>
      <c r="U2877" s="529"/>
      <c r="V2877" s="389">
        <f>+IFERROR(T2877*S2877,0)</f>
        <v>0</v>
      </c>
      <c r="Y2877" s="393">
        <f>+IFERROR(Y2872*S2877,0)</f>
        <v>0</v>
      </c>
      <c r="Z2877" s="391">
        <f>Y2872*V2877</f>
        <v>0</v>
      </c>
      <c r="AA2877" s="394"/>
      <c r="AB2877" s="395">
        <f>+Y2877*T2877</f>
        <v>0</v>
      </c>
      <c r="AC2877" s="93">
        <f>+AB2877-Z2877</f>
        <v>0</v>
      </c>
      <c r="AD2877" s="94"/>
      <c r="AE2877" s="386" t="str">
        <f>+IF(V2877=0,"CERO","NO")</f>
        <v>CERO</v>
      </c>
    </row>
    <row r="2878" spans="3:31" s="260" customFormat="1" x14ac:dyDescent="0.25">
      <c r="C2878" s="84"/>
      <c r="D2878" s="85"/>
      <c r="E2878" s="86"/>
      <c r="F2878" s="86"/>
      <c r="G2878" s="86"/>
      <c r="H2878" s="86"/>
      <c r="I2878" s="86"/>
      <c r="J2878" s="87"/>
      <c r="K2878" s="88"/>
      <c r="M2878" s="102">
        <v>0</v>
      </c>
      <c r="N2878" s="533"/>
      <c r="O2878" s="533"/>
      <c r="P2878" s="533"/>
      <c r="Q2878" s="533"/>
      <c r="R2878" s="78"/>
      <c r="S2878" s="396"/>
      <c r="T2878" s="529"/>
      <c r="U2878" s="529"/>
      <c r="V2878" s="397"/>
      <c r="Y2878" s="393">
        <f>+IFERROR(Y2872*S2878,0)</f>
        <v>0</v>
      </c>
      <c r="Z2878" s="391">
        <f>Y2872*V2878</f>
        <v>0</v>
      </c>
      <c r="AA2878" s="394"/>
      <c r="AB2878" s="395">
        <f>+Y2878*T2878</f>
        <v>0</v>
      </c>
      <c r="AC2878" s="93">
        <f>+AB2878-Z2878</f>
        <v>0</v>
      </c>
      <c r="AD2878" s="94"/>
      <c r="AE2878" s="386" t="str">
        <f>+IF(V2878=0,"CERO","NO")</f>
        <v>CERO</v>
      </c>
    </row>
    <row r="2879" spans="3:31" s="260" customFormat="1" x14ac:dyDescent="0.25">
      <c r="C2879" s="84"/>
      <c r="D2879" s="85"/>
      <c r="E2879" s="86"/>
      <c r="F2879" s="86"/>
      <c r="G2879" s="86"/>
      <c r="H2879" s="86"/>
      <c r="I2879" s="86"/>
      <c r="J2879" s="87"/>
      <c r="K2879" s="88"/>
      <c r="M2879" s="102">
        <v>0</v>
      </c>
      <c r="N2879" s="533"/>
      <c r="O2879" s="533"/>
      <c r="P2879" s="533"/>
      <c r="Q2879" s="533"/>
      <c r="R2879" s="78"/>
      <c r="S2879" s="396"/>
      <c r="T2879" s="529"/>
      <c r="U2879" s="529"/>
      <c r="V2879" s="397"/>
      <c r="Y2879" s="393">
        <f>+IFERROR(Y2872*S2879,0)</f>
        <v>0</v>
      </c>
      <c r="Z2879" s="391">
        <f>Y2872*V2879</f>
        <v>0</v>
      </c>
      <c r="AA2879" s="394"/>
      <c r="AB2879" s="395">
        <f>+Y2879*T2879</f>
        <v>0</v>
      </c>
      <c r="AC2879" s="93">
        <f>+AB2879-Z2879</f>
        <v>0</v>
      </c>
      <c r="AD2879" s="94"/>
      <c r="AE2879" s="386" t="str">
        <f>+IF(V2879=0,"CERO","NO")</f>
        <v>CERO</v>
      </c>
    </row>
    <row r="2880" spans="3:31" s="260" customFormat="1" ht="15.75" thickBot="1" x14ac:dyDescent="0.3">
      <c r="C2880" s="84"/>
      <c r="D2880" s="85"/>
      <c r="E2880" s="86"/>
      <c r="F2880" s="86"/>
      <c r="G2880" s="86"/>
      <c r="H2880" s="86"/>
      <c r="I2880" s="86"/>
      <c r="J2880" s="87"/>
      <c r="K2880" s="88"/>
      <c r="M2880" s="102">
        <v>0</v>
      </c>
      <c r="N2880" s="564"/>
      <c r="O2880" s="564"/>
      <c r="P2880" s="564"/>
      <c r="Q2880" s="564"/>
      <c r="R2880" s="96"/>
      <c r="S2880" s="96"/>
      <c r="T2880" s="565"/>
      <c r="U2880" s="565"/>
      <c r="V2880" s="101"/>
      <c r="Y2880" s="393">
        <f>+IFERROR(Y2872*S2880,0)</f>
        <v>0</v>
      </c>
      <c r="Z2880" s="391">
        <f>Y2872*V2880</f>
        <v>0</v>
      </c>
      <c r="AA2880" s="394"/>
      <c r="AB2880" s="395">
        <f>+Y2880*T2880</f>
        <v>0</v>
      </c>
      <c r="AC2880" s="93">
        <f>+AB2880-Z2880</f>
        <v>0</v>
      </c>
      <c r="AD2880" s="94"/>
      <c r="AE2880" s="386" t="str">
        <f>+IF(V2880=0,"CERO","NO")</f>
        <v>CERO</v>
      </c>
    </row>
    <row r="2881" spans="3:31" s="260" customFormat="1" ht="15.75" thickBot="1" x14ac:dyDescent="0.3">
      <c r="C2881" s="84"/>
      <c r="D2881" s="375" t="s">
        <v>128</v>
      </c>
      <c r="E2881" s="376" t="s">
        <v>129</v>
      </c>
      <c r="F2881" s="376" t="s">
        <v>130</v>
      </c>
      <c r="G2881" s="376" t="s">
        <v>131</v>
      </c>
      <c r="H2881" s="376" t="s">
        <v>132</v>
      </c>
      <c r="I2881" s="376" t="s">
        <v>133</v>
      </c>
      <c r="J2881" s="377" t="s">
        <v>134</v>
      </c>
      <c r="K2881" s="88"/>
      <c r="M2881" s="534"/>
      <c r="N2881" s="536" t="s">
        <v>101</v>
      </c>
      <c r="O2881" s="536"/>
      <c r="P2881" s="536"/>
      <c r="Q2881" s="536"/>
      <c r="R2881" s="536"/>
      <c r="S2881" s="536"/>
      <c r="T2881" s="536"/>
      <c r="U2881" s="536"/>
      <c r="V2881" s="389">
        <f>+SUM(V2876:V2880)</f>
        <v>972.92650000000003</v>
      </c>
      <c r="Y2881" s="398" t="s">
        <v>135</v>
      </c>
      <c r="Z2881" s="397">
        <f>+SUM(Z2876:Z2880)</f>
        <v>27241.942000000003</v>
      </c>
      <c r="AA2881" s="86"/>
      <c r="AB2881" s="384"/>
      <c r="AC2881" s="385"/>
      <c r="AD2881" s="94"/>
      <c r="AE2881" s="399"/>
    </row>
    <row r="2882" spans="3:31" s="260" customFormat="1" ht="15.75" thickBot="1" x14ac:dyDescent="0.3">
      <c r="C2882" s="84"/>
      <c r="D2882" s="375">
        <f>C2872</f>
        <v>3.1</v>
      </c>
      <c r="E2882" s="376"/>
      <c r="F2882" s="376"/>
      <c r="G2882" s="376"/>
      <c r="H2882" s="376"/>
      <c r="I2882" s="376"/>
      <c r="J2882" s="377"/>
      <c r="K2882" s="88"/>
      <c r="M2882" s="566"/>
      <c r="N2882" s="567" t="s">
        <v>102</v>
      </c>
      <c r="O2882" s="567"/>
      <c r="P2882" s="567"/>
      <c r="Q2882" s="567"/>
      <c r="R2882" s="567"/>
      <c r="S2882" s="567"/>
      <c r="T2882" s="567"/>
      <c r="U2882" s="567"/>
      <c r="V2882" s="400">
        <f>+ROUND(V2881,$AA$5)</f>
        <v>972.93</v>
      </c>
      <c r="Y2882" s="401" t="s">
        <v>136</v>
      </c>
      <c r="Z2882" s="402">
        <f>+ROUND(Z2881,$AA$5)</f>
        <v>27241.94</v>
      </c>
      <c r="AA2882" s="86"/>
      <c r="AB2882" s="403">
        <f>+V2882*Y2872</f>
        <v>27242.039999999997</v>
      </c>
      <c r="AC2882" s="404">
        <f>+AB2882-Z2882</f>
        <v>9.9999999998544808E-2</v>
      </c>
      <c r="AD2882" s="94"/>
      <c r="AE2882" s="405"/>
    </row>
    <row r="2883" spans="3:31" s="260" customFormat="1" x14ac:dyDescent="0.25">
      <c r="C2883" s="84"/>
      <c r="D2883" s="380"/>
      <c r="E2883" s="381"/>
      <c r="F2883" s="381"/>
      <c r="G2883" s="381"/>
      <c r="H2883" s="381"/>
      <c r="I2883" s="381"/>
      <c r="J2883" s="382"/>
      <c r="K2883" s="88"/>
      <c r="M2883" s="510" t="s">
        <v>103</v>
      </c>
      <c r="N2883" s="511"/>
      <c r="O2883" s="511"/>
      <c r="P2883" s="511"/>
      <c r="Q2883" s="511"/>
      <c r="R2883" s="511"/>
      <c r="S2883" s="511"/>
      <c r="T2883" s="511"/>
      <c r="U2883" s="511"/>
      <c r="V2883" s="512"/>
      <c r="Y2883" s="378"/>
      <c r="Z2883" s="121"/>
      <c r="AA2883" s="86"/>
      <c r="AB2883" s="513"/>
      <c r="AC2883" s="514"/>
      <c r="AD2883" s="94"/>
      <c r="AE2883" s="126"/>
    </row>
    <row r="2884" spans="3:31" s="260" customFormat="1" x14ac:dyDescent="0.25">
      <c r="C2884" s="84"/>
      <c r="D2884" s="85"/>
      <c r="E2884" s="86"/>
      <c r="F2884" s="86"/>
      <c r="G2884" s="86"/>
      <c r="H2884" s="86"/>
      <c r="I2884" s="86"/>
      <c r="J2884" s="87"/>
      <c r="K2884" s="88"/>
      <c r="M2884" s="99" t="s">
        <v>94</v>
      </c>
      <c r="N2884" s="561" t="s">
        <v>95</v>
      </c>
      <c r="O2884" s="561"/>
      <c r="P2884" s="561"/>
      <c r="Q2884" s="561"/>
      <c r="R2884" s="95" t="s">
        <v>96</v>
      </c>
      <c r="S2884" s="95" t="s">
        <v>104</v>
      </c>
      <c r="T2884" s="356" t="s">
        <v>105</v>
      </c>
      <c r="U2884" s="356" t="s">
        <v>8</v>
      </c>
      <c r="V2884" s="100" t="s">
        <v>98</v>
      </c>
      <c r="Y2884" s="383" t="s">
        <v>104</v>
      </c>
      <c r="Z2884" s="119" t="s">
        <v>9</v>
      </c>
      <c r="AA2884" s="86"/>
      <c r="AB2884" s="384"/>
      <c r="AC2884" s="385"/>
      <c r="AD2884" s="94"/>
      <c r="AE2884" s="406"/>
    </row>
    <row r="2885" spans="3:31" s="260" customFormat="1" x14ac:dyDescent="0.25">
      <c r="C2885" s="84"/>
      <c r="D2885" s="85"/>
      <c r="E2885" s="86"/>
      <c r="F2885" s="86"/>
      <c r="G2885" s="86"/>
      <c r="H2885" s="86"/>
      <c r="I2885" s="86"/>
      <c r="J2885" s="87"/>
      <c r="K2885" s="88"/>
      <c r="M2885" s="102">
        <v>741</v>
      </c>
      <c r="N2885" s="533" t="str">
        <f>IFERROR(VLOOKUP(M2885,INSUMOS!$C$8:$K$928,2,0),"-----")</f>
        <v>CODO RANURADO Ø3"</v>
      </c>
      <c r="O2885" s="533"/>
      <c r="P2885" s="533"/>
      <c r="Q2885" s="533"/>
      <c r="R2885" s="78" t="str">
        <f>IFERROR(VLOOKUP(M2885,INSUMOS!$C$8:$K$928,6,0),"-----")</f>
        <v>und</v>
      </c>
      <c r="S2885" s="396">
        <v>1</v>
      </c>
      <c r="T2885" s="387">
        <v>0</v>
      </c>
      <c r="U2885" s="388">
        <f>IFERROR(VLOOKUP(M2885,INSUMOS!$C$8:$K$928,7,0),"0")</f>
        <v>22000</v>
      </c>
      <c r="V2885" s="389">
        <f>+IFERROR(U2885*(S2885*(1+T2885)),0)</f>
        <v>22000</v>
      </c>
      <c r="Y2885" s="393">
        <f>+IFERROR(Y2872*(S2885*(1+T2885)),0)</f>
        <v>28</v>
      </c>
      <c r="Z2885" s="391">
        <f>Y2872*V2885</f>
        <v>616000</v>
      </c>
      <c r="AA2885" s="394"/>
      <c r="AB2885" s="395">
        <f>+Y2885*U2885</f>
        <v>616000</v>
      </c>
      <c r="AC2885" s="93">
        <f>+AB2885-Z2885</f>
        <v>0</v>
      </c>
      <c r="AD2885" s="94"/>
      <c r="AE2885" s="406" t="str">
        <f>+IF(V2885=0,"CERO","NO")</f>
        <v>NO</v>
      </c>
    </row>
    <row r="2886" spans="3:31" s="260" customFormat="1" x14ac:dyDescent="0.25">
      <c r="C2886" s="84"/>
      <c r="D2886" s="85"/>
      <c r="E2886" s="86"/>
      <c r="F2886" s="86"/>
      <c r="G2886" s="86"/>
      <c r="H2886" s="86"/>
      <c r="I2886" s="86"/>
      <c r="J2886" s="87"/>
      <c r="K2886" s="88"/>
      <c r="M2886" s="102"/>
      <c r="N2886" s="533" t="str">
        <f>IFERROR(VLOOKUP(M2886,INSUMOS!$C$8:$K$928,2,0),"-----")</f>
        <v>-----</v>
      </c>
      <c r="O2886" s="533"/>
      <c r="P2886" s="533"/>
      <c r="Q2886" s="533"/>
      <c r="R2886" s="78" t="str">
        <f>IFERROR(VLOOKUP(M2886,INSUMOS!$C$8:$K$928,6,0),"-----")</f>
        <v>-----</v>
      </c>
      <c r="S2886" s="392"/>
      <c r="T2886" s="387">
        <v>0</v>
      </c>
      <c r="U2886" s="388" t="str">
        <f>IFERROR(VLOOKUP(M2886,INSUMOS!$C$8:$K$928,7,0),"0")</f>
        <v>0</v>
      </c>
      <c r="V2886" s="389">
        <f>+IFERROR(U2886*(S2886*(1+T2886)),0)</f>
        <v>0</v>
      </c>
      <c r="Y2886" s="393">
        <f>+IFERROR(Y2872*(S2886*(1+T2886)),0)</f>
        <v>0</v>
      </c>
      <c r="Z2886" s="391">
        <f>Y2872*V2886</f>
        <v>0</v>
      </c>
      <c r="AA2886" s="394"/>
      <c r="AB2886" s="395">
        <f>+Y2886*U2886</f>
        <v>0</v>
      </c>
      <c r="AC2886" s="93">
        <f>+AB2886-Z2886</f>
        <v>0</v>
      </c>
      <c r="AD2886" s="94"/>
      <c r="AE2886" s="406" t="str">
        <f>+IF(V2886=0,"CERO","NO")</f>
        <v>CERO</v>
      </c>
    </row>
    <row r="2887" spans="3:31" s="260" customFormat="1" x14ac:dyDescent="0.25">
      <c r="C2887" s="84"/>
      <c r="D2887" s="85"/>
      <c r="E2887" s="86"/>
      <c r="F2887" s="86"/>
      <c r="G2887" s="86"/>
      <c r="H2887" s="86"/>
      <c r="I2887" s="86"/>
      <c r="J2887" s="87"/>
      <c r="K2887" s="88"/>
      <c r="M2887" s="102"/>
      <c r="N2887" s="533" t="str">
        <f>IFERROR(VLOOKUP(M2887,INSUMOS!$C$8:$K$928,2,0),"-----")</f>
        <v>-----</v>
      </c>
      <c r="O2887" s="533"/>
      <c r="P2887" s="533"/>
      <c r="Q2887" s="533"/>
      <c r="R2887" s="78" t="str">
        <f>IFERROR(VLOOKUP(M2887,INSUMOS!$C$8:$K$928,6,0),"-----")</f>
        <v>-----</v>
      </c>
      <c r="S2887" s="396"/>
      <c r="T2887" s="387">
        <v>0</v>
      </c>
      <c r="U2887" s="388" t="str">
        <f>IFERROR(VLOOKUP(M2887,INSUMOS!$C$8:$K$928,7,0),"0")</f>
        <v>0</v>
      </c>
      <c r="V2887" s="389">
        <f>+IFERROR(U2887*(S2887*(1+T2887)),0)</f>
        <v>0</v>
      </c>
      <c r="Y2887" s="393">
        <f>+IFERROR(Y2872*(S2887*(1+T2887)),0)</f>
        <v>0</v>
      </c>
      <c r="Z2887" s="391">
        <f>Y2872*V2887</f>
        <v>0</v>
      </c>
      <c r="AA2887" s="394"/>
      <c r="AB2887" s="395">
        <f>+Y2887*U2887</f>
        <v>0</v>
      </c>
      <c r="AC2887" s="93">
        <f>+AB2887-Z2887</f>
        <v>0</v>
      </c>
      <c r="AD2887" s="94"/>
      <c r="AE2887" s="406" t="str">
        <f>+IF(V2887=0,"CERO","NO")</f>
        <v>CERO</v>
      </c>
    </row>
    <row r="2888" spans="3:31" s="260" customFormat="1" x14ac:dyDescent="0.25">
      <c r="C2888" s="84"/>
      <c r="D2888" s="85"/>
      <c r="E2888" s="86"/>
      <c r="F2888" s="86"/>
      <c r="G2888" s="86"/>
      <c r="H2888" s="86"/>
      <c r="I2888" s="86"/>
      <c r="J2888" s="87"/>
      <c r="K2888" s="88"/>
      <c r="M2888" s="102">
        <v>0</v>
      </c>
      <c r="N2888" s="533" t="str">
        <f>IFERROR(VLOOKUP(M2888,INSUMOS!$C$8:$K$928,2,0),"-----")</f>
        <v>-----</v>
      </c>
      <c r="O2888" s="533"/>
      <c r="P2888" s="533"/>
      <c r="Q2888" s="533"/>
      <c r="R2888" s="78" t="str">
        <f>IFERROR(VLOOKUP(M2888,INSUMOS!$C$8:$K$928,6,0),"-----")</f>
        <v>-----</v>
      </c>
      <c r="S2888" s="396"/>
      <c r="T2888" s="387"/>
      <c r="U2888" s="388" t="str">
        <f>IFERROR(VLOOKUP(M2888,INSUMOS!$C$8:$K$928,7,0),"0")</f>
        <v>0</v>
      </c>
      <c r="V2888" s="389">
        <f>+IFERROR(U2888*(S2888*(1+T2888)),0)</f>
        <v>0</v>
      </c>
      <c r="Y2888" s="393">
        <f>+IFERROR(Y2872*(S2888*(1+T2888)),0)</f>
        <v>0</v>
      </c>
      <c r="Z2888" s="391">
        <f>Y2872*V2888</f>
        <v>0</v>
      </c>
      <c r="AA2888" s="394"/>
      <c r="AB2888" s="395">
        <f>+Y2888*U2888</f>
        <v>0</v>
      </c>
      <c r="AC2888" s="93">
        <f>+AB2888-Z2888</f>
        <v>0</v>
      </c>
      <c r="AD2888" s="94"/>
      <c r="AE2888" s="406" t="str">
        <f>+IF(V2888=0,"CERO","NO")</f>
        <v>CERO</v>
      </c>
    </row>
    <row r="2889" spans="3:31" s="260" customFormat="1" ht="15.75" thickBot="1" x14ac:dyDescent="0.3">
      <c r="C2889" s="84"/>
      <c r="D2889" s="85"/>
      <c r="E2889" s="86"/>
      <c r="F2889" s="86"/>
      <c r="G2889" s="86"/>
      <c r="H2889" s="86"/>
      <c r="I2889" s="86"/>
      <c r="J2889" s="87"/>
      <c r="K2889" s="88"/>
      <c r="M2889" s="102">
        <v>0</v>
      </c>
      <c r="N2889" s="564"/>
      <c r="O2889" s="564"/>
      <c r="P2889" s="564"/>
      <c r="Q2889" s="564"/>
      <c r="R2889" s="96"/>
      <c r="S2889" s="79"/>
      <c r="T2889" s="97"/>
      <c r="U2889" s="358"/>
      <c r="V2889" s="397"/>
      <c r="Y2889" s="393">
        <f>+IFERROR(Y2872*(S2889*(1+T2889)),0)</f>
        <v>0</v>
      </c>
      <c r="Z2889" s="391">
        <f>Y2872*V2889</f>
        <v>0</v>
      </c>
      <c r="AA2889" s="394"/>
      <c r="AB2889" s="395">
        <f>+Y2889*U2889</f>
        <v>0</v>
      </c>
      <c r="AC2889" s="93">
        <f>+AB2889-Z2889</f>
        <v>0</v>
      </c>
      <c r="AD2889" s="94"/>
      <c r="AE2889" s="406" t="str">
        <f>+IF(V2889=0,"CERO","NO")</f>
        <v>CERO</v>
      </c>
    </row>
    <row r="2890" spans="3:31" s="260" customFormat="1" ht="15.75" thickBot="1" x14ac:dyDescent="0.3">
      <c r="C2890" s="84"/>
      <c r="D2890" s="375" t="s">
        <v>128</v>
      </c>
      <c r="E2890" s="376" t="s">
        <v>129</v>
      </c>
      <c r="F2890" s="376" t="s">
        <v>130</v>
      </c>
      <c r="G2890" s="376" t="s">
        <v>131</v>
      </c>
      <c r="H2890" s="376" t="s">
        <v>132</v>
      </c>
      <c r="I2890" s="376" t="s">
        <v>133</v>
      </c>
      <c r="J2890" s="377" t="s">
        <v>134</v>
      </c>
      <c r="K2890" s="88"/>
      <c r="M2890" s="534"/>
      <c r="N2890" s="536" t="s">
        <v>106</v>
      </c>
      <c r="O2890" s="536"/>
      <c r="P2890" s="536"/>
      <c r="Q2890" s="536"/>
      <c r="R2890" s="536"/>
      <c r="S2890" s="536"/>
      <c r="T2890" s="536"/>
      <c r="U2890" s="536"/>
      <c r="V2890" s="389">
        <f>+SUM(V2885:V2889)</f>
        <v>22000</v>
      </c>
      <c r="Y2890" s="398" t="s">
        <v>135</v>
      </c>
      <c r="Z2890" s="397">
        <f>+SUM(Z2885:Z2889)</f>
        <v>616000</v>
      </c>
      <c r="AA2890" s="86"/>
      <c r="AB2890" s="384"/>
      <c r="AC2890" s="385"/>
      <c r="AD2890" s="94"/>
      <c r="AE2890" s="399"/>
    </row>
    <row r="2891" spans="3:31" s="260" customFormat="1" ht="15.75" thickBot="1" x14ac:dyDescent="0.3">
      <c r="C2891" s="84"/>
      <c r="D2891" s="375"/>
      <c r="E2891" s="407">
        <f>+D2882</f>
        <v>3.1</v>
      </c>
      <c r="F2891" s="376"/>
      <c r="G2891" s="376"/>
      <c r="H2891" s="376"/>
      <c r="I2891" s="376"/>
      <c r="J2891" s="377"/>
      <c r="K2891" s="88"/>
      <c r="M2891" s="535"/>
      <c r="N2891" s="537" t="s">
        <v>107</v>
      </c>
      <c r="O2891" s="537"/>
      <c r="P2891" s="537"/>
      <c r="Q2891" s="537"/>
      <c r="R2891" s="537"/>
      <c r="S2891" s="537"/>
      <c r="T2891" s="537"/>
      <c r="U2891" s="537"/>
      <c r="V2891" s="408">
        <f>+ROUND(V2890,$AA$5)</f>
        <v>22000</v>
      </c>
      <c r="Y2891" s="401" t="s">
        <v>136</v>
      </c>
      <c r="Z2891" s="402">
        <f>+ROUND(Z2890,$AA$5)</f>
        <v>616000</v>
      </c>
      <c r="AA2891" s="86"/>
      <c r="AB2891" s="403">
        <f>+V2891*Y2872</f>
        <v>616000</v>
      </c>
      <c r="AC2891" s="404">
        <f>+AB2891-Z2891</f>
        <v>0</v>
      </c>
      <c r="AD2891" s="94"/>
      <c r="AE2891" s="405"/>
    </row>
    <row r="2892" spans="3:31" s="260" customFormat="1" x14ac:dyDescent="0.25">
      <c r="C2892" s="84"/>
      <c r="D2892" s="380"/>
      <c r="E2892" s="381"/>
      <c r="F2892" s="381"/>
      <c r="G2892" s="381"/>
      <c r="H2892" s="381"/>
      <c r="I2892" s="381"/>
      <c r="J2892" s="382"/>
      <c r="K2892" s="88"/>
      <c r="M2892" s="568" t="s">
        <v>108</v>
      </c>
      <c r="N2892" s="569"/>
      <c r="O2892" s="569"/>
      <c r="P2892" s="569"/>
      <c r="Q2892" s="569"/>
      <c r="R2892" s="569"/>
      <c r="S2892" s="569"/>
      <c r="T2892" s="569"/>
      <c r="U2892" s="569"/>
      <c r="V2892" s="570"/>
      <c r="Y2892" s="378"/>
      <c r="Z2892" s="121"/>
      <c r="AA2892" s="86"/>
      <c r="AB2892" s="409"/>
      <c r="AC2892" s="121"/>
      <c r="AD2892" s="94"/>
      <c r="AE2892" s="126"/>
    </row>
    <row r="2893" spans="3:31" s="260" customFormat="1" ht="25.5" x14ac:dyDescent="0.25">
      <c r="C2893" s="84"/>
      <c r="D2893" s="85"/>
      <c r="E2893" s="86"/>
      <c r="F2893" s="86"/>
      <c r="G2893" s="86"/>
      <c r="H2893" s="86"/>
      <c r="I2893" s="86"/>
      <c r="J2893" s="87"/>
      <c r="K2893" s="88"/>
      <c r="M2893" s="99" t="s">
        <v>94</v>
      </c>
      <c r="N2893" s="561" t="s">
        <v>95</v>
      </c>
      <c r="O2893" s="561"/>
      <c r="P2893" s="561"/>
      <c r="Q2893" s="95" t="s">
        <v>109</v>
      </c>
      <c r="R2893" s="95" t="s">
        <v>110</v>
      </c>
      <c r="S2893" s="95" t="s">
        <v>111</v>
      </c>
      <c r="T2893" s="562" t="s">
        <v>112</v>
      </c>
      <c r="U2893" s="562"/>
      <c r="V2893" s="100" t="s">
        <v>98</v>
      </c>
      <c r="Y2893" s="383" t="s">
        <v>104</v>
      </c>
      <c r="Z2893" s="119" t="s">
        <v>9</v>
      </c>
      <c r="AA2893" s="86"/>
      <c r="AB2893" s="384"/>
      <c r="AC2893" s="385"/>
      <c r="AD2893" s="94"/>
      <c r="AE2893" s="410"/>
    </row>
    <row r="2894" spans="3:31" s="260" customFormat="1" x14ac:dyDescent="0.25">
      <c r="C2894" s="84"/>
      <c r="D2894" s="85"/>
      <c r="E2894" s="86"/>
      <c r="F2894" s="86"/>
      <c r="G2894" s="86"/>
      <c r="H2894" s="86"/>
      <c r="I2894" s="86"/>
      <c r="J2894" s="87"/>
      <c r="K2894" s="88"/>
      <c r="M2894" s="102">
        <v>129</v>
      </c>
      <c r="N2894" s="530" t="str">
        <f>IFERROR(VLOOKUP(M2894,INSUMOS!$C$8:$K$928,2,0),"-----")</f>
        <v>transporte materiales en general</v>
      </c>
      <c r="O2894" s="531"/>
      <c r="P2894" s="532"/>
      <c r="Q2894" s="78" t="str">
        <f>IFERROR(VLOOKUP(M2894,INSUMOS!$C$8:$K$928,5,0),"-----")</f>
        <v>Km</v>
      </c>
      <c r="R2894" s="80">
        <v>1</v>
      </c>
      <c r="S2894" s="80">
        <f>IFERROR(VLOOKUP(M2894,INSUMOS!$C$8:$K$928,6,0),"0")</f>
        <v>348</v>
      </c>
      <c r="T2894" s="529">
        <f>IFERROR(VLOOKUP(M2894,INSUMOS!$C$8:$K$928,7,0),"0")</f>
        <v>0.99776362060288992</v>
      </c>
      <c r="U2894" s="529"/>
      <c r="V2894" s="82">
        <f>+T2894*S2894*R2894</f>
        <v>347.2217399698057</v>
      </c>
      <c r="Y2894" s="393">
        <f>+IFERROR((R2894*S2894)*Y2872,0)</f>
        <v>9744</v>
      </c>
      <c r="Z2894" s="391">
        <f>Y2872*V2894</f>
        <v>9722.2087191545597</v>
      </c>
      <c r="AA2894" s="86"/>
      <c r="AB2894" s="92">
        <f>+Y2894*T2894</f>
        <v>9722.2087191545597</v>
      </c>
      <c r="AC2894" s="93">
        <f>+AB2894-Z2894</f>
        <v>0</v>
      </c>
      <c r="AD2894" s="94"/>
      <c r="AE2894" s="406" t="str">
        <f>+IF(V2894=0,"CERO","NO")</f>
        <v>NO</v>
      </c>
    </row>
    <row r="2895" spans="3:31" s="260" customFormat="1" x14ac:dyDescent="0.25">
      <c r="C2895" s="84"/>
      <c r="D2895" s="85"/>
      <c r="E2895" s="86"/>
      <c r="F2895" s="86"/>
      <c r="G2895" s="86"/>
      <c r="H2895" s="86"/>
      <c r="I2895" s="86"/>
      <c r="J2895" s="87"/>
      <c r="K2895" s="88"/>
      <c r="M2895" s="102">
        <v>0</v>
      </c>
      <c r="N2895" s="530" t="str">
        <f>IFERROR(VLOOKUP(M2895,INSUMOS!$C$8:$K$928,2,0),"-----")</f>
        <v>-----</v>
      </c>
      <c r="O2895" s="531"/>
      <c r="P2895" s="532"/>
      <c r="Q2895" s="78" t="str">
        <f>IFERROR(VLOOKUP(M2895,INSUMOS!$C$8:$K$928,5,0),"-----")</f>
        <v>-----</v>
      </c>
      <c r="R2895" s="80"/>
      <c r="S2895" s="80" t="str">
        <f>IFERROR(VLOOKUP(M2895,INSUMOS!$C$8:$K$928,6,0),"0")</f>
        <v>0</v>
      </c>
      <c r="T2895" s="529" t="str">
        <f>IFERROR(VLOOKUP(M2895,INSUMOS!$C$8:$K$928,7,0),"0")</f>
        <v>0</v>
      </c>
      <c r="U2895" s="529"/>
      <c r="V2895" s="82">
        <f>+T2895*S2895*R2895</f>
        <v>0</v>
      </c>
      <c r="Y2895" s="393">
        <f>+IFERROR((R2895*S2895)*Y2872,0)</f>
        <v>0</v>
      </c>
      <c r="Z2895" s="391">
        <f>Y2872*V2895</f>
        <v>0</v>
      </c>
      <c r="AA2895" s="86"/>
      <c r="AB2895" s="92">
        <f>+Y2895*T2895</f>
        <v>0</v>
      </c>
      <c r="AC2895" s="93">
        <f>+AB2895-Z2895</f>
        <v>0</v>
      </c>
      <c r="AD2895" s="94"/>
      <c r="AE2895" s="406" t="str">
        <f>+IF(V2895=0,"CERO","NO")</f>
        <v>CERO</v>
      </c>
    </row>
    <row r="2896" spans="3:31" s="260" customFormat="1" x14ac:dyDescent="0.25">
      <c r="C2896" s="84"/>
      <c r="D2896" s="85"/>
      <c r="E2896" s="86"/>
      <c r="F2896" s="86"/>
      <c r="G2896" s="86"/>
      <c r="H2896" s="86"/>
      <c r="I2896" s="86"/>
      <c r="J2896" s="87"/>
      <c r="K2896" s="88"/>
      <c r="M2896" s="102">
        <v>0</v>
      </c>
      <c r="N2896" s="530" t="str">
        <f>IFERROR(VLOOKUP(M2896,INSUMOS!$C$8:$K$928,2,0),"-----")</f>
        <v>-----</v>
      </c>
      <c r="O2896" s="531"/>
      <c r="P2896" s="532"/>
      <c r="Q2896" s="78" t="str">
        <f>IFERROR(VLOOKUP(M2896,INSUMOS!$C$8:$K$928,5,0),"-----")</f>
        <v>-----</v>
      </c>
      <c r="R2896" s="80"/>
      <c r="S2896" s="80" t="str">
        <f>IFERROR(VLOOKUP(M2896,INSUMOS!$C$8:$K$928,6,0),"0")</f>
        <v>0</v>
      </c>
      <c r="T2896" s="529" t="str">
        <f>IFERROR(VLOOKUP(M2896,INSUMOS!$C$8:$K$928,7,0),"0")</f>
        <v>0</v>
      </c>
      <c r="U2896" s="529"/>
      <c r="V2896" s="82">
        <f>+T2896*S2896*R2896</f>
        <v>0</v>
      </c>
      <c r="Y2896" s="393">
        <f>+IFERROR((R2896*S2896)*Y2872,0)</f>
        <v>0</v>
      </c>
      <c r="Z2896" s="391">
        <f>Y2872*V2896</f>
        <v>0</v>
      </c>
      <c r="AA2896" s="86"/>
      <c r="AB2896" s="92">
        <f>+Y2896*T2896</f>
        <v>0</v>
      </c>
      <c r="AC2896" s="93">
        <f>+AB2896-Z2896</f>
        <v>0</v>
      </c>
      <c r="AD2896" s="94"/>
      <c r="AE2896" s="406" t="str">
        <f>+IF(V2896=0,"CERO","NO")</f>
        <v>CERO</v>
      </c>
    </row>
    <row r="2897" spans="3:31" s="260" customFormat="1" ht="15.75" thickBot="1" x14ac:dyDescent="0.3">
      <c r="C2897" s="84"/>
      <c r="D2897" s="89"/>
      <c r="E2897" s="90"/>
      <c r="F2897" s="90"/>
      <c r="G2897" s="90"/>
      <c r="H2897" s="90"/>
      <c r="I2897" s="90"/>
      <c r="J2897" s="91"/>
      <c r="K2897" s="88"/>
      <c r="M2897" s="102">
        <v>0</v>
      </c>
      <c r="N2897" s="533"/>
      <c r="O2897" s="533"/>
      <c r="P2897" s="533"/>
      <c r="Q2897" s="79"/>
      <c r="R2897" s="78"/>
      <c r="S2897" s="81"/>
      <c r="T2897" s="529"/>
      <c r="U2897" s="529"/>
      <c r="V2897" s="82"/>
      <c r="Y2897" s="393">
        <f>+IFERROR((R2897*S2897)*Y2872,0)</f>
        <v>0</v>
      </c>
      <c r="Z2897" s="391">
        <f>Y2872*V2897</f>
        <v>0</v>
      </c>
      <c r="AA2897" s="86"/>
      <c r="AB2897" s="92">
        <f>+Y2897*T2897</f>
        <v>0</v>
      </c>
      <c r="AC2897" s="93">
        <f>+AB2897-Z2897</f>
        <v>0</v>
      </c>
      <c r="AD2897" s="94"/>
      <c r="AE2897" s="406" t="str">
        <f>+IF(V2897=0,"CERO","NO")</f>
        <v>CERO</v>
      </c>
    </row>
    <row r="2898" spans="3:31" s="260" customFormat="1" ht="15.75" thickBot="1" x14ac:dyDescent="0.3">
      <c r="C2898" s="84"/>
      <c r="D2898" s="375" t="s">
        <v>128</v>
      </c>
      <c r="E2898" s="376" t="s">
        <v>129</v>
      </c>
      <c r="F2898" s="376" t="s">
        <v>130</v>
      </c>
      <c r="G2898" s="376" t="s">
        <v>131</v>
      </c>
      <c r="H2898" s="376" t="s">
        <v>132</v>
      </c>
      <c r="I2898" s="376" t="s">
        <v>133</v>
      </c>
      <c r="J2898" s="377" t="s">
        <v>134</v>
      </c>
      <c r="K2898" s="88"/>
      <c r="M2898" s="534"/>
      <c r="N2898" s="536" t="s">
        <v>113</v>
      </c>
      <c r="O2898" s="536"/>
      <c r="P2898" s="536"/>
      <c r="Q2898" s="536"/>
      <c r="R2898" s="536"/>
      <c r="S2898" s="536"/>
      <c r="T2898" s="536"/>
      <c r="U2898" s="536"/>
      <c r="V2898" s="411">
        <f>+SUM(V2894:V2897)</f>
        <v>347.2217399698057</v>
      </c>
      <c r="Y2898" s="398" t="s">
        <v>135</v>
      </c>
      <c r="Z2898" s="397">
        <f>+SUM(Z2894:Z2897)</f>
        <v>9722.2087191545597</v>
      </c>
      <c r="AA2898" s="86"/>
      <c r="AB2898" s="384"/>
      <c r="AC2898" s="385"/>
      <c r="AD2898" s="94"/>
      <c r="AE2898" s="399"/>
    </row>
    <row r="2899" spans="3:31" s="260" customFormat="1" ht="15.75" thickBot="1" x14ac:dyDescent="0.3">
      <c r="C2899" s="84"/>
      <c r="D2899" s="355"/>
      <c r="E2899" s="367"/>
      <c r="F2899" s="412">
        <f>+E2891</f>
        <v>3.1</v>
      </c>
      <c r="G2899" s="367"/>
      <c r="H2899" s="367"/>
      <c r="I2899" s="367"/>
      <c r="J2899" s="368"/>
      <c r="K2899" s="88"/>
      <c r="M2899" s="535"/>
      <c r="N2899" s="537" t="s">
        <v>114</v>
      </c>
      <c r="O2899" s="537"/>
      <c r="P2899" s="537"/>
      <c r="Q2899" s="537"/>
      <c r="R2899" s="537"/>
      <c r="S2899" s="537"/>
      <c r="T2899" s="537"/>
      <c r="U2899" s="537"/>
      <c r="V2899" s="413">
        <f>+ROUND(V2898,$AA$5)</f>
        <v>347.22</v>
      </c>
      <c r="Y2899" s="401" t="s">
        <v>136</v>
      </c>
      <c r="Z2899" s="402">
        <f>+ROUND(Z2898,$AA$5)</f>
        <v>9722.2099999999991</v>
      </c>
      <c r="AA2899" s="86"/>
      <c r="AB2899" s="403">
        <f>+V2899*Y2872</f>
        <v>9722.16</v>
      </c>
      <c r="AC2899" s="414"/>
      <c r="AD2899" s="94"/>
      <c r="AE2899" s="405"/>
    </row>
    <row r="2900" spans="3:31" s="260" customFormat="1" ht="15.75" thickBot="1" x14ac:dyDescent="0.3">
      <c r="C2900" s="84"/>
      <c r="D2900" s="415"/>
      <c r="E2900" s="416"/>
      <c r="F2900" s="416"/>
      <c r="G2900" s="416"/>
      <c r="H2900" s="416"/>
      <c r="I2900" s="416"/>
      <c r="J2900" s="417"/>
      <c r="K2900" s="88"/>
      <c r="M2900" s="538" t="s">
        <v>115</v>
      </c>
      <c r="N2900" s="539"/>
      <c r="O2900" s="539"/>
      <c r="P2900" s="539"/>
      <c r="Q2900" s="539"/>
      <c r="R2900" s="539"/>
      <c r="S2900" s="539"/>
      <c r="T2900" s="539"/>
      <c r="U2900" s="539"/>
      <c r="V2900" s="540"/>
      <c r="Y2900" s="378"/>
      <c r="Z2900" s="121"/>
      <c r="AA2900" s="86"/>
      <c r="AB2900" s="409"/>
      <c r="AC2900" s="121"/>
      <c r="AD2900" s="94"/>
      <c r="AE2900" s="126"/>
    </row>
    <row r="2901" spans="3:31" s="260" customFormat="1" ht="15.75" thickBot="1" x14ac:dyDescent="0.3">
      <c r="C2901" s="84"/>
      <c r="D2901" s="375" t="s">
        <v>128</v>
      </c>
      <c r="E2901" s="376" t="s">
        <v>129</v>
      </c>
      <c r="F2901" s="376" t="s">
        <v>130</v>
      </c>
      <c r="G2901" s="376" t="s">
        <v>131</v>
      </c>
      <c r="H2901" s="376" t="s">
        <v>132</v>
      </c>
      <c r="I2901" s="376" t="s">
        <v>133</v>
      </c>
      <c r="J2901" s="377" t="s">
        <v>134</v>
      </c>
      <c r="K2901" s="88"/>
      <c r="M2901" s="99" t="s">
        <v>94</v>
      </c>
      <c r="N2901" s="98" t="s">
        <v>95</v>
      </c>
      <c r="O2901" s="95" t="s">
        <v>96</v>
      </c>
      <c r="P2901" s="359" t="s">
        <v>104</v>
      </c>
      <c r="Q2901" s="95" t="s">
        <v>116</v>
      </c>
      <c r="R2901" s="418" t="s">
        <v>117</v>
      </c>
      <c r="S2901" s="95" t="s">
        <v>347</v>
      </c>
      <c r="T2901" s="419" t="s">
        <v>118</v>
      </c>
      <c r="U2901" s="189" t="s">
        <v>119</v>
      </c>
      <c r="V2901" s="100" t="s">
        <v>98</v>
      </c>
      <c r="Y2901" s="383" t="s">
        <v>104</v>
      </c>
      <c r="Z2901" s="119" t="s">
        <v>9</v>
      </c>
      <c r="AA2901" s="86"/>
      <c r="AB2901" s="384"/>
      <c r="AC2901" s="385"/>
      <c r="AD2901" s="94"/>
      <c r="AE2901" s="410"/>
    </row>
    <row r="2902" spans="3:31" s="260" customFormat="1" ht="25.5" x14ac:dyDescent="0.25">
      <c r="C2902" s="84"/>
      <c r="D2902" s="354"/>
      <c r="E2902" s="96"/>
      <c r="F2902" s="96"/>
      <c r="G2902" s="96"/>
      <c r="H2902" s="96"/>
      <c r="I2902" s="96"/>
      <c r="J2902" s="420">
        <f>+F2899</f>
        <v>3.1</v>
      </c>
      <c r="K2902" s="88"/>
      <c r="M2902" s="102">
        <v>207</v>
      </c>
      <c r="N2902" s="347" t="str">
        <f>IFERROR(VLOOKUP(M2902,INSUMOS!$C$8:$K$928,2,0),"-----")</f>
        <v>Oficial Hidrosanitario</v>
      </c>
      <c r="O2902" s="78" t="str">
        <f>IFERROR(VLOOKUP(M2902,INSUMOS!$C$8:$K$928,3,0),"-----")</f>
        <v>JORNAL+PS</v>
      </c>
      <c r="P2902" s="80">
        <v>1</v>
      </c>
      <c r="Q2902" s="79">
        <v>15</v>
      </c>
      <c r="R2902" s="190">
        <f>IFERROR(VLOOKUP(M2902,INSUMOS!$C$8:$K$928,4,0),"-----")</f>
        <v>92983</v>
      </c>
      <c r="S2902" s="190">
        <f>IFERROR(VLOOKUP(M2902,INSUMOS!$C$8:$K$928,6,0),"-----")</f>
        <v>74386</v>
      </c>
      <c r="T2902" s="190">
        <f>IFERROR(VLOOKUP(M2902,INSUMOS!$C$8:$K$928,5,0),"-----")</f>
        <v>0</v>
      </c>
      <c r="U2902" s="388">
        <f>SUM(R2902:T2902)</f>
        <v>167369</v>
      </c>
      <c r="V2902" s="82">
        <f>+IFERROR((P2902/Q2902)*U2902,0)</f>
        <v>11157.933333333332</v>
      </c>
      <c r="Y2902" s="393">
        <f>+IFERROR((Y2872/Q2902*P2902),0)</f>
        <v>1.8666666666666667</v>
      </c>
      <c r="Z2902" s="391">
        <f>Y2872*V2902</f>
        <v>312422.1333333333</v>
      </c>
      <c r="AA2902" s="86"/>
      <c r="AB2902" s="92">
        <f>+(U2902)*Y2902</f>
        <v>312422.13333333336</v>
      </c>
      <c r="AC2902" s="93">
        <f>+AB2902-Z2902</f>
        <v>0</v>
      </c>
      <c r="AD2902" s="421"/>
      <c r="AE2902" s="410" t="str">
        <f>+IF(V2902=0,"CERO","NO")</f>
        <v>NO</v>
      </c>
    </row>
    <row r="2903" spans="3:31" s="260" customFormat="1" ht="26.25" thickBot="1" x14ac:dyDescent="0.3">
      <c r="C2903" s="84"/>
      <c r="D2903" s="355"/>
      <c r="E2903" s="367"/>
      <c r="F2903" s="367"/>
      <c r="G2903" s="367"/>
      <c r="H2903" s="367"/>
      <c r="I2903" s="367"/>
      <c r="J2903" s="422">
        <f>+J2902</f>
        <v>3.1</v>
      </c>
      <c r="K2903" s="88"/>
      <c r="M2903" s="102">
        <v>208</v>
      </c>
      <c r="N2903" s="347" t="str">
        <f>IFERROR(VLOOKUP(M2903,INSUMOS!$C$8:$K$928,2,0),"-----")</f>
        <v>Ayudante Hidrosanitario</v>
      </c>
      <c r="O2903" s="78" t="str">
        <f>IFERROR(VLOOKUP(M2903,INSUMOS!$C$8:$K$928,3,0),"-----")</f>
        <v>JORNAL+PS</v>
      </c>
      <c r="P2903" s="80">
        <v>1</v>
      </c>
      <c r="Q2903" s="79">
        <v>15</v>
      </c>
      <c r="R2903" s="190">
        <f>IFERROR(VLOOKUP(M2903,INSUMOS!$C$8:$K$928,4,0),"-----")</f>
        <v>69172</v>
      </c>
      <c r="S2903" s="190">
        <f>IFERROR(VLOOKUP(M2903,INSUMOS!$C$8:$K$928,6,0),"-----")</f>
        <v>55337</v>
      </c>
      <c r="T2903" s="190">
        <f>IFERROR(VLOOKUP(M2903,INSUMOS!$C$8:$K$928,5,0),"-----")</f>
        <v>0</v>
      </c>
      <c r="U2903" s="388">
        <f>SUM(R2903:T2903)</f>
        <v>124509</v>
      </c>
      <c r="V2903" s="82">
        <f>+IFERROR((P2903/Q2903)*U2903,0)</f>
        <v>8300.6</v>
      </c>
      <c r="Y2903" s="393">
        <f>+IFERROR((Y2872/Q2903*P2903),0)</f>
        <v>1.8666666666666667</v>
      </c>
      <c r="Z2903" s="391">
        <f>Y2872*V2903</f>
        <v>232416.80000000002</v>
      </c>
      <c r="AA2903" s="86"/>
      <c r="AB2903" s="92">
        <f>+U2903*Y2903</f>
        <v>232416.80000000002</v>
      </c>
      <c r="AC2903" s="93">
        <f>+AB2903-Z2903</f>
        <v>0</v>
      </c>
      <c r="AD2903" s="94"/>
      <c r="AE2903" s="410" t="str">
        <f>+IF(V2903=0,"CERO","NO")</f>
        <v>NO</v>
      </c>
    </row>
    <row r="2904" spans="3:31" s="260" customFormat="1" ht="15.75" thickBot="1" x14ac:dyDescent="0.3">
      <c r="C2904" s="84"/>
      <c r="D2904" s="380"/>
      <c r="E2904" s="381"/>
      <c r="F2904" s="381"/>
      <c r="G2904" s="381"/>
      <c r="H2904" s="381"/>
      <c r="I2904" s="381"/>
      <c r="J2904" s="382"/>
      <c r="K2904" s="88"/>
      <c r="M2904" s="102">
        <v>0</v>
      </c>
      <c r="N2904" s="347"/>
      <c r="O2904" s="79"/>
      <c r="P2904" s="423"/>
      <c r="Q2904" s="81"/>
      <c r="R2904" s="111"/>
      <c r="S2904" s="357"/>
      <c r="T2904" s="111"/>
      <c r="U2904" s="388"/>
      <c r="V2904" s="426"/>
      <c r="Y2904" s="393">
        <f>+IFERROR((Y2872/Q2904*P2904),0)</f>
        <v>0</v>
      </c>
      <c r="Z2904" s="391">
        <f>Y2872*V2904</f>
        <v>0</v>
      </c>
      <c r="AA2904" s="86"/>
      <c r="AB2904" s="92">
        <f>+(U2904)*Y2904*P2904</f>
        <v>0</v>
      </c>
      <c r="AC2904" s="93">
        <f>+AB2904-Z2904</f>
        <v>0</v>
      </c>
      <c r="AD2904" s="94"/>
      <c r="AE2904" s="410" t="str">
        <f>+IF(V2904=0,"CERO","NO")</f>
        <v>CERO</v>
      </c>
    </row>
    <row r="2905" spans="3:31" s="260" customFormat="1" ht="15.75" thickBot="1" x14ac:dyDescent="0.3">
      <c r="C2905" s="84"/>
      <c r="D2905" s="375" t="s">
        <v>128</v>
      </c>
      <c r="E2905" s="376" t="s">
        <v>129</v>
      </c>
      <c r="F2905" s="376" t="s">
        <v>130</v>
      </c>
      <c r="G2905" s="376" t="s">
        <v>131</v>
      </c>
      <c r="H2905" s="376" t="s">
        <v>132</v>
      </c>
      <c r="I2905" s="376" t="s">
        <v>133</v>
      </c>
      <c r="J2905" s="377" t="s">
        <v>134</v>
      </c>
      <c r="K2905" s="88"/>
      <c r="M2905" s="534"/>
      <c r="N2905" s="536" t="s">
        <v>120</v>
      </c>
      <c r="O2905" s="536"/>
      <c r="P2905" s="536"/>
      <c r="Q2905" s="536"/>
      <c r="R2905" s="536"/>
      <c r="S2905" s="536"/>
      <c r="T2905" s="536"/>
      <c r="U2905" s="536"/>
      <c r="V2905" s="82">
        <f>+SUM(V2902:V2904)</f>
        <v>19458.533333333333</v>
      </c>
      <c r="Y2905" s="398" t="s">
        <v>135</v>
      </c>
      <c r="Z2905" s="397">
        <f>+SUM(Z2902:Z2904)</f>
        <v>544838.93333333335</v>
      </c>
      <c r="AA2905" s="86"/>
      <c r="AB2905" s="384"/>
      <c r="AC2905" s="385"/>
      <c r="AD2905" s="94"/>
      <c r="AE2905" s="399"/>
    </row>
    <row r="2906" spans="3:31" s="260" customFormat="1" ht="15.75" thickBot="1" x14ac:dyDescent="0.3">
      <c r="C2906" s="84"/>
      <c r="D2906" s="354"/>
      <c r="E2906" s="96"/>
      <c r="F2906" s="96"/>
      <c r="G2906" s="107">
        <f>+F2899</f>
        <v>3.1</v>
      </c>
      <c r="H2906" s="96"/>
      <c r="I2906" s="96"/>
      <c r="J2906" s="427"/>
      <c r="K2906" s="88"/>
      <c r="M2906" s="535"/>
      <c r="N2906" s="537" t="s">
        <v>121</v>
      </c>
      <c r="O2906" s="537"/>
      <c r="P2906" s="537"/>
      <c r="Q2906" s="537"/>
      <c r="R2906" s="537"/>
      <c r="S2906" s="537"/>
      <c r="T2906" s="537"/>
      <c r="U2906" s="537"/>
      <c r="V2906" s="413">
        <f>+ROUND(V2905,$AA$5)</f>
        <v>19458.53</v>
      </c>
      <c r="Y2906" s="401" t="s">
        <v>136</v>
      </c>
      <c r="Z2906" s="402">
        <f>+ROUND(Z2905,$AA$5)</f>
        <v>544838.93000000005</v>
      </c>
      <c r="AA2906" s="86"/>
      <c r="AB2906" s="403">
        <f>+V2906*Y2872</f>
        <v>544838.84</v>
      </c>
      <c r="AC2906" s="404">
        <f>+AB2906-Z2906</f>
        <v>-9.0000000083819032E-2</v>
      </c>
      <c r="AD2906" s="94"/>
      <c r="AE2906" s="405"/>
    </row>
    <row r="2907" spans="3:31" s="260" customFormat="1" ht="15.75" thickBot="1" x14ac:dyDescent="0.3">
      <c r="C2907" s="84"/>
      <c r="D2907" s="375" t="s">
        <v>128</v>
      </c>
      <c r="E2907" s="376" t="s">
        <v>129</v>
      </c>
      <c r="F2907" s="376" t="s">
        <v>130</v>
      </c>
      <c r="G2907" s="376" t="s">
        <v>131</v>
      </c>
      <c r="H2907" s="376" t="s">
        <v>132</v>
      </c>
      <c r="I2907" s="376" t="s">
        <v>133</v>
      </c>
      <c r="J2907" s="377" t="s">
        <v>134</v>
      </c>
      <c r="K2907" s="88"/>
      <c r="M2907" s="541"/>
      <c r="N2907" s="542"/>
      <c r="O2907" s="542"/>
      <c r="P2907" s="542"/>
      <c r="Q2907" s="542"/>
      <c r="R2907" s="542"/>
      <c r="S2907" s="542"/>
      <c r="T2907" s="542"/>
      <c r="U2907" s="542"/>
      <c r="V2907" s="543"/>
      <c r="Y2907" s="378"/>
      <c r="Z2907" s="121"/>
      <c r="AA2907" s="86"/>
      <c r="AB2907" s="409"/>
      <c r="AC2907" s="121"/>
      <c r="AD2907" s="94"/>
      <c r="AE2907" s="428"/>
    </row>
    <row r="2908" spans="3:31" s="260" customFormat="1" ht="15.75" thickBot="1" x14ac:dyDescent="0.3">
      <c r="C2908" s="84"/>
      <c r="D2908" s="355"/>
      <c r="E2908" s="367"/>
      <c r="F2908" s="367"/>
      <c r="G2908" s="367"/>
      <c r="H2908" s="412">
        <f>G2906</f>
        <v>3.1</v>
      </c>
      <c r="I2908" s="412"/>
      <c r="J2908" s="422"/>
      <c r="K2908" s="88"/>
      <c r="M2908" s="544" t="s">
        <v>122</v>
      </c>
      <c r="N2908" s="537"/>
      <c r="O2908" s="537"/>
      <c r="P2908" s="537"/>
      <c r="Q2908" s="537"/>
      <c r="R2908" s="537"/>
      <c r="S2908" s="537"/>
      <c r="T2908" s="537"/>
      <c r="U2908" s="545">
        <f>+V2906+V2899+V2891+V2882</f>
        <v>42778.68</v>
      </c>
      <c r="V2908" s="546"/>
      <c r="Y2908" s="429"/>
      <c r="Z2908" s="430">
        <f>+Z2906+Z2899+Z2891+Z2882</f>
        <v>1197803.08</v>
      </c>
      <c r="AA2908" s="86"/>
      <c r="AB2908" s="431">
        <f>+AB2906+AB2899+AB2891+AB2882</f>
        <v>1197803.04</v>
      </c>
      <c r="AC2908" s="404">
        <f>+AB2908-Z2908</f>
        <v>-4.0000000037252903E-2</v>
      </c>
      <c r="AD2908" s="94"/>
      <c r="AE2908" s="432"/>
    </row>
    <row r="2909" spans="3:31" s="260" customFormat="1" ht="15.75" thickBot="1" x14ac:dyDescent="0.3"/>
    <row r="2910" spans="3:31" s="260" customFormat="1" x14ac:dyDescent="0.25">
      <c r="M2910" s="547" t="s">
        <v>348</v>
      </c>
      <c r="N2910" s="548"/>
      <c r="O2910" s="548"/>
      <c r="P2910" s="548"/>
      <c r="Q2910" s="548"/>
      <c r="R2910" s="548"/>
      <c r="S2910" s="548"/>
      <c r="T2910" s="548"/>
      <c r="U2910" s="548"/>
      <c r="V2910" s="549"/>
      <c r="Y2910" s="378"/>
      <c r="Z2910" s="121"/>
      <c r="AA2910" s="86"/>
      <c r="AB2910" s="94"/>
      <c r="AC2910" s="94"/>
      <c r="AD2910" s="94"/>
      <c r="AE2910" s="126" t="s">
        <v>133</v>
      </c>
    </row>
    <row r="2911" spans="3:31" s="260" customFormat="1" x14ac:dyDescent="0.25">
      <c r="M2911" s="515" t="s">
        <v>138</v>
      </c>
      <c r="N2911" s="516"/>
      <c r="O2911" s="516"/>
      <c r="P2911" s="516"/>
      <c r="Q2911" s="516"/>
      <c r="R2911" s="516"/>
      <c r="S2911" s="516"/>
      <c r="T2911" s="437">
        <v>0</v>
      </c>
      <c r="U2911" s="517">
        <f>+ROUND(U2908*T2911,$AA$5)</f>
        <v>0</v>
      </c>
      <c r="V2911" s="518"/>
      <c r="Y2911" s="390"/>
      <c r="Z2911" s="438">
        <f>+Z2908*T2911</f>
        <v>0</v>
      </c>
      <c r="AA2911" s="86"/>
      <c r="AB2911" s="94"/>
      <c r="AC2911" s="94"/>
      <c r="AD2911" s="94"/>
      <c r="AE2911" s="386" t="s">
        <v>133</v>
      </c>
    </row>
    <row r="2912" spans="3:31" s="260" customFormat="1" x14ac:dyDescent="0.25">
      <c r="M2912" s="515" t="s">
        <v>19</v>
      </c>
      <c r="N2912" s="516"/>
      <c r="O2912" s="516"/>
      <c r="P2912" s="516"/>
      <c r="Q2912" s="516"/>
      <c r="R2912" s="516"/>
      <c r="S2912" s="516"/>
      <c r="T2912" s="437">
        <v>0.05</v>
      </c>
      <c r="U2912" s="517">
        <f>+ROUND(U2908*T2912,$AA$5)</f>
        <v>2138.9299999999998</v>
      </c>
      <c r="V2912" s="518"/>
      <c r="Y2912" s="390"/>
      <c r="Z2912" s="438">
        <f>+Z2908*T2912</f>
        <v>59890.15400000001</v>
      </c>
      <c r="AA2912" s="86"/>
      <c r="AB2912" s="94"/>
      <c r="AC2912" s="94"/>
      <c r="AD2912" s="94"/>
      <c r="AE2912" s="386" t="s">
        <v>133</v>
      </c>
    </row>
    <row r="2913" spans="3:31" s="260" customFormat="1" x14ac:dyDescent="0.25">
      <c r="M2913" s="515" t="s">
        <v>20</v>
      </c>
      <c r="N2913" s="516"/>
      <c r="O2913" s="516"/>
      <c r="P2913" s="516"/>
      <c r="Q2913" s="516"/>
      <c r="R2913" s="516"/>
      <c r="S2913" s="516"/>
      <c r="T2913" s="437">
        <v>0</v>
      </c>
      <c r="U2913" s="517">
        <f>+ROUND(U2908*T2913,$AA$5)</f>
        <v>0</v>
      </c>
      <c r="V2913" s="518"/>
      <c r="Y2913" s="390"/>
      <c r="Z2913" s="438">
        <f>+Z2908*T2913</f>
        <v>0</v>
      </c>
      <c r="AA2913" s="86"/>
      <c r="AB2913" s="94"/>
      <c r="AC2913" s="94"/>
      <c r="AD2913" s="94"/>
      <c r="AE2913" s="386" t="s">
        <v>133</v>
      </c>
    </row>
    <row r="2914" spans="3:31" s="260" customFormat="1" x14ac:dyDescent="0.25">
      <c r="M2914" s="515" t="s">
        <v>21</v>
      </c>
      <c r="N2914" s="516"/>
      <c r="O2914" s="516"/>
      <c r="P2914" s="516"/>
      <c r="Q2914" s="516"/>
      <c r="R2914" s="516"/>
      <c r="S2914" s="516"/>
      <c r="T2914" s="437">
        <f>$AA$9</f>
        <v>0</v>
      </c>
      <c r="U2914" s="517">
        <f>+ROUND(U2908*T2914,$AA$5)</f>
        <v>0</v>
      </c>
      <c r="V2914" s="518"/>
      <c r="Y2914" s="390"/>
      <c r="Z2914" s="438">
        <f>+Z2913*T2914</f>
        <v>0</v>
      </c>
      <c r="AA2914" s="86"/>
      <c r="AB2914" s="94"/>
      <c r="AC2914" s="94"/>
      <c r="AD2914" s="94"/>
      <c r="AE2914" s="386" t="s">
        <v>133</v>
      </c>
    </row>
    <row r="2915" spans="3:31" s="260" customFormat="1" ht="15.75" thickBot="1" x14ac:dyDescent="0.3">
      <c r="M2915" s="519" t="s">
        <v>349</v>
      </c>
      <c r="N2915" s="520"/>
      <c r="O2915" s="520"/>
      <c r="P2915" s="520"/>
      <c r="Q2915" s="520"/>
      <c r="R2915" s="520"/>
      <c r="S2915" s="520"/>
      <c r="T2915" s="520"/>
      <c r="U2915" s="521">
        <f>+SUM(U2911:V2914)</f>
        <v>2138.9299999999998</v>
      </c>
      <c r="V2915" s="522"/>
      <c r="Y2915" s="390"/>
      <c r="Z2915" s="439">
        <f>+SUM(Z2911:Z2914)</f>
        <v>59890.15400000001</v>
      </c>
      <c r="AA2915" s="86"/>
      <c r="AB2915" s="94"/>
      <c r="AC2915" s="94"/>
      <c r="AD2915" s="94"/>
      <c r="AE2915" s="386" t="s">
        <v>133</v>
      </c>
    </row>
    <row r="2916" spans="3:31" s="260" customFormat="1" ht="15.75" thickBot="1" x14ac:dyDescent="0.3">
      <c r="D2916" s="375" t="s">
        <v>128</v>
      </c>
      <c r="E2916" s="376" t="s">
        <v>129</v>
      </c>
      <c r="F2916" s="376" t="s">
        <v>130</v>
      </c>
      <c r="G2916" s="376" t="s">
        <v>131</v>
      </c>
      <c r="H2916" s="376" t="s">
        <v>132</v>
      </c>
      <c r="I2916" s="376" t="s">
        <v>133</v>
      </c>
      <c r="J2916" s="377" t="s">
        <v>134</v>
      </c>
      <c r="M2916" s="86"/>
      <c r="N2916" s="94"/>
      <c r="O2916" s="94"/>
      <c r="P2916" s="94"/>
      <c r="Q2916" s="86"/>
      <c r="R2916" s="86"/>
      <c r="S2916" s="86"/>
      <c r="T2916" s="440"/>
      <c r="U2916" s="523"/>
      <c r="V2916" s="523"/>
      <c r="Y2916" s="390"/>
      <c r="Z2916" s="385"/>
      <c r="AA2916" s="86"/>
      <c r="AB2916" s="94"/>
      <c r="AC2916" s="94"/>
      <c r="AD2916" s="94"/>
      <c r="AE2916" s="386" t="s">
        <v>133</v>
      </c>
    </row>
    <row r="2917" spans="3:31" s="260" customFormat="1" ht="15.75" thickBot="1" x14ac:dyDescent="0.3">
      <c r="D2917" s="355"/>
      <c r="E2917" s="367"/>
      <c r="F2917" s="367"/>
      <c r="G2917" s="367"/>
      <c r="H2917" s="412"/>
      <c r="I2917" s="412">
        <f>H2908</f>
        <v>3.1</v>
      </c>
      <c r="J2917" s="422"/>
      <c r="M2917" s="524" t="s">
        <v>11</v>
      </c>
      <c r="N2917" s="525"/>
      <c r="O2917" s="525"/>
      <c r="P2917" s="525"/>
      <c r="Q2917" s="525"/>
      <c r="R2917" s="525"/>
      <c r="S2917" s="525"/>
      <c r="T2917" s="526"/>
      <c r="U2917" s="527">
        <f>+U2915+U2908</f>
        <v>44917.61</v>
      </c>
      <c r="V2917" s="528"/>
      <c r="Y2917" s="429"/>
      <c r="Z2917" s="441">
        <f>+Z2915+Z2908</f>
        <v>1257693.2340000002</v>
      </c>
      <c r="AA2917" s="86"/>
      <c r="AB2917" s="94"/>
      <c r="AC2917" s="94"/>
      <c r="AD2917" s="94"/>
      <c r="AE2917" s="405" t="s">
        <v>133</v>
      </c>
    </row>
    <row r="2918" spans="3:31" s="260" customFormat="1" x14ac:dyDescent="0.25"/>
    <row r="2919" spans="3:31" s="260" customFormat="1" ht="15.75" thickBot="1" x14ac:dyDescent="0.3"/>
    <row r="2920" spans="3:31" s="260" customFormat="1" ht="15.75" thickBot="1" x14ac:dyDescent="0.3">
      <c r="M2920" s="363" t="s">
        <v>88</v>
      </c>
      <c r="N2920" s="436" t="str">
        <f>+N2871</f>
        <v>CAP.3</v>
      </c>
      <c r="O2920" s="550" t="str">
        <f>IFERROR(VLOOKUP(N2920,PPTO!C:H,2,0),"----")</f>
        <v>RED CONTRAINCENDIOS</v>
      </c>
      <c r="P2920" s="551"/>
      <c r="Q2920" s="551"/>
      <c r="R2920" s="551"/>
      <c r="S2920" s="551"/>
      <c r="T2920" s="551"/>
      <c r="U2920" s="552"/>
      <c r="V2920" s="74" t="s">
        <v>91</v>
      </c>
      <c r="Y2920" s="365" t="s">
        <v>104</v>
      </c>
      <c r="Z2920" s="94"/>
      <c r="AA2920" s="188"/>
      <c r="AB2920" s="553"/>
      <c r="AC2920" s="553"/>
      <c r="AD2920" s="553"/>
      <c r="AE2920" s="94"/>
    </row>
    <row r="2921" spans="3:31" s="260" customFormat="1" ht="15.75" thickBot="1" x14ac:dyDescent="0.3">
      <c r="C2921" s="369">
        <f>+N2921</f>
        <v>3.11</v>
      </c>
      <c r="D2921" s="86"/>
      <c r="E2921" s="86"/>
      <c r="F2921" s="86"/>
      <c r="G2921" s="86"/>
      <c r="H2921" s="86"/>
      <c r="I2921" s="86"/>
      <c r="J2921" s="86"/>
      <c r="K2921" s="370"/>
      <c r="M2921" s="75" t="s">
        <v>92</v>
      </c>
      <c r="N2921" s="371">
        <f>+ROUNDUP(N2872+0.01,2)</f>
        <v>3.11</v>
      </c>
      <c r="O2921" s="554" t="str">
        <f>IFERROR(VLOOKUP(N2921,PPTO!C:H,2,0),"----")</f>
        <v>Tee ranurada AG Ø3"</v>
      </c>
      <c r="P2921" s="555"/>
      <c r="Q2921" s="555"/>
      <c r="R2921" s="555"/>
      <c r="S2921" s="555"/>
      <c r="T2921" s="555"/>
      <c r="U2921" s="556"/>
      <c r="V2921" s="76" t="str">
        <f>IFERROR(VLOOKUP(N2921,PPTO!C:H,3,0),"----")</f>
        <v>UND</v>
      </c>
      <c r="Y2921" s="373">
        <f>SUMIFS(PPTO!F:F,PPTO!C:C,APUS!N2921)</f>
        <v>186</v>
      </c>
      <c r="Z2921" s="94"/>
      <c r="AA2921" s="86"/>
      <c r="AB2921" s="94"/>
      <c r="AC2921" s="94"/>
      <c r="AD2921" s="94"/>
      <c r="AE2921" s="94"/>
    </row>
    <row r="2922" spans="3:31" s="260" customFormat="1" ht="15.75" thickBot="1" x14ac:dyDescent="0.3">
      <c r="C2922" s="84"/>
      <c r="D2922" s="86"/>
      <c r="E2922" s="86"/>
      <c r="F2922" s="86"/>
      <c r="G2922" s="86"/>
      <c r="H2922" s="86"/>
      <c r="I2922" s="86"/>
      <c r="J2922" s="86"/>
      <c r="K2922" s="88"/>
      <c r="M2922" s="557"/>
      <c r="N2922" s="557"/>
      <c r="O2922" s="557"/>
      <c r="P2922" s="557"/>
      <c r="Q2922" s="557"/>
      <c r="R2922" s="557"/>
      <c r="S2922" s="557"/>
      <c r="T2922" s="557"/>
      <c r="U2922" s="557"/>
      <c r="V2922" s="557"/>
      <c r="Y2922" s="374"/>
      <c r="Z2922" s="94"/>
      <c r="AA2922" s="86"/>
      <c r="AB2922" s="94"/>
      <c r="AC2922" s="94"/>
      <c r="AD2922" s="94"/>
      <c r="AE2922" s="94"/>
    </row>
    <row r="2923" spans="3:31" s="260" customFormat="1" ht="15.75" thickBot="1" x14ac:dyDescent="0.3">
      <c r="C2923" s="84"/>
      <c r="D2923" s="375" t="s">
        <v>128</v>
      </c>
      <c r="E2923" s="376" t="s">
        <v>129</v>
      </c>
      <c r="F2923" s="376" t="s">
        <v>130</v>
      </c>
      <c r="G2923" s="376" t="s">
        <v>131</v>
      </c>
      <c r="H2923" s="376" t="s">
        <v>132</v>
      </c>
      <c r="I2923" s="376" t="s">
        <v>133</v>
      </c>
      <c r="J2923" s="377" t="s">
        <v>134</v>
      </c>
      <c r="K2923" s="88"/>
      <c r="M2923" s="558" t="s">
        <v>93</v>
      </c>
      <c r="N2923" s="559"/>
      <c r="O2923" s="559"/>
      <c r="P2923" s="559"/>
      <c r="Q2923" s="559"/>
      <c r="R2923" s="559"/>
      <c r="S2923" s="559"/>
      <c r="T2923" s="559"/>
      <c r="U2923" s="559"/>
      <c r="V2923" s="560"/>
      <c r="Y2923" s="378"/>
      <c r="Z2923" s="121"/>
      <c r="AA2923" s="86"/>
      <c r="AB2923" s="513"/>
      <c r="AC2923" s="514"/>
      <c r="AD2923" s="94"/>
      <c r="AE2923" s="379"/>
    </row>
    <row r="2924" spans="3:31" s="260" customFormat="1" x14ac:dyDescent="0.25">
      <c r="C2924" s="84"/>
      <c r="D2924" s="380"/>
      <c r="E2924" s="381"/>
      <c r="F2924" s="381"/>
      <c r="G2924" s="381"/>
      <c r="H2924" s="381"/>
      <c r="I2924" s="381"/>
      <c r="J2924" s="382"/>
      <c r="K2924" s="88"/>
      <c r="M2924" s="99" t="s">
        <v>94</v>
      </c>
      <c r="N2924" s="561" t="s">
        <v>95</v>
      </c>
      <c r="O2924" s="561"/>
      <c r="P2924" s="561"/>
      <c r="Q2924" s="561"/>
      <c r="R2924" s="95" t="s">
        <v>96</v>
      </c>
      <c r="S2924" s="95" t="s">
        <v>97</v>
      </c>
      <c r="T2924" s="562" t="s">
        <v>8</v>
      </c>
      <c r="U2924" s="562"/>
      <c r="V2924" s="100" t="s">
        <v>98</v>
      </c>
      <c r="Y2924" s="383" t="s">
        <v>104</v>
      </c>
      <c r="Z2924" s="119" t="s">
        <v>9</v>
      </c>
      <c r="AA2924" s="86"/>
      <c r="AB2924" s="384"/>
      <c r="AC2924" s="385"/>
      <c r="AD2924" s="94"/>
      <c r="AE2924" s="386"/>
    </row>
    <row r="2925" spans="3:31" s="260" customFormat="1" x14ac:dyDescent="0.25">
      <c r="C2925" s="84"/>
      <c r="D2925" s="85"/>
      <c r="E2925" s="86"/>
      <c r="F2925" s="86"/>
      <c r="G2925" s="86"/>
      <c r="H2925" s="86"/>
      <c r="I2925" s="86"/>
      <c r="J2925" s="87"/>
      <c r="K2925" s="88"/>
      <c r="M2925" s="102"/>
      <c r="N2925" s="533" t="s">
        <v>99</v>
      </c>
      <c r="O2925" s="533"/>
      <c r="P2925" s="533"/>
      <c r="Q2925" s="533"/>
      <c r="R2925" s="78" t="s">
        <v>100</v>
      </c>
      <c r="S2925" s="387">
        <f>+$AA$10</f>
        <v>0.05</v>
      </c>
      <c r="T2925" s="563">
        <f>V2955</f>
        <v>19458.53</v>
      </c>
      <c r="U2925" s="563"/>
      <c r="V2925" s="389">
        <f>+IFERROR(T2925*S2925,0)</f>
        <v>972.92650000000003</v>
      </c>
      <c r="Y2925" s="390"/>
      <c r="Z2925" s="391">
        <f>Y2921*V2925</f>
        <v>180964.329</v>
      </c>
      <c r="AA2925" s="86"/>
      <c r="AB2925" s="384"/>
      <c r="AC2925" s="385"/>
      <c r="AD2925" s="94"/>
      <c r="AE2925" s="386" t="str">
        <f>+IF(V2925=0,"CERO","NO")</f>
        <v>NO</v>
      </c>
    </row>
    <row r="2926" spans="3:31" s="260" customFormat="1" x14ac:dyDescent="0.25">
      <c r="C2926" s="84"/>
      <c r="D2926" s="85"/>
      <c r="E2926" s="86"/>
      <c r="F2926" s="86"/>
      <c r="G2926" s="86"/>
      <c r="H2926" s="86"/>
      <c r="I2926" s="86"/>
      <c r="J2926" s="87"/>
      <c r="K2926" s="88"/>
      <c r="M2926" s="106"/>
      <c r="N2926" s="533" t="str">
        <f>IFERROR(VLOOKUP(M2926,INSUMOS!$C$8:$K$928,2,0),"-----")</f>
        <v>-----</v>
      </c>
      <c r="O2926" s="533"/>
      <c r="P2926" s="533"/>
      <c r="Q2926" s="533"/>
      <c r="R2926" s="78" t="str">
        <f>IFERROR(VLOOKUP(M2926,INSUMOS!$C$8:$K$928,6,0),"-----")</f>
        <v>-----</v>
      </c>
      <c r="S2926" s="392"/>
      <c r="T2926" s="529" t="str">
        <f>IFERROR(VLOOKUP(M2926,INSUMOS!$C$8:$K$928,7,0),"0")</f>
        <v>0</v>
      </c>
      <c r="U2926" s="529"/>
      <c r="V2926" s="389">
        <f>+IFERROR(T2926*S2926,0)</f>
        <v>0</v>
      </c>
      <c r="Y2926" s="393">
        <f>+IFERROR(Y2921*S2926,0)</f>
        <v>0</v>
      </c>
      <c r="Z2926" s="391">
        <f>Y2921*V2926</f>
        <v>0</v>
      </c>
      <c r="AA2926" s="394"/>
      <c r="AB2926" s="395">
        <f>+Y2926*T2926</f>
        <v>0</v>
      </c>
      <c r="AC2926" s="93">
        <f>+AB2926-Z2926</f>
        <v>0</v>
      </c>
      <c r="AD2926" s="94"/>
      <c r="AE2926" s="386" t="str">
        <f>+IF(V2926=0,"CERO","NO")</f>
        <v>CERO</v>
      </c>
    </row>
    <row r="2927" spans="3:31" s="260" customFormat="1" x14ac:dyDescent="0.25">
      <c r="C2927" s="84"/>
      <c r="D2927" s="85"/>
      <c r="E2927" s="86"/>
      <c r="F2927" s="86"/>
      <c r="G2927" s="86"/>
      <c r="H2927" s="86"/>
      <c r="I2927" s="86"/>
      <c r="J2927" s="87"/>
      <c r="K2927" s="88"/>
      <c r="M2927" s="102">
        <v>0</v>
      </c>
      <c r="N2927" s="533"/>
      <c r="O2927" s="533"/>
      <c r="P2927" s="533"/>
      <c r="Q2927" s="533"/>
      <c r="R2927" s="78"/>
      <c r="S2927" s="396"/>
      <c r="T2927" s="529"/>
      <c r="U2927" s="529"/>
      <c r="V2927" s="397"/>
      <c r="Y2927" s="393">
        <f>+IFERROR(Y2921*S2927,0)</f>
        <v>0</v>
      </c>
      <c r="Z2927" s="391">
        <f>Y2921*V2927</f>
        <v>0</v>
      </c>
      <c r="AA2927" s="394"/>
      <c r="AB2927" s="395">
        <f>+Y2927*T2927</f>
        <v>0</v>
      </c>
      <c r="AC2927" s="93">
        <f>+AB2927-Z2927</f>
        <v>0</v>
      </c>
      <c r="AD2927" s="94"/>
      <c r="AE2927" s="386" t="str">
        <f>+IF(V2927=0,"CERO","NO")</f>
        <v>CERO</v>
      </c>
    </row>
    <row r="2928" spans="3:31" s="260" customFormat="1" x14ac:dyDescent="0.25">
      <c r="C2928" s="84"/>
      <c r="D2928" s="85"/>
      <c r="E2928" s="86"/>
      <c r="F2928" s="86"/>
      <c r="G2928" s="86"/>
      <c r="H2928" s="86"/>
      <c r="I2928" s="86"/>
      <c r="J2928" s="87"/>
      <c r="K2928" s="88"/>
      <c r="M2928" s="102">
        <v>0</v>
      </c>
      <c r="N2928" s="533"/>
      <c r="O2928" s="533"/>
      <c r="P2928" s="533"/>
      <c r="Q2928" s="533"/>
      <c r="R2928" s="78"/>
      <c r="S2928" s="396"/>
      <c r="T2928" s="529"/>
      <c r="U2928" s="529"/>
      <c r="V2928" s="397"/>
      <c r="Y2928" s="393">
        <f>+IFERROR(Y2921*S2928,0)</f>
        <v>0</v>
      </c>
      <c r="Z2928" s="391">
        <f>Y2921*V2928</f>
        <v>0</v>
      </c>
      <c r="AA2928" s="394"/>
      <c r="AB2928" s="395">
        <f>+Y2928*T2928</f>
        <v>0</v>
      </c>
      <c r="AC2928" s="93">
        <f>+AB2928-Z2928</f>
        <v>0</v>
      </c>
      <c r="AD2928" s="94"/>
      <c r="AE2928" s="386" t="str">
        <f>+IF(V2928=0,"CERO","NO")</f>
        <v>CERO</v>
      </c>
    </row>
    <row r="2929" spans="3:31" s="260" customFormat="1" ht="15.75" thickBot="1" x14ac:dyDescent="0.3">
      <c r="C2929" s="84"/>
      <c r="D2929" s="85"/>
      <c r="E2929" s="86"/>
      <c r="F2929" s="86"/>
      <c r="G2929" s="86"/>
      <c r="H2929" s="86"/>
      <c r="I2929" s="86"/>
      <c r="J2929" s="87"/>
      <c r="K2929" s="88"/>
      <c r="M2929" s="102">
        <v>0</v>
      </c>
      <c r="N2929" s="564"/>
      <c r="O2929" s="564"/>
      <c r="P2929" s="564"/>
      <c r="Q2929" s="564"/>
      <c r="R2929" s="96"/>
      <c r="S2929" s="96"/>
      <c r="T2929" s="565"/>
      <c r="U2929" s="565"/>
      <c r="V2929" s="101"/>
      <c r="Y2929" s="393">
        <f>+IFERROR(Y2921*S2929,0)</f>
        <v>0</v>
      </c>
      <c r="Z2929" s="391">
        <f>Y2921*V2929</f>
        <v>0</v>
      </c>
      <c r="AA2929" s="394"/>
      <c r="AB2929" s="395">
        <f>+Y2929*T2929</f>
        <v>0</v>
      </c>
      <c r="AC2929" s="93">
        <f>+AB2929-Z2929</f>
        <v>0</v>
      </c>
      <c r="AD2929" s="94"/>
      <c r="AE2929" s="386" t="str">
        <f>+IF(V2929=0,"CERO","NO")</f>
        <v>CERO</v>
      </c>
    </row>
    <row r="2930" spans="3:31" s="260" customFormat="1" ht="15.75" thickBot="1" x14ac:dyDescent="0.3">
      <c r="C2930" s="84"/>
      <c r="D2930" s="375" t="s">
        <v>128</v>
      </c>
      <c r="E2930" s="376" t="s">
        <v>129</v>
      </c>
      <c r="F2930" s="376" t="s">
        <v>130</v>
      </c>
      <c r="G2930" s="376" t="s">
        <v>131</v>
      </c>
      <c r="H2930" s="376" t="s">
        <v>132</v>
      </c>
      <c r="I2930" s="376" t="s">
        <v>133</v>
      </c>
      <c r="J2930" s="377" t="s">
        <v>134</v>
      </c>
      <c r="K2930" s="88"/>
      <c r="M2930" s="534"/>
      <c r="N2930" s="536" t="s">
        <v>101</v>
      </c>
      <c r="O2930" s="536"/>
      <c r="P2930" s="536"/>
      <c r="Q2930" s="536"/>
      <c r="R2930" s="536"/>
      <c r="S2930" s="536"/>
      <c r="T2930" s="536"/>
      <c r="U2930" s="536"/>
      <c r="V2930" s="389">
        <f>+SUM(V2925:V2929)</f>
        <v>972.92650000000003</v>
      </c>
      <c r="Y2930" s="398" t="s">
        <v>135</v>
      </c>
      <c r="Z2930" s="397">
        <f>+SUM(Z2925:Z2929)</f>
        <v>180964.329</v>
      </c>
      <c r="AA2930" s="86"/>
      <c r="AB2930" s="384"/>
      <c r="AC2930" s="385"/>
      <c r="AD2930" s="94"/>
      <c r="AE2930" s="399"/>
    </row>
    <row r="2931" spans="3:31" s="260" customFormat="1" ht="15.75" thickBot="1" x14ac:dyDescent="0.3">
      <c r="C2931" s="84"/>
      <c r="D2931" s="375">
        <f>C2921</f>
        <v>3.11</v>
      </c>
      <c r="E2931" s="376"/>
      <c r="F2931" s="376"/>
      <c r="G2931" s="376"/>
      <c r="H2931" s="376"/>
      <c r="I2931" s="376"/>
      <c r="J2931" s="377"/>
      <c r="K2931" s="88"/>
      <c r="M2931" s="566"/>
      <c r="N2931" s="567" t="s">
        <v>102</v>
      </c>
      <c r="O2931" s="567"/>
      <c r="P2931" s="567"/>
      <c r="Q2931" s="567"/>
      <c r="R2931" s="567"/>
      <c r="S2931" s="567"/>
      <c r="T2931" s="567"/>
      <c r="U2931" s="567"/>
      <c r="V2931" s="400">
        <f>+ROUND(V2930,$AA$5)</f>
        <v>972.93</v>
      </c>
      <c r="Y2931" s="401" t="s">
        <v>136</v>
      </c>
      <c r="Z2931" s="402">
        <f>+ROUND(Z2930,$AA$5)</f>
        <v>180964.33</v>
      </c>
      <c r="AA2931" s="86"/>
      <c r="AB2931" s="403">
        <f>+V2931*Y2921</f>
        <v>180964.97999999998</v>
      </c>
      <c r="AC2931" s="404">
        <f>+AB2931-Z2931</f>
        <v>0.64999999999417923</v>
      </c>
      <c r="AD2931" s="94"/>
      <c r="AE2931" s="405"/>
    </row>
    <row r="2932" spans="3:31" s="260" customFormat="1" x14ac:dyDescent="0.25">
      <c r="C2932" s="84"/>
      <c r="D2932" s="380"/>
      <c r="E2932" s="381"/>
      <c r="F2932" s="381"/>
      <c r="G2932" s="381"/>
      <c r="H2932" s="381"/>
      <c r="I2932" s="381"/>
      <c r="J2932" s="382"/>
      <c r="K2932" s="88"/>
      <c r="M2932" s="510" t="s">
        <v>103</v>
      </c>
      <c r="N2932" s="511"/>
      <c r="O2932" s="511"/>
      <c r="P2932" s="511"/>
      <c r="Q2932" s="511"/>
      <c r="R2932" s="511"/>
      <c r="S2932" s="511"/>
      <c r="T2932" s="511"/>
      <c r="U2932" s="511"/>
      <c r="V2932" s="512"/>
      <c r="Y2932" s="378"/>
      <c r="Z2932" s="121"/>
      <c r="AA2932" s="86"/>
      <c r="AB2932" s="513"/>
      <c r="AC2932" s="514"/>
      <c r="AD2932" s="94"/>
      <c r="AE2932" s="126"/>
    </row>
    <row r="2933" spans="3:31" s="260" customFormat="1" x14ac:dyDescent="0.25">
      <c r="C2933" s="84"/>
      <c r="D2933" s="85"/>
      <c r="E2933" s="86"/>
      <c r="F2933" s="86"/>
      <c r="G2933" s="86"/>
      <c r="H2933" s="86"/>
      <c r="I2933" s="86"/>
      <c r="J2933" s="87"/>
      <c r="K2933" s="88"/>
      <c r="M2933" s="99" t="s">
        <v>94</v>
      </c>
      <c r="N2933" s="561" t="s">
        <v>95</v>
      </c>
      <c r="O2933" s="561"/>
      <c r="P2933" s="561"/>
      <c r="Q2933" s="561"/>
      <c r="R2933" s="95" t="s">
        <v>96</v>
      </c>
      <c r="S2933" s="95" t="s">
        <v>104</v>
      </c>
      <c r="T2933" s="356" t="s">
        <v>105</v>
      </c>
      <c r="U2933" s="356" t="s">
        <v>8</v>
      </c>
      <c r="V2933" s="100" t="s">
        <v>98</v>
      </c>
      <c r="Y2933" s="383" t="s">
        <v>104</v>
      </c>
      <c r="Z2933" s="119" t="s">
        <v>9</v>
      </c>
      <c r="AA2933" s="86"/>
      <c r="AB2933" s="384"/>
      <c r="AC2933" s="385"/>
      <c r="AD2933" s="94"/>
      <c r="AE2933" s="406"/>
    </row>
    <row r="2934" spans="3:31" s="260" customFormat="1" x14ac:dyDescent="0.25">
      <c r="C2934" s="84"/>
      <c r="D2934" s="85"/>
      <c r="E2934" s="86"/>
      <c r="F2934" s="86"/>
      <c r="G2934" s="86"/>
      <c r="H2934" s="86"/>
      <c r="I2934" s="86"/>
      <c r="J2934" s="87"/>
      <c r="K2934" s="88"/>
      <c r="M2934" s="102">
        <v>745</v>
      </c>
      <c r="N2934" s="533" t="str">
        <f>IFERROR(VLOOKUP(M2934,INSUMOS!$C$8:$K$928,2,0),"-----")</f>
        <v>TEE RANURADO Ø3"</v>
      </c>
      <c r="O2934" s="533"/>
      <c r="P2934" s="533"/>
      <c r="Q2934" s="533"/>
      <c r="R2934" s="78" t="str">
        <f>IFERROR(VLOOKUP(M2934,INSUMOS!$C$8:$K$928,6,0),"-----")</f>
        <v>und</v>
      </c>
      <c r="S2934" s="396">
        <v>1</v>
      </c>
      <c r="T2934" s="387">
        <v>0</v>
      </c>
      <c r="U2934" s="388">
        <f>IFERROR(VLOOKUP(M2934,INSUMOS!$C$8:$K$928,7,0),"0")</f>
        <v>36000</v>
      </c>
      <c r="V2934" s="389">
        <f>+IFERROR(U2934*(S2934*(1+T2934)),0)</f>
        <v>36000</v>
      </c>
      <c r="Y2934" s="393">
        <f>+IFERROR(Y2921*(S2934*(1+T2934)),0)</f>
        <v>186</v>
      </c>
      <c r="Z2934" s="391">
        <f>Y2921*V2934</f>
        <v>6696000</v>
      </c>
      <c r="AA2934" s="394"/>
      <c r="AB2934" s="395">
        <f>+Y2934*U2934</f>
        <v>6696000</v>
      </c>
      <c r="AC2934" s="93">
        <f>+AB2934-Z2934</f>
        <v>0</v>
      </c>
      <c r="AD2934" s="94"/>
      <c r="AE2934" s="406" t="str">
        <f>+IF(V2934=0,"CERO","NO")</f>
        <v>NO</v>
      </c>
    </row>
    <row r="2935" spans="3:31" s="260" customFormat="1" x14ac:dyDescent="0.25">
      <c r="C2935" s="84"/>
      <c r="D2935" s="85"/>
      <c r="E2935" s="86"/>
      <c r="F2935" s="86"/>
      <c r="G2935" s="86"/>
      <c r="H2935" s="86"/>
      <c r="I2935" s="86"/>
      <c r="J2935" s="87"/>
      <c r="K2935" s="88"/>
      <c r="M2935" s="102"/>
      <c r="N2935" s="533" t="str">
        <f>IFERROR(VLOOKUP(M2935,INSUMOS!$C$8:$K$928,2,0),"-----")</f>
        <v>-----</v>
      </c>
      <c r="O2935" s="533"/>
      <c r="P2935" s="533"/>
      <c r="Q2935" s="533"/>
      <c r="R2935" s="78" t="str">
        <f>IFERROR(VLOOKUP(M2935,INSUMOS!$C$8:$K$928,6,0),"-----")</f>
        <v>-----</v>
      </c>
      <c r="S2935" s="392"/>
      <c r="T2935" s="387">
        <v>0</v>
      </c>
      <c r="U2935" s="388" t="str">
        <f>IFERROR(VLOOKUP(M2935,INSUMOS!$C$8:$K$928,7,0),"0")</f>
        <v>0</v>
      </c>
      <c r="V2935" s="389">
        <f>+IFERROR(U2935*(S2935*(1+T2935)),0)</f>
        <v>0</v>
      </c>
      <c r="Y2935" s="393">
        <f>+IFERROR(Y2921*(S2935*(1+T2935)),0)</f>
        <v>0</v>
      </c>
      <c r="Z2935" s="391">
        <f>Y2921*V2935</f>
        <v>0</v>
      </c>
      <c r="AA2935" s="394"/>
      <c r="AB2935" s="395">
        <f>+Y2935*U2935</f>
        <v>0</v>
      </c>
      <c r="AC2935" s="93">
        <f>+AB2935-Z2935</f>
        <v>0</v>
      </c>
      <c r="AD2935" s="94"/>
      <c r="AE2935" s="406" t="str">
        <f>+IF(V2935=0,"CERO","NO")</f>
        <v>CERO</v>
      </c>
    </row>
    <row r="2936" spans="3:31" s="260" customFormat="1" x14ac:dyDescent="0.25">
      <c r="C2936" s="84"/>
      <c r="D2936" s="85"/>
      <c r="E2936" s="86"/>
      <c r="F2936" s="86"/>
      <c r="G2936" s="86"/>
      <c r="H2936" s="86"/>
      <c r="I2936" s="86"/>
      <c r="J2936" s="87"/>
      <c r="K2936" s="88"/>
      <c r="M2936" s="102"/>
      <c r="N2936" s="533" t="str">
        <f>IFERROR(VLOOKUP(M2936,INSUMOS!$C$8:$K$928,2,0),"-----")</f>
        <v>-----</v>
      </c>
      <c r="O2936" s="533"/>
      <c r="P2936" s="533"/>
      <c r="Q2936" s="533"/>
      <c r="R2936" s="78" t="str">
        <f>IFERROR(VLOOKUP(M2936,INSUMOS!$C$8:$K$928,6,0),"-----")</f>
        <v>-----</v>
      </c>
      <c r="S2936" s="396"/>
      <c r="T2936" s="387">
        <v>0</v>
      </c>
      <c r="U2936" s="388" t="str">
        <f>IFERROR(VLOOKUP(M2936,INSUMOS!$C$8:$K$928,7,0),"0")</f>
        <v>0</v>
      </c>
      <c r="V2936" s="389">
        <f>+IFERROR(U2936*(S2936*(1+T2936)),0)</f>
        <v>0</v>
      </c>
      <c r="Y2936" s="393">
        <f>+IFERROR(Y2921*(S2936*(1+T2936)),0)</f>
        <v>0</v>
      </c>
      <c r="Z2936" s="391">
        <f>Y2921*V2936</f>
        <v>0</v>
      </c>
      <c r="AA2936" s="394"/>
      <c r="AB2936" s="395">
        <f>+Y2936*U2936</f>
        <v>0</v>
      </c>
      <c r="AC2936" s="93">
        <f>+AB2936-Z2936</f>
        <v>0</v>
      </c>
      <c r="AD2936" s="94"/>
      <c r="AE2936" s="406" t="str">
        <f>+IF(V2936=0,"CERO","NO")</f>
        <v>CERO</v>
      </c>
    </row>
    <row r="2937" spans="3:31" s="260" customFormat="1" x14ac:dyDescent="0.25">
      <c r="C2937" s="84"/>
      <c r="D2937" s="85"/>
      <c r="E2937" s="86"/>
      <c r="F2937" s="86"/>
      <c r="G2937" s="86"/>
      <c r="H2937" s="86"/>
      <c r="I2937" s="86"/>
      <c r="J2937" s="87"/>
      <c r="K2937" s="88"/>
      <c r="M2937" s="102">
        <v>0</v>
      </c>
      <c r="N2937" s="533" t="str">
        <f>IFERROR(VLOOKUP(M2937,INSUMOS!$C$8:$K$928,2,0),"-----")</f>
        <v>-----</v>
      </c>
      <c r="O2937" s="533"/>
      <c r="P2937" s="533"/>
      <c r="Q2937" s="533"/>
      <c r="R2937" s="78" t="str">
        <f>IFERROR(VLOOKUP(M2937,INSUMOS!$C$8:$K$928,6,0),"-----")</f>
        <v>-----</v>
      </c>
      <c r="S2937" s="396"/>
      <c r="T2937" s="387"/>
      <c r="U2937" s="388" t="str">
        <f>IFERROR(VLOOKUP(M2937,INSUMOS!$C$8:$K$928,7,0),"0")</f>
        <v>0</v>
      </c>
      <c r="V2937" s="389">
        <f>+IFERROR(U2937*(S2937*(1+T2937)),0)</f>
        <v>0</v>
      </c>
      <c r="Y2937" s="393">
        <f>+IFERROR(Y2921*(S2937*(1+T2937)),0)</f>
        <v>0</v>
      </c>
      <c r="Z2937" s="391">
        <f>Y2921*V2937</f>
        <v>0</v>
      </c>
      <c r="AA2937" s="394"/>
      <c r="AB2937" s="395">
        <f>+Y2937*U2937</f>
        <v>0</v>
      </c>
      <c r="AC2937" s="93">
        <f>+AB2937-Z2937</f>
        <v>0</v>
      </c>
      <c r="AD2937" s="94"/>
      <c r="AE2937" s="406" t="str">
        <f>+IF(V2937=0,"CERO","NO")</f>
        <v>CERO</v>
      </c>
    </row>
    <row r="2938" spans="3:31" s="260" customFormat="1" ht="15.75" thickBot="1" x14ac:dyDescent="0.3">
      <c r="C2938" s="84"/>
      <c r="D2938" s="85"/>
      <c r="E2938" s="86"/>
      <c r="F2938" s="86"/>
      <c r="G2938" s="86"/>
      <c r="H2938" s="86"/>
      <c r="I2938" s="86"/>
      <c r="J2938" s="87"/>
      <c r="K2938" s="88"/>
      <c r="M2938" s="102">
        <v>0</v>
      </c>
      <c r="N2938" s="564"/>
      <c r="O2938" s="564"/>
      <c r="P2938" s="564"/>
      <c r="Q2938" s="564"/>
      <c r="R2938" s="96"/>
      <c r="S2938" s="79"/>
      <c r="T2938" s="97"/>
      <c r="U2938" s="358"/>
      <c r="V2938" s="397"/>
      <c r="Y2938" s="393">
        <f>+IFERROR(Y2921*(S2938*(1+T2938)),0)</f>
        <v>0</v>
      </c>
      <c r="Z2938" s="391">
        <f>Y2921*V2938</f>
        <v>0</v>
      </c>
      <c r="AA2938" s="394"/>
      <c r="AB2938" s="395">
        <f>+Y2938*U2938</f>
        <v>0</v>
      </c>
      <c r="AC2938" s="93">
        <f>+AB2938-Z2938</f>
        <v>0</v>
      </c>
      <c r="AD2938" s="94"/>
      <c r="AE2938" s="406" t="str">
        <f>+IF(V2938=0,"CERO","NO")</f>
        <v>CERO</v>
      </c>
    </row>
    <row r="2939" spans="3:31" s="260" customFormat="1" ht="15.75" thickBot="1" x14ac:dyDescent="0.3">
      <c r="C2939" s="84"/>
      <c r="D2939" s="375" t="s">
        <v>128</v>
      </c>
      <c r="E2939" s="376" t="s">
        <v>129</v>
      </c>
      <c r="F2939" s="376" t="s">
        <v>130</v>
      </c>
      <c r="G2939" s="376" t="s">
        <v>131</v>
      </c>
      <c r="H2939" s="376" t="s">
        <v>132</v>
      </c>
      <c r="I2939" s="376" t="s">
        <v>133</v>
      </c>
      <c r="J2939" s="377" t="s">
        <v>134</v>
      </c>
      <c r="K2939" s="88"/>
      <c r="M2939" s="534"/>
      <c r="N2939" s="536" t="s">
        <v>106</v>
      </c>
      <c r="O2939" s="536"/>
      <c r="P2939" s="536"/>
      <c r="Q2939" s="536"/>
      <c r="R2939" s="536"/>
      <c r="S2939" s="536"/>
      <c r="T2939" s="536"/>
      <c r="U2939" s="536"/>
      <c r="V2939" s="389">
        <f>+SUM(V2934:V2938)</f>
        <v>36000</v>
      </c>
      <c r="Y2939" s="398" t="s">
        <v>135</v>
      </c>
      <c r="Z2939" s="397">
        <f>+SUM(Z2934:Z2938)</f>
        <v>6696000</v>
      </c>
      <c r="AA2939" s="86"/>
      <c r="AB2939" s="384"/>
      <c r="AC2939" s="385"/>
      <c r="AD2939" s="94"/>
      <c r="AE2939" s="399"/>
    </row>
    <row r="2940" spans="3:31" s="260" customFormat="1" ht="15.75" thickBot="1" x14ac:dyDescent="0.3">
      <c r="C2940" s="84"/>
      <c r="D2940" s="375"/>
      <c r="E2940" s="407">
        <f>+D2931</f>
        <v>3.11</v>
      </c>
      <c r="F2940" s="376"/>
      <c r="G2940" s="376"/>
      <c r="H2940" s="376"/>
      <c r="I2940" s="376"/>
      <c r="J2940" s="377"/>
      <c r="K2940" s="88"/>
      <c r="M2940" s="535"/>
      <c r="N2940" s="537" t="s">
        <v>107</v>
      </c>
      <c r="O2940" s="537"/>
      <c r="P2940" s="537"/>
      <c r="Q2940" s="537"/>
      <c r="R2940" s="537"/>
      <c r="S2940" s="537"/>
      <c r="T2940" s="537"/>
      <c r="U2940" s="537"/>
      <c r="V2940" s="408">
        <f>+ROUND(V2939,$AA$5)</f>
        <v>36000</v>
      </c>
      <c r="Y2940" s="401" t="s">
        <v>136</v>
      </c>
      <c r="Z2940" s="402">
        <f>+ROUND(Z2939,$AA$5)</f>
        <v>6696000</v>
      </c>
      <c r="AA2940" s="86"/>
      <c r="AB2940" s="403">
        <f>+V2940*Y2921</f>
        <v>6696000</v>
      </c>
      <c r="AC2940" s="404">
        <f>+AB2940-Z2940</f>
        <v>0</v>
      </c>
      <c r="AD2940" s="94"/>
      <c r="AE2940" s="405"/>
    </row>
    <row r="2941" spans="3:31" s="260" customFormat="1" x14ac:dyDescent="0.25">
      <c r="C2941" s="84"/>
      <c r="D2941" s="380"/>
      <c r="E2941" s="381"/>
      <c r="F2941" s="381"/>
      <c r="G2941" s="381"/>
      <c r="H2941" s="381"/>
      <c r="I2941" s="381"/>
      <c r="J2941" s="382"/>
      <c r="K2941" s="88"/>
      <c r="M2941" s="568" t="s">
        <v>108</v>
      </c>
      <c r="N2941" s="569"/>
      <c r="O2941" s="569"/>
      <c r="P2941" s="569"/>
      <c r="Q2941" s="569"/>
      <c r="R2941" s="569"/>
      <c r="S2941" s="569"/>
      <c r="T2941" s="569"/>
      <c r="U2941" s="569"/>
      <c r="V2941" s="570"/>
      <c r="Y2941" s="378"/>
      <c r="Z2941" s="121"/>
      <c r="AA2941" s="86"/>
      <c r="AB2941" s="409"/>
      <c r="AC2941" s="121"/>
      <c r="AD2941" s="94"/>
      <c r="AE2941" s="126"/>
    </row>
    <row r="2942" spans="3:31" s="260" customFormat="1" ht="25.5" x14ac:dyDescent="0.25">
      <c r="C2942" s="84"/>
      <c r="D2942" s="85"/>
      <c r="E2942" s="86"/>
      <c r="F2942" s="86"/>
      <c r="G2942" s="86"/>
      <c r="H2942" s="86"/>
      <c r="I2942" s="86"/>
      <c r="J2942" s="87"/>
      <c r="K2942" s="88"/>
      <c r="M2942" s="99" t="s">
        <v>94</v>
      </c>
      <c r="N2942" s="561" t="s">
        <v>95</v>
      </c>
      <c r="O2942" s="561"/>
      <c r="P2942" s="561"/>
      <c r="Q2942" s="95" t="s">
        <v>109</v>
      </c>
      <c r="R2942" s="95" t="s">
        <v>110</v>
      </c>
      <c r="S2942" s="95" t="s">
        <v>111</v>
      </c>
      <c r="T2942" s="562" t="s">
        <v>112</v>
      </c>
      <c r="U2942" s="562"/>
      <c r="V2942" s="100" t="s">
        <v>98</v>
      </c>
      <c r="Y2942" s="383" t="s">
        <v>104</v>
      </c>
      <c r="Z2942" s="119" t="s">
        <v>9</v>
      </c>
      <c r="AA2942" s="86"/>
      <c r="AB2942" s="384"/>
      <c r="AC2942" s="385"/>
      <c r="AD2942" s="94"/>
      <c r="AE2942" s="410"/>
    </row>
    <row r="2943" spans="3:31" s="260" customFormat="1" x14ac:dyDescent="0.25">
      <c r="C2943" s="84"/>
      <c r="D2943" s="85"/>
      <c r="E2943" s="86"/>
      <c r="F2943" s="86"/>
      <c r="G2943" s="86"/>
      <c r="H2943" s="86"/>
      <c r="I2943" s="86"/>
      <c r="J2943" s="87"/>
      <c r="K2943" s="88"/>
      <c r="M2943" s="102">
        <v>129</v>
      </c>
      <c r="N2943" s="530" t="str">
        <f>IFERROR(VLOOKUP(M2943,INSUMOS!$C$8:$K$928,2,0),"-----")</f>
        <v>transporte materiales en general</v>
      </c>
      <c r="O2943" s="531"/>
      <c r="P2943" s="532"/>
      <c r="Q2943" s="78" t="str">
        <f>IFERROR(VLOOKUP(M2943,INSUMOS!$C$8:$K$928,5,0),"-----")</f>
        <v>Km</v>
      </c>
      <c r="R2943" s="80">
        <v>1</v>
      </c>
      <c r="S2943" s="80">
        <f>IFERROR(VLOOKUP(M2943,INSUMOS!$C$8:$K$928,6,0),"0")</f>
        <v>348</v>
      </c>
      <c r="T2943" s="529">
        <f>IFERROR(VLOOKUP(M2943,INSUMOS!$C$8:$K$928,7,0),"0")</f>
        <v>0.99776362060288992</v>
      </c>
      <c r="U2943" s="529"/>
      <c r="V2943" s="82">
        <f>+T2943*S2943*R2943</f>
        <v>347.2217399698057</v>
      </c>
      <c r="Y2943" s="393">
        <f>+IFERROR((R2943*S2943)*Y2921,0)</f>
        <v>64728</v>
      </c>
      <c r="Z2943" s="391">
        <f>Y2921*V2943</f>
        <v>64583.243634383856</v>
      </c>
      <c r="AA2943" s="86"/>
      <c r="AB2943" s="92">
        <f>+Y2943*T2943</f>
        <v>64583.243634383856</v>
      </c>
      <c r="AC2943" s="93">
        <f>+AB2943-Z2943</f>
        <v>0</v>
      </c>
      <c r="AD2943" s="94"/>
      <c r="AE2943" s="406" t="str">
        <f>+IF(V2943=0,"CERO","NO")</f>
        <v>NO</v>
      </c>
    </row>
    <row r="2944" spans="3:31" s="260" customFormat="1" x14ac:dyDescent="0.25">
      <c r="C2944" s="84"/>
      <c r="D2944" s="85"/>
      <c r="E2944" s="86"/>
      <c r="F2944" s="86"/>
      <c r="G2944" s="86"/>
      <c r="H2944" s="86"/>
      <c r="I2944" s="86"/>
      <c r="J2944" s="87"/>
      <c r="K2944" s="88"/>
      <c r="M2944" s="102">
        <v>0</v>
      </c>
      <c r="N2944" s="530" t="str">
        <f>IFERROR(VLOOKUP(M2944,INSUMOS!$C$8:$K$928,2,0),"-----")</f>
        <v>-----</v>
      </c>
      <c r="O2944" s="531"/>
      <c r="P2944" s="532"/>
      <c r="Q2944" s="78" t="str">
        <f>IFERROR(VLOOKUP(M2944,INSUMOS!$C$8:$K$928,5,0),"-----")</f>
        <v>-----</v>
      </c>
      <c r="R2944" s="80"/>
      <c r="S2944" s="80" t="str">
        <f>IFERROR(VLOOKUP(M2944,INSUMOS!$C$8:$K$928,6,0),"0")</f>
        <v>0</v>
      </c>
      <c r="T2944" s="529" t="str">
        <f>IFERROR(VLOOKUP(M2944,INSUMOS!$C$8:$K$928,7,0),"0")</f>
        <v>0</v>
      </c>
      <c r="U2944" s="529"/>
      <c r="V2944" s="82">
        <f>+T2944*S2944*R2944</f>
        <v>0</v>
      </c>
      <c r="Y2944" s="393">
        <f>+IFERROR((R2944*S2944)*Y2921,0)</f>
        <v>0</v>
      </c>
      <c r="Z2944" s="391">
        <f>Y2921*V2944</f>
        <v>0</v>
      </c>
      <c r="AA2944" s="86"/>
      <c r="AB2944" s="92">
        <f>+Y2944*T2944</f>
        <v>0</v>
      </c>
      <c r="AC2944" s="93">
        <f>+AB2944-Z2944</f>
        <v>0</v>
      </c>
      <c r="AD2944" s="94"/>
      <c r="AE2944" s="406" t="str">
        <f>+IF(V2944=0,"CERO","NO")</f>
        <v>CERO</v>
      </c>
    </row>
    <row r="2945" spans="3:31" s="260" customFormat="1" x14ac:dyDescent="0.25">
      <c r="C2945" s="84"/>
      <c r="D2945" s="85"/>
      <c r="E2945" s="86"/>
      <c r="F2945" s="86"/>
      <c r="G2945" s="86"/>
      <c r="H2945" s="86"/>
      <c r="I2945" s="86"/>
      <c r="J2945" s="87"/>
      <c r="K2945" s="88"/>
      <c r="M2945" s="102">
        <v>0</v>
      </c>
      <c r="N2945" s="530" t="str">
        <f>IFERROR(VLOOKUP(M2945,INSUMOS!$C$8:$K$928,2,0),"-----")</f>
        <v>-----</v>
      </c>
      <c r="O2945" s="531"/>
      <c r="P2945" s="532"/>
      <c r="Q2945" s="78" t="str">
        <f>IFERROR(VLOOKUP(M2945,INSUMOS!$C$8:$K$928,5,0),"-----")</f>
        <v>-----</v>
      </c>
      <c r="R2945" s="80"/>
      <c r="S2945" s="80" t="str">
        <f>IFERROR(VLOOKUP(M2945,INSUMOS!$C$8:$K$928,6,0),"0")</f>
        <v>0</v>
      </c>
      <c r="T2945" s="529" t="str">
        <f>IFERROR(VLOOKUP(M2945,INSUMOS!$C$8:$K$928,7,0),"0")</f>
        <v>0</v>
      </c>
      <c r="U2945" s="529"/>
      <c r="V2945" s="82">
        <f>+T2945*S2945*R2945</f>
        <v>0</v>
      </c>
      <c r="Y2945" s="393">
        <f>+IFERROR((R2945*S2945)*Y2921,0)</f>
        <v>0</v>
      </c>
      <c r="Z2945" s="391">
        <f>Y2921*V2945</f>
        <v>0</v>
      </c>
      <c r="AA2945" s="86"/>
      <c r="AB2945" s="92">
        <f>+Y2945*T2945</f>
        <v>0</v>
      </c>
      <c r="AC2945" s="93">
        <f>+AB2945-Z2945</f>
        <v>0</v>
      </c>
      <c r="AD2945" s="94"/>
      <c r="AE2945" s="406" t="str">
        <f>+IF(V2945=0,"CERO","NO")</f>
        <v>CERO</v>
      </c>
    </row>
    <row r="2946" spans="3:31" s="260" customFormat="1" ht="15.75" thickBot="1" x14ac:dyDescent="0.3">
      <c r="C2946" s="84"/>
      <c r="D2946" s="89"/>
      <c r="E2946" s="90"/>
      <c r="F2946" s="90"/>
      <c r="G2946" s="90"/>
      <c r="H2946" s="90"/>
      <c r="I2946" s="90"/>
      <c r="J2946" s="91"/>
      <c r="K2946" s="88"/>
      <c r="M2946" s="102">
        <v>0</v>
      </c>
      <c r="N2946" s="533"/>
      <c r="O2946" s="533"/>
      <c r="P2946" s="533"/>
      <c r="Q2946" s="79"/>
      <c r="R2946" s="78"/>
      <c r="S2946" s="81"/>
      <c r="T2946" s="529"/>
      <c r="U2946" s="529"/>
      <c r="V2946" s="82"/>
      <c r="Y2946" s="393">
        <f>+IFERROR((R2946*S2946)*Y2921,0)</f>
        <v>0</v>
      </c>
      <c r="Z2946" s="391">
        <f>Y2921*V2946</f>
        <v>0</v>
      </c>
      <c r="AA2946" s="86"/>
      <c r="AB2946" s="92">
        <f>+Y2946*T2946</f>
        <v>0</v>
      </c>
      <c r="AC2946" s="93">
        <f>+AB2946-Z2946</f>
        <v>0</v>
      </c>
      <c r="AD2946" s="94"/>
      <c r="AE2946" s="406" t="str">
        <f>+IF(V2946=0,"CERO","NO")</f>
        <v>CERO</v>
      </c>
    </row>
    <row r="2947" spans="3:31" s="260" customFormat="1" ht="15.75" thickBot="1" x14ac:dyDescent="0.3">
      <c r="C2947" s="84"/>
      <c r="D2947" s="375" t="s">
        <v>128</v>
      </c>
      <c r="E2947" s="376" t="s">
        <v>129</v>
      </c>
      <c r="F2947" s="376" t="s">
        <v>130</v>
      </c>
      <c r="G2947" s="376" t="s">
        <v>131</v>
      </c>
      <c r="H2947" s="376" t="s">
        <v>132</v>
      </c>
      <c r="I2947" s="376" t="s">
        <v>133</v>
      </c>
      <c r="J2947" s="377" t="s">
        <v>134</v>
      </c>
      <c r="K2947" s="88"/>
      <c r="M2947" s="534"/>
      <c r="N2947" s="536" t="s">
        <v>113</v>
      </c>
      <c r="O2947" s="536"/>
      <c r="P2947" s="536"/>
      <c r="Q2947" s="536"/>
      <c r="R2947" s="536"/>
      <c r="S2947" s="536"/>
      <c r="T2947" s="536"/>
      <c r="U2947" s="536"/>
      <c r="V2947" s="411">
        <f>+SUM(V2943:V2946)</f>
        <v>347.2217399698057</v>
      </c>
      <c r="Y2947" s="398" t="s">
        <v>135</v>
      </c>
      <c r="Z2947" s="397">
        <f>+SUM(Z2943:Z2946)</f>
        <v>64583.243634383856</v>
      </c>
      <c r="AA2947" s="86"/>
      <c r="AB2947" s="384"/>
      <c r="AC2947" s="385"/>
      <c r="AD2947" s="94"/>
      <c r="AE2947" s="399"/>
    </row>
    <row r="2948" spans="3:31" s="260" customFormat="1" ht="15.75" thickBot="1" x14ac:dyDescent="0.3">
      <c r="C2948" s="84"/>
      <c r="D2948" s="355"/>
      <c r="E2948" s="367"/>
      <c r="F2948" s="412">
        <f>+E2940</f>
        <v>3.11</v>
      </c>
      <c r="G2948" s="367"/>
      <c r="H2948" s="367"/>
      <c r="I2948" s="367"/>
      <c r="J2948" s="368"/>
      <c r="K2948" s="88"/>
      <c r="M2948" s="535"/>
      <c r="N2948" s="537" t="s">
        <v>114</v>
      </c>
      <c r="O2948" s="537"/>
      <c r="P2948" s="537"/>
      <c r="Q2948" s="537"/>
      <c r="R2948" s="537"/>
      <c r="S2948" s="537"/>
      <c r="T2948" s="537"/>
      <c r="U2948" s="537"/>
      <c r="V2948" s="413">
        <f>+ROUND(V2947,$AA$5)</f>
        <v>347.22</v>
      </c>
      <c r="Y2948" s="401" t="s">
        <v>136</v>
      </c>
      <c r="Z2948" s="402">
        <f>+ROUND(Z2947,$AA$5)</f>
        <v>64583.24</v>
      </c>
      <c r="AA2948" s="86"/>
      <c r="AB2948" s="403">
        <f>+V2948*Y2921</f>
        <v>64582.920000000006</v>
      </c>
      <c r="AC2948" s="414"/>
      <c r="AD2948" s="94"/>
      <c r="AE2948" s="405"/>
    </row>
    <row r="2949" spans="3:31" s="260" customFormat="1" ht="15.75" thickBot="1" x14ac:dyDescent="0.3">
      <c r="C2949" s="84"/>
      <c r="D2949" s="415"/>
      <c r="E2949" s="416"/>
      <c r="F2949" s="416"/>
      <c r="G2949" s="416"/>
      <c r="H2949" s="416"/>
      <c r="I2949" s="416"/>
      <c r="J2949" s="417"/>
      <c r="K2949" s="88"/>
      <c r="M2949" s="538" t="s">
        <v>115</v>
      </c>
      <c r="N2949" s="539"/>
      <c r="O2949" s="539"/>
      <c r="P2949" s="539"/>
      <c r="Q2949" s="539"/>
      <c r="R2949" s="539"/>
      <c r="S2949" s="539"/>
      <c r="T2949" s="539"/>
      <c r="U2949" s="539"/>
      <c r="V2949" s="540"/>
      <c r="Y2949" s="378"/>
      <c r="Z2949" s="121"/>
      <c r="AA2949" s="86"/>
      <c r="AB2949" s="409"/>
      <c r="AC2949" s="121"/>
      <c r="AD2949" s="94"/>
      <c r="AE2949" s="126"/>
    </row>
    <row r="2950" spans="3:31" s="260" customFormat="1" ht="15.75" thickBot="1" x14ac:dyDescent="0.3">
      <c r="C2950" s="84"/>
      <c r="D2950" s="375" t="s">
        <v>128</v>
      </c>
      <c r="E2950" s="376" t="s">
        <v>129</v>
      </c>
      <c r="F2950" s="376" t="s">
        <v>130</v>
      </c>
      <c r="G2950" s="376" t="s">
        <v>131</v>
      </c>
      <c r="H2950" s="376" t="s">
        <v>132</v>
      </c>
      <c r="I2950" s="376" t="s">
        <v>133</v>
      </c>
      <c r="J2950" s="377" t="s">
        <v>134</v>
      </c>
      <c r="K2950" s="88"/>
      <c r="M2950" s="99" t="s">
        <v>94</v>
      </c>
      <c r="N2950" s="98" t="s">
        <v>95</v>
      </c>
      <c r="O2950" s="95" t="s">
        <v>96</v>
      </c>
      <c r="P2950" s="359" t="s">
        <v>104</v>
      </c>
      <c r="Q2950" s="95" t="s">
        <v>116</v>
      </c>
      <c r="R2950" s="418" t="s">
        <v>117</v>
      </c>
      <c r="S2950" s="95" t="s">
        <v>347</v>
      </c>
      <c r="T2950" s="419" t="s">
        <v>118</v>
      </c>
      <c r="U2950" s="189" t="s">
        <v>119</v>
      </c>
      <c r="V2950" s="100" t="s">
        <v>98</v>
      </c>
      <c r="Y2950" s="383" t="s">
        <v>104</v>
      </c>
      <c r="Z2950" s="119" t="s">
        <v>9</v>
      </c>
      <c r="AA2950" s="86"/>
      <c r="AB2950" s="384"/>
      <c r="AC2950" s="385"/>
      <c r="AD2950" s="94"/>
      <c r="AE2950" s="410"/>
    </row>
    <row r="2951" spans="3:31" s="260" customFormat="1" ht="25.5" x14ac:dyDescent="0.25">
      <c r="C2951" s="84"/>
      <c r="D2951" s="354"/>
      <c r="E2951" s="96"/>
      <c r="F2951" s="96"/>
      <c r="G2951" s="96"/>
      <c r="H2951" s="96"/>
      <c r="I2951" s="96"/>
      <c r="J2951" s="420">
        <f>+F2948</f>
        <v>3.11</v>
      </c>
      <c r="K2951" s="88"/>
      <c r="M2951" s="102">
        <v>207</v>
      </c>
      <c r="N2951" s="347" t="str">
        <f>IFERROR(VLOOKUP(M2951,INSUMOS!$C$8:$K$928,2,0),"-----")</f>
        <v>Oficial Hidrosanitario</v>
      </c>
      <c r="O2951" s="78" t="str">
        <f>IFERROR(VLOOKUP(M2951,INSUMOS!$C$8:$K$928,3,0),"-----")</f>
        <v>JORNAL+PS</v>
      </c>
      <c r="P2951" s="80">
        <v>1</v>
      </c>
      <c r="Q2951" s="79">
        <v>15</v>
      </c>
      <c r="R2951" s="190">
        <f>IFERROR(VLOOKUP(M2951,INSUMOS!$C$8:$K$928,4,0),"-----")</f>
        <v>92983</v>
      </c>
      <c r="S2951" s="190">
        <f>IFERROR(VLOOKUP(M2951,INSUMOS!$C$8:$K$928,6,0),"-----")</f>
        <v>74386</v>
      </c>
      <c r="T2951" s="190">
        <f>IFERROR(VLOOKUP(M2951,INSUMOS!$C$8:$K$928,5,0),"-----")</f>
        <v>0</v>
      </c>
      <c r="U2951" s="388">
        <f>SUM(R2951:T2951)</f>
        <v>167369</v>
      </c>
      <c r="V2951" s="82">
        <f>+IFERROR((P2951/Q2951)*U2951,0)</f>
        <v>11157.933333333332</v>
      </c>
      <c r="Y2951" s="393">
        <f>+IFERROR((Y2921/Q2951*P2951),0)</f>
        <v>12.4</v>
      </c>
      <c r="Z2951" s="391">
        <f>Y2921*V2951</f>
        <v>2075375.5999999999</v>
      </c>
      <c r="AA2951" s="86"/>
      <c r="AB2951" s="92">
        <f>+(U2951)*Y2951</f>
        <v>2075375.6</v>
      </c>
      <c r="AC2951" s="93">
        <f>+AB2951-Z2951</f>
        <v>0</v>
      </c>
      <c r="AD2951" s="421"/>
      <c r="AE2951" s="410" t="str">
        <f>+IF(V2951=0,"CERO","NO")</f>
        <v>NO</v>
      </c>
    </row>
    <row r="2952" spans="3:31" s="260" customFormat="1" ht="26.25" thickBot="1" x14ac:dyDescent="0.3">
      <c r="C2952" s="84"/>
      <c r="D2952" s="355"/>
      <c r="E2952" s="367"/>
      <c r="F2952" s="367"/>
      <c r="G2952" s="367"/>
      <c r="H2952" s="367"/>
      <c r="I2952" s="367"/>
      <c r="J2952" s="422">
        <f>+J2951</f>
        <v>3.11</v>
      </c>
      <c r="K2952" s="88"/>
      <c r="M2952" s="102">
        <v>208</v>
      </c>
      <c r="N2952" s="347" t="str">
        <f>IFERROR(VLOOKUP(M2952,INSUMOS!$C$8:$K$928,2,0),"-----")</f>
        <v>Ayudante Hidrosanitario</v>
      </c>
      <c r="O2952" s="78" t="str">
        <f>IFERROR(VLOOKUP(M2952,INSUMOS!$C$8:$K$928,3,0),"-----")</f>
        <v>JORNAL+PS</v>
      </c>
      <c r="P2952" s="80">
        <v>1</v>
      </c>
      <c r="Q2952" s="79">
        <v>15</v>
      </c>
      <c r="R2952" s="190">
        <f>IFERROR(VLOOKUP(M2952,INSUMOS!$C$8:$K$928,4,0),"-----")</f>
        <v>69172</v>
      </c>
      <c r="S2952" s="190">
        <f>IFERROR(VLOOKUP(M2952,INSUMOS!$C$8:$K$928,6,0),"-----")</f>
        <v>55337</v>
      </c>
      <c r="T2952" s="190">
        <f>IFERROR(VLOOKUP(M2952,INSUMOS!$C$8:$K$928,5,0),"-----")</f>
        <v>0</v>
      </c>
      <c r="U2952" s="388">
        <f>SUM(R2952:T2952)</f>
        <v>124509</v>
      </c>
      <c r="V2952" s="82">
        <f>+IFERROR((P2952/Q2952)*U2952,0)</f>
        <v>8300.6</v>
      </c>
      <c r="Y2952" s="393">
        <f>+IFERROR((Y2921/Q2952*P2952),0)</f>
        <v>12.4</v>
      </c>
      <c r="Z2952" s="391">
        <f>Y2921*V2952</f>
        <v>1543911.6</v>
      </c>
      <c r="AA2952" s="86"/>
      <c r="AB2952" s="92">
        <f>+U2952*Y2952</f>
        <v>1543911.6</v>
      </c>
      <c r="AC2952" s="93">
        <f>+AB2952-Z2952</f>
        <v>0</v>
      </c>
      <c r="AD2952" s="94"/>
      <c r="AE2952" s="410" t="str">
        <f>+IF(V2952=0,"CERO","NO")</f>
        <v>NO</v>
      </c>
    </row>
    <row r="2953" spans="3:31" s="260" customFormat="1" ht="15.75" thickBot="1" x14ac:dyDescent="0.3">
      <c r="C2953" s="84"/>
      <c r="D2953" s="380"/>
      <c r="E2953" s="381"/>
      <c r="F2953" s="381"/>
      <c r="G2953" s="381"/>
      <c r="H2953" s="381"/>
      <c r="I2953" s="381"/>
      <c r="J2953" s="382"/>
      <c r="K2953" s="88"/>
      <c r="M2953" s="102">
        <v>0</v>
      </c>
      <c r="N2953" s="347"/>
      <c r="O2953" s="79"/>
      <c r="P2953" s="423"/>
      <c r="Q2953" s="81"/>
      <c r="R2953" s="111"/>
      <c r="S2953" s="357"/>
      <c r="T2953" s="111"/>
      <c r="U2953" s="388"/>
      <c r="V2953" s="426"/>
      <c r="Y2953" s="393">
        <f>+IFERROR((Y2921/Q2953*P2953),0)</f>
        <v>0</v>
      </c>
      <c r="Z2953" s="391">
        <f>Y2921*V2953</f>
        <v>0</v>
      </c>
      <c r="AA2953" s="86"/>
      <c r="AB2953" s="92">
        <f>+(U2953)*Y2953*P2953</f>
        <v>0</v>
      </c>
      <c r="AC2953" s="93">
        <f>+AB2953-Z2953</f>
        <v>0</v>
      </c>
      <c r="AD2953" s="94"/>
      <c r="AE2953" s="410" t="str">
        <f>+IF(V2953=0,"CERO","NO")</f>
        <v>CERO</v>
      </c>
    </row>
    <row r="2954" spans="3:31" s="260" customFormat="1" ht="15.75" thickBot="1" x14ac:dyDescent="0.3">
      <c r="C2954" s="84"/>
      <c r="D2954" s="375" t="s">
        <v>128</v>
      </c>
      <c r="E2954" s="376" t="s">
        <v>129</v>
      </c>
      <c r="F2954" s="376" t="s">
        <v>130</v>
      </c>
      <c r="G2954" s="376" t="s">
        <v>131</v>
      </c>
      <c r="H2954" s="376" t="s">
        <v>132</v>
      </c>
      <c r="I2954" s="376" t="s">
        <v>133</v>
      </c>
      <c r="J2954" s="377" t="s">
        <v>134</v>
      </c>
      <c r="K2954" s="88"/>
      <c r="M2954" s="534"/>
      <c r="N2954" s="536" t="s">
        <v>120</v>
      </c>
      <c r="O2954" s="536"/>
      <c r="P2954" s="536"/>
      <c r="Q2954" s="536"/>
      <c r="R2954" s="536"/>
      <c r="S2954" s="536"/>
      <c r="T2954" s="536"/>
      <c r="U2954" s="536"/>
      <c r="V2954" s="82">
        <f>+SUM(V2951:V2953)</f>
        <v>19458.533333333333</v>
      </c>
      <c r="Y2954" s="398" t="s">
        <v>135</v>
      </c>
      <c r="Z2954" s="397">
        <f>+SUM(Z2951:Z2953)</f>
        <v>3619287.2</v>
      </c>
      <c r="AA2954" s="86"/>
      <c r="AB2954" s="384"/>
      <c r="AC2954" s="385"/>
      <c r="AD2954" s="94"/>
      <c r="AE2954" s="399"/>
    </row>
    <row r="2955" spans="3:31" s="260" customFormat="1" ht="15.75" thickBot="1" x14ac:dyDescent="0.3">
      <c r="C2955" s="84"/>
      <c r="D2955" s="354"/>
      <c r="E2955" s="96"/>
      <c r="F2955" s="96"/>
      <c r="G2955" s="107">
        <f>+F2948</f>
        <v>3.11</v>
      </c>
      <c r="H2955" s="96"/>
      <c r="I2955" s="96"/>
      <c r="J2955" s="427"/>
      <c r="K2955" s="88"/>
      <c r="M2955" s="535"/>
      <c r="N2955" s="537" t="s">
        <v>121</v>
      </c>
      <c r="O2955" s="537"/>
      <c r="P2955" s="537"/>
      <c r="Q2955" s="537"/>
      <c r="R2955" s="537"/>
      <c r="S2955" s="537"/>
      <c r="T2955" s="537"/>
      <c r="U2955" s="537"/>
      <c r="V2955" s="413">
        <f>+ROUND(V2954,$AA$5)</f>
        <v>19458.53</v>
      </c>
      <c r="Y2955" s="401" t="s">
        <v>136</v>
      </c>
      <c r="Z2955" s="402">
        <f>+ROUND(Z2954,$AA$5)</f>
        <v>3619287.2</v>
      </c>
      <c r="AA2955" s="86"/>
      <c r="AB2955" s="403">
        <f>+V2955*Y2921</f>
        <v>3619286.5799999996</v>
      </c>
      <c r="AC2955" s="404">
        <f>+AB2955-Z2955</f>
        <v>-0.62000000057742</v>
      </c>
      <c r="AD2955" s="94"/>
      <c r="AE2955" s="405"/>
    </row>
    <row r="2956" spans="3:31" s="260" customFormat="1" ht="15.75" thickBot="1" x14ac:dyDescent="0.3">
      <c r="C2956" s="84"/>
      <c r="D2956" s="375" t="s">
        <v>128</v>
      </c>
      <c r="E2956" s="376" t="s">
        <v>129</v>
      </c>
      <c r="F2956" s="376" t="s">
        <v>130</v>
      </c>
      <c r="G2956" s="376" t="s">
        <v>131</v>
      </c>
      <c r="H2956" s="376" t="s">
        <v>132</v>
      </c>
      <c r="I2956" s="376" t="s">
        <v>133</v>
      </c>
      <c r="J2956" s="377" t="s">
        <v>134</v>
      </c>
      <c r="K2956" s="88"/>
      <c r="M2956" s="541"/>
      <c r="N2956" s="542"/>
      <c r="O2956" s="542"/>
      <c r="P2956" s="542"/>
      <c r="Q2956" s="542"/>
      <c r="R2956" s="542"/>
      <c r="S2956" s="542"/>
      <c r="T2956" s="542"/>
      <c r="U2956" s="542"/>
      <c r="V2956" s="543"/>
      <c r="Y2956" s="378"/>
      <c r="Z2956" s="121"/>
      <c r="AA2956" s="86"/>
      <c r="AB2956" s="409"/>
      <c r="AC2956" s="121"/>
      <c r="AD2956" s="94"/>
      <c r="AE2956" s="428"/>
    </row>
    <row r="2957" spans="3:31" s="260" customFormat="1" ht="15.75" thickBot="1" x14ac:dyDescent="0.3">
      <c r="C2957" s="84"/>
      <c r="D2957" s="355"/>
      <c r="E2957" s="367"/>
      <c r="F2957" s="367"/>
      <c r="G2957" s="367"/>
      <c r="H2957" s="412">
        <f>G2955</f>
        <v>3.11</v>
      </c>
      <c r="I2957" s="412"/>
      <c r="J2957" s="422"/>
      <c r="K2957" s="88"/>
      <c r="M2957" s="544" t="s">
        <v>122</v>
      </c>
      <c r="N2957" s="537"/>
      <c r="O2957" s="537"/>
      <c r="P2957" s="537"/>
      <c r="Q2957" s="537"/>
      <c r="R2957" s="537"/>
      <c r="S2957" s="537"/>
      <c r="T2957" s="537"/>
      <c r="U2957" s="545">
        <f>+V2955+V2948+V2940+V2931</f>
        <v>56778.68</v>
      </c>
      <c r="V2957" s="546"/>
      <c r="Y2957" s="429"/>
      <c r="Z2957" s="430">
        <f>+Z2955+Z2948+Z2940+Z2931</f>
        <v>10560834.770000001</v>
      </c>
      <c r="AA2957" s="86"/>
      <c r="AB2957" s="431">
        <f>+AB2955+AB2948+AB2940+AB2931</f>
        <v>10560834.48</v>
      </c>
      <c r="AC2957" s="404">
        <f>+AB2957-Z2957</f>
        <v>-0.29000000096857548</v>
      </c>
      <c r="AD2957" s="94"/>
      <c r="AE2957" s="432"/>
    </row>
    <row r="2958" spans="3:31" s="260" customFormat="1" ht="15.75" thickBot="1" x14ac:dyDescent="0.3"/>
    <row r="2959" spans="3:31" s="260" customFormat="1" x14ac:dyDescent="0.25">
      <c r="M2959" s="547" t="s">
        <v>348</v>
      </c>
      <c r="N2959" s="548"/>
      <c r="O2959" s="548"/>
      <c r="P2959" s="548"/>
      <c r="Q2959" s="548"/>
      <c r="R2959" s="548"/>
      <c r="S2959" s="548"/>
      <c r="T2959" s="548"/>
      <c r="U2959" s="548"/>
      <c r="V2959" s="549"/>
      <c r="Y2959" s="378"/>
      <c r="Z2959" s="121"/>
      <c r="AA2959" s="86"/>
      <c r="AB2959" s="94"/>
      <c r="AC2959" s="94"/>
      <c r="AD2959" s="94"/>
      <c r="AE2959" s="126" t="s">
        <v>133</v>
      </c>
    </row>
    <row r="2960" spans="3:31" s="260" customFormat="1" x14ac:dyDescent="0.25">
      <c r="M2960" s="515" t="s">
        <v>138</v>
      </c>
      <c r="N2960" s="516"/>
      <c r="O2960" s="516"/>
      <c r="P2960" s="516"/>
      <c r="Q2960" s="516"/>
      <c r="R2960" s="516"/>
      <c r="S2960" s="516"/>
      <c r="T2960" s="437">
        <v>0</v>
      </c>
      <c r="U2960" s="517">
        <f>+ROUND(U2957*T2960,$AA$5)</f>
        <v>0</v>
      </c>
      <c r="V2960" s="518"/>
      <c r="Y2960" s="390"/>
      <c r="Z2960" s="438">
        <f>+Z2957*T2960</f>
        <v>0</v>
      </c>
      <c r="AA2960" s="86"/>
      <c r="AB2960" s="94"/>
      <c r="AC2960" s="94"/>
      <c r="AD2960" s="94"/>
      <c r="AE2960" s="386" t="s">
        <v>133</v>
      </c>
    </row>
    <row r="2961" spans="3:31" s="260" customFormat="1" x14ac:dyDescent="0.25">
      <c r="M2961" s="515" t="s">
        <v>19</v>
      </c>
      <c r="N2961" s="516"/>
      <c r="O2961" s="516"/>
      <c r="P2961" s="516"/>
      <c r="Q2961" s="516"/>
      <c r="R2961" s="516"/>
      <c r="S2961" s="516"/>
      <c r="T2961" s="437">
        <v>0.05</v>
      </c>
      <c r="U2961" s="517">
        <f>+ROUND(U2957*T2961,$AA$5)</f>
        <v>2838.93</v>
      </c>
      <c r="V2961" s="518"/>
      <c r="Y2961" s="390"/>
      <c r="Z2961" s="438">
        <f>+Z2957*T2961</f>
        <v>528041.73850000009</v>
      </c>
      <c r="AA2961" s="86"/>
      <c r="AB2961" s="94"/>
      <c r="AC2961" s="94"/>
      <c r="AD2961" s="94"/>
      <c r="AE2961" s="386" t="s">
        <v>133</v>
      </c>
    </row>
    <row r="2962" spans="3:31" s="260" customFormat="1" x14ac:dyDescent="0.25">
      <c r="M2962" s="515" t="s">
        <v>20</v>
      </c>
      <c r="N2962" s="516"/>
      <c r="O2962" s="516"/>
      <c r="P2962" s="516"/>
      <c r="Q2962" s="516"/>
      <c r="R2962" s="516"/>
      <c r="S2962" s="516"/>
      <c r="T2962" s="437">
        <v>0</v>
      </c>
      <c r="U2962" s="517">
        <f>+ROUND(U2957*T2962,$AA$5)</f>
        <v>0</v>
      </c>
      <c r="V2962" s="518"/>
      <c r="Y2962" s="390"/>
      <c r="Z2962" s="438">
        <f>+Z2957*T2962</f>
        <v>0</v>
      </c>
      <c r="AA2962" s="86"/>
      <c r="AB2962" s="94"/>
      <c r="AC2962" s="94"/>
      <c r="AD2962" s="94"/>
      <c r="AE2962" s="386" t="s">
        <v>133</v>
      </c>
    </row>
    <row r="2963" spans="3:31" s="260" customFormat="1" x14ac:dyDescent="0.25">
      <c r="M2963" s="515" t="s">
        <v>21</v>
      </c>
      <c r="N2963" s="516"/>
      <c r="O2963" s="516"/>
      <c r="P2963" s="516"/>
      <c r="Q2963" s="516"/>
      <c r="R2963" s="516"/>
      <c r="S2963" s="516"/>
      <c r="T2963" s="437">
        <f>$AA$9</f>
        <v>0</v>
      </c>
      <c r="U2963" s="517">
        <f>+ROUND(U2957*T2963,$AA$5)</f>
        <v>0</v>
      </c>
      <c r="V2963" s="518"/>
      <c r="Y2963" s="390"/>
      <c r="Z2963" s="438">
        <f>+Z2962*T2963</f>
        <v>0</v>
      </c>
      <c r="AA2963" s="86"/>
      <c r="AB2963" s="94"/>
      <c r="AC2963" s="94"/>
      <c r="AD2963" s="94"/>
      <c r="AE2963" s="386" t="s">
        <v>133</v>
      </c>
    </row>
    <row r="2964" spans="3:31" s="260" customFormat="1" ht="15.75" thickBot="1" x14ac:dyDescent="0.3">
      <c r="M2964" s="519" t="s">
        <v>349</v>
      </c>
      <c r="N2964" s="520"/>
      <c r="O2964" s="520"/>
      <c r="P2964" s="520"/>
      <c r="Q2964" s="520"/>
      <c r="R2964" s="520"/>
      <c r="S2964" s="520"/>
      <c r="T2964" s="520"/>
      <c r="U2964" s="521">
        <f>+SUM(U2960:V2963)</f>
        <v>2838.93</v>
      </c>
      <c r="V2964" s="522"/>
      <c r="Y2964" s="390"/>
      <c r="Z2964" s="439">
        <f>+SUM(Z2960:Z2963)</f>
        <v>528041.73850000009</v>
      </c>
      <c r="AA2964" s="86"/>
      <c r="AB2964" s="94"/>
      <c r="AC2964" s="94"/>
      <c r="AD2964" s="94"/>
      <c r="AE2964" s="386" t="s">
        <v>133</v>
      </c>
    </row>
    <row r="2965" spans="3:31" s="260" customFormat="1" ht="15.75" thickBot="1" x14ac:dyDescent="0.3">
      <c r="D2965" s="375" t="s">
        <v>128</v>
      </c>
      <c r="E2965" s="376" t="s">
        <v>129</v>
      </c>
      <c r="F2965" s="376" t="s">
        <v>130</v>
      </c>
      <c r="G2965" s="376" t="s">
        <v>131</v>
      </c>
      <c r="H2965" s="376" t="s">
        <v>132</v>
      </c>
      <c r="I2965" s="376" t="s">
        <v>133</v>
      </c>
      <c r="J2965" s="377" t="s">
        <v>134</v>
      </c>
      <c r="M2965" s="86"/>
      <c r="N2965" s="94"/>
      <c r="O2965" s="94"/>
      <c r="P2965" s="94"/>
      <c r="Q2965" s="86"/>
      <c r="R2965" s="86"/>
      <c r="S2965" s="86"/>
      <c r="T2965" s="440"/>
      <c r="U2965" s="523"/>
      <c r="V2965" s="523"/>
      <c r="Y2965" s="390"/>
      <c r="Z2965" s="385"/>
      <c r="AA2965" s="86"/>
      <c r="AB2965" s="94"/>
      <c r="AC2965" s="94"/>
      <c r="AD2965" s="94"/>
      <c r="AE2965" s="386" t="s">
        <v>133</v>
      </c>
    </row>
    <row r="2966" spans="3:31" s="260" customFormat="1" ht="15.75" thickBot="1" x14ac:dyDescent="0.3">
      <c r="D2966" s="355"/>
      <c r="E2966" s="367"/>
      <c r="F2966" s="367"/>
      <c r="G2966" s="367"/>
      <c r="H2966" s="412"/>
      <c r="I2966" s="412">
        <f>H2957</f>
        <v>3.11</v>
      </c>
      <c r="J2966" s="422"/>
      <c r="M2966" s="524" t="s">
        <v>11</v>
      </c>
      <c r="N2966" s="525"/>
      <c r="O2966" s="525"/>
      <c r="P2966" s="525"/>
      <c r="Q2966" s="525"/>
      <c r="R2966" s="525"/>
      <c r="S2966" s="525"/>
      <c r="T2966" s="526"/>
      <c r="U2966" s="527">
        <f>+U2964+U2957</f>
        <v>59617.61</v>
      </c>
      <c r="V2966" s="528"/>
      <c r="Y2966" s="429"/>
      <c r="Z2966" s="441">
        <f>+Z2964+Z2957</f>
        <v>11088876.508500002</v>
      </c>
      <c r="AA2966" s="86"/>
      <c r="AB2966" s="94"/>
      <c r="AC2966" s="94"/>
      <c r="AD2966" s="94"/>
      <c r="AE2966" s="405" t="s">
        <v>133</v>
      </c>
    </row>
    <row r="2967" spans="3:31" s="260" customFormat="1" x14ac:dyDescent="0.25"/>
    <row r="2968" spans="3:31" s="260" customFormat="1" ht="15.75" thickBot="1" x14ac:dyDescent="0.3"/>
    <row r="2969" spans="3:31" s="260" customFormat="1" ht="15.75" thickBot="1" x14ac:dyDescent="0.3">
      <c r="M2969" s="363" t="s">
        <v>88</v>
      </c>
      <c r="N2969" s="436" t="str">
        <f>+N2920</f>
        <v>CAP.3</v>
      </c>
      <c r="O2969" s="550" t="str">
        <f>IFERROR(VLOOKUP(N2969,PPTO!C:H,2,0),"----")</f>
        <v>RED CONTRAINCENDIOS</v>
      </c>
      <c r="P2969" s="551"/>
      <c r="Q2969" s="551"/>
      <c r="R2969" s="551"/>
      <c r="S2969" s="551"/>
      <c r="T2969" s="551"/>
      <c r="U2969" s="552"/>
      <c r="V2969" s="74" t="s">
        <v>91</v>
      </c>
      <c r="Y2969" s="365" t="s">
        <v>104</v>
      </c>
      <c r="Z2969" s="94"/>
      <c r="AA2969" s="188"/>
      <c r="AB2969" s="553"/>
      <c r="AC2969" s="553"/>
      <c r="AD2969" s="553"/>
      <c r="AE2969" s="94"/>
    </row>
    <row r="2970" spans="3:31" s="260" customFormat="1" ht="15.75" thickBot="1" x14ac:dyDescent="0.3">
      <c r="C2970" s="369">
        <f>+N2970</f>
        <v>3.12</v>
      </c>
      <c r="D2970" s="86"/>
      <c r="E2970" s="86"/>
      <c r="F2970" s="86"/>
      <c r="G2970" s="86"/>
      <c r="H2970" s="86"/>
      <c r="I2970" s="86"/>
      <c r="J2970" s="86"/>
      <c r="K2970" s="370"/>
      <c r="M2970" s="75" t="s">
        <v>92</v>
      </c>
      <c r="N2970" s="371">
        <f>+ROUNDUP(N2921+0.01,2)</f>
        <v>3.12</v>
      </c>
      <c r="O2970" s="554" t="str">
        <f>IFERROR(VLOOKUP(N2970,PPTO!C:H,2,0),"----")</f>
        <v>Reduccion concéntrica ranurada Ø3" a Ø1"</v>
      </c>
      <c r="P2970" s="555"/>
      <c r="Q2970" s="555"/>
      <c r="R2970" s="555"/>
      <c r="S2970" s="555"/>
      <c r="T2970" s="555"/>
      <c r="U2970" s="556"/>
      <c r="V2970" s="76" t="str">
        <f>IFERROR(VLOOKUP(N2970,PPTO!C:H,3,0),"----")</f>
        <v>UND</v>
      </c>
      <c r="Y2970" s="373">
        <f>SUMIFS(PPTO!F:F,PPTO!C:C,APUS!N2970)</f>
        <v>120</v>
      </c>
      <c r="Z2970" s="94"/>
      <c r="AA2970" s="86"/>
      <c r="AB2970" s="94"/>
      <c r="AC2970" s="94"/>
      <c r="AD2970" s="94"/>
      <c r="AE2970" s="94"/>
    </row>
    <row r="2971" spans="3:31" s="260" customFormat="1" ht="15.75" thickBot="1" x14ac:dyDescent="0.3">
      <c r="C2971" s="84"/>
      <c r="D2971" s="86"/>
      <c r="E2971" s="86"/>
      <c r="F2971" s="86"/>
      <c r="G2971" s="86"/>
      <c r="H2971" s="86"/>
      <c r="I2971" s="86"/>
      <c r="J2971" s="86"/>
      <c r="K2971" s="88"/>
      <c r="M2971" s="557"/>
      <c r="N2971" s="557"/>
      <c r="O2971" s="557"/>
      <c r="P2971" s="557"/>
      <c r="Q2971" s="557"/>
      <c r="R2971" s="557"/>
      <c r="S2971" s="557"/>
      <c r="T2971" s="557"/>
      <c r="U2971" s="557"/>
      <c r="V2971" s="557"/>
      <c r="Y2971" s="374"/>
      <c r="Z2971" s="94"/>
      <c r="AA2971" s="86"/>
      <c r="AB2971" s="94"/>
      <c r="AC2971" s="94"/>
      <c r="AD2971" s="94"/>
      <c r="AE2971" s="94"/>
    </row>
    <row r="2972" spans="3:31" s="260" customFormat="1" ht="15.75" thickBot="1" x14ac:dyDescent="0.3">
      <c r="C2972" s="84"/>
      <c r="D2972" s="375" t="s">
        <v>128</v>
      </c>
      <c r="E2972" s="376" t="s">
        <v>129</v>
      </c>
      <c r="F2972" s="376" t="s">
        <v>130</v>
      </c>
      <c r="G2972" s="376" t="s">
        <v>131</v>
      </c>
      <c r="H2972" s="376" t="s">
        <v>132</v>
      </c>
      <c r="I2972" s="376" t="s">
        <v>133</v>
      </c>
      <c r="J2972" s="377" t="s">
        <v>134</v>
      </c>
      <c r="K2972" s="88"/>
      <c r="M2972" s="558" t="s">
        <v>93</v>
      </c>
      <c r="N2972" s="559"/>
      <c r="O2972" s="559"/>
      <c r="P2972" s="559"/>
      <c r="Q2972" s="559"/>
      <c r="R2972" s="559"/>
      <c r="S2972" s="559"/>
      <c r="T2972" s="559"/>
      <c r="U2972" s="559"/>
      <c r="V2972" s="560"/>
      <c r="Y2972" s="378"/>
      <c r="Z2972" s="121"/>
      <c r="AA2972" s="86"/>
      <c r="AB2972" s="513"/>
      <c r="AC2972" s="514"/>
      <c r="AD2972" s="94"/>
      <c r="AE2972" s="379"/>
    </row>
    <row r="2973" spans="3:31" s="260" customFormat="1" x14ac:dyDescent="0.25">
      <c r="C2973" s="84"/>
      <c r="D2973" s="380"/>
      <c r="E2973" s="381"/>
      <c r="F2973" s="381"/>
      <c r="G2973" s="381"/>
      <c r="H2973" s="381"/>
      <c r="I2973" s="381"/>
      <c r="J2973" s="382"/>
      <c r="K2973" s="88"/>
      <c r="M2973" s="99" t="s">
        <v>94</v>
      </c>
      <c r="N2973" s="561" t="s">
        <v>95</v>
      </c>
      <c r="O2973" s="561"/>
      <c r="P2973" s="561"/>
      <c r="Q2973" s="561"/>
      <c r="R2973" s="95" t="s">
        <v>96</v>
      </c>
      <c r="S2973" s="95" t="s">
        <v>97</v>
      </c>
      <c r="T2973" s="562" t="s">
        <v>8</v>
      </c>
      <c r="U2973" s="562"/>
      <c r="V2973" s="100" t="s">
        <v>98</v>
      </c>
      <c r="Y2973" s="383" t="s">
        <v>104</v>
      </c>
      <c r="Z2973" s="119" t="s">
        <v>9</v>
      </c>
      <c r="AA2973" s="86"/>
      <c r="AB2973" s="384"/>
      <c r="AC2973" s="385"/>
      <c r="AD2973" s="94"/>
      <c r="AE2973" s="386"/>
    </row>
    <row r="2974" spans="3:31" s="260" customFormat="1" x14ac:dyDescent="0.25">
      <c r="C2974" s="84"/>
      <c r="D2974" s="85"/>
      <c r="E2974" s="86"/>
      <c r="F2974" s="86"/>
      <c r="G2974" s="86"/>
      <c r="H2974" s="86"/>
      <c r="I2974" s="86"/>
      <c r="J2974" s="87"/>
      <c r="K2974" s="88"/>
      <c r="M2974" s="102"/>
      <c r="N2974" s="533" t="s">
        <v>99</v>
      </c>
      <c r="O2974" s="533"/>
      <c r="P2974" s="533"/>
      <c r="Q2974" s="533"/>
      <c r="R2974" s="78" t="s">
        <v>100</v>
      </c>
      <c r="S2974" s="387">
        <f>+$AA$10</f>
        <v>0.05</v>
      </c>
      <c r="T2974" s="563">
        <f>V3004</f>
        <v>19458.53</v>
      </c>
      <c r="U2974" s="563"/>
      <c r="V2974" s="389">
        <f>+IFERROR(T2974*S2974,0)</f>
        <v>972.92650000000003</v>
      </c>
      <c r="Y2974" s="390"/>
      <c r="Z2974" s="391">
        <f>Y2970*V2974</f>
        <v>116751.18000000001</v>
      </c>
      <c r="AA2974" s="86"/>
      <c r="AB2974" s="384"/>
      <c r="AC2974" s="385"/>
      <c r="AD2974" s="94"/>
      <c r="AE2974" s="386" t="str">
        <f>+IF(V2974=0,"CERO","NO")</f>
        <v>NO</v>
      </c>
    </row>
    <row r="2975" spans="3:31" s="260" customFormat="1" x14ac:dyDescent="0.25">
      <c r="C2975" s="84"/>
      <c r="D2975" s="85"/>
      <c r="E2975" s="86"/>
      <c r="F2975" s="86"/>
      <c r="G2975" s="86"/>
      <c r="H2975" s="86"/>
      <c r="I2975" s="86"/>
      <c r="J2975" s="87"/>
      <c r="K2975" s="88"/>
      <c r="M2975" s="106"/>
      <c r="N2975" s="533" t="str">
        <f>IFERROR(VLOOKUP(M2975,INSUMOS!$C$8:$K$928,2,0),"-----")</f>
        <v>-----</v>
      </c>
      <c r="O2975" s="533"/>
      <c r="P2975" s="533"/>
      <c r="Q2975" s="533"/>
      <c r="R2975" s="78" t="str">
        <f>IFERROR(VLOOKUP(M2975,INSUMOS!$C$8:$K$928,6,0),"-----")</f>
        <v>-----</v>
      </c>
      <c r="S2975" s="392"/>
      <c r="T2975" s="529" t="str">
        <f>IFERROR(VLOOKUP(M2975,INSUMOS!$C$8:$K$928,7,0),"0")</f>
        <v>0</v>
      </c>
      <c r="U2975" s="529"/>
      <c r="V2975" s="389">
        <f>+IFERROR(T2975*S2975,0)</f>
        <v>0</v>
      </c>
      <c r="Y2975" s="393">
        <f>+IFERROR(Y2970*S2975,0)</f>
        <v>0</v>
      </c>
      <c r="Z2975" s="391">
        <f>Y2970*V2975</f>
        <v>0</v>
      </c>
      <c r="AA2975" s="394"/>
      <c r="AB2975" s="395">
        <f>+Y2975*T2975</f>
        <v>0</v>
      </c>
      <c r="AC2975" s="93">
        <f>+AB2975-Z2975</f>
        <v>0</v>
      </c>
      <c r="AD2975" s="94"/>
      <c r="AE2975" s="386" t="str">
        <f>+IF(V2975=0,"CERO","NO")</f>
        <v>CERO</v>
      </c>
    </row>
    <row r="2976" spans="3:31" s="260" customFormat="1" x14ac:dyDescent="0.25">
      <c r="C2976" s="84"/>
      <c r="D2976" s="85"/>
      <c r="E2976" s="86"/>
      <c r="F2976" s="86"/>
      <c r="G2976" s="86"/>
      <c r="H2976" s="86"/>
      <c r="I2976" s="86"/>
      <c r="J2976" s="87"/>
      <c r="K2976" s="88"/>
      <c r="M2976" s="102">
        <v>0</v>
      </c>
      <c r="N2976" s="533"/>
      <c r="O2976" s="533"/>
      <c r="P2976" s="533"/>
      <c r="Q2976" s="533"/>
      <c r="R2976" s="78"/>
      <c r="S2976" s="396"/>
      <c r="T2976" s="529"/>
      <c r="U2976" s="529"/>
      <c r="V2976" s="397"/>
      <c r="Y2976" s="393">
        <f>+IFERROR(Y2970*S2976,0)</f>
        <v>0</v>
      </c>
      <c r="Z2976" s="391">
        <f>Y2970*V2976</f>
        <v>0</v>
      </c>
      <c r="AA2976" s="394"/>
      <c r="AB2976" s="395">
        <f>+Y2976*T2976</f>
        <v>0</v>
      </c>
      <c r="AC2976" s="93">
        <f>+AB2976-Z2976</f>
        <v>0</v>
      </c>
      <c r="AD2976" s="94"/>
      <c r="AE2976" s="386" t="str">
        <f>+IF(V2976=0,"CERO","NO")</f>
        <v>CERO</v>
      </c>
    </row>
    <row r="2977" spans="3:31" s="260" customFormat="1" x14ac:dyDescent="0.25">
      <c r="C2977" s="84"/>
      <c r="D2977" s="85"/>
      <c r="E2977" s="86"/>
      <c r="F2977" s="86"/>
      <c r="G2977" s="86"/>
      <c r="H2977" s="86"/>
      <c r="I2977" s="86"/>
      <c r="J2977" s="87"/>
      <c r="K2977" s="88"/>
      <c r="M2977" s="102">
        <v>0</v>
      </c>
      <c r="N2977" s="533"/>
      <c r="O2977" s="533"/>
      <c r="P2977" s="533"/>
      <c r="Q2977" s="533"/>
      <c r="R2977" s="78"/>
      <c r="S2977" s="396"/>
      <c r="T2977" s="529"/>
      <c r="U2977" s="529"/>
      <c r="V2977" s="397"/>
      <c r="Y2977" s="393">
        <f>+IFERROR(Y2970*S2977,0)</f>
        <v>0</v>
      </c>
      <c r="Z2977" s="391">
        <f>Y2970*V2977</f>
        <v>0</v>
      </c>
      <c r="AA2977" s="394"/>
      <c r="AB2977" s="395">
        <f>+Y2977*T2977</f>
        <v>0</v>
      </c>
      <c r="AC2977" s="93">
        <f>+AB2977-Z2977</f>
        <v>0</v>
      </c>
      <c r="AD2977" s="94"/>
      <c r="AE2977" s="386" t="str">
        <f>+IF(V2977=0,"CERO","NO")</f>
        <v>CERO</v>
      </c>
    </row>
    <row r="2978" spans="3:31" s="260" customFormat="1" ht="15.75" thickBot="1" x14ac:dyDescent="0.3">
      <c r="C2978" s="84"/>
      <c r="D2978" s="85"/>
      <c r="E2978" s="86"/>
      <c r="F2978" s="86"/>
      <c r="G2978" s="86"/>
      <c r="H2978" s="86"/>
      <c r="I2978" s="86"/>
      <c r="J2978" s="87"/>
      <c r="K2978" s="88"/>
      <c r="M2978" s="102">
        <v>0</v>
      </c>
      <c r="N2978" s="564"/>
      <c r="O2978" s="564"/>
      <c r="P2978" s="564"/>
      <c r="Q2978" s="564"/>
      <c r="R2978" s="96"/>
      <c r="S2978" s="96"/>
      <c r="T2978" s="565"/>
      <c r="U2978" s="565"/>
      <c r="V2978" s="101"/>
      <c r="Y2978" s="393">
        <f>+IFERROR(Y2970*S2978,0)</f>
        <v>0</v>
      </c>
      <c r="Z2978" s="391">
        <f>Y2970*V2978</f>
        <v>0</v>
      </c>
      <c r="AA2978" s="394"/>
      <c r="AB2978" s="395">
        <f>+Y2978*T2978</f>
        <v>0</v>
      </c>
      <c r="AC2978" s="93">
        <f>+AB2978-Z2978</f>
        <v>0</v>
      </c>
      <c r="AD2978" s="94"/>
      <c r="AE2978" s="386" t="str">
        <f>+IF(V2978=0,"CERO","NO")</f>
        <v>CERO</v>
      </c>
    </row>
    <row r="2979" spans="3:31" s="260" customFormat="1" ht="15.75" thickBot="1" x14ac:dyDescent="0.3">
      <c r="C2979" s="84"/>
      <c r="D2979" s="375" t="s">
        <v>128</v>
      </c>
      <c r="E2979" s="376" t="s">
        <v>129</v>
      </c>
      <c r="F2979" s="376" t="s">
        <v>130</v>
      </c>
      <c r="G2979" s="376" t="s">
        <v>131</v>
      </c>
      <c r="H2979" s="376" t="s">
        <v>132</v>
      </c>
      <c r="I2979" s="376" t="s">
        <v>133</v>
      </c>
      <c r="J2979" s="377" t="s">
        <v>134</v>
      </c>
      <c r="K2979" s="88"/>
      <c r="M2979" s="534"/>
      <c r="N2979" s="536" t="s">
        <v>101</v>
      </c>
      <c r="O2979" s="536"/>
      <c r="P2979" s="536"/>
      <c r="Q2979" s="536"/>
      <c r="R2979" s="536"/>
      <c r="S2979" s="536"/>
      <c r="T2979" s="536"/>
      <c r="U2979" s="536"/>
      <c r="V2979" s="389">
        <f>+SUM(V2974:V2978)</f>
        <v>972.92650000000003</v>
      </c>
      <c r="Y2979" s="398" t="s">
        <v>135</v>
      </c>
      <c r="Z2979" s="397">
        <f>+SUM(Z2974:Z2978)</f>
        <v>116751.18000000001</v>
      </c>
      <c r="AA2979" s="86"/>
      <c r="AB2979" s="384"/>
      <c r="AC2979" s="385"/>
      <c r="AD2979" s="94"/>
      <c r="AE2979" s="399"/>
    </row>
    <row r="2980" spans="3:31" s="260" customFormat="1" ht="15.75" thickBot="1" x14ac:dyDescent="0.3">
      <c r="C2980" s="84"/>
      <c r="D2980" s="375">
        <f>C2970</f>
        <v>3.12</v>
      </c>
      <c r="E2980" s="376"/>
      <c r="F2980" s="376"/>
      <c r="G2980" s="376"/>
      <c r="H2980" s="376"/>
      <c r="I2980" s="376"/>
      <c r="J2980" s="377"/>
      <c r="K2980" s="88"/>
      <c r="M2980" s="566"/>
      <c r="N2980" s="567" t="s">
        <v>102</v>
      </c>
      <c r="O2980" s="567"/>
      <c r="P2980" s="567"/>
      <c r="Q2980" s="567"/>
      <c r="R2980" s="567"/>
      <c r="S2980" s="567"/>
      <c r="T2980" s="567"/>
      <c r="U2980" s="567"/>
      <c r="V2980" s="400">
        <f>+ROUND(V2979,$AA$5)</f>
        <v>972.93</v>
      </c>
      <c r="Y2980" s="401" t="s">
        <v>136</v>
      </c>
      <c r="Z2980" s="402">
        <f>+ROUND(Z2979,$AA$5)</f>
        <v>116751.18</v>
      </c>
      <c r="AA2980" s="86"/>
      <c r="AB2980" s="403">
        <f>+V2980*Y2970</f>
        <v>116751.59999999999</v>
      </c>
      <c r="AC2980" s="404">
        <f>+AB2980-Z2980</f>
        <v>0.41999999999825377</v>
      </c>
      <c r="AD2980" s="94"/>
      <c r="AE2980" s="405"/>
    </row>
    <row r="2981" spans="3:31" s="260" customFormat="1" x14ac:dyDescent="0.25">
      <c r="C2981" s="84"/>
      <c r="D2981" s="380"/>
      <c r="E2981" s="381"/>
      <c r="F2981" s="381"/>
      <c r="G2981" s="381"/>
      <c r="H2981" s="381"/>
      <c r="I2981" s="381"/>
      <c r="J2981" s="382"/>
      <c r="K2981" s="88"/>
      <c r="M2981" s="510" t="s">
        <v>103</v>
      </c>
      <c r="N2981" s="511"/>
      <c r="O2981" s="511"/>
      <c r="P2981" s="511"/>
      <c r="Q2981" s="511"/>
      <c r="R2981" s="511"/>
      <c r="S2981" s="511"/>
      <c r="T2981" s="511"/>
      <c r="U2981" s="511"/>
      <c r="V2981" s="512"/>
      <c r="Y2981" s="378"/>
      <c r="Z2981" s="121"/>
      <c r="AA2981" s="86"/>
      <c r="AB2981" s="513"/>
      <c r="AC2981" s="514"/>
      <c r="AD2981" s="94"/>
      <c r="AE2981" s="126"/>
    </row>
    <row r="2982" spans="3:31" s="260" customFormat="1" x14ac:dyDescent="0.25">
      <c r="C2982" s="84"/>
      <c r="D2982" s="85"/>
      <c r="E2982" s="86"/>
      <c r="F2982" s="86"/>
      <c r="G2982" s="86"/>
      <c r="H2982" s="86"/>
      <c r="I2982" s="86"/>
      <c r="J2982" s="87"/>
      <c r="K2982" s="88"/>
      <c r="M2982" s="99" t="s">
        <v>94</v>
      </c>
      <c r="N2982" s="561" t="s">
        <v>95</v>
      </c>
      <c r="O2982" s="561"/>
      <c r="P2982" s="561"/>
      <c r="Q2982" s="561"/>
      <c r="R2982" s="95" t="s">
        <v>96</v>
      </c>
      <c r="S2982" s="95" t="s">
        <v>104</v>
      </c>
      <c r="T2982" s="356" t="s">
        <v>105</v>
      </c>
      <c r="U2982" s="356" t="s">
        <v>8</v>
      </c>
      <c r="V2982" s="100" t="s">
        <v>98</v>
      </c>
      <c r="Y2982" s="383" t="s">
        <v>104</v>
      </c>
      <c r="Z2982" s="119" t="s">
        <v>9</v>
      </c>
      <c r="AA2982" s="86"/>
      <c r="AB2982" s="384"/>
      <c r="AC2982" s="385"/>
      <c r="AD2982" s="94"/>
      <c r="AE2982" s="406"/>
    </row>
    <row r="2983" spans="3:31" s="260" customFormat="1" x14ac:dyDescent="0.25">
      <c r="C2983" s="84"/>
      <c r="D2983" s="85"/>
      <c r="E2983" s="86"/>
      <c r="F2983" s="86"/>
      <c r="G2983" s="86"/>
      <c r="H2983" s="86"/>
      <c r="I2983" s="86"/>
      <c r="J2983" s="87"/>
      <c r="K2983" s="88"/>
      <c r="M2983" s="102">
        <v>897</v>
      </c>
      <c r="N2983" s="533" t="str">
        <f>IFERROR(VLOOKUP(M2983,INSUMOS!$C$8:$K$928,2,0),"-----")</f>
        <v>REDUCCION RANURADA Ø3" A Ø1"</v>
      </c>
      <c r="O2983" s="533"/>
      <c r="P2983" s="533"/>
      <c r="Q2983" s="533"/>
      <c r="R2983" s="78" t="str">
        <f>IFERROR(VLOOKUP(M2983,INSUMOS!$C$8:$K$928,6,0),"-----")</f>
        <v>und</v>
      </c>
      <c r="S2983" s="396">
        <v>1</v>
      </c>
      <c r="T2983" s="387">
        <v>0</v>
      </c>
      <c r="U2983" s="388">
        <f>IFERROR(VLOOKUP(M2983,INSUMOS!$C$8:$K$928,7,0),"0")</f>
        <v>15200</v>
      </c>
      <c r="V2983" s="389">
        <f>+IFERROR(U2983*(S2983*(1+T2983)),0)</f>
        <v>15200</v>
      </c>
      <c r="Y2983" s="393">
        <f>+IFERROR(Y2970*(S2983*(1+T2983)),0)</f>
        <v>120</v>
      </c>
      <c r="Z2983" s="391">
        <f>Y2970*V2983</f>
        <v>1824000</v>
      </c>
      <c r="AA2983" s="394"/>
      <c r="AB2983" s="395">
        <f>+Y2983*U2983</f>
        <v>1824000</v>
      </c>
      <c r="AC2983" s="93">
        <f>+AB2983-Z2983</f>
        <v>0</v>
      </c>
      <c r="AD2983" s="94"/>
      <c r="AE2983" s="406" t="str">
        <f>+IF(V2983=0,"CERO","NO")</f>
        <v>NO</v>
      </c>
    </row>
    <row r="2984" spans="3:31" s="260" customFormat="1" x14ac:dyDescent="0.25">
      <c r="C2984" s="84"/>
      <c r="D2984" s="85"/>
      <c r="E2984" s="86"/>
      <c r="F2984" s="86"/>
      <c r="G2984" s="86"/>
      <c r="H2984" s="86"/>
      <c r="I2984" s="86"/>
      <c r="J2984" s="87"/>
      <c r="K2984" s="88"/>
      <c r="M2984" s="102"/>
      <c r="N2984" s="533" t="str">
        <f>IFERROR(VLOOKUP(M2984,INSUMOS!$C$8:$K$928,2,0),"-----")</f>
        <v>-----</v>
      </c>
      <c r="O2984" s="533"/>
      <c r="P2984" s="533"/>
      <c r="Q2984" s="533"/>
      <c r="R2984" s="78" t="str">
        <f>IFERROR(VLOOKUP(M2984,INSUMOS!$C$8:$K$928,6,0),"-----")</f>
        <v>-----</v>
      </c>
      <c r="S2984" s="392"/>
      <c r="T2984" s="387">
        <v>0</v>
      </c>
      <c r="U2984" s="388" t="str">
        <f>IFERROR(VLOOKUP(M2984,INSUMOS!$C$8:$K$928,7,0),"0")</f>
        <v>0</v>
      </c>
      <c r="V2984" s="389">
        <f>+IFERROR(U2984*(S2984*(1+T2984)),0)</f>
        <v>0</v>
      </c>
      <c r="Y2984" s="393">
        <f>+IFERROR(Y2970*(S2984*(1+T2984)),0)</f>
        <v>0</v>
      </c>
      <c r="Z2984" s="391">
        <f>Y2970*V2984</f>
        <v>0</v>
      </c>
      <c r="AA2984" s="394"/>
      <c r="AB2984" s="395">
        <f>+Y2984*U2984</f>
        <v>0</v>
      </c>
      <c r="AC2984" s="93">
        <f>+AB2984-Z2984</f>
        <v>0</v>
      </c>
      <c r="AD2984" s="94"/>
      <c r="AE2984" s="406" t="str">
        <f>+IF(V2984=0,"CERO","NO")</f>
        <v>CERO</v>
      </c>
    </row>
    <row r="2985" spans="3:31" s="260" customFormat="1" x14ac:dyDescent="0.25">
      <c r="C2985" s="84"/>
      <c r="D2985" s="85"/>
      <c r="E2985" s="86"/>
      <c r="F2985" s="86"/>
      <c r="G2985" s="86"/>
      <c r="H2985" s="86"/>
      <c r="I2985" s="86"/>
      <c r="J2985" s="87"/>
      <c r="K2985" s="88"/>
      <c r="M2985" s="102"/>
      <c r="N2985" s="533" t="str">
        <f>IFERROR(VLOOKUP(M2985,INSUMOS!$C$8:$K$928,2,0),"-----")</f>
        <v>-----</v>
      </c>
      <c r="O2985" s="533"/>
      <c r="P2985" s="533"/>
      <c r="Q2985" s="533"/>
      <c r="R2985" s="78" t="str">
        <f>IFERROR(VLOOKUP(M2985,INSUMOS!$C$8:$K$928,6,0),"-----")</f>
        <v>-----</v>
      </c>
      <c r="S2985" s="396"/>
      <c r="T2985" s="387">
        <v>0</v>
      </c>
      <c r="U2985" s="388" t="str">
        <f>IFERROR(VLOOKUP(M2985,INSUMOS!$C$8:$K$928,7,0),"0")</f>
        <v>0</v>
      </c>
      <c r="V2985" s="389">
        <f>+IFERROR(U2985*(S2985*(1+T2985)),0)</f>
        <v>0</v>
      </c>
      <c r="Y2985" s="393">
        <f>+IFERROR(Y2970*(S2985*(1+T2985)),0)</f>
        <v>0</v>
      </c>
      <c r="Z2985" s="391">
        <f>Y2970*V2985</f>
        <v>0</v>
      </c>
      <c r="AA2985" s="394"/>
      <c r="AB2985" s="395">
        <f>+Y2985*U2985</f>
        <v>0</v>
      </c>
      <c r="AC2985" s="93">
        <f>+AB2985-Z2985</f>
        <v>0</v>
      </c>
      <c r="AD2985" s="94"/>
      <c r="AE2985" s="406" t="str">
        <f>+IF(V2985=0,"CERO","NO")</f>
        <v>CERO</v>
      </c>
    </row>
    <row r="2986" spans="3:31" s="260" customFormat="1" x14ac:dyDescent="0.25">
      <c r="C2986" s="84"/>
      <c r="D2986" s="85"/>
      <c r="E2986" s="86"/>
      <c r="F2986" s="86"/>
      <c r="G2986" s="86"/>
      <c r="H2986" s="86"/>
      <c r="I2986" s="86"/>
      <c r="J2986" s="87"/>
      <c r="K2986" s="88"/>
      <c r="M2986" s="102">
        <v>0</v>
      </c>
      <c r="N2986" s="533" t="str">
        <f>IFERROR(VLOOKUP(M2986,INSUMOS!$C$8:$K$928,2,0),"-----")</f>
        <v>-----</v>
      </c>
      <c r="O2986" s="533"/>
      <c r="P2986" s="533"/>
      <c r="Q2986" s="533"/>
      <c r="R2986" s="78" t="str">
        <f>IFERROR(VLOOKUP(M2986,INSUMOS!$C$8:$K$928,6,0),"-----")</f>
        <v>-----</v>
      </c>
      <c r="S2986" s="396"/>
      <c r="T2986" s="387"/>
      <c r="U2986" s="388" t="str">
        <f>IFERROR(VLOOKUP(M2986,INSUMOS!$C$8:$K$928,7,0),"0")</f>
        <v>0</v>
      </c>
      <c r="V2986" s="389">
        <f>+IFERROR(U2986*(S2986*(1+T2986)),0)</f>
        <v>0</v>
      </c>
      <c r="Y2986" s="393">
        <f>+IFERROR(Y2970*(S2986*(1+T2986)),0)</f>
        <v>0</v>
      </c>
      <c r="Z2986" s="391">
        <f>Y2970*V2986</f>
        <v>0</v>
      </c>
      <c r="AA2986" s="394"/>
      <c r="AB2986" s="395">
        <f>+Y2986*U2986</f>
        <v>0</v>
      </c>
      <c r="AC2986" s="93">
        <f>+AB2986-Z2986</f>
        <v>0</v>
      </c>
      <c r="AD2986" s="94"/>
      <c r="AE2986" s="406" t="str">
        <f>+IF(V2986=0,"CERO","NO")</f>
        <v>CERO</v>
      </c>
    </row>
    <row r="2987" spans="3:31" s="260" customFormat="1" ht="15.75" thickBot="1" x14ac:dyDescent="0.3">
      <c r="C2987" s="84"/>
      <c r="D2987" s="85"/>
      <c r="E2987" s="86"/>
      <c r="F2987" s="86"/>
      <c r="G2987" s="86"/>
      <c r="H2987" s="86"/>
      <c r="I2987" s="86"/>
      <c r="J2987" s="87"/>
      <c r="K2987" s="88"/>
      <c r="M2987" s="102">
        <v>0</v>
      </c>
      <c r="N2987" s="564"/>
      <c r="O2987" s="564"/>
      <c r="P2987" s="564"/>
      <c r="Q2987" s="564"/>
      <c r="R2987" s="96"/>
      <c r="S2987" s="79"/>
      <c r="T2987" s="97"/>
      <c r="U2987" s="358"/>
      <c r="V2987" s="397"/>
      <c r="Y2987" s="393">
        <f>+IFERROR(Y2970*(S2987*(1+T2987)),0)</f>
        <v>0</v>
      </c>
      <c r="Z2987" s="391">
        <f>Y2970*V2987</f>
        <v>0</v>
      </c>
      <c r="AA2987" s="394"/>
      <c r="AB2987" s="395">
        <f>+Y2987*U2987</f>
        <v>0</v>
      </c>
      <c r="AC2987" s="93">
        <f>+AB2987-Z2987</f>
        <v>0</v>
      </c>
      <c r="AD2987" s="94"/>
      <c r="AE2987" s="406" t="str">
        <f>+IF(V2987=0,"CERO","NO")</f>
        <v>CERO</v>
      </c>
    </row>
    <row r="2988" spans="3:31" s="260" customFormat="1" ht="15.75" thickBot="1" x14ac:dyDescent="0.3">
      <c r="C2988" s="84"/>
      <c r="D2988" s="375" t="s">
        <v>128</v>
      </c>
      <c r="E2988" s="376" t="s">
        <v>129</v>
      </c>
      <c r="F2988" s="376" t="s">
        <v>130</v>
      </c>
      <c r="G2988" s="376" t="s">
        <v>131</v>
      </c>
      <c r="H2988" s="376" t="s">
        <v>132</v>
      </c>
      <c r="I2988" s="376" t="s">
        <v>133</v>
      </c>
      <c r="J2988" s="377" t="s">
        <v>134</v>
      </c>
      <c r="K2988" s="88"/>
      <c r="M2988" s="534"/>
      <c r="N2988" s="536" t="s">
        <v>106</v>
      </c>
      <c r="O2988" s="536"/>
      <c r="P2988" s="536"/>
      <c r="Q2988" s="536"/>
      <c r="R2988" s="536"/>
      <c r="S2988" s="536"/>
      <c r="T2988" s="536"/>
      <c r="U2988" s="536"/>
      <c r="V2988" s="389">
        <f>+SUM(V2983:V2987)</f>
        <v>15200</v>
      </c>
      <c r="Y2988" s="398" t="s">
        <v>135</v>
      </c>
      <c r="Z2988" s="397">
        <f>+SUM(Z2983:Z2987)</f>
        <v>1824000</v>
      </c>
      <c r="AA2988" s="86"/>
      <c r="AB2988" s="384"/>
      <c r="AC2988" s="385"/>
      <c r="AD2988" s="94"/>
      <c r="AE2988" s="399"/>
    </row>
    <row r="2989" spans="3:31" s="260" customFormat="1" ht="15.75" thickBot="1" x14ac:dyDescent="0.3">
      <c r="C2989" s="84"/>
      <c r="D2989" s="375"/>
      <c r="E2989" s="407">
        <f>+D2980</f>
        <v>3.12</v>
      </c>
      <c r="F2989" s="376"/>
      <c r="G2989" s="376"/>
      <c r="H2989" s="376"/>
      <c r="I2989" s="376"/>
      <c r="J2989" s="377"/>
      <c r="K2989" s="88"/>
      <c r="M2989" s="535"/>
      <c r="N2989" s="537" t="s">
        <v>107</v>
      </c>
      <c r="O2989" s="537"/>
      <c r="P2989" s="537"/>
      <c r="Q2989" s="537"/>
      <c r="R2989" s="537"/>
      <c r="S2989" s="537"/>
      <c r="T2989" s="537"/>
      <c r="U2989" s="537"/>
      <c r="V2989" s="408">
        <f>+ROUND(V2988,$AA$5)</f>
        <v>15200</v>
      </c>
      <c r="Y2989" s="401" t="s">
        <v>136</v>
      </c>
      <c r="Z2989" s="402">
        <f>+ROUND(Z2988,$AA$5)</f>
        <v>1824000</v>
      </c>
      <c r="AA2989" s="86"/>
      <c r="AB2989" s="403">
        <f>+V2989*Y2970</f>
        <v>1824000</v>
      </c>
      <c r="AC2989" s="404">
        <f>+AB2989-Z2989</f>
        <v>0</v>
      </c>
      <c r="AD2989" s="94"/>
      <c r="AE2989" s="405"/>
    </row>
    <row r="2990" spans="3:31" s="260" customFormat="1" x14ac:dyDescent="0.25">
      <c r="C2990" s="84"/>
      <c r="D2990" s="380"/>
      <c r="E2990" s="381"/>
      <c r="F2990" s="381"/>
      <c r="G2990" s="381"/>
      <c r="H2990" s="381"/>
      <c r="I2990" s="381"/>
      <c r="J2990" s="382"/>
      <c r="K2990" s="88"/>
      <c r="M2990" s="568" t="s">
        <v>108</v>
      </c>
      <c r="N2990" s="569"/>
      <c r="O2990" s="569"/>
      <c r="P2990" s="569"/>
      <c r="Q2990" s="569"/>
      <c r="R2990" s="569"/>
      <c r="S2990" s="569"/>
      <c r="T2990" s="569"/>
      <c r="U2990" s="569"/>
      <c r="V2990" s="570"/>
      <c r="Y2990" s="378"/>
      <c r="Z2990" s="121"/>
      <c r="AA2990" s="86"/>
      <c r="AB2990" s="409"/>
      <c r="AC2990" s="121"/>
      <c r="AD2990" s="94"/>
      <c r="AE2990" s="126"/>
    </row>
    <row r="2991" spans="3:31" s="260" customFormat="1" ht="25.5" x14ac:dyDescent="0.25">
      <c r="C2991" s="84"/>
      <c r="D2991" s="85"/>
      <c r="E2991" s="86"/>
      <c r="F2991" s="86"/>
      <c r="G2991" s="86"/>
      <c r="H2991" s="86"/>
      <c r="I2991" s="86"/>
      <c r="J2991" s="87"/>
      <c r="K2991" s="88"/>
      <c r="M2991" s="99" t="s">
        <v>94</v>
      </c>
      <c r="N2991" s="561" t="s">
        <v>95</v>
      </c>
      <c r="O2991" s="561"/>
      <c r="P2991" s="561"/>
      <c r="Q2991" s="95" t="s">
        <v>109</v>
      </c>
      <c r="R2991" s="95" t="s">
        <v>110</v>
      </c>
      <c r="S2991" s="95" t="s">
        <v>111</v>
      </c>
      <c r="T2991" s="562" t="s">
        <v>112</v>
      </c>
      <c r="U2991" s="562"/>
      <c r="V2991" s="100" t="s">
        <v>98</v>
      </c>
      <c r="Y2991" s="383" t="s">
        <v>104</v>
      </c>
      <c r="Z2991" s="119" t="s">
        <v>9</v>
      </c>
      <c r="AA2991" s="86"/>
      <c r="AB2991" s="384"/>
      <c r="AC2991" s="385"/>
      <c r="AD2991" s="94"/>
      <c r="AE2991" s="410"/>
    </row>
    <row r="2992" spans="3:31" s="260" customFormat="1" x14ac:dyDescent="0.25">
      <c r="C2992" s="84"/>
      <c r="D2992" s="85"/>
      <c r="E2992" s="86"/>
      <c r="F2992" s="86"/>
      <c r="G2992" s="86"/>
      <c r="H2992" s="86"/>
      <c r="I2992" s="86"/>
      <c r="J2992" s="87"/>
      <c r="K2992" s="88"/>
      <c r="M2992" s="102">
        <v>129</v>
      </c>
      <c r="N2992" s="530" t="str">
        <f>IFERROR(VLOOKUP(M2992,INSUMOS!$C$8:$K$928,2,0),"-----")</f>
        <v>transporte materiales en general</v>
      </c>
      <c r="O2992" s="531"/>
      <c r="P2992" s="532"/>
      <c r="Q2992" s="78" t="str">
        <f>IFERROR(VLOOKUP(M2992,INSUMOS!$C$8:$K$928,5,0),"-----")</f>
        <v>Km</v>
      </c>
      <c r="R2992" s="80">
        <v>1</v>
      </c>
      <c r="S2992" s="80">
        <f>IFERROR(VLOOKUP(M2992,INSUMOS!$C$8:$K$928,6,0),"0")</f>
        <v>348</v>
      </c>
      <c r="T2992" s="529">
        <f>IFERROR(VLOOKUP(M2992,INSUMOS!$C$8:$K$928,7,0),"0")</f>
        <v>0.99776362060288992</v>
      </c>
      <c r="U2992" s="529"/>
      <c r="V2992" s="82">
        <f>+T2992*S2992*R2992</f>
        <v>347.2217399698057</v>
      </c>
      <c r="Y2992" s="393">
        <f>+IFERROR((R2992*S2992)*Y2970,0)</f>
        <v>41760</v>
      </c>
      <c r="Z2992" s="391">
        <f>Y2970*V2992</f>
        <v>41666.608796376684</v>
      </c>
      <c r="AA2992" s="86"/>
      <c r="AB2992" s="92">
        <f>+Y2992*T2992</f>
        <v>41666.608796376684</v>
      </c>
      <c r="AC2992" s="93">
        <f>+AB2992-Z2992</f>
        <v>0</v>
      </c>
      <c r="AD2992" s="94"/>
      <c r="AE2992" s="406" t="str">
        <f>+IF(V2992=0,"CERO","NO")</f>
        <v>NO</v>
      </c>
    </row>
    <row r="2993" spans="3:31" s="260" customFormat="1" x14ac:dyDescent="0.25">
      <c r="C2993" s="84"/>
      <c r="D2993" s="85"/>
      <c r="E2993" s="86"/>
      <c r="F2993" s="86"/>
      <c r="G2993" s="86"/>
      <c r="H2993" s="86"/>
      <c r="I2993" s="86"/>
      <c r="J2993" s="87"/>
      <c r="K2993" s="88"/>
      <c r="M2993" s="102">
        <v>0</v>
      </c>
      <c r="N2993" s="530" t="str">
        <f>IFERROR(VLOOKUP(M2993,INSUMOS!$C$8:$K$928,2,0),"-----")</f>
        <v>-----</v>
      </c>
      <c r="O2993" s="531"/>
      <c r="P2993" s="532"/>
      <c r="Q2993" s="78" t="str">
        <f>IFERROR(VLOOKUP(M2993,INSUMOS!$C$8:$K$928,5,0),"-----")</f>
        <v>-----</v>
      </c>
      <c r="R2993" s="80"/>
      <c r="S2993" s="80" t="str">
        <f>IFERROR(VLOOKUP(M2993,INSUMOS!$C$8:$K$928,6,0),"0")</f>
        <v>0</v>
      </c>
      <c r="T2993" s="529" t="str">
        <f>IFERROR(VLOOKUP(M2993,INSUMOS!$C$8:$K$928,7,0),"0")</f>
        <v>0</v>
      </c>
      <c r="U2993" s="529"/>
      <c r="V2993" s="82">
        <f>+T2993*S2993*R2993</f>
        <v>0</v>
      </c>
      <c r="Y2993" s="393">
        <f>+IFERROR((R2993*S2993)*Y2970,0)</f>
        <v>0</v>
      </c>
      <c r="Z2993" s="391">
        <f>Y2970*V2993</f>
        <v>0</v>
      </c>
      <c r="AA2993" s="86"/>
      <c r="AB2993" s="92">
        <f>+Y2993*T2993</f>
        <v>0</v>
      </c>
      <c r="AC2993" s="93">
        <f>+AB2993-Z2993</f>
        <v>0</v>
      </c>
      <c r="AD2993" s="94"/>
      <c r="AE2993" s="406" t="str">
        <f>+IF(V2993=0,"CERO","NO")</f>
        <v>CERO</v>
      </c>
    </row>
    <row r="2994" spans="3:31" s="260" customFormat="1" x14ac:dyDescent="0.25">
      <c r="C2994" s="84"/>
      <c r="D2994" s="85"/>
      <c r="E2994" s="86"/>
      <c r="F2994" s="86"/>
      <c r="G2994" s="86"/>
      <c r="H2994" s="86"/>
      <c r="I2994" s="86"/>
      <c r="J2994" s="87"/>
      <c r="K2994" s="88"/>
      <c r="M2994" s="102">
        <v>0</v>
      </c>
      <c r="N2994" s="530" t="str">
        <f>IFERROR(VLOOKUP(M2994,INSUMOS!$C$8:$K$928,2,0),"-----")</f>
        <v>-----</v>
      </c>
      <c r="O2994" s="531"/>
      <c r="P2994" s="532"/>
      <c r="Q2994" s="78" t="str">
        <f>IFERROR(VLOOKUP(M2994,INSUMOS!$C$8:$K$928,5,0),"-----")</f>
        <v>-----</v>
      </c>
      <c r="R2994" s="80"/>
      <c r="S2994" s="80" t="str">
        <f>IFERROR(VLOOKUP(M2994,INSUMOS!$C$8:$K$928,6,0),"0")</f>
        <v>0</v>
      </c>
      <c r="T2994" s="529" t="str">
        <f>IFERROR(VLOOKUP(M2994,INSUMOS!$C$8:$K$928,7,0),"0")</f>
        <v>0</v>
      </c>
      <c r="U2994" s="529"/>
      <c r="V2994" s="82">
        <f>+T2994*S2994*R2994</f>
        <v>0</v>
      </c>
      <c r="Y2994" s="393">
        <f>+IFERROR((R2994*S2994)*Y2970,0)</f>
        <v>0</v>
      </c>
      <c r="Z2994" s="391">
        <f>Y2970*V2994</f>
        <v>0</v>
      </c>
      <c r="AA2994" s="86"/>
      <c r="AB2994" s="92">
        <f>+Y2994*T2994</f>
        <v>0</v>
      </c>
      <c r="AC2994" s="93">
        <f>+AB2994-Z2994</f>
        <v>0</v>
      </c>
      <c r="AD2994" s="94"/>
      <c r="AE2994" s="406" t="str">
        <f>+IF(V2994=0,"CERO","NO")</f>
        <v>CERO</v>
      </c>
    </row>
    <row r="2995" spans="3:31" s="260" customFormat="1" ht="15.75" thickBot="1" x14ac:dyDescent="0.3">
      <c r="C2995" s="84"/>
      <c r="D2995" s="89"/>
      <c r="E2995" s="90"/>
      <c r="F2995" s="90"/>
      <c r="G2995" s="90"/>
      <c r="H2995" s="90"/>
      <c r="I2995" s="90"/>
      <c r="J2995" s="91"/>
      <c r="K2995" s="88"/>
      <c r="M2995" s="102">
        <v>0</v>
      </c>
      <c r="N2995" s="533"/>
      <c r="O2995" s="533"/>
      <c r="P2995" s="533"/>
      <c r="Q2995" s="79"/>
      <c r="R2995" s="78"/>
      <c r="S2995" s="81"/>
      <c r="T2995" s="529"/>
      <c r="U2995" s="529"/>
      <c r="V2995" s="82"/>
      <c r="Y2995" s="393">
        <f>+IFERROR((R2995*S2995)*Y2970,0)</f>
        <v>0</v>
      </c>
      <c r="Z2995" s="391">
        <f>Y2970*V2995</f>
        <v>0</v>
      </c>
      <c r="AA2995" s="86"/>
      <c r="AB2995" s="92">
        <f>+Y2995*T2995</f>
        <v>0</v>
      </c>
      <c r="AC2995" s="93">
        <f>+AB2995-Z2995</f>
        <v>0</v>
      </c>
      <c r="AD2995" s="94"/>
      <c r="AE2995" s="406" t="str">
        <f>+IF(V2995=0,"CERO","NO")</f>
        <v>CERO</v>
      </c>
    </row>
    <row r="2996" spans="3:31" s="260" customFormat="1" ht="15.75" thickBot="1" x14ac:dyDescent="0.3">
      <c r="C2996" s="84"/>
      <c r="D2996" s="375" t="s">
        <v>128</v>
      </c>
      <c r="E2996" s="376" t="s">
        <v>129</v>
      </c>
      <c r="F2996" s="376" t="s">
        <v>130</v>
      </c>
      <c r="G2996" s="376" t="s">
        <v>131</v>
      </c>
      <c r="H2996" s="376" t="s">
        <v>132</v>
      </c>
      <c r="I2996" s="376" t="s">
        <v>133</v>
      </c>
      <c r="J2996" s="377" t="s">
        <v>134</v>
      </c>
      <c r="K2996" s="88"/>
      <c r="M2996" s="534"/>
      <c r="N2996" s="536" t="s">
        <v>113</v>
      </c>
      <c r="O2996" s="536"/>
      <c r="P2996" s="536"/>
      <c r="Q2996" s="536"/>
      <c r="R2996" s="536"/>
      <c r="S2996" s="536"/>
      <c r="T2996" s="536"/>
      <c r="U2996" s="536"/>
      <c r="V2996" s="411">
        <f>+SUM(V2992:V2995)</f>
        <v>347.2217399698057</v>
      </c>
      <c r="Y2996" s="398" t="s">
        <v>135</v>
      </c>
      <c r="Z2996" s="397">
        <f>+SUM(Z2992:Z2995)</f>
        <v>41666.608796376684</v>
      </c>
      <c r="AA2996" s="86"/>
      <c r="AB2996" s="384"/>
      <c r="AC2996" s="385"/>
      <c r="AD2996" s="94"/>
      <c r="AE2996" s="399"/>
    </row>
    <row r="2997" spans="3:31" s="260" customFormat="1" ht="15.75" thickBot="1" x14ac:dyDescent="0.3">
      <c r="C2997" s="84"/>
      <c r="D2997" s="355"/>
      <c r="E2997" s="367"/>
      <c r="F2997" s="412">
        <f>+E2989</f>
        <v>3.12</v>
      </c>
      <c r="G2997" s="367"/>
      <c r="H2997" s="367"/>
      <c r="I2997" s="367"/>
      <c r="J2997" s="368"/>
      <c r="K2997" s="88"/>
      <c r="M2997" s="535"/>
      <c r="N2997" s="537" t="s">
        <v>114</v>
      </c>
      <c r="O2997" s="537"/>
      <c r="P2997" s="537"/>
      <c r="Q2997" s="537"/>
      <c r="R2997" s="537"/>
      <c r="S2997" s="537"/>
      <c r="T2997" s="537"/>
      <c r="U2997" s="537"/>
      <c r="V2997" s="413">
        <f>+ROUND(V2996,$AA$5)</f>
        <v>347.22</v>
      </c>
      <c r="Y2997" s="401" t="s">
        <v>136</v>
      </c>
      <c r="Z2997" s="402">
        <f>+ROUND(Z2996,$AA$5)</f>
        <v>41666.61</v>
      </c>
      <c r="AA2997" s="86"/>
      <c r="AB2997" s="403">
        <f>+V2997*Y2970</f>
        <v>41666.400000000001</v>
      </c>
      <c r="AC2997" s="414"/>
      <c r="AD2997" s="94"/>
      <c r="AE2997" s="405"/>
    </row>
    <row r="2998" spans="3:31" s="260" customFormat="1" ht="15.75" thickBot="1" x14ac:dyDescent="0.3">
      <c r="C2998" s="84"/>
      <c r="D2998" s="415"/>
      <c r="E2998" s="416"/>
      <c r="F2998" s="416"/>
      <c r="G2998" s="416"/>
      <c r="H2998" s="416"/>
      <c r="I2998" s="416"/>
      <c r="J2998" s="417"/>
      <c r="K2998" s="88"/>
      <c r="M2998" s="538" t="s">
        <v>115</v>
      </c>
      <c r="N2998" s="539"/>
      <c r="O2998" s="539"/>
      <c r="P2998" s="539"/>
      <c r="Q2998" s="539"/>
      <c r="R2998" s="539"/>
      <c r="S2998" s="539"/>
      <c r="T2998" s="539"/>
      <c r="U2998" s="539"/>
      <c r="V2998" s="540"/>
      <c r="Y2998" s="378"/>
      <c r="Z2998" s="121"/>
      <c r="AA2998" s="86"/>
      <c r="AB2998" s="409"/>
      <c r="AC2998" s="121"/>
      <c r="AD2998" s="94"/>
      <c r="AE2998" s="126"/>
    </row>
    <row r="2999" spans="3:31" s="260" customFormat="1" ht="15.75" thickBot="1" x14ac:dyDescent="0.3">
      <c r="C2999" s="84"/>
      <c r="D2999" s="375" t="s">
        <v>128</v>
      </c>
      <c r="E2999" s="376" t="s">
        <v>129</v>
      </c>
      <c r="F2999" s="376" t="s">
        <v>130</v>
      </c>
      <c r="G2999" s="376" t="s">
        <v>131</v>
      </c>
      <c r="H2999" s="376" t="s">
        <v>132</v>
      </c>
      <c r="I2999" s="376" t="s">
        <v>133</v>
      </c>
      <c r="J2999" s="377" t="s">
        <v>134</v>
      </c>
      <c r="K2999" s="88"/>
      <c r="M2999" s="99" t="s">
        <v>94</v>
      </c>
      <c r="N2999" s="98" t="s">
        <v>95</v>
      </c>
      <c r="O2999" s="95" t="s">
        <v>96</v>
      </c>
      <c r="P2999" s="359" t="s">
        <v>104</v>
      </c>
      <c r="Q2999" s="95" t="s">
        <v>116</v>
      </c>
      <c r="R2999" s="418" t="s">
        <v>117</v>
      </c>
      <c r="S2999" s="95" t="s">
        <v>347</v>
      </c>
      <c r="T2999" s="419" t="s">
        <v>118</v>
      </c>
      <c r="U2999" s="189" t="s">
        <v>119</v>
      </c>
      <c r="V2999" s="100" t="s">
        <v>98</v>
      </c>
      <c r="Y2999" s="383" t="s">
        <v>104</v>
      </c>
      <c r="Z2999" s="119" t="s">
        <v>9</v>
      </c>
      <c r="AA2999" s="86"/>
      <c r="AB2999" s="384"/>
      <c r="AC2999" s="385"/>
      <c r="AD2999" s="94"/>
      <c r="AE2999" s="410"/>
    </row>
    <row r="3000" spans="3:31" s="260" customFormat="1" ht="25.5" x14ac:dyDescent="0.25">
      <c r="C3000" s="84"/>
      <c r="D3000" s="354"/>
      <c r="E3000" s="96"/>
      <c r="F3000" s="96"/>
      <c r="G3000" s="96"/>
      <c r="H3000" s="96"/>
      <c r="I3000" s="96"/>
      <c r="J3000" s="420">
        <f>+F2997</f>
        <v>3.12</v>
      </c>
      <c r="K3000" s="88"/>
      <c r="M3000" s="102">
        <v>207</v>
      </c>
      <c r="N3000" s="347" t="str">
        <f>IFERROR(VLOOKUP(M3000,INSUMOS!$C$8:$K$928,2,0),"-----")</f>
        <v>Oficial Hidrosanitario</v>
      </c>
      <c r="O3000" s="78" t="str">
        <f>IFERROR(VLOOKUP(M3000,INSUMOS!$C$8:$K$928,3,0),"-----")</f>
        <v>JORNAL+PS</v>
      </c>
      <c r="P3000" s="80">
        <v>1</v>
      </c>
      <c r="Q3000" s="79">
        <v>15</v>
      </c>
      <c r="R3000" s="190">
        <f>IFERROR(VLOOKUP(M3000,INSUMOS!$C$8:$K$928,4,0),"-----")</f>
        <v>92983</v>
      </c>
      <c r="S3000" s="190">
        <f>IFERROR(VLOOKUP(M3000,INSUMOS!$C$8:$K$928,6,0),"-----")</f>
        <v>74386</v>
      </c>
      <c r="T3000" s="190">
        <f>IFERROR(VLOOKUP(M3000,INSUMOS!$C$8:$K$928,5,0),"-----")</f>
        <v>0</v>
      </c>
      <c r="U3000" s="388">
        <f>SUM(R3000:T3000)</f>
        <v>167369</v>
      </c>
      <c r="V3000" s="82">
        <f>+IFERROR((P3000/Q3000)*U3000,0)</f>
        <v>11157.933333333332</v>
      </c>
      <c r="Y3000" s="393">
        <f>+IFERROR((Y2970/Q3000*P3000),0)</f>
        <v>8</v>
      </c>
      <c r="Z3000" s="391">
        <f>Y2970*V3000</f>
        <v>1338952</v>
      </c>
      <c r="AA3000" s="86"/>
      <c r="AB3000" s="92">
        <f>+(U3000)*Y3000</f>
        <v>1338952</v>
      </c>
      <c r="AC3000" s="93">
        <f>+AB3000-Z3000</f>
        <v>0</v>
      </c>
      <c r="AD3000" s="421"/>
      <c r="AE3000" s="410" t="str">
        <f>+IF(V3000=0,"CERO","NO")</f>
        <v>NO</v>
      </c>
    </row>
    <row r="3001" spans="3:31" s="260" customFormat="1" ht="26.25" thickBot="1" x14ac:dyDescent="0.3">
      <c r="C3001" s="84"/>
      <c r="D3001" s="355"/>
      <c r="E3001" s="367"/>
      <c r="F3001" s="367"/>
      <c r="G3001" s="367"/>
      <c r="H3001" s="367"/>
      <c r="I3001" s="367"/>
      <c r="J3001" s="422">
        <f>+J3000</f>
        <v>3.12</v>
      </c>
      <c r="K3001" s="88"/>
      <c r="M3001" s="102">
        <v>208</v>
      </c>
      <c r="N3001" s="347" t="str">
        <f>IFERROR(VLOOKUP(M3001,INSUMOS!$C$8:$K$928,2,0),"-----")</f>
        <v>Ayudante Hidrosanitario</v>
      </c>
      <c r="O3001" s="78" t="str">
        <f>IFERROR(VLOOKUP(M3001,INSUMOS!$C$8:$K$928,3,0),"-----")</f>
        <v>JORNAL+PS</v>
      </c>
      <c r="P3001" s="80">
        <v>1</v>
      </c>
      <c r="Q3001" s="79">
        <v>15</v>
      </c>
      <c r="R3001" s="190">
        <f>IFERROR(VLOOKUP(M3001,INSUMOS!$C$8:$K$928,4,0),"-----")</f>
        <v>69172</v>
      </c>
      <c r="S3001" s="190">
        <f>IFERROR(VLOOKUP(M3001,INSUMOS!$C$8:$K$928,6,0),"-----")</f>
        <v>55337</v>
      </c>
      <c r="T3001" s="190">
        <f>IFERROR(VLOOKUP(M3001,INSUMOS!$C$8:$K$928,5,0),"-----")</f>
        <v>0</v>
      </c>
      <c r="U3001" s="388">
        <f>SUM(R3001:T3001)</f>
        <v>124509</v>
      </c>
      <c r="V3001" s="82">
        <f>+IFERROR((P3001/Q3001)*U3001,0)</f>
        <v>8300.6</v>
      </c>
      <c r="Y3001" s="393">
        <f>+IFERROR((Y2970/Q3001*P3001),0)</f>
        <v>8</v>
      </c>
      <c r="Z3001" s="391">
        <f>Y2970*V3001</f>
        <v>996072</v>
      </c>
      <c r="AA3001" s="86"/>
      <c r="AB3001" s="92">
        <f>+U3001*Y3001</f>
        <v>996072</v>
      </c>
      <c r="AC3001" s="93">
        <f>+AB3001-Z3001</f>
        <v>0</v>
      </c>
      <c r="AD3001" s="94"/>
      <c r="AE3001" s="410" t="str">
        <f>+IF(V3001=0,"CERO","NO")</f>
        <v>NO</v>
      </c>
    </row>
    <row r="3002" spans="3:31" s="260" customFormat="1" ht="15.75" thickBot="1" x14ac:dyDescent="0.3">
      <c r="C3002" s="84"/>
      <c r="D3002" s="380"/>
      <c r="E3002" s="381"/>
      <c r="F3002" s="381"/>
      <c r="G3002" s="381"/>
      <c r="H3002" s="381"/>
      <c r="I3002" s="381"/>
      <c r="J3002" s="382"/>
      <c r="K3002" s="88"/>
      <c r="M3002" s="102">
        <v>0</v>
      </c>
      <c r="N3002" s="347"/>
      <c r="O3002" s="79"/>
      <c r="P3002" s="423"/>
      <c r="Q3002" s="81"/>
      <c r="R3002" s="111"/>
      <c r="S3002" s="357"/>
      <c r="T3002" s="111"/>
      <c r="U3002" s="388"/>
      <c r="V3002" s="426"/>
      <c r="Y3002" s="393">
        <f>+IFERROR((Y2970/Q3002*P3002),0)</f>
        <v>0</v>
      </c>
      <c r="Z3002" s="391">
        <f>Y2970*V3002</f>
        <v>0</v>
      </c>
      <c r="AA3002" s="86"/>
      <c r="AB3002" s="92">
        <f>+(U3002)*Y3002*P3002</f>
        <v>0</v>
      </c>
      <c r="AC3002" s="93">
        <f>+AB3002-Z3002</f>
        <v>0</v>
      </c>
      <c r="AD3002" s="94"/>
      <c r="AE3002" s="410" t="str">
        <f>+IF(V3002=0,"CERO","NO")</f>
        <v>CERO</v>
      </c>
    </row>
    <row r="3003" spans="3:31" s="260" customFormat="1" ht="15.75" thickBot="1" x14ac:dyDescent="0.3">
      <c r="C3003" s="84"/>
      <c r="D3003" s="375" t="s">
        <v>128</v>
      </c>
      <c r="E3003" s="376" t="s">
        <v>129</v>
      </c>
      <c r="F3003" s="376" t="s">
        <v>130</v>
      </c>
      <c r="G3003" s="376" t="s">
        <v>131</v>
      </c>
      <c r="H3003" s="376" t="s">
        <v>132</v>
      </c>
      <c r="I3003" s="376" t="s">
        <v>133</v>
      </c>
      <c r="J3003" s="377" t="s">
        <v>134</v>
      </c>
      <c r="K3003" s="88"/>
      <c r="M3003" s="534"/>
      <c r="N3003" s="536" t="s">
        <v>120</v>
      </c>
      <c r="O3003" s="536"/>
      <c r="P3003" s="536"/>
      <c r="Q3003" s="536"/>
      <c r="R3003" s="536"/>
      <c r="S3003" s="536"/>
      <c r="T3003" s="536"/>
      <c r="U3003" s="536"/>
      <c r="V3003" s="82">
        <f>+SUM(V3000:V3002)</f>
        <v>19458.533333333333</v>
      </c>
      <c r="Y3003" s="398" t="s">
        <v>135</v>
      </c>
      <c r="Z3003" s="397">
        <f>+SUM(Z3000:Z3002)</f>
        <v>2335024</v>
      </c>
      <c r="AA3003" s="86"/>
      <c r="AB3003" s="384"/>
      <c r="AC3003" s="385"/>
      <c r="AD3003" s="94"/>
      <c r="AE3003" s="399"/>
    </row>
    <row r="3004" spans="3:31" s="260" customFormat="1" ht="15.75" thickBot="1" x14ac:dyDescent="0.3">
      <c r="C3004" s="84"/>
      <c r="D3004" s="354"/>
      <c r="E3004" s="96"/>
      <c r="F3004" s="96"/>
      <c r="G3004" s="107">
        <f>+F2997</f>
        <v>3.12</v>
      </c>
      <c r="H3004" s="96"/>
      <c r="I3004" s="96"/>
      <c r="J3004" s="427"/>
      <c r="K3004" s="88"/>
      <c r="M3004" s="535"/>
      <c r="N3004" s="537" t="s">
        <v>121</v>
      </c>
      <c r="O3004" s="537"/>
      <c r="P3004" s="537"/>
      <c r="Q3004" s="537"/>
      <c r="R3004" s="537"/>
      <c r="S3004" s="537"/>
      <c r="T3004" s="537"/>
      <c r="U3004" s="537"/>
      <c r="V3004" s="413">
        <f>+ROUND(V3003,$AA$5)</f>
        <v>19458.53</v>
      </c>
      <c r="Y3004" s="401" t="s">
        <v>136</v>
      </c>
      <c r="Z3004" s="402">
        <f>+ROUND(Z3003,$AA$5)</f>
        <v>2335024</v>
      </c>
      <c r="AA3004" s="86"/>
      <c r="AB3004" s="403">
        <f>+V3004*Y2970</f>
        <v>2335023.5999999996</v>
      </c>
      <c r="AC3004" s="404">
        <f>+AB3004-Z3004</f>
        <v>-0.40000000037252903</v>
      </c>
      <c r="AD3004" s="94"/>
      <c r="AE3004" s="405"/>
    </row>
    <row r="3005" spans="3:31" s="260" customFormat="1" ht="15.75" thickBot="1" x14ac:dyDescent="0.3">
      <c r="C3005" s="84"/>
      <c r="D3005" s="375" t="s">
        <v>128</v>
      </c>
      <c r="E3005" s="376" t="s">
        <v>129</v>
      </c>
      <c r="F3005" s="376" t="s">
        <v>130</v>
      </c>
      <c r="G3005" s="376" t="s">
        <v>131</v>
      </c>
      <c r="H3005" s="376" t="s">
        <v>132</v>
      </c>
      <c r="I3005" s="376" t="s">
        <v>133</v>
      </c>
      <c r="J3005" s="377" t="s">
        <v>134</v>
      </c>
      <c r="K3005" s="88"/>
      <c r="M3005" s="541"/>
      <c r="N3005" s="542"/>
      <c r="O3005" s="542"/>
      <c r="P3005" s="542"/>
      <c r="Q3005" s="542"/>
      <c r="R3005" s="542"/>
      <c r="S3005" s="542"/>
      <c r="T3005" s="542"/>
      <c r="U3005" s="542"/>
      <c r="V3005" s="543"/>
      <c r="Y3005" s="378"/>
      <c r="Z3005" s="121"/>
      <c r="AA3005" s="86"/>
      <c r="AB3005" s="409"/>
      <c r="AC3005" s="121"/>
      <c r="AD3005" s="94"/>
      <c r="AE3005" s="428"/>
    </row>
    <row r="3006" spans="3:31" s="260" customFormat="1" ht="15.75" thickBot="1" x14ac:dyDescent="0.3">
      <c r="C3006" s="84"/>
      <c r="D3006" s="355"/>
      <c r="E3006" s="367"/>
      <c r="F3006" s="367"/>
      <c r="G3006" s="367"/>
      <c r="H3006" s="412">
        <f>G3004</f>
        <v>3.12</v>
      </c>
      <c r="I3006" s="412"/>
      <c r="J3006" s="422"/>
      <c r="K3006" s="88"/>
      <c r="M3006" s="544" t="s">
        <v>122</v>
      </c>
      <c r="N3006" s="537"/>
      <c r="O3006" s="537"/>
      <c r="P3006" s="537"/>
      <c r="Q3006" s="537"/>
      <c r="R3006" s="537"/>
      <c r="S3006" s="537"/>
      <c r="T3006" s="537"/>
      <c r="U3006" s="545">
        <f>+V3004+V2997+V2989+V2980</f>
        <v>35978.68</v>
      </c>
      <c r="V3006" s="546"/>
      <c r="Y3006" s="429"/>
      <c r="Z3006" s="430">
        <f>+Z3004+Z2997+Z2989+Z2980</f>
        <v>4317441.7899999991</v>
      </c>
      <c r="AA3006" s="86"/>
      <c r="AB3006" s="431">
        <f>+AB3004+AB2997+AB2989+AB2980</f>
        <v>4317441.5999999996</v>
      </c>
      <c r="AC3006" s="404">
        <f>+AB3006-Z3006</f>
        <v>-0.18999999947845936</v>
      </c>
      <c r="AD3006" s="94"/>
      <c r="AE3006" s="432"/>
    </row>
    <row r="3007" spans="3:31" s="260" customFormat="1" ht="15.75" thickBot="1" x14ac:dyDescent="0.3"/>
    <row r="3008" spans="3:31" s="260" customFormat="1" x14ac:dyDescent="0.25">
      <c r="M3008" s="547" t="s">
        <v>348</v>
      </c>
      <c r="N3008" s="548"/>
      <c r="O3008" s="548"/>
      <c r="P3008" s="548"/>
      <c r="Q3008" s="548"/>
      <c r="R3008" s="548"/>
      <c r="S3008" s="548"/>
      <c r="T3008" s="548"/>
      <c r="U3008" s="548"/>
      <c r="V3008" s="549"/>
      <c r="Y3008" s="378"/>
      <c r="Z3008" s="121"/>
      <c r="AA3008" s="86"/>
      <c r="AB3008" s="94"/>
      <c r="AC3008" s="94"/>
      <c r="AD3008" s="94"/>
      <c r="AE3008" s="126" t="s">
        <v>133</v>
      </c>
    </row>
    <row r="3009" spans="3:31" s="260" customFormat="1" x14ac:dyDescent="0.25">
      <c r="M3009" s="515" t="s">
        <v>138</v>
      </c>
      <c r="N3009" s="516"/>
      <c r="O3009" s="516"/>
      <c r="P3009" s="516"/>
      <c r="Q3009" s="516"/>
      <c r="R3009" s="516"/>
      <c r="S3009" s="516"/>
      <c r="T3009" s="437">
        <v>0</v>
      </c>
      <c r="U3009" s="517">
        <f>+ROUND(U3006*T3009,$AA$5)</f>
        <v>0</v>
      </c>
      <c r="V3009" s="518"/>
      <c r="Y3009" s="390"/>
      <c r="Z3009" s="438">
        <f>+Z3006*T3009</f>
        <v>0</v>
      </c>
      <c r="AA3009" s="86"/>
      <c r="AB3009" s="94"/>
      <c r="AC3009" s="94"/>
      <c r="AD3009" s="94"/>
      <c r="AE3009" s="386" t="s">
        <v>133</v>
      </c>
    </row>
    <row r="3010" spans="3:31" s="260" customFormat="1" x14ac:dyDescent="0.25">
      <c r="M3010" s="515" t="s">
        <v>19</v>
      </c>
      <c r="N3010" s="516"/>
      <c r="O3010" s="516"/>
      <c r="P3010" s="516"/>
      <c r="Q3010" s="516"/>
      <c r="R3010" s="516"/>
      <c r="S3010" s="516"/>
      <c r="T3010" s="437">
        <v>0.05</v>
      </c>
      <c r="U3010" s="517">
        <f>+ROUND(U3006*T3010,$AA$5)</f>
        <v>1798.93</v>
      </c>
      <c r="V3010" s="518"/>
      <c r="Y3010" s="390"/>
      <c r="Z3010" s="438">
        <f>+Z3006*T3010</f>
        <v>215872.08949999997</v>
      </c>
      <c r="AA3010" s="86"/>
      <c r="AB3010" s="94"/>
      <c r="AC3010" s="94"/>
      <c r="AD3010" s="94"/>
      <c r="AE3010" s="386" t="s">
        <v>133</v>
      </c>
    </row>
    <row r="3011" spans="3:31" s="260" customFormat="1" x14ac:dyDescent="0.25">
      <c r="M3011" s="515" t="s">
        <v>20</v>
      </c>
      <c r="N3011" s="516"/>
      <c r="O3011" s="516"/>
      <c r="P3011" s="516"/>
      <c r="Q3011" s="516"/>
      <c r="R3011" s="516"/>
      <c r="S3011" s="516"/>
      <c r="T3011" s="437">
        <v>0</v>
      </c>
      <c r="U3011" s="517">
        <f>+ROUND(U3006*T3011,$AA$5)</f>
        <v>0</v>
      </c>
      <c r="V3011" s="518"/>
      <c r="Y3011" s="390"/>
      <c r="Z3011" s="438">
        <f>+Z3006*T3011</f>
        <v>0</v>
      </c>
      <c r="AA3011" s="86"/>
      <c r="AB3011" s="94"/>
      <c r="AC3011" s="94"/>
      <c r="AD3011" s="94"/>
      <c r="AE3011" s="386" t="s">
        <v>133</v>
      </c>
    </row>
    <row r="3012" spans="3:31" s="260" customFormat="1" x14ac:dyDescent="0.25">
      <c r="M3012" s="515" t="s">
        <v>21</v>
      </c>
      <c r="N3012" s="516"/>
      <c r="O3012" s="516"/>
      <c r="P3012" s="516"/>
      <c r="Q3012" s="516"/>
      <c r="R3012" s="516"/>
      <c r="S3012" s="516"/>
      <c r="T3012" s="437">
        <f>$AA$9</f>
        <v>0</v>
      </c>
      <c r="U3012" s="517">
        <f>+ROUND(U3006*T3012,$AA$5)</f>
        <v>0</v>
      </c>
      <c r="V3012" s="518"/>
      <c r="Y3012" s="390"/>
      <c r="Z3012" s="438">
        <f>+Z3011*T3012</f>
        <v>0</v>
      </c>
      <c r="AA3012" s="86"/>
      <c r="AB3012" s="94"/>
      <c r="AC3012" s="94"/>
      <c r="AD3012" s="94"/>
      <c r="AE3012" s="386" t="s">
        <v>133</v>
      </c>
    </row>
    <row r="3013" spans="3:31" s="260" customFormat="1" ht="15.75" thickBot="1" x14ac:dyDescent="0.3">
      <c r="M3013" s="519" t="s">
        <v>349</v>
      </c>
      <c r="N3013" s="520"/>
      <c r="O3013" s="520"/>
      <c r="P3013" s="520"/>
      <c r="Q3013" s="520"/>
      <c r="R3013" s="520"/>
      <c r="S3013" s="520"/>
      <c r="T3013" s="520"/>
      <c r="U3013" s="521">
        <f>+SUM(U3009:V3012)</f>
        <v>1798.93</v>
      </c>
      <c r="V3013" s="522"/>
      <c r="Y3013" s="390"/>
      <c r="Z3013" s="439">
        <f>+SUM(Z3009:Z3012)</f>
        <v>215872.08949999997</v>
      </c>
      <c r="AA3013" s="86"/>
      <c r="AB3013" s="94"/>
      <c r="AC3013" s="94"/>
      <c r="AD3013" s="94"/>
      <c r="AE3013" s="386" t="s">
        <v>133</v>
      </c>
    </row>
    <row r="3014" spans="3:31" s="260" customFormat="1" ht="15.75" thickBot="1" x14ac:dyDescent="0.3">
      <c r="D3014" s="375" t="s">
        <v>128</v>
      </c>
      <c r="E3014" s="376" t="s">
        <v>129</v>
      </c>
      <c r="F3014" s="376" t="s">
        <v>130</v>
      </c>
      <c r="G3014" s="376" t="s">
        <v>131</v>
      </c>
      <c r="H3014" s="376" t="s">
        <v>132</v>
      </c>
      <c r="I3014" s="376" t="s">
        <v>133</v>
      </c>
      <c r="J3014" s="377" t="s">
        <v>134</v>
      </c>
      <c r="M3014" s="86"/>
      <c r="N3014" s="94"/>
      <c r="O3014" s="94"/>
      <c r="P3014" s="94"/>
      <c r="Q3014" s="86"/>
      <c r="R3014" s="86"/>
      <c r="S3014" s="86"/>
      <c r="T3014" s="440"/>
      <c r="U3014" s="523"/>
      <c r="V3014" s="523"/>
      <c r="Y3014" s="390"/>
      <c r="Z3014" s="385"/>
      <c r="AA3014" s="86"/>
      <c r="AB3014" s="94"/>
      <c r="AC3014" s="94"/>
      <c r="AD3014" s="94"/>
      <c r="AE3014" s="386" t="s">
        <v>133</v>
      </c>
    </row>
    <row r="3015" spans="3:31" s="260" customFormat="1" ht="15.75" thickBot="1" x14ac:dyDescent="0.3">
      <c r="D3015" s="355"/>
      <c r="E3015" s="367"/>
      <c r="F3015" s="367"/>
      <c r="G3015" s="367"/>
      <c r="H3015" s="412"/>
      <c r="I3015" s="412">
        <f>H3006</f>
        <v>3.12</v>
      </c>
      <c r="J3015" s="422"/>
      <c r="M3015" s="524" t="s">
        <v>11</v>
      </c>
      <c r="N3015" s="525"/>
      <c r="O3015" s="525"/>
      <c r="P3015" s="525"/>
      <c r="Q3015" s="525"/>
      <c r="R3015" s="525"/>
      <c r="S3015" s="525"/>
      <c r="T3015" s="526"/>
      <c r="U3015" s="527">
        <f>+U3013+U3006</f>
        <v>37777.61</v>
      </c>
      <c r="V3015" s="528"/>
      <c r="Y3015" s="429"/>
      <c r="Z3015" s="441">
        <f>+Z3013+Z3006</f>
        <v>4533313.8794999989</v>
      </c>
      <c r="AA3015" s="86"/>
      <c r="AB3015" s="94"/>
      <c r="AC3015" s="94"/>
      <c r="AD3015" s="94"/>
      <c r="AE3015" s="405" t="s">
        <v>133</v>
      </c>
    </row>
    <row r="3016" spans="3:31" s="260" customFormat="1" x14ac:dyDescent="0.25"/>
    <row r="3017" spans="3:31" s="260" customFormat="1" ht="15.75" thickBot="1" x14ac:dyDescent="0.3"/>
    <row r="3018" spans="3:31" s="260" customFormat="1" ht="15.75" thickBot="1" x14ac:dyDescent="0.3">
      <c r="M3018" s="363" t="s">
        <v>88</v>
      </c>
      <c r="N3018" s="436" t="str">
        <f>+N2969</f>
        <v>CAP.3</v>
      </c>
      <c r="O3018" s="550" t="str">
        <f>IFERROR(VLOOKUP(N3018,PPTO!C:H,2,0),"----")</f>
        <v>RED CONTRAINCENDIOS</v>
      </c>
      <c r="P3018" s="551"/>
      <c r="Q3018" s="551"/>
      <c r="R3018" s="551"/>
      <c r="S3018" s="551"/>
      <c r="T3018" s="551"/>
      <c r="U3018" s="552"/>
      <c r="V3018" s="74" t="s">
        <v>91</v>
      </c>
      <c r="Y3018" s="365" t="s">
        <v>104</v>
      </c>
      <c r="Z3018" s="94"/>
      <c r="AA3018" s="188"/>
      <c r="AB3018" s="553"/>
      <c r="AC3018" s="553"/>
      <c r="AD3018" s="553"/>
      <c r="AE3018" s="94"/>
    </row>
    <row r="3019" spans="3:31" s="260" customFormat="1" ht="15.75" thickBot="1" x14ac:dyDescent="0.3">
      <c r="C3019" s="369">
        <f>+N3019</f>
        <v>3.13</v>
      </c>
      <c r="D3019" s="86"/>
      <c r="E3019" s="86"/>
      <c r="F3019" s="86"/>
      <c r="G3019" s="86"/>
      <c r="H3019" s="86"/>
      <c r="I3019" s="86"/>
      <c r="J3019" s="86"/>
      <c r="K3019" s="370"/>
      <c r="M3019" s="75" t="s">
        <v>92</v>
      </c>
      <c r="N3019" s="371">
        <f>+ROUNDUP(N2970+0.01,2)</f>
        <v>3.13</v>
      </c>
      <c r="O3019" s="554" t="str">
        <f>IFERROR(VLOOKUP(N3019,PPTO!C:H,2,0),"----")</f>
        <v>Codo 90° ranurado AG Ø1"</v>
      </c>
      <c r="P3019" s="555"/>
      <c r="Q3019" s="555"/>
      <c r="R3019" s="555"/>
      <c r="S3019" s="555"/>
      <c r="T3019" s="555"/>
      <c r="U3019" s="556"/>
      <c r="V3019" s="76" t="str">
        <f>IFERROR(VLOOKUP(N3019,PPTO!C:H,3,0),"----")</f>
        <v>UND</v>
      </c>
      <c r="Y3019" s="373">
        <f>SUMIFS(PPTO!F:F,PPTO!C:C,APUS!N3019)</f>
        <v>126</v>
      </c>
      <c r="Z3019" s="94"/>
      <c r="AA3019" s="86"/>
      <c r="AB3019" s="94"/>
      <c r="AC3019" s="94"/>
      <c r="AD3019" s="94"/>
      <c r="AE3019" s="94"/>
    </row>
    <row r="3020" spans="3:31" s="260" customFormat="1" ht="15.75" thickBot="1" x14ac:dyDescent="0.3">
      <c r="C3020" s="84"/>
      <c r="D3020" s="86"/>
      <c r="E3020" s="86"/>
      <c r="F3020" s="86"/>
      <c r="G3020" s="86"/>
      <c r="H3020" s="86"/>
      <c r="I3020" s="86"/>
      <c r="J3020" s="86"/>
      <c r="K3020" s="88"/>
      <c r="M3020" s="557"/>
      <c r="N3020" s="557"/>
      <c r="O3020" s="557"/>
      <c r="P3020" s="557"/>
      <c r="Q3020" s="557"/>
      <c r="R3020" s="557"/>
      <c r="S3020" s="557"/>
      <c r="T3020" s="557"/>
      <c r="U3020" s="557"/>
      <c r="V3020" s="557"/>
      <c r="Y3020" s="374"/>
      <c r="Z3020" s="94"/>
      <c r="AA3020" s="86"/>
      <c r="AB3020" s="94"/>
      <c r="AC3020" s="94"/>
      <c r="AD3020" s="94"/>
      <c r="AE3020" s="94"/>
    </row>
    <row r="3021" spans="3:31" s="260" customFormat="1" ht="15.75" thickBot="1" x14ac:dyDescent="0.3">
      <c r="C3021" s="84"/>
      <c r="D3021" s="375" t="s">
        <v>128</v>
      </c>
      <c r="E3021" s="376" t="s">
        <v>129</v>
      </c>
      <c r="F3021" s="376" t="s">
        <v>130</v>
      </c>
      <c r="G3021" s="376" t="s">
        <v>131</v>
      </c>
      <c r="H3021" s="376" t="s">
        <v>132</v>
      </c>
      <c r="I3021" s="376" t="s">
        <v>133</v>
      </c>
      <c r="J3021" s="377" t="s">
        <v>134</v>
      </c>
      <c r="K3021" s="88"/>
      <c r="M3021" s="558" t="s">
        <v>93</v>
      </c>
      <c r="N3021" s="559"/>
      <c r="O3021" s="559"/>
      <c r="P3021" s="559"/>
      <c r="Q3021" s="559"/>
      <c r="R3021" s="559"/>
      <c r="S3021" s="559"/>
      <c r="T3021" s="559"/>
      <c r="U3021" s="559"/>
      <c r="V3021" s="560"/>
      <c r="Y3021" s="378"/>
      <c r="Z3021" s="121"/>
      <c r="AA3021" s="86"/>
      <c r="AB3021" s="513"/>
      <c r="AC3021" s="514"/>
      <c r="AD3021" s="94"/>
      <c r="AE3021" s="379"/>
    </row>
    <row r="3022" spans="3:31" s="260" customFormat="1" x14ac:dyDescent="0.25">
      <c r="C3022" s="84"/>
      <c r="D3022" s="380"/>
      <c r="E3022" s="381"/>
      <c r="F3022" s="381"/>
      <c r="G3022" s="381"/>
      <c r="H3022" s="381"/>
      <c r="I3022" s="381"/>
      <c r="J3022" s="382"/>
      <c r="K3022" s="88"/>
      <c r="M3022" s="99" t="s">
        <v>94</v>
      </c>
      <c r="N3022" s="561" t="s">
        <v>95</v>
      </c>
      <c r="O3022" s="561"/>
      <c r="P3022" s="561"/>
      <c r="Q3022" s="561"/>
      <c r="R3022" s="95" t="s">
        <v>96</v>
      </c>
      <c r="S3022" s="95" t="s">
        <v>97</v>
      </c>
      <c r="T3022" s="562" t="s">
        <v>8</v>
      </c>
      <c r="U3022" s="562"/>
      <c r="V3022" s="100" t="s">
        <v>98</v>
      </c>
      <c r="Y3022" s="383" t="s">
        <v>104</v>
      </c>
      <c r="Z3022" s="119" t="s">
        <v>9</v>
      </c>
      <c r="AA3022" s="86"/>
      <c r="AB3022" s="384"/>
      <c r="AC3022" s="385"/>
      <c r="AD3022" s="94"/>
      <c r="AE3022" s="386"/>
    </row>
    <row r="3023" spans="3:31" s="260" customFormat="1" x14ac:dyDescent="0.25">
      <c r="C3023" s="84"/>
      <c r="D3023" s="85"/>
      <c r="E3023" s="86"/>
      <c r="F3023" s="86"/>
      <c r="G3023" s="86"/>
      <c r="H3023" s="86"/>
      <c r="I3023" s="86"/>
      <c r="J3023" s="87"/>
      <c r="K3023" s="88"/>
      <c r="M3023" s="102"/>
      <c r="N3023" s="533" t="s">
        <v>99</v>
      </c>
      <c r="O3023" s="533"/>
      <c r="P3023" s="533"/>
      <c r="Q3023" s="533"/>
      <c r="R3023" s="78" t="s">
        <v>100</v>
      </c>
      <c r="S3023" s="387">
        <f>+$AA$10</f>
        <v>0.05</v>
      </c>
      <c r="T3023" s="563">
        <f>V3053</f>
        <v>19458.53</v>
      </c>
      <c r="U3023" s="563"/>
      <c r="V3023" s="389">
        <f>+IFERROR(T3023*S3023,0)</f>
        <v>972.92650000000003</v>
      </c>
      <c r="Y3023" s="390"/>
      <c r="Z3023" s="391">
        <f>Y3019*V3023</f>
        <v>122588.739</v>
      </c>
      <c r="AA3023" s="86"/>
      <c r="AB3023" s="384"/>
      <c r="AC3023" s="385"/>
      <c r="AD3023" s="94"/>
      <c r="AE3023" s="386" t="str">
        <f>+IF(V3023=0,"CERO","NO")</f>
        <v>NO</v>
      </c>
    </row>
    <row r="3024" spans="3:31" s="260" customFormat="1" x14ac:dyDescent="0.25">
      <c r="C3024" s="84"/>
      <c r="D3024" s="85"/>
      <c r="E3024" s="86"/>
      <c r="F3024" s="86"/>
      <c r="G3024" s="86"/>
      <c r="H3024" s="86"/>
      <c r="I3024" s="86"/>
      <c r="J3024" s="87"/>
      <c r="K3024" s="88"/>
      <c r="M3024" s="106"/>
      <c r="N3024" s="533" t="str">
        <f>IFERROR(VLOOKUP(M3024,INSUMOS!$C$8:$K$928,2,0),"-----")</f>
        <v>-----</v>
      </c>
      <c r="O3024" s="533"/>
      <c r="P3024" s="533"/>
      <c r="Q3024" s="533"/>
      <c r="R3024" s="78" t="str">
        <f>IFERROR(VLOOKUP(M3024,INSUMOS!$C$8:$K$928,6,0),"-----")</f>
        <v>-----</v>
      </c>
      <c r="S3024" s="392"/>
      <c r="T3024" s="529" t="str">
        <f>IFERROR(VLOOKUP(M3024,INSUMOS!$C$8:$K$928,7,0),"0")</f>
        <v>0</v>
      </c>
      <c r="U3024" s="529"/>
      <c r="V3024" s="389">
        <f>+IFERROR(T3024*S3024,0)</f>
        <v>0</v>
      </c>
      <c r="Y3024" s="393">
        <f>+IFERROR(Y3019*S3024,0)</f>
        <v>0</v>
      </c>
      <c r="Z3024" s="391">
        <f>Y3019*V3024</f>
        <v>0</v>
      </c>
      <c r="AA3024" s="394"/>
      <c r="AB3024" s="395">
        <f>+Y3024*T3024</f>
        <v>0</v>
      </c>
      <c r="AC3024" s="93">
        <f>+AB3024-Z3024</f>
        <v>0</v>
      </c>
      <c r="AD3024" s="94"/>
      <c r="AE3024" s="386" t="str">
        <f>+IF(V3024=0,"CERO","NO")</f>
        <v>CERO</v>
      </c>
    </row>
    <row r="3025" spans="3:31" s="260" customFormat="1" x14ac:dyDescent="0.25">
      <c r="C3025" s="84"/>
      <c r="D3025" s="85"/>
      <c r="E3025" s="86"/>
      <c r="F3025" s="86"/>
      <c r="G3025" s="86"/>
      <c r="H3025" s="86"/>
      <c r="I3025" s="86"/>
      <c r="J3025" s="87"/>
      <c r="K3025" s="88"/>
      <c r="M3025" s="102">
        <v>0</v>
      </c>
      <c r="N3025" s="533"/>
      <c r="O3025" s="533"/>
      <c r="P3025" s="533"/>
      <c r="Q3025" s="533"/>
      <c r="R3025" s="78"/>
      <c r="S3025" s="396"/>
      <c r="T3025" s="529"/>
      <c r="U3025" s="529"/>
      <c r="V3025" s="397"/>
      <c r="Y3025" s="393">
        <f>+IFERROR(Y3019*S3025,0)</f>
        <v>0</v>
      </c>
      <c r="Z3025" s="391">
        <f>Y3019*V3025</f>
        <v>0</v>
      </c>
      <c r="AA3025" s="394"/>
      <c r="AB3025" s="395">
        <f>+Y3025*T3025</f>
        <v>0</v>
      </c>
      <c r="AC3025" s="93">
        <f>+AB3025-Z3025</f>
        <v>0</v>
      </c>
      <c r="AD3025" s="94"/>
      <c r="AE3025" s="386" t="str">
        <f>+IF(V3025=0,"CERO","NO")</f>
        <v>CERO</v>
      </c>
    </row>
    <row r="3026" spans="3:31" s="260" customFormat="1" x14ac:dyDescent="0.25">
      <c r="C3026" s="84"/>
      <c r="D3026" s="85"/>
      <c r="E3026" s="86"/>
      <c r="F3026" s="86"/>
      <c r="G3026" s="86"/>
      <c r="H3026" s="86"/>
      <c r="I3026" s="86"/>
      <c r="J3026" s="87"/>
      <c r="K3026" s="88"/>
      <c r="M3026" s="102">
        <v>0</v>
      </c>
      <c r="N3026" s="533"/>
      <c r="O3026" s="533"/>
      <c r="P3026" s="533"/>
      <c r="Q3026" s="533"/>
      <c r="R3026" s="78"/>
      <c r="S3026" s="396"/>
      <c r="T3026" s="529"/>
      <c r="U3026" s="529"/>
      <c r="V3026" s="397"/>
      <c r="Y3026" s="393">
        <f>+IFERROR(Y3019*S3026,0)</f>
        <v>0</v>
      </c>
      <c r="Z3026" s="391">
        <f>Y3019*V3026</f>
        <v>0</v>
      </c>
      <c r="AA3026" s="394"/>
      <c r="AB3026" s="395">
        <f>+Y3026*T3026</f>
        <v>0</v>
      </c>
      <c r="AC3026" s="93">
        <f>+AB3026-Z3026</f>
        <v>0</v>
      </c>
      <c r="AD3026" s="94"/>
      <c r="AE3026" s="386" t="str">
        <f>+IF(V3026=0,"CERO","NO")</f>
        <v>CERO</v>
      </c>
    </row>
    <row r="3027" spans="3:31" s="260" customFormat="1" ht="15.75" thickBot="1" x14ac:dyDescent="0.3">
      <c r="C3027" s="84"/>
      <c r="D3027" s="85"/>
      <c r="E3027" s="86"/>
      <c r="F3027" s="86"/>
      <c r="G3027" s="86"/>
      <c r="H3027" s="86"/>
      <c r="I3027" s="86"/>
      <c r="J3027" s="87"/>
      <c r="K3027" s="88"/>
      <c r="M3027" s="102">
        <v>0</v>
      </c>
      <c r="N3027" s="564"/>
      <c r="O3027" s="564"/>
      <c r="P3027" s="564"/>
      <c r="Q3027" s="564"/>
      <c r="R3027" s="96"/>
      <c r="S3027" s="96"/>
      <c r="T3027" s="565"/>
      <c r="U3027" s="565"/>
      <c r="V3027" s="101"/>
      <c r="Y3027" s="393">
        <f>+IFERROR(Y3019*S3027,0)</f>
        <v>0</v>
      </c>
      <c r="Z3027" s="391">
        <f>Y3019*V3027</f>
        <v>0</v>
      </c>
      <c r="AA3027" s="394"/>
      <c r="AB3027" s="395">
        <f>+Y3027*T3027</f>
        <v>0</v>
      </c>
      <c r="AC3027" s="93">
        <f>+AB3027-Z3027</f>
        <v>0</v>
      </c>
      <c r="AD3027" s="94"/>
      <c r="AE3027" s="386" t="str">
        <f>+IF(V3027=0,"CERO","NO")</f>
        <v>CERO</v>
      </c>
    </row>
    <row r="3028" spans="3:31" s="260" customFormat="1" ht="15.75" thickBot="1" x14ac:dyDescent="0.3">
      <c r="C3028" s="84"/>
      <c r="D3028" s="375" t="s">
        <v>128</v>
      </c>
      <c r="E3028" s="376" t="s">
        <v>129</v>
      </c>
      <c r="F3028" s="376" t="s">
        <v>130</v>
      </c>
      <c r="G3028" s="376" t="s">
        <v>131</v>
      </c>
      <c r="H3028" s="376" t="s">
        <v>132</v>
      </c>
      <c r="I3028" s="376" t="s">
        <v>133</v>
      </c>
      <c r="J3028" s="377" t="s">
        <v>134</v>
      </c>
      <c r="K3028" s="88"/>
      <c r="M3028" s="534"/>
      <c r="N3028" s="536" t="s">
        <v>101</v>
      </c>
      <c r="O3028" s="536"/>
      <c r="P3028" s="536"/>
      <c r="Q3028" s="536"/>
      <c r="R3028" s="536"/>
      <c r="S3028" s="536"/>
      <c r="T3028" s="536"/>
      <c r="U3028" s="536"/>
      <c r="V3028" s="389">
        <f>+SUM(V3023:V3027)</f>
        <v>972.92650000000003</v>
      </c>
      <c r="Y3028" s="398" t="s">
        <v>135</v>
      </c>
      <c r="Z3028" s="397">
        <f>+SUM(Z3023:Z3027)</f>
        <v>122588.739</v>
      </c>
      <c r="AA3028" s="86"/>
      <c r="AB3028" s="384"/>
      <c r="AC3028" s="385"/>
      <c r="AD3028" s="94"/>
      <c r="AE3028" s="399"/>
    </row>
    <row r="3029" spans="3:31" s="260" customFormat="1" ht="15.75" thickBot="1" x14ac:dyDescent="0.3">
      <c r="C3029" s="84"/>
      <c r="D3029" s="375">
        <f>C3019</f>
        <v>3.13</v>
      </c>
      <c r="E3029" s="376"/>
      <c r="F3029" s="376"/>
      <c r="G3029" s="376"/>
      <c r="H3029" s="376"/>
      <c r="I3029" s="376"/>
      <c r="J3029" s="377"/>
      <c r="K3029" s="88"/>
      <c r="M3029" s="566"/>
      <c r="N3029" s="567" t="s">
        <v>102</v>
      </c>
      <c r="O3029" s="567"/>
      <c r="P3029" s="567"/>
      <c r="Q3029" s="567"/>
      <c r="R3029" s="567"/>
      <c r="S3029" s="567"/>
      <c r="T3029" s="567"/>
      <c r="U3029" s="567"/>
      <c r="V3029" s="400">
        <f>+ROUND(V3028,$AA$5)</f>
        <v>972.93</v>
      </c>
      <c r="Y3029" s="401" t="s">
        <v>136</v>
      </c>
      <c r="Z3029" s="402">
        <f>+ROUND(Z3028,$AA$5)</f>
        <v>122588.74</v>
      </c>
      <c r="AA3029" s="86"/>
      <c r="AB3029" s="403">
        <f>+V3029*Y3019</f>
        <v>122589.18</v>
      </c>
      <c r="AC3029" s="404">
        <f>+AB3029-Z3029</f>
        <v>0.43999999998777639</v>
      </c>
      <c r="AD3029" s="94"/>
      <c r="AE3029" s="405"/>
    </row>
    <row r="3030" spans="3:31" s="260" customFormat="1" x14ac:dyDescent="0.25">
      <c r="C3030" s="84"/>
      <c r="D3030" s="380"/>
      <c r="E3030" s="381"/>
      <c r="F3030" s="381"/>
      <c r="G3030" s="381"/>
      <c r="H3030" s="381"/>
      <c r="I3030" s="381"/>
      <c r="J3030" s="382"/>
      <c r="K3030" s="88"/>
      <c r="M3030" s="510" t="s">
        <v>103</v>
      </c>
      <c r="N3030" s="511"/>
      <c r="O3030" s="511"/>
      <c r="P3030" s="511"/>
      <c r="Q3030" s="511"/>
      <c r="R3030" s="511"/>
      <c r="S3030" s="511"/>
      <c r="T3030" s="511"/>
      <c r="U3030" s="511"/>
      <c r="V3030" s="512"/>
      <c r="Y3030" s="378"/>
      <c r="Z3030" s="121"/>
      <c r="AA3030" s="86"/>
      <c r="AB3030" s="513"/>
      <c r="AC3030" s="514"/>
      <c r="AD3030" s="94"/>
      <c r="AE3030" s="126"/>
    </row>
    <row r="3031" spans="3:31" s="260" customFormat="1" x14ac:dyDescent="0.25">
      <c r="C3031" s="84"/>
      <c r="D3031" s="85"/>
      <c r="E3031" s="86"/>
      <c r="F3031" s="86"/>
      <c r="G3031" s="86"/>
      <c r="H3031" s="86"/>
      <c r="I3031" s="86"/>
      <c r="J3031" s="87"/>
      <c r="K3031" s="88"/>
      <c r="M3031" s="99" t="s">
        <v>94</v>
      </c>
      <c r="N3031" s="561" t="s">
        <v>95</v>
      </c>
      <c r="O3031" s="561"/>
      <c r="P3031" s="561"/>
      <c r="Q3031" s="561"/>
      <c r="R3031" s="95" t="s">
        <v>96</v>
      </c>
      <c r="S3031" s="95" t="s">
        <v>104</v>
      </c>
      <c r="T3031" s="356" t="s">
        <v>105</v>
      </c>
      <c r="U3031" s="356" t="s">
        <v>8</v>
      </c>
      <c r="V3031" s="100" t="s">
        <v>98</v>
      </c>
      <c r="Y3031" s="383" t="s">
        <v>104</v>
      </c>
      <c r="Z3031" s="119" t="s">
        <v>9</v>
      </c>
      <c r="AA3031" s="86"/>
      <c r="AB3031" s="384"/>
      <c r="AC3031" s="385"/>
      <c r="AD3031" s="94"/>
      <c r="AE3031" s="406"/>
    </row>
    <row r="3032" spans="3:31" s="260" customFormat="1" x14ac:dyDescent="0.25">
      <c r="C3032" s="84"/>
      <c r="D3032" s="85"/>
      <c r="E3032" s="86"/>
      <c r="F3032" s="86"/>
      <c r="G3032" s="86"/>
      <c r="H3032" s="86"/>
      <c r="I3032" s="86"/>
      <c r="J3032" s="87"/>
      <c r="K3032" s="88"/>
      <c r="M3032" s="102">
        <v>744</v>
      </c>
      <c r="N3032" s="533" t="str">
        <f>IFERROR(VLOOKUP(M3032,INSUMOS!$C$8:$K$928,2,0),"-----")</f>
        <v>CODO RANURADO Ø1"</v>
      </c>
      <c r="O3032" s="533"/>
      <c r="P3032" s="533"/>
      <c r="Q3032" s="533"/>
      <c r="R3032" s="78" t="str">
        <f>IFERROR(VLOOKUP(M3032,INSUMOS!$C$8:$K$928,6,0),"-----")</f>
        <v>und</v>
      </c>
      <c r="S3032" s="396">
        <v>1</v>
      </c>
      <c r="T3032" s="387">
        <v>0</v>
      </c>
      <c r="U3032" s="388">
        <f>IFERROR(VLOOKUP(M3032,INSUMOS!$C$8:$K$928,7,0),"0")</f>
        <v>10100</v>
      </c>
      <c r="V3032" s="389">
        <f>+IFERROR(U3032*(S3032*(1+T3032)),0)</f>
        <v>10100</v>
      </c>
      <c r="Y3032" s="393">
        <f>+IFERROR(Y3019*(S3032*(1+T3032)),0)</f>
        <v>126</v>
      </c>
      <c r="Z3032" s="391">
        <f>Y3019*V3032</f>
        <v>1272600</v>
      </c>
      <c r="AA3032" s="394"/>
      <c r="AB3032" s="395">
        <f>+Y3032*U3032</f>
        <v>1272600</v>
      </c>
      <c r="AC3032" s="93">
        <f>+AB3032-Z3032</f>
        <v>0</v>
      </c>
      <c r="AD3032" s="94"/>
      <c r="AE3032" s="406" t="str">
        <f>+IF(V3032=0,"CERO","NO")</f>
        <v>NO</v>
      </c>
    </row>
    <row r="3033" spans="3:31" s="260" customFormat="1" x14ac:dyDescent="0.25">
      <c r="C3033" s="84"/>
      <c r="D3033" s="85"/>
      <c r="E3033" s="86"/>
      <c r="F3033" s="86"/>
      <c r="G3033" s="86"/>
      <c r="H3033" s="86"/>
      <c r="I3033" s="86"/>
      <c r="J3033" s="87"/>
      <c r="K3033" s="88"/>
      <c r="M3033" s="102"/>
      <c r="N3033" s="533" t="str">
        <f>IFERROR(VLOOKUP(M3033,INSUMOS!$C$8:$K$928,2,0),"-----")</f>
        <v>-----</v>
      </c>
      <c r="O3033" s="533"/>
      <c r="P3033" s="533"/>
      <c r="Q3033" s="533"/>
      <c r="R3033" s="78" t="str">
        <f>IFERROR(VLOOKUP(M3033,INSUMOS!$C$8:$K$928,6,0),"-----")</f>
        <v>-----</v>
      </c>
      <c r="S3033" s="392"/>
      <c r="T3033" s="387">
        <v>0</v>
      </c>
      <c r="U3033" s="388" t="str">
        <f>IFERROR(VLOOKUP(M3033,INSUMOS!$C$8:$K$928,7,0),"0")</f>
        <v>0</v>
      </c>
      <c r="V3033" s="389">
        <f>+IFERROR(U3033*(S3033*(1+T3033)),0)</f>
        <v>0</v>
      </c>
      <c r="Y3033" s="393">
        <f>+IFERROR(Y3019*(S3033*(1+T3033)),0)</f>
        <v>0</v>
      </c>
      <c r="Z3033" s="391">
        <f>Y3019*V3033</f>
        <v>0</v>
      </c>
      <c r="AA3033" s="394"/>
      <c r="AB3033" s="395">
        <f>+Y3033*U3033</f>
        <v>0</v>
      </c>
      <c r="AC3033" s="93">
        <f>+AB3033-Z3033</f>
        <v>0</v>
      </c>
      <c r="AD3033" s="94"/>
      <c r="AE3033" s="406" t="str">
        <f>+IF(V3033=0,"CERO","NO")</f>
        <v>CERO</v>
      </c>
    </row>
    <row r="3034" spans="3:31" s="260" customFormat="1" x14ac:dyDescent="0.25">
      <c r="C3034" s="84"/>
      <c r="D3034" s="85"/>
      <c r="E3034" s="86"/>
      <c r="F3034" s="86"/>
      <c r="G3034" s="86"/>
      <c r="H3034" s="86"/>
      <c r="I3034" s="86"/>
      <c r="J3034" s="87"/>
      <c r="K3034" s="88"/>
      <c r="M3034" s="102"/>
      <c r="N3034" s="533" t="str">
        <f>IFERROR(VLOOKUP(M3034,INSUMOS!$C$8:$K$928,2,0),"-----")</f>
        <v>-----</v>
      </c>
      <c r="O3034" s="533"/>
      <c r="P3034" s="533"/>
      <c r="Q3034" s="533"/>
      <c r="R3034" s="78" t="str">
        <f>IFERROR(VLOOKUP(M3034,INSUMOS!$C$8:$K$928,6,0),"-----")</f>
        <v>-----</v>
      </c>
      <c r="S3034" s="396"/>
      <c r="T3034" s="387">
        <v>0</v>
      </c>
      <c r="U3034" s="388" t="str">
        <f>IFERROR(VLOOKUP(M3034,INSUMOS!$C$8:$K$928,7,0),"0")</f>
        <v>0</v>
      </c>
      <c r="V3034" s="389">
        <f>+IFERROR(U3034*(S3034*(1+T3034)),0)</f>
        <v>0</v>
      </c>
      <c r="Y3034" s="393">
        <f>+IFERROR(Y3019*(S3034*(1+T3034)),0)</f>
        <v>0</v>
      </c>
      <c r="Z3034" s="391">
        <f>Y3019*V3034</f>
        <v>0</v>
      </c>
      <c r="AA3034" s="394"/>
      <c r="AB3034" s="395">
        <f>+Y3034*U3034</f>
        <v>0</v>
      </c>
      <c r="AC3034" s="93">
        <f>+AB3034-Z3034</f>
        <v>0</v>
      </c>
      <c r="AD3034" s="94"/>
      <c r="AE3034" s="406" t="str">
        <f>+IF(V3034=0,"CERO","NO")</f>
        <v>CERO</v>
      </c>
    </row>
    <row r="3035" spans="3:31" s="260" customFormat="1" x14ac:dyDescent="0.25">
      <c r="C3035" s="84"/>
      <c r="D3035" s="85"/>
      <c r="E3035" s="86"/>
      <c r="F3035" s="86"/>
      <c r="G3035" s="86"/>
      <c r="H3035" s="86"/>
      <c r="I3035" s="86"/>
      <c r="J3035" s="87"/>
      <c r="K3035" s="88"/>
      <c r="M3035" s="102">
        <v>0</v>
      </c>
      <c r="N3035" s="533" t="str">
        <f>IFERROR(VLOOKUP(M3035,INSUMOS!$C$8:$K$928,2,0),"-----")</f>
        <v>-----</v>
      </c>
      <c r="O3035" s="533"/>
      <c r="P3035" s="533"/>
      <c r="Q3035" s="533"/>
      <c r="R3035" s="78" t="str">
        <f>IFERROR(VLOOKUP(M3035,INSUMOS!$C$8:$K$928,6,0),"-----")</f>
        <v>-----</v>
      </c>
      <c r="S3035" s="396"/>
      <c r="T3035" s="387"/>
      <c r="U3035" s="388" t="str">
        <f>IFERROR(VLOOKUP(M3035,INSUMOS!$C$8:$K$928,7,0),"0")</f>
        <v>0</v>
      </c>
      <c r="V3035" s="389">
        <f>+IFERROR(U3035*(S3035*(1+T3035)),0)</f>
        <v>0</v>
      </c>
      <c r="Y3035" s="393">
        <f>+IFERROR(Y3019*(S3035*(1+T3035)),0)</f>
        <v>0</v>
      </c>
      <c r="Z3035" s="391">
        <f>Y3019*V3035</f>
        <v>0</v>
      </c>
      <c r="AA3035" s="394"/>
      <c r="AB3035" s="395">
        <f>+Y3035*U3035</f>
        <v>0</v>
      </c>
      <c r="AC3035" s="93">
        <f>+AB3035-Z3035</f>
        <v>0</v>
      </c>
      <c r="AD3035" s="94"/>
      <c r="AE3035" s="406" t="str">
        <f>+IF(V3035=0,"CERO","NO")</f>
        <v>CERO</v>
      </c>
    </row>
    <row r="3036" spans="3:31" s="260" customFormat="1" ht="15.75" thickBot="1" x14ac:dyDescent="0.3">
      <c r="C3036" s="84"/>
      <c r="D3036" s="85"/>
      <c r="E3036" s="86"/>
      <c r="F3036" s="86"/>
      <c r="G3036" s="86"/>
      <c r="H3036" s="86"/>
      <c r="I3036" s="86"/>
      <c r="J3036" s="87"/>
      <c r="K3036" s="88"/>
      <c r="M3036" s="102">
        <v>0</v>
      </c>
      <c r="N3036" s="564"/>
      <c r="O3036" s="564"/>
      <c r="P3036" s="564"/>
      <c r="Q3036" s="564"/>
      <c r="R3036" s="96"/>
      <c r="S3036" s="79"/>
      <c r="T3036" s="97"/>
      <c r="U3036" s="358"/>
      <c r="V3036" s="397"/>
      <c r="Y3036" s="393">
        <f>+IFERROR(Y3019*(S3036*(1+T3036)),0)</f>
        <v>0</v>
      </c>
      <c r="Z3036" s="391">
        <f>Y3019*V3036</f>
        <v>0</v>
      </c>
      <c r="AA3036" s="394"/>
      <c r="AB3036" s="395">
        <f>+Y3036*U3036</f>
        <v>0</v>
      </c>
      <c r="AC3036" s="93">
        <f>+AB3036-Z3036</f>
        <v>0</v>
      </c>
      <c r="AD3036" s="94"/>
      <c r="AE3036" s="406" t="str">
        <f>+IF(V3036=0,"CERO","NO")</f>
        <v>CERO</v>
      </c>
    </row>
    <row r="3037" spans="3:31" s="260" customFormat="1" ht="15.75" thickBot="1" x14ac:dyDescent="0.3">
      <c r="C3037" s="84"/>
      <c r="D3037" s="375" t="s">
        <v>128</v>
      </c>
      <c r="E3037" s="376" t="s">
        <v>129</v>
      </c>
      <c r="F3037" s="376" t="s">
        <v>130</v>
      </c>
      <c r="G3037" s="376" t="s">
        <v>131</v>
      </c>
      <c r="H3037" s="376" t="s">
        <v>132</v>
      </c>
      <c r="I3037" s="376" t="s">
        <v>133</v>
      </c>
      <c r="J3037" s="377" t="s">
        <v>134</v>
      </c>
      <c r="K3037" s="88"/>
      <c r="M3037" s="534"/>
      <c r="N3037" s="536" t="s">
        <v>106</v>
      </c>
      <c r="O3037" s="536"/>
      <c r="P3037" s="536"/>
      <c r="Q3037" s="536"/>
      <c r="R3037" s="536"/>
      <c r="S3037" s="536"/>
      <c r="T3037" s="536"/>
      <c r="U3037" s="536"/>
      <c r="V3037" s="389">
        <f>+SUM(V3032:V3036)</f>
        <v>10100</v>
      </c>
      <c r="Y3037" s="398" t="s">
        <v>135</v>
      </c>
      <c r="Z3037" s="397">
        <f>+SUM(Z3032:Z3036)</f>
        <v>1272600</v>
      </c>
      <c r="AA3037" s="86"/>
      <c r="AB3037" s="384"/>
      <c r="AC3037" s="385"/>
      <c r="AD3037" s="94"/>
      <c r="AE3037" s="399"/>
    </row>
    <row r="3038" spans="3:31" s="260" customFormat="1" ht="15.75" thickBot="1" x14ac:dyDescent="0.3">
      <c r="C3038" s="84"/>
      <c r="D3038" s="375"/>
      <c r="E3038" s="407">
        <f>+D3029</f>
        <v>3.13</v>
      </c>
      <c r="F3038" s="376"/>
      <c r="G3038" s="376"/>
      <c r="H3038" s="376"/>
      <c r="I3038" s="376"/>
      <c r="J3038" s="377"/>
      <c r="K3038" s="88"/>
      <c r="M3038" s="535"/>
      <c r="N3038" s="537" t="s">
        <v>107</v>
      </c>
      <c r="O3038" s="537"/>
      <c r="P3038" s="537"/>
      <c r="Q3038" s="537"/>
      <c r="R3038" s="537"/>
      <c r="S3038" s="537"/>
      <c r="T3038" s="537"/>
      <c r="U3038" s="537"/>
      <c r="V3038" s="408">
        <f>+ROUND(V3037,$AA$5)</f>
        <v>10100</v>
      </c>
      <c r="Y3038" s="401" t="s">
        <v>136</v>
      </c>
      <c r="Z3038" s="402">
        <f>+ROUND(Z3037,$AA$5)</f>
        <v>1272600</v>
      </c>
      <c r="AA3038" s="86"/>
      <c r="AB3038" s="403">
        <f>+V3038*Y3019</f>
        <v>1272600</v>
      </c>
      <c r="AC3038" s="404">
        <f>+AB3038-Z3038</f>
        <v>0</v>
      </c>
      <c r="AD3038" s="94"/>
      <c r="AE3038" s="405"/>
    </row>
    <row r="3039" spans="3:31" s="260" customFormat="1" x14ac:dyDescent="0.25">
      <c r="C3039" s="84"/>
      <c r="D3039" s="380"/>
      <c r="E3039" s="381"/>
      <c r="F3039" s="381"/>
      <c r="G3039" s="381"/>
      <c r="H3039" s="381"/>
      <c r="I3039" s="381"/>
      <c r="J3039" s="382"/>
      <c r="K3039" s="88"/>
      <c r="M3039" s="568" t="s">
        <v>108</v>
      </c>
      <c r="N3039" s="569"/>
      <c r="O3039" s="569"/>
      <c r="P3039" s="569"/>
      <c r="Q3039" s="569"/>
      <c r="R3039" s="569"/>
      <c r="S3039" s="569"/>
      <c r="T3039" s="569"/>
      <c r="U3039" s="569"/>
      <c r="V3039" s="570"/>
      <c r="Y3039" s="378"/>
      <c r="Z3039" s="121"/>
      <c r="AA3039" s="86"/>
      <c r="AB3039" s="409"/>
      <c r="AC3039" s="121"/>
      <c r="AD3039" s="94"/>
      <c r="AE3039" s="126"/>
    </row>
    <row r="3040" spans="3:31" s="260" customFormat="1" ht="25.5" x14ac:dyDescent="0.25">
      <c r="C3040" s="84"/>
      <c r="D3040" s="85"/>
      <c r="E3040" s="86"/>
      <c r="F3040" s="86"/>
      <c r="G3040" s="86"/>
      <c r="H3040" s="86"/>
      <c r="I3040" s="86"/>
      <c r="J3040" s="87"/>
      <c r="K3040" s="88"/>
      <c r="M3040" s="99" t="s">
        <v>94</v>
      </c>
      <c r="N3040" s="561" t="s">
        <v>95</v>
      </c>
      <c r="O3040" s="561"/>
      <c r="P3040" s="561"/>
      <c r="Q3040" s="95" t="s">
        <v>109</v>
      </c>
      <c r="R3040" s="95" t="s">
        <v>110</v>
      </c>
      <c r="S3040" s="95" t="s">
        <v>111</v>
      </c>
      <c r="T3040" s="562" t="s">
        <v>112</v>
      </c>
      <c r="U3040" s="562"/>
      <c r="V3040" s="100" t="s">
        <v>98</v>
      </c>
      <c r="Y3040" s="383" t="s">
        <v>104</v>
      </c>
      <c r="Z3040" s="119" t="s">
        <v>9</v>
      </c>
      <c r="AA3040" s="86"/>
      <c r="AB3040" s="384"/>
      <c r="AC3040" s="385"/>
      <c r="AD3040" s="94"/>
      <c r="AE3040" s="410"/>
    </row>
    <row r="3041" spans="3:31" s="260" customFormat="1" x14ac:dyDescent="0.25">
      <c r="C3041" s="84"/>
      <c r="D3041" s="85"/>
      <c r="E3041" s="86"/>
      <c r="F3041" s="86"/>
      <c r="G3041" s="86"/>
      <c r="H3041" s="86"/>
      <c r="I3041" s="86"/>
      <c r="J3041" s="87"/>
      <c r="K3041" s="88"/>
      <c r="M3041" s="102">
        <v>129</v>
      </c>
      <c r="N3041" s="530" t="str">
        <f>IFERROR(VLOOKUP(M3041,INSUMOS!$C$8:$K$928,2,0),"-----")</f>
        <v>transporte materiales en general</v>
      </c>
      <c r="O3041" s="531"/>
      <c r="P3041" s="532"/>
      <c r="Q3041" s="78" t="str">
        <f>IFERROR(VLOOKUP(M3041,INSUMOS!$C$8:$K$928,5,0),"-----")</f>
        <v>Km</v>
      </c>
      <c r="R3041" s="80">
        <v>1</v>
      </c>
      <c r="S3041" s="80">
        <f>IFERROR(VLOOKUP(M3041,INSUMOS!$C$8:$K$928,6,0),"0")</f>
        <v>348</v>
      </c>
      <c r="T3041" s="529">
        <f>IFERROR(VLOOKUP(M3041,INSUMOS!$C$8:$K$928,7,0),"0")</f>
        <v>0.99776362060288992</v>
      </c>
      <c r="U3041" s="529"/>
      <c r="V3041" s="82">
        <f>+T3041*S3041*R3041</f>
        <v>347.2217399698057</v>
      </c>
      <c r="Y3041" s="393">
        <f>+IFERROR((R3041*S3041)*Y3019,0)</f>
        <v>43848</v>
      </c>
      <c r="Z3041" s="391">
        <f>Y3019*V3041</f>
        <v>43749.939236195518</v>
      </c>
      <c r="AA3041" s="86"/>
      <c r="AB3041" s="92">
        <f>+Y3041*T3041</f>
        <v>43749.939236195518</v>
      </c>
      <c r="AC3041" s="93">
        <f>+AB3041-Z3041</f>
        <v>0</v>
      </c>
      <c r="AD3041" s="94"/>
      <c r="AE3041" s="406" t="str">
        <f>+IF(V3041=0,"CERO","NO")</f>
        <v>NO</v>
      </c>
    </row>
    <row r="3042" spans="3:31" s="260" customFormat="1" x14ac:dyDescent="0.25">
      <c r="C3042" s="84"/>
      <c r="D3042" s="85"/>
      <c r="E3042" s="86"/>
      <c r="F3042" s="86"/>
      <c r="G3042" s="86"/>
      <c r="H3042" s="86"/>
      <c r="I3042" s="86"/>
      <c r="J3042" s="87"/>
      <c r="K3042" s="88"/>
      <c r="M3042" s="102">
        <v>0</v>
      </c>
      <c r="N3042" s="530" t="str">
        <f>IFERROR(VLOOKUP(M3042,INSUMOS!$C$8:$K$928,2,0),"-----")</f>
        <v>-----</v>
      </c>
      <c r="O3042" s="531"/>
      <c r="P3042" s="532"/>
      <c r="Q3042" s="78" t="str">
        <f>IFERROR(VLOOKUP(M3042,INSUMOS!$C$8:$K$928,5,0),"-----")</f>
        <v>-----</v>
      </c>
      <c r="R3042" s="80"/>
      <c r="S3042" s="80" t="str">
        <f>IFERROR(VLOOKUP(M3042,INSUMOS!$C$8:$K$928,6,0),"0")</f>
        <v>0</v>
      </c>
      <c r="T3042" s="529" t="str">
        <f>IFERROR(VLOOKUP(M3042,INSUMOS!$C$8:$K$928,7,0),"0")</f>
        <v>0</v>
      </c>
      <c r="U3042" s="529"/>
      <c r="V3042" s="82">
        <f>+T3042*S3042*R3042</f>
        <v>0</v>
      </c>
      <c r="Y3042" s="393">
        <f>+IFERROR((R3042*S3042)*Y3019,0)</f>
        <v>0</v>
      </c>
      <c r="Z3042" s="391">
        <f>Y3019*V3042</f>
        <v>0</v>
      </c>
      <c r="AA3042" s="86"/>
      <c r="AB3042" s="92">
        <f>+Y3042*T3042</f>
        <v>0</v>
      </c>
      <c r="AC3042" s="93">
        <f>+AB3042-Z3042</f>
        <v>0</v>
      </c>
      <c r="AD3042" s="94"/>
      <c r="AE3042" s="406" t="str">
        <f>+IF(V3042=0,"CERO","NO")</f>
        <v>CERO</v>
      </c>
    </row>
    <row r="3043" spans="3:31" s="260" customFormat="1" x14ac:dyDescent="0.25">
      <c r="C3043" s="84"/>
      <c r="D3043" s="85"/>
      <c r="E3043" s="86"/>
      <c r="F3043" s="86"/>
      <c r="G3043" s="86"/>
      <c r="H3043" s="86"/>
      <c r="I3043" s="86"/>
      <c r="J3043" s="87"/>
      <c r="K3043" s="88"/>
      <c r="M3043" s="102">
        <v>0</v>
      </c>
      <c r="N3043" s="530" t="str">
        <f>IFERROR(VLOOKUP(M3043,INSUMOS!$C$8:$K$928,2,0),"-----")</f>
        <v>-----</v>
      </c>
      <c r="O3043" s="531"/>
      <c r="P3043" s="532"/>
      <c r="Q3043" s="78" t="str">
        <f>IFERROR(VLOOKUP(M3043,INSUMOS!$C$8:$K$928,5,0),"-----")</f>
        <v>-----</v>
      </c>
      <c r="R3043" s="80"/>
      <c r="S3043" s="80" t="str">
        <f>IFERROR(VLOOKUP(M3043,INSUMOS!$C$8:$K$928,6,0),"0")</f>
        <v>0</v>
      </c>
      <c r="T3043" s="529" t="str">
        <f>IFERROR(VLOOKUP(M3043,INSUMOS!$C$8:$K$928,7,0),"0")</f>
        <v>0</v>
      </c>
      <c r="U3043" s="529"/>
      <c r="V3043" s="82">
        <f>+T3043*S3043*R3043</f>
        <v>0</v>
      </c>
      <c r="Y3043" s="393">
        <f>+IFERROR((R3043*S3043)*Y3019,0)</f>
        <v>0</v>
      </c>
      <c r="Z3043" s="391">
        <f>Y3019*V3043</f>
        <v>0</v>
      </c>
      <c r="AA3043" s="86"/>
      <c r="AB3043" s="92">
        <f>+Y3043*T3043</f>
        <v>0</v>
      </c>
      <c r="AC3043" s="93">
        <f>+AB3043-Z3043</f>
        <v>0</v>
      </c>
      <c r="AD3043" s="94"/>
      <c r="AE3043" s="406" t="str">
        <f>+IF(V3043=0,"CERO","NO")</f>
        <v>CERO</v>
      </c>
    </row>
    <row r="3044" spans="3:31" s="260" customFormat="1" ht="15.75" thickBot="1" x14ac:dyDescent="0.3">
      <c r="C3044" s="84"/>
      <c r="D3044" s="89"/>
      <c r="E3044" s="90"/>
      <c r="F3044" s="90"/>
      <c r="G3044" s="90"/>
      <c r="H3044" s="90"/>
      <c r="I3044" s="90"/>
      <c r="J3044" s="91"/>
      <c r="K3044" s="88"/>
      <c r="M3044" s="102">
        <v>0</v>
      </c>
      <c r="N3044" s="533"/>
      <c r="O3044" s="533"/>
      <c r="P3044" s="533"/>
      <c r="Q3044" s="79"/>
      <c r="R3044" s="78"/>
      <c r="S3044" s="81"/>
      <c r="T3044" s="529"/>
      <c r="U3044" s="529"/>
      <c r="V3044" s="82"/>
      <c r="Y3044" s="393">
        <f>+IFERROR((R3044*S3044)*Y3019,0)</f>
        <v>0</v>
      </c>
      <c r="Z3044" s="391">
        <f>Y3019*V3044</f>
        <v>0</v>
      </c>
      <c r="AA3044" s="86"/>
      <c r="AB3044" s="92">
        <f>+Y3044*T3044</f>
        <v>0</v>
      </c>
      <c r="AC3044" s="93">
        <f>+AB3044-Z3044</f>
        <v>0</v>
      </c>
      <c r="AD3044" s="94"/>
      <c r="AE3044" s="406" t="str">
        <f>+IF(V3044=0,"CERO","NO")</f>
        <v>CERO</v>
      </c>
    </row>
    <row r="3045" spans="3:31" s="260" customFormat="1" ht="15.75" thickBot="1" x14ac:dyDescent="0.3">
      <c r="C3045" s="84"/>
      <c r="D3045" s="375" t="s">
        <v>128</v>
      </c>
      <c r="E3045" s="376" t="s">
        <v>129</v>
      </c>
      <c r="F3045" s="376" t="s">
        <v>130</v>
      </c>
      <c r="G3045" s="376" t="s">
        <v>131</v>
      </c>
      <c r="H3045" s="376" t="s">
        <v>132</v>
      </c>
      <c r="I3045" s="376" t="s">
        <v>133</v>
      </c>
      <c r="J3045" s="377" t="s">
        <v>134</v>
      </c>
      <c r="K3045" s="88"/>
      <c r="M3045" s="534"/>
      <c r="N3045" s="536" t="s">
        <v>113</v>
      </c>
      <c r="O3045" s="536"/>
      <c r="P3045" s="536"/>
      <c r="Q3045" s="536"/>
      <c r="R3045" s="536"/>
      <c r="S3045" s="536"/>
      <c r="T3045" s="536"/>
      <c r="U3045" s="536"/>
      <c r="V3045" s="411">
        <f>+SUM(V3041:V3044)</f>
        <v>347.2217399698057</v>
      </c>
      <c r="Y3045" s="398" t="s">
        <v>135</v>
      </c>
      <c r="Z3045" s="397">
        <f>+SUM(Z3041:Z3044)</f>
        <v>43749.939236195518</v>
      </c>
      <c r="AA3045" s="86"/>
      <c r="AB3045" s="384"/>
      <c r="AC3045" s="385"/>
      <c r="AD3045" s="94"/>
      <c r="AE3045" s="399"/>
    </row>
    <row r="3046" spans="3:31" s="260" customFormat="1" ht="15.75" thickBot="1" x14ac:dyDescent="0.3">
      <c r="C3046" s="84"/>
      <c r="D3046" s="355"/>
      <c r="E3046" s="367"/>
      <c r="F3046" s="412">
        <f>+E3038</f>
        <v>3.13</v>
      </c>
      <c r="G3046" s="367"/>
      <c r="H3046" s="367"/>
      <c r="I3046" s="367"/>
      <c r="J3046" s="368"/>
      <c r="K3046" s="88"/>
      <c r="M3046" s="535"/>
      <c r="N3046" s="537" t="s">
        <v>114</v>
      </c>
      <c r="O3046" s="537"/>
      <c r="P3046" s="537"/>
      <c r="Q3046" s="537"/>
      <c r="R3046" s="537"/>
      <c r="S3046" s="537"/>
      <c r="T3046" s="537"/>
      <c r="U3046" s="537"/>
      <c r="V3046" s="413">
        <f>+ROUND(V3045,$AA$5)</f>
        <v>347.22</v>
      </c>
      <c r="Y3046" s="401" t="s">
        <v>136</v>
      </c>
      <c r="Z3046" s="402">
        <f>+ROUND(Z3045,$AA$5)</f>
        <v>43749.94</v>
      </c>
      <c r="AA3046" s="86"/>
      <c r="AB3046" s="403">
        <f>+V3046*Y3019</f>
        <v>43749.72</v>
      </c>
      <c r="AC3046" s="414"/>
      <c r="AD3046" s="94"/>
      <c r="AE3046" s="405"/>
    </row>
    <row r="3047" spans="3:31" s="260" customFormat="1" ht="15.75" thickBot="1" x14ac:dyDescent="0.3">
      <c r="C3047" s="84"/>
      <c r="D3047" s="415"/>
      <c r="E3047" s="416"/>
      <c r="F3047" s="416"/>
      <c r="G3047" s="416"/>
      <c r="H3047" s="416"/>
      <c r="I3047" s="416"/>
      <c r="J3047" s="417"/>
      <c r="K3047" s="88"/>
      <c r="M3047" s="538" t="s">
        <v>115</v>
      </c>
      <c r="N3047" s="539"/>
      <c r="O3047" s="539"/>
      <c r="P3047" s="539"/>
      <c r="Q3047" s="539"/>
      <c r="R3047" s="539"/>
      <c r="S3047" s="539"/>
      <c r="T3047" s="539"/>
      <c r="U3047" s="539"/>
      <c r="V3047" s="540"/>
      <c r="Y3047" s="378"/>
      <c r="Z3047" s="121"/>
      <c r="AA3047" s="86"/>
      <c r="AB3047" s="409"/>
      <c r="AC3047" s="121"/>
      <c r="AD3047" s="94"/>
      <c r="AE3047" s="126"/>
    </row>
    <row r="3048" spans="3:31" s="260" customFormat="1" ht="15.75" thickBot="1" x14ac:dyDescent="0.3">
      <c r="C3048" s="84"/>
      <c r="D3048" s="375" t="s">
        <v>128</v>
      </c>
      <c r="E3048" s="376" t="s">
        <v>129</v>
      </c>
      <c r="F3048" s="376" t="s">
        <v>130</v>
      </c>
      <c r="G3048" s="376" t="s">
        <v>131</v>
      </c>
      <c r="H3048" s="376" t="s">
        <v>132</v>
      </c>
      <c r="I3048" s="376" t="s">
        <v>133</v>
      </c>
      <c r="J3048" s="377" t="s">
        <v>134</v>
      </c>
      <c r="K3048" s="88"/>
      <c r="M3048" s="99" t="s">
        <v>94</v>
      </c>
      <c r="N3048" s="98" t="s">
        <v>95</v>
      </c>
      <c r="O3048" s="95" t="s">
        <v>96</v>
      </c>
      <c r="P3048" s="359" t="s">
        <v>104</v>
      </c>
      <c r="Q3048" s="95" t="s">
        <v>116</v>
      </c>
      <c r="R3048" s="418" t="s">
        <v>117</v>
      </c>
      <c r="S3048" s="95" t="s">
        <v>347</v>
      </c>
      <c r="T3048" s="419" t="s">
        <v>118</v>
      </c>
      <c r="U3048" s="189" t="s">
        <v>119</v>
      </c>
      <c r="V3048" s="100" t="s">
        <v>98</v>
      </c>
      <c r="Y3048" s="383" t="s">
        <v>104</v>
      </c>
      <c r="Z3048" s="119" t="s">
        <v>9</v>
      </c>
      <c r="AA3048" s="86"/>
      <c r="AB3048" s="384"/>
      <c r="AC3048" s="385"/>
      <c r="AD3048" s="94"/>
      <c r="AE3048" s="410"/>
    </row>
    <row r="3049" spans="3:31" s="260" customFormat="1" ht="25.5" x14ac:dyDescent="0.25">
      <c r="C3049" s="84"/>
      <c r="D3049" s="354"/>
      <c r="E3049" s="96"/>
      <c r="F3049" s="96"/>
      <c r="G3049" s="96"/>
      <c r="H3049" s="96"/>
      <c r="I3049" s="96"/>
      <c r="J3049" s="420">
        <f>+F3046</f>
        <v>3.13</v>
      </c>
      <c r="K3049" s="88"/>
      <c r="M3049" s="102">
        <v>207</v>
      </c>
      <c r="N3049" s="347" t="str">
        <f>IFERROR(VLOOKUP(M3049,INSUMOS!$C$8:$K$928,2,0),"-----")</f>
        <v>Oficial Hidrosanitario</v>
      </c>
      <c r="O3049" s="78" t="str">
        <f>IFERROR(VLOOKUP(M3049,INSUMOS!$C$8:$K$928,3,0),"-----")</f>
        <v>JORNAL+PS</v>
      </c>
      <c r="P3049" s="80">
        <v>1</v>
      </c>
      <c r="Q3049" s="79">
        <v>15</v>
      </c>
      <c r="R3049" s="190">
        <f>IFERROR(VLOOKUP(M3049,INSUMOS!$C$8:$K$928,4,0),"-----")</f>
        <v>92983</v>
      </c>
      <c r="S3049" s="190">
        <f>IFERROR(VLOOKUP(M3049,INSUMOS!$C$8:$K$928,6,0),"-----")</f>
        <v>74386</v>
      </c>
      <c r="T3049" s="190">
        <f>IFERROR(VLOOKUP(M3049,INSUMOS!$C$8:$K$928,5,0),"-----")</f>
        <v>0</v>
      </c>
      <c r="U3049" s="388">
        <f>SUM(R3049:T3049)</f>
        <v>167369</v>
      </c>
      <c r="V3049" s="82">
        <f>+IFERROR((P3049/Q3049)*U3049,0)</f>
        <v>11157.933333333332</v>
      </c>
      <c r="Y3049" s="393">
        <f>+IFERROR((Y3019/Q3049*P3049),0)</f>
        <v>8.4</v>
      </c>
      <c r="Z3049" s="391">
        <f>Y3019*V3049</f>
        <v>1405899.5999999999</v>
      </c>
      <c r="AA3049" s="86"/>
      <c r="AB3049" s="92">
        <f>+(U3049)*Y3049</f>
        <v>1405899.6</v>
      </c>
      <c r="AC3049" s="93">
        <f>+AB3049-Z3049</f>
        <v>0</v>
      </c>
      <c r="AD3049" s="421"/>
      <c r="AE3049" s="410" t="str">
        <f>+IF(V3049=0,"CERO","NO")</f>
        <v>NO</v>
      </c>
    </row>
    <row r="3050" spans="3:31" s="260" customFormat="1" ht="26.25" thickBot="1" x14ac:dyDescent="0.3">
      <c r="C3050" s="84"/>
      <c r="D3050" s="355"/>
      <c r="E3050" s="367"/>
      <c r="F3050" s="367"/>
      <c r="G3050" s="367"/>
      <c r="H3050" s="367"/>
      <c r="I3050" s="367"/>
      <c r="J3050" s="422">
        <f>+J3049</f>
        <v>3.13</v>
      </c>
      <c r="K3050" s="88"/>
      <c r="M3050" s="102">
        <v>208</v>
      </c>
      <c r="N3050" s="347" t="str">
        <f>IFERROR(VLOOKUP(M3050,INSUMOS!$C$8:$K$928,2,0),"-----")</f>
        <v>Ayudante Hidrosanitario</v>
      </c>
      <c r="O3050" s="78" t="str">
        <f>IFERROR(VLOOKUP(M3050,INSUMOS!$C$8:$K$928,3,0),"-----")</f>
        <v>JORNAL+PS</v>
      </c>
      <c r="P3050" s="80">
        <v>1</v>
      </c>
      <c r="Q3050" s="79">
        <v>15</v>
      </c>
      <c r="R3050" s="190">
        <f>IFERROR(VLOOKUP(M3050,INSUMOS!$C$8:$K$928,4,0),"-----")</f>
        <v>69172</v>
      </c>
      <c r="S3050" s="190">
        <f>IFERROR(VLOOKUP(M3050,INSUMOS!$C$8:$K$928,6,0),"-----")</f>
        <v>55337</v>
      </c>
      <c r="T3050" s="190">
        <f>IFERROR(VLOOKUP(M3050,INSUMOS!$C$8:$K$928,5,0),"-----")</f>
        <v>0</v>
      </c>
      <c r="U3050" s="388">
        <f>SUM(R3050:T3050)</f>
        <v>124509</v>
      </c>
      <c r="V3050" s="82">
        <f>+IFERROR((P3050/Q3050)*U3050,0)</f>
        <v>8300.6</v>
      </c>
      <c r="Y3050" s="393">
        <f>+IFERROR((Y3019/Q3050*P3050),0)</f>
        <v>8.4</v>
      </c>
      <c r="Z3050" s="391">
        <f>Y3019*V3050</f>
        <v>1045875.6000000001</v>
      </c>
      <c r="AA3050" s="86"/>
      <c r="AB3050" s="92">
        <f>+U3050*Y3050</f>
        <v>1045875.6000000001</v>
      </c>
      <c r="AC3050" s="93">
        <f>+AB3050-Z3050</f>
        <v>0</v>
      </c>
      <c r="AD3050" s="94"/>
      <c r="AE3050" s="410" t="str">
        <f>+IF(V3050=0,"CERO","NO")</f>
        <v>NO</v>
      </c>
    </row>
    <row r="3051" spans="3:31" s="260" customFormat="1" ht="15.75" thickBot="1" x14ac:dyDescent="0.3">
      <c r="C3051" s="84"/>
      <c r="D3051" s="380"/>
      <c r="E3051" s="381"/>
      <c r="F3051" s="381"/>
      <c r="G3051" s="381"/>
      <c r="H3051" s="381"/>
      <c r="I3051" s="381"/>
      <c r="J3051" s="382"/>
      <c r="K3051" s="88"/>
      <c r="M3051" s="102">
        <v>0</v>
      </c>
      <c r="N3051" s="347"/>
      <c r="O3051" s="79"/>
      <c r="P3051" s="423"/>
      <c r="Q3051" s="81"/>
      <c r="R3051" s="111"/>
      <c r="S3051" s="357"/>
      <c r="T3051" s="111"/>
      <c r="U3051" s="388"/>
      <c r="V3051" s="426"/>
      <c r="Y3051" s="393">
        <f>+IFERROR((Y3019/Q3051*P3051),0)</f>
        <v>0</v>
      </c>
      <c r="Z3051" s="391">
        <f>Y3019*V3051</f>
        <v>0</v>
      </c>
      <c r="AA3051" s="86"/>
      <c r="AB3051" s="92">
        <f>+(U3051)*Y3051*P3051</f>
        <v>0</v>
      </c>
      <c r="AC3051" s="93">
        <f>+AB3051-Z3051</f>
        <v>0</v>
      </c>
      <c r="AD3051" s="94"/>
      <c r="AE3051" s="410" t="str">
        <f>+IF(V3051=0,"CERO","NO")</f>
        <v>CERO</v>
      </c>
    </row>
    <row r="3052" spans="3:31" s="260" customFormat="1" ht="15.75" thickBot="1" x14ac:dyDescent="0.3">
      <c r="C3052" s="84"/>
      <c r="D3052" s="375" t="s">
        <v>128</v>
      </c>
      <c r="E3052" s="376" t="s">
        <v>129</v>
      </c>
      <c r="F3052" s="376" t="s">
        <v>130</v>
      </c>
      <c r="G3052" s="376" t="s">
        <v>131</v>
      </c>
      <c r="H3052" s="376" t="s">
        <v>132</v>
      </c>
      <c r="I3052" s="376" t="s">
        <v>133</v>
      </c>
      <c r="J3052" s="377" t="s">
        <v>134</v>
      </c>
      <c r="K3052" s="88"/>
      <c r="M3052" s="534"/>
      <c r="N3052" s="536" t="s">
        <v>120</v>
      </c>
      <c r="O3052" s="536"/>
      <c r="P3052" s="536"/>
      <c r="Q3052" s="536"/>
      <c r="R3052" s="536"/>
      <c r="S3052" s="536"/>
      <c r="T3052" s="536"/>
      <c r="U3052" s="536"/>
      <c r="V3052" s="82">
        <f>+SUM(V3049:V3051)</f>
        <v>19458.533333333333</v>
      </c>
      <c r="Y3052" s="398" t="s">
        <v>135</v>
      </c>
      <c r="Z3052" s="397">
        <f>+SUM(Z3049:Z3051)</f>
        <v>2451775.2000000002</v>
      </c>
      <c r="AA3052" s="86"/>
      <c r="AB3052" s="384"/>
      <c r="AC3052" s="385"/>
      <c r="AD3052" s="94"/>
      <c r="AE3052" s="399"/>
    </row>
    <row r="3053" spans="3:31" s="260" customFormat="1" ht="15.75" thickBot="1" x14ac:dyDescent="0.3">
      <c r="C3053" s="84"/>
      <c r="D3053" s="354"/>
      <c r="E3053" s="96"/>
      <c r="F3053" s="96"/>
      <c r="G3053" s="107">
        <f>+F3046</f>
        <v>3.13</v>
      </c>
      <c r="H3053" s="96"/>
      <c r="I3053" s="96"/>
      <c r="J3053" s="427"/>
      <c r="K3053" s="88"/>
      <c r="M3053" s="535"/>
      <c r="N3053" s="537" t="s">
        <v>121</v>
      </c>
      <c r="O3053" s="537"/>
      <c r="P3053" s="537"/>
      <c r="Q3053" s="537"/>
      <c r="R3053" s="537"/>
      <c r="S3053" s="537"/>
      <c r="T3053" s="537"/>
      <c r="U3053" s="537"/>
      <c r="V3053" s="413">
        <f>+ROUND(V3052,$AA$5)</f>
        <v>19458.53</v>
      </c>
      <c r="Y3053" s="401" t="s">
        <v>136</v>
      </c>
      <c r="Z3053" s="402">
        <f>+ROUND(Z3052,$AA$5)</f>
        <v>2451775.2000000002</v>
      </c>
      <c r="AA3053" s="86"/>
      <c r="AB3053" s="403">
        <f>+V3053*Y3019</f>
        <v>2451774.7799999998</v>
      </c>
      <c r="AC3053" s="404">
        <f>+AB3053-Z3053</f>
        <v>-0.42000000039115548</v>
      </c>
      <c r="AD3053" s="94"/>
      <c r="AE3053" s="405"/>
    </row>
    <row r="3054" spans="3:31" s="260" customFormat="1" ht="15.75" thickBot="1" x14ac:dyDescent="0.3">
      <c r="C3054" s="84"/>
      <c r="D3054" s="375" t="s">
        <v>128</v>
      </c>
      <c r="E3054" s="376" t="s">
        <v>129</v>
      </c>
      <c r="F3054" s="376" t="s">
        <v>130</v>
      </c>
      <c r="G3054" s="376" t="s">
        <v>131</v>
      </c>
      <c r="H3054" s="376" t="s">
        <v>132</v>
      </c>
      <c r="I3054" s="376" t="s">
        <v>133</v>
      </c>
      <c r="J3054" s="377" t="s">
        <v>134</v>
      </c>
      <c r="K3054" s="88"/>
      <c r="M3054" s="541"/>
      <c r="N3054" s="542"/>
      <c r="O3054" s="542"/>
      <c r="P3054" s="542"/>
      <c r="Q3054" s="542"/>
      <c r="R3054" s="542"/>
      <c r="S3054" s="542"/>
      <c r="T3054" s="542"/>
      <c r="U3054" s="542"/>
      <c r="V3054" s="543"/>
      <c r="Y3054" s="378"/>
      <c r="Z3054" s="121"/>
      <c r="AA3054" s="86"/>
      <c r="AB3054" s="409"/>
      <c r="AC3054" s="121"/>
      <c r="AD3054" s="94"/>
      <c r="AE3054" s="428"/>
    </row>
    <row r="3055" spans="3:31" s="260" customFormat="1" ht="15.75" thickBot="1" x14ac:dyDescent="0.3">
      <c r="C3055" s="84"/>
      <c r="D3055" s="355"/>
      <c r="E3055" s="367"/>
      <c r="F3055" s="367"/>
      <c r="G3055" s="367"/>
      <c r="H3055" s="412">
        <f>G3053</f>
        <v>3.13</v>
      </c>
      <c r="I3055" s="412"/>
      <c r="J3055" s="422"/>
      <c r="K3055" s="88"/>
      <c r="M3055" s="544" t="s">
        <v>122</v>
      </c>
      <c r="N3055" s="537"/>
      <c r="O3055" s="537"/>
      <c r="P3055" s="537"/>
      <c r="Q3055" s="537"/>
      <c r="R3055" s="537"/>
      <c r="S3055" s="537"/>
      <c r="T3055" s="537"/>
      <c r="U3055" s="545">
        <f>+V3053+V3046+V3038+V3029</f>
        <v>30878.68</v>
      </c>
      <c r="V3055" s="546"/>
      <c r="Y3055" s="429"/>
      <c r="Z3055" s="430">
        <f>+Z3053+Z3046+Z3038+Z3029</f>
        <v>3890713.8800000004</v>
      </c>
      <c r="AA3055" s="86"/>
      <c r="AB3055" s="431">
        <f>+AB3053+AB3046+AB3038+AB3029</f>
        <v>3890713.68</v>
      </c>
      <c r="AC3055" s="404">
        <f>+AB3055-Z3055</f>
        <v>-0.20000000018626451</v>
      </c>
      <c r="AD3055" s="94"/>
      <c r="AE3055" s="432"/>
    </row>
    <row r="3056" spans="3:31" s="260" customFormat="1" ht="15.75" thickBot="1" x14ac:dyDescent="0.3"/>
    <row r="3057" spans="3:31" s="260" customFormat="1" x14ac:dyDescent="0.25">
      <c r="M3057" s="547" t="s">
        <v>348</v>
      </c>
      <c r="N3057" s="548"/>
      <c r="O3057" s="548"/>
      <c r="P3057" s="548"/>
      <c r="Q3057" s="548"/>
      <c r="R3057" s="548"/>
      <c r="S3057" s="548"/>
      <c r="T3057" s="548"/>
      <c r="U3057" s="548"/>
      <c r="V3057" s="549"/>
      <c r="Y3057" s="378"/>
      <c r="Z3057" s="121"/>
      <c r="AA3057" s="86"/>
      <c r="AB3057" s="94"/>
      <c r="AC3057" s="94"/>
      <c r="AD3057" s="94"/>
      <c r="AE3057" s="126" t="s">
        <v>133</v>
      </c>
    </row>
    <row r="3058" spans="3:31" s="260" customFormat="1" x14ac:dyDescent="0.25">
      <c r="M3058" s="515" t="s">
        <v>138</v>
      </c>
      <c r="N3058" s="516"/>
      <c r="O3058" s="516"/>
      <c r="P3058" s="516"/>
      <c r="Q3058" s="516"/>
      <c r="R3058" s="516"/>
      <c r="S3058" s="516"/>
      <c r="T3058" s="437">
        <v>0</v>
      </c>
      <c r="U3058" s="517">
        <f>+ROUND(U3055*T3058,$AA$5)</f>
        <v>0</v>
      </c>
      <c r="V3058" s="518"/>
      <c r="Y3058" s="390"/>
      <c r="Z3058" s="438">
        <f>+Z3055*T3058</f>
        <v>0</v>
      </c>
      <c r="AA3058" s="86"/>
      <c r="AB3058" s="94"/>
      <c r="AC3058" s="94"/>
      <c r="AD3058" s="94"/>
      <c r="AE3058" s="386" t="s">
        <v>133</v>
      </c>
    </row>
    <row r="3059" spans="3:31" s="260" customFormat="1" x14ac:dyDescent="0.25">
      <c r="M3059" s="515" t="s">
        <v>19</v>
      </c>
      <c r="N3059" s="516"/>
      <c r="O3059" s="516"/>
      <c r="P3059" s="516"/>
      <c r="Q3059" s="516"/>
      <c r="R3059" s="516"/>
      <c r="S3059" s="516"/>
      <c r="T3059" s="437">
        <v>0.05</v>
      </c>
      <c r="U3059" s="517">
        <f>+ROUND(U3055*T3059,$AA$5)</f>
        <v>1543.93</v>
      </c>
      <c r="V3059" s="518"/>
      <c r="Y3059" s="390"/>
      <c r="Z3059" s="438">
        <f>+Z3055*T3059</f>
        <v>194535.69400000002</v>
      </c>
      <c r="AA3059" s="86"/>
      <c r="AB3059" s="94"/>
      <c r="AC3059" s="94"/>
      <c r="AD3059" s="94"/>
      <c r="AE3059" s="386" t="s">
        <v>133</v>
      </c>
    </row>
    <row r="3060" spans="3:31" s="260" customFormat="1" x14ac:dyDescent="0.25">
      <c r="M3060" s="515" t="s">
        <v>20</v>
      </c>
      <c r="N3060" s="516"/>
      <c r="O3060" s="516"/>
      <c r="P3060" s="516"/>
      <c r="Q3060" s="516"/>
      <c r="R3060" s="516"/>
      <c r="S3060" s="516"/>
      <c r="T3060" s="437">
        <v>0</v>
      </c>
      <c r="U3060" s="517">
        <f>+ROUND(U3055*T3060,$AA$5)</f>
        <v>0</v>
      </c>
      <c r="V3060" s="518"/>
      <c r="Y3060" s="390"/>
      <c r="Z3060" s="438">
        <f>+Z3055*T3060</f>
        <v>0</v>
      </c>
      <c r="AA3060" s="86"/>
      <c r="AB3060" s="94"/>
      <c r="AC3060" s="94"/>
      <c r="AD3060" s="94"/>
      <c r="AE3060" s="386" t="s">
        <v>133</v>
      </c>
    </row>
    <row r="3061" spans="3:31" s="260" customFormat="1" x14ac:dyDescent="0.25">
      <c r="M3061" s="515" t="s">
        <v>21</v>
      </c>
      <c r="N3061" s="516"/>
      <c r="O3061" s="516"/>
      <c r="P3061" s="516"/>
      <c r="Q3061" s="516"/>
      <c r="R3061" s="516"/>
      <c r="S3061" s="516"/>
      <c r="T3061" s="437">
        <f>$AA$9</f>
        <v>0</v>
      </c>
      <c r="U3061" s="517">
        <f>+ROUND(U3055*T3061,$AA$5)</f>
        <v>0</v>
      </c>
      <c r="V3061" s="518"/>
      <c r="Y3061" s="390"/>
      <c r="Z3061" s="438">
        <f>+Z3060*T3061</f>
        <v>0</v>
      </c>
      <c r="AA3061" s="86"/>
      <c r="AB3061" s="94"/>
      <c r="AC3061" s="94"/>
      <c r="AD3061" s="94"/>
      <c r="AE3061" s="386" t="s">
        <v>133</v>
      </c>
    </row>
    <row r="3062" spans="3:31" s="260" customFormat="1" ht="15.75" thickBot="1" x14ac:dyDescent="0.3">
      <c r="M3062" s="519" t="s">
        <v>349</v>
      </c>
      <c r="N3062" s="520"/>
      <c r="O3062" s="520"/>
      <c r="P3062" s="520"/>
      <c r="Q3062" s="520"/>
      <c r="R3062" s="520"/>
      <c r="S3062" s="520"/>
      <c r="T3062" s="520"/>
      <c r="U3062" s="521">
        <f>+SUM(U3058:V3061)</f>
        <v>1543.93</v>
      </c>
      <c r="V3062" s="522"/>
      <c r="Y3062" s="390"/>
      <c r="Z3062" s="439">
        <f>+SUM(Z3058:Z3061)</f>
        <v>194535.69400000002</v>
      </c>
      <c r="AA3062" s="86"/>
      <c r="AB3062" s="94"/>
      <c r="AC3062" s="94"/>
      <c r="AD3062" s="94"/>
      <c r="AE3062" s="386" t="s">
        <v>133</v>
      </c>
    </row>
    <row r="3063" spans="3:31" s="260" customFormat="1" ht="15.75" thickBot="1" x14ac:dyDescent="0.3">
      <c r="D3063" s="375" t="s">
        <v>128</v>
      </c>
      <c r="E3063" s="376" t="s">
        <v>129</v>
      </c>
      <c r="F3063" s="376" t="s">
        <v>130</v>
      </c>
      <c r="G3063" s="376" t="s">
        <v>131</v>
      </c>
      <c r="H3063" s="376" t="s">
        <v>132</v>
      </c>
      <c r="I3063" s="376" t="s">
        <v>133</v>
      </c>
      <c r="J3063" s="377" t="s">
        <v>134</v>
      </c>
      <c r="M3063" s="86"/>
      <c r="N3063" s="94"/>
      <c r="O3063" s="94"/>
      <c r="P3063" s="94"/>
      <c r="Q3063" s="86"/>
      <c r="R3063" s="86"/>
      <c r="S3063" s="86"/>
      <c r="T3063" s="440"/>
      <c r="U3063" s="523"/>
      <c r="V3063" s="523"/>
      <c r="Y3063" s="390"/>
      <c r="Z3063" s="385"/>
      <c r="AA3063" s="86"/>
      <c r="AB3063" s="94"/>
      <c r="AC3063" s="94"/>
      <c r="AD3063" s="94"/>
      <c r="AE3063" s="386" t="s">
        <v>133</v>
      </c>
    </row>
    <row r="3064" spans="3:31" s="260" customFormat="1" ht="15.75" thickBot="1" x14ac:dyDescent="0.3">
      <c r="D3064" s="355"/>
      <c r="E3064" s="367"/>
      <c r="F3064" s="367"/>
      <c r="G3064" s="367"/>
      <c r="H3064" s="412"/>
      <c r="I3064" s="412">
        <f>H3055</f>
        <v>3.13</v>
      </c>
      <c r="J3064" s="422"/>
      <c r="M3064" s="524" t="s">
        <v>11</v>
      </c>
      <c r="N3064" s="525"/>
      <c r="O3064" s="525"/>
      <c r="P3064" s="525"/>
      <c r="Q3064" s="525"/>
      <c r="R3064" s="525"/>
      <c r="S3064" s="525"/>
      <c r="T3064" s="526"/>
      <c r="U3064" s="527">
        <f>+U3062+U3055</f>
        <v>32422.61</v>
      </c>
      <c r="V3064" s="528"/>
      <c r="Y3064" s="429"/>
      <c r="Z3064" s="441">
        <f>+Z3062+Z3055</f>
        <v>4085249.5740000005</v>
      </c>
      <c r="AA3064" s="86"/>
      <c r="AB3064" s="94"/>
      <c r="AC3064" s="94"/>
      <c r="AD3064" s="94"/>
      <c r="AE3064" s="405" t="s">
        <v>133</v>
      </c>
    </row>
    <row r="3065" spans="3:31" s="260" customFormat="1" x14ac:dyDescent="0.25"/>
    <row r="3066" spans="3:31" s="260" customFormat="1" ht="15.75" thickBot="1" x14ac:dyDescent="0.3"/>
    <row r="3067" spans="3:31" s="260" customFormat="1" ht="15.75" thickBot="1" x14ac:dyDescent="0.3">
      <c r="M3067" s="363" t="s">
        <v>88</v>
      </c>
      <c r="N3067" s="436" t="str">
        <f>+N3018</f>
        <v>CAP.3</v>
      </c>
      <c r="O3067" s="550" t="str">
        <f>IFERROR(VLOOKUP(N3067,PPTO!C:H,2,0),"----")</f>
        <v>RED CONTRAINCENDIOS</v>
      </c>
      <c r="P3067" s="551"/>
      <c r="Q3067" s="551"/>
      <c r="R3067" s="551"/>
      <c r="S3067" s="551"/>
      <c r="T3067" s="551"/>
      <c r="U3067" s="552"/>
      <c r="V3067" s="74" t="s">
        <v>91</v>
      </c>
      <c r="Y3067" s="365" t="s">
        <v>104</v>
      </c>
      <c r="Z3067" s="94"/>
      <c r="AA3067" s="188"/>
      <c r="AB3067" s="553"/>
      <c r="AC3067" s="553"/>
      <c r="AD3067" s="553"/>
      <c r="AE3067" s="94"/>
    </row>
    <row r="3068" spans="3:31" s="260" customFormat="1" ht="15.75" thickBot="1" x14ac:dyDescent="0.3">
      <c r="C3068" s="369">
        <f>+N3068</f>
        <v>3.14</v>
      </c>
      <c r="D3068" s="86"/>
      <c r="E3068" s="86"/>
      <c r="F3068" s="86"/>
      <c r="G3068" s="86"/>
      <c r="H3068" s="86"/>
      <c r="I3068" s="86"/>
      <c r="J3068" s="86"/>
      <c r="K3068" s="370"/>
      <c r="M3068" s="75" t="s">
        <v>92</v>
      </c>
      <c r="N3068" s="371">
        <f>+ROUNDUP(N3019+0.01,2)</f>
        <v>3.14</v>
      </c>
      <c r="O3068" s="554" t="str">
        <f>IFERROR(VLOOKUP(N3068,PPTO!C:H,2,0),"----")</f>
        <v>Tee ranurada AG Ø1"</v>
      </c>
      <c r="P3068" s="555"/>
      <c r="Q3068" s="555"/>
      <c r="R3068" s="555"/>
      <c r="S3068" s="555"/>
      <c r="T3068" s="555"/>
      <c r="U3068" s="556"/>
      <c r="V3068" s="76" t="str">
        <f>IFERROR(VLOOKUP(N3068,PPTO!C:H,3,0),"----")</f>
        <v>UND</v>
      </c>
      <c r="Y3068" s="373">
        <f>SUMIFS(PPTO!F:F,PPTO!C:C,APUS!N3068)</f>
        <v>40</v>
      </c>
      <c r="Z3068" s="94"/>
      <c r="AA3068" s="86"/>
      <c r="AB3068" s="94"/>
      <c r="AC3068" s="94"/>
      <c r="AD3068" s="94"/>
      <c r="AE3068" s="94"/>
    </row>
    <row r="3069" spans="3:31" s="260" customFormat="1" ht="15.75" thickBot="1" x14ac:dyDescent="0.3">
      <c r="C3069" s="84"/>
      <c r="D3069" s="86"/>
      <c r="E3069" s="86"/>
      <c r="F3069" s="86"/>
      <c r="G3069" s="86"/>
      <c r="H3069" s="86"/>
      <c r="I3069" s="86"/>
      <c r="J3069" s="86"/>
      <c r="K3069" s="88"/>
      <c r="M3069" s="557"/>
      <c r="N3069" s="557"/>
      <c r="O3069" s="557"/>
      <c r="P3069" s="557"/>
      <c r="Q3069" s="557"/>
      <c r="R3069" s="557"/>
      <c r="S3069" s="557"/>
      <c r="T3069" s="557"/>
      <c r="U3069" s="557"/>
      <c r="V3069" s="557"/>
      <c r="Y3069" s="374"/>
      <c r="Z3069" s="94"/>
      <c r="AA3069" s="86"/>
      <c r="AB3069" s="94"/>
      <c r="AC3069" s="94"/>
      <c r="AD3069" s="94"/>
      <c r="AE3069" s="94"/>
    </row>
    <row r="3070" spans="3:31" s="260" customFormat="1" ht="15.75" thickBot="1" x14ac:dyDescent="0.3">
      <c r="C3070" s="84"/>
      <c r="D3070" s="375" t="s">
        <v>128</v>
      </c>
      <c r="E3070" s="376" t="s">
        <v>129</v>
      </c>
      <c r="F3070" s="376" t="s">
        <v>130</v>
      </c>
      <c r="G3070" s="376" t="s">
        <v>131</v>
      </c>
      <c r="H3070" s="376" t="s">
        <v>132</v>
      </c>
      <c r="I3070" s="376" t="s">
        <v>133</v>
      </c>
      <c r="J3070" s="377" t="s">
        <v>134</v>
      </c>
      <c r="K3070" s="88"/>
      <c r="M3070" s="558" t="s">
        <v>93</v>
      </c>
      <c r="N3070" s="559"/>
      <c r="O3070" s="559"/>
      <c r="P3070" s="559"/>
      <c r="Q3070" s="559"/>
      <c r="R3070" s="559"/>
      <c r="S3070" s="559"/>
      <c r="T3070" s="559"/>
      <c r="U3070" s="559"/>
      <c r="V3070" s="560"/>
      <c r="Y3070" s="378"/>
      <c r="Z3070" s="121"/>
      <c r="AA3070" s="86"/>
      <c r="AB3070" s="513"/>
      <c r="AC3070" s="514"/>
      <c r="AD3070" s="94"/>
      <c r="AE3070" s="379"/>
    </row>
    <row r="3071" spans="3:31" s="260" customFormat="1" x14ac:dyDescent="0.25">
      <c r="C3071" s="84"/>
      <c r="D3071" s="380"/>
      <c r="E3071" s="381"/>
      <c r="F3071" s="381"/>
      <c r="G3071" s="381"/>
      <c r="H3071" s="381"/>
      <c r="I3071" s="381"/>
      <c r="J3071" s="382"/>
      <c r="K3071" s="88"/>
      <c r="M3071" s="99" t="s">
        <v>94</v>
      </c>
      <c r="N3071" s="561" t="s">
        <v>95</v>
      </c>
      <c r="O3071" s="561"/>
      <c r="P3071" s="561"/>
      <c r="Q3071" s="561"/>
      <c r="R3071" s="95" t="s">
        <v>96</v>
      </c>
      <c r="S3071" s="95" t="s">
        <v>97</v>
      </c>
      <c r="T3071" s="562" t="s">
        <v>8</v>
      </c>
      <c r="U3071" s="562"/>
      <c r="V3071" s="100" t="s">
        <v>98</v>
      </c>
      <c r="Y3071" s="383" t="s">
        <v>104</v>
      </c>
      <c r="Z3071" s="119" t="s">
        <v>9</v>
      </c>
      <c r="AA3071" s="86"/>
      <c r="AB3071" s="384"/>
      <c r="AC3071" s="385"/>
      <c r="AD3071" s="94"/>
      <c r="AE3071" s="386"/>
    </row>
    <row r="3072" spans="3:31" s="260" customFormat="1" x14ac:dyDescent="0.25">
      <c r="C3072" s="84"/>
      <c r="D3072" s="85"/>
      <c r="E3072" s="86"/>
      <c r="F3072" s="86"/>
      <c r="G3072" s="86"/>
      <c r="H3072" s="86"/>
      <c r="I3072" s="86"/>
      <c r="J3072" s="87"/>
      <c r="K3072" s="88"/>
      <c r="M3072" s="102"/>
      <c r="N3072" s="533" t="s">
        <v>99</v>
      </c>
      <c r="O3072" s="533"/>
      <c r="P3072" s="533"/>
      <c r="Q3072" s="533"/>
      <c r="R3072" s="78" t="s">
        <v>100</v>
      </c>
      <c r="S3072" s="387">
        <f>+$AA$10</f>
        <v>0.05</v>
      </c>
      <c r="T3072" s="563">
        <f>V3102</f>
        <v>19458.53</v>
      </c>
      <c r="U3072" s="563"/>
      <c r="V3072" s="389">
        <f>+IFERROR(T3072*S3072,0)</f>
        <v>972.92650000000003</v>
      </c>
      <c r="Y3072" s="390"/>
      <c r="Z3072" s="391">
        <f>Y3068*V3072</f>
        <v>38917.06</v>
      </c>
      <c r="AA3072" s="86"/>
      <c r="AB3072" s="384"/>
      <c r="AC3072" s="385"/>
      <c r="AD3072" s="94"/>
      <c r="AE3072" s="386" t="str">
        <f>+IF(V3072=0,"CERO","NO")</f>
        <v>NO</v>
      </c>
    </row>
    <row r="3073" spans="3:31" s="260" customFormat="1" x14ac:dyDescent="0.25">
      <c r="C3073" s="84"/>
      <c r="D3073" s="85"/>
      <c r="E3073" s="86"/>
      <c r="F3073" s="86"/>
      <c r="G3073" s="86"/>
      <c r="H3073" s="86"/>
      <c r="I3073" s="86"/>
      <c r="J3073" s="87"/>
      <c r="K3073" s="88"/>
      <c r="M3073" s="106"/>
      <c r="N3073" s="533" t="str">
        <f>IFERROR(VLOOKUP(M3073,INSUMOS!$C$8:$K$928,2,0),"-----")</f>
        <v>-----</v>
      </c>
      <c r="O3073" s="533"/>
      <c r="P3073" s="533"/>
      <c r="Q3073" s="533"/>
      <c r="R3073" s="78" t="str">
        <f>IFERROR(VLOOKUP(M3073,INSUMOS!$C$8:$K$928,6,0),"-----")</f>
        <v>-----</v>
      </c>
      <c r="S3073" s="392"/>
      <c r="T3073" s="529" t="str">
        <f>IFERROR(VLOOKUP(M3073,INSUMOS!$C$8:$K$928,7,0),"0")</f>
        <v>0</v>
      </c>
      <c r="U3073" s="529"/>
      <c r="V3073" s="389">
        <f>+IFERROR(T3073*S3073,0)</f>
        <v>0</v>
      </c>
      <c r="Y3073" s="393">
        <f>+IFERROR(Y3068*S3073,0)</f>
        <v>0</v>
      </c>
      <c r="Z3073" s="391">
        <f>Y3068*V3073</f>
        <v>0</v>
      </c>
      <c r="AA3073" s="394"/>
      <c r="AB3073" s="395">
        <f>+Y3073*T3073</f>
        <v>0</v>
      </c>
      <c r="AC3073" s="93">
        <f>+AB3073-Z3073</f>
        <v>0</v>
      </c>
      <c r="AD3073" s="94"/>
      <c r="AE3073" s="386" t="str">
        <f>+IF(V3073=0,"CERO","NO")</f>
        <v>CERO</v>
      </c>
    </row>
    <row r="3074" spans="3:31" s="260" customFormat="1" x14ac:dyDescent="0.25">
      <c r="C3074" s="84"/>
      <c r="D3074" s="85"/>
      <c r="E3074" s="86"/>
      <c r="F3074" s="86"/>
      <c r="G3074" s="86"/>
      <c r="H3074" s="86"/>
      <c r="I3074" s="86"/>
      <c r="J3074" s="87"/>
      <c r="K3074" s="88"/>
      <c r="M3074" s="102">
        <v>0</v>
      </c>
      <c r="N3074" s="533"/>
      <c r="O3074" s="533"/>
      <c r="P3074" s="533"/>
      <c r="Q3074" s="533"/>
      <c r="R3074" s="78"/>
      <c r="S3074" s="396"/>
      <c r="T3074" s="529"/>
      <c r="U3074" s="529"/>
      <c r="V3074" s="397"/>
      <c r="Y3074" s="393">
        <f>+IFERROR(Y3068*S3074,0)</f>
        <v>0</v>
      </c>
      <c r="Z3074" s="391">
        <f>Y3068*V3074</f>
        <v>0</v>
      </c>
      <c r="AA3074" s="394"/>
      <c r="AB3074" s="395">
        <f>+Y3074*T3074</f>
        <v>0</v>
      </c>
      <c r="AC3074" s="93">
        <f>+AB3074-Z3074</f>
        <v>0</v>
      </c>
      <c r="AD3074" s="94"/>
      <c r="AE3074" s="386" t="str">
        <f>+IF(V3074=0,"CERO","NO")</f>
        <v>CERO</v>
      </c>
    </row>
    <row r="3075" spans="3:31" s="260" customFormat="1" x14ac:dyDescent="0.25">
      <c r="C3075" s="84"/>
      <c r="D3075" s="85"/>
      <c r="E3075" s="86"/>
      <c r="F3075" s="86"/>
      <c r="G3075" s="86"/>
      <c r="H3075" s="86"/>
      <c r="I3075" s="86"/>
      <c r="J3075" s="87"/>
      <c r="K3075" s="88"/>
      <c r="M3075" s="102">
        <v>0</v>
      </c>
      <c r="N3075" s="533"/>
      <c r="O3075" s="533"/>
      <c r="P3075" s="533"/>
      <c r="Q3075" s="533"/>
      <c r="R3075" s="78"/>
      <c r="S3075" s="396"/>
      <c r="T3075" s="529"/>
      <c r="U3075" s="529"/>
      <c r="V3075" s="397"/>
      <c r="Y3075" s="393">
        <f>+IFERROR(Y3068*S3075,0)</f>
        <v>0</v>
      </c>
      <c r="Z3075" s="391">
        <f>Y3068*V3075</f>
        <v>0</v>
      </c>
      <c r="AA3075" s="394"/>
      <c r="AB3075" s="395">
        <f>+Y3075*T3075</f>
        <v>0</v>
      </c>
      <c r="AC3075" s="93">
        <f>+AB3075-Z3075</f>
        <v>0</v>
      </c>
      <c r="AD3075" s="94"/>
      <c r="AE3075" s="386" t="str">
        <f>+IF(V3075=0,"CERO","NO")</f>
        <v>CERO</v>
      </c>
    </row>
    <row r="3076" spans="3:31" s="260" customFormat="1" ht="15.75" thickBot="1" x14ac:dyDescent="0.3">
      <c r="C3076" s="84"/>
      <c r="D3076" s="85"/>
      <c r="E3076" s="86"/>
      <c r="F3076" s="86"/>
      <c r="G3076" s="86"/>
      <c r="H3076" s="86"/>
      <c r="I3076" s="86"/>
      <c r="J3076" s="87"/>
      <c r="K3076" s="88"/>
      <c r="M3076" s="102">
        <v>0</v>
      </c>
      <c r="N3076" s="564"/>
      <c r="O3076" s="564"/>
      <c r="P3076" s="564"/>
      <c r="Q3076" s="564"/>
      <c r="R3076" s="96"/>
      <c r="S3076" s="96"/>
      <c r="T3076" s="565"/>
      <c r="U3076" s="565"/>
      <c r="V3076" s="101"/>
      <c r="Y3076" s="393">
        <f>+IFERROR(Y3068*S3076,0)</f>
        <v>0</v>
      </c>
      <c r="Z3076" s="391">
        <f>Y3068*V3076</f>
        <v>0</v>
      </c>
      <c r="AA3076" s="394"/>
      <c r="AB3076" s="395">
        <f>+Y3076*T3076</f>
        <v>0</v>
      </c>
      <c r="AC3076" s="93">
        <f>+AB3076-Z3076</f>
        <v>0</v>
      </c>
      <c r="AD3076" s="94"/>
      <c r="AE3076" s="386" t="str">
        <f>+IF(V3076=0,"CERO","NO")</f>
        <v>CERO</v>
      </c>
    </row>
    <row r="3077" spans="3:31" s="260" customFormat="1" ht="15.75" thickBot="1" x14ac:dyDescent="0.3">
      <c r="C3077" s="84"/>
      <c r="D3077" s="375" t="s">
        <v>128</v>
      </c>
      <c r="E3077" s="376" t="s">
        <v>129</v>
      </c>
      <c r="F3077" s="376" t="s">
        <v>130</v>
      </c>
      <c r="G3077" s="376" t="s">
        <v>131</v>
      </c>
      <c r="H3077" s="376" t="s">
        <v>132</v>
      </c>
      <c r="I3077" s="376" t="s">
        <v>133</v>
      </c>
      <c r="J3077" s="377" t="s">
        <v>134</v>
      </c>
      <c r="K3077" s="88"/>
      <c r="M3077" s="534"/>
      <c r="N3077" s="536" t="s">
        <v>101</v>
      </c>
      <c r="O3077" s="536"/>
      <c r="P3077" s="536"/>
      <c r="Q3077" s="536"/>
      <c r="R3077" s="536"/>
      <c r="S3077" s="536"/>
      <c r="T3077" s="536"/>
      <c r="U3077" s="536"/>
      <c r="V3077" s="389">
        <f>+SUM(V3072:V3076)</f>
        <v>972.92650000000003</v>
      </c>
      <c r="Y3077" s="398" t="s">
        <v>135</v>
      </c>
      <c r="Z3077" s="397">
        <f>+SUM(Z3072:Z3076)</f>
        <v>38917.06</v>
      </c>
      <c r="AA3077" s="86"/>
      <c r="AB3077" s="384"/>
      <c r="AC3077" s="385"/>
      <c r="AD3077" s="94"/>
      <c r="AE3077" s="399"/>
    </row>
    <row r="3078" spans="3:31" s="260" customFormat="1" ht="15.75" thickBot="1" x14ac:dyDescent="0.3">
      <c r="C3078" s="84"/>
      <c r="D3078" s="375">
        <f>C3068</f>
        <v>3.14</v>
      </c>
      <c r="E3078" s="376"/>
      <c r="F3078" s="376"/>
      <c r="G3078" s="376"/>
      <c r="H3078" s="376"/>
      <c r="I3078" s="376"/>
      <c r="J3078" s="377"/>
      <c r="K3078" s="88"/>
      <c r="M3078" s="566"/>
      <c r="N3078" s="567" t="s">
        <v>102</v>
      </c>
      <c r="O3078" s="567"/>
      <c r="P3078" s="567"/>
      <c r="Q3078" s="567"/>
      <c r="R3078" s="567"/>
      <c r="S3078" s="567"/>
      <c r="T3078" s="567"/>
      <c r="U3078" s="567"/>
      <c r="V3078" s="400">
        <f>+ROUND(V3077,$AA$5)</f>
        <v>972.93</v>
      </c>
      <c r="Y3078" s="401" t="s">
        <v>136</v>
      </c>
      <c r="Z3078" s="402">
        <f>+ROUND(Z3077,$AA$5)</f>
        <v>38917.06</v>
      </c>
      <c r="AA3078" s="86"/>
      <c r="AB3078" s="403">
        <f>+V3078*Y3068</f>
        <v>38917.199999999997</v>
      </c>
      <c r="AC3078" s="404">
        <f>+AB3078-Z3078</f>
        <v>0.13999999999941792</v>
      </c>
      <c r="AD3078" s="94"/>
      <c r="AE3078" s="405"/>
    </row>
    <row r="3079" spans="3:31" s="260" customFormat="1" x14ac:dyDescent="0.25">
      <c r="C3079" s="84"/>
      <c r="D3079" s="380"/>
      <c r="E3079" s="381"/>
      <c r="F3079" s="381"/>
      <c r="G3079" s="381"/>
      <c r="H3079" s="381"/>
      <c r="I3079" s="381"/>
      <c r="J3079" s="382"/>
      <c r="K3079" s="88"/>
      <c r="M3079" s="510" t="s">
        <v>103</v>
      </c>
      <c r="N3079" s="511"/>
      <c r="O3079" s="511"/>
      <c r="P3079" s="511"/>
      <c r="Q3079" s="511"/>
      <c r="R3079" s="511"/>
      <c r="S3079" s="511"/>
      <c r="T3079" s="511"/>
      <c r="U3079" s="511"/>
      <c r="V3079" s="512"/>
      <c r="Y3079" s="378"/>
      <c r="Z3079" s="121"/>
      <c r="AA3079" s="86"/>
      <c r="AB3079" s="513"/>
      <c r="AC3079" s="514"/>
      <c r="AD3079" s="94"/>
      <c r="AE3079" s="126"/>
    </row>
    <row r="3080" spans="3:31" s="260" customFormat="1" x14ac:dyDescent="0.25">
      <c r="C3080" s="84"/>
      <c r="D3080" s="85"/>
      <c r="E3080" s="86"/>
      <c r="F3080" s="86"/>
      <c r="G3080" s="86"/>
      <c r="H3080" s="86"/>
      <c r="I3080" s="86"/>
      <c r="J3080" s="87"/>
      <c r="K3080" s="88"/>
      <c r="M3080" s="99" t="s">
        <v>94</v>
      </c>
      <c r="N3080" s="561" t="s">
        <v>95</v>
      </c>
      <c r="O3080" s="561"/>
      <c r="P3080" s="561"/>
      <c r="Q3080" s="561"/>
      <c r="R3080" s="95" t="s">
        <v>96</v>
      </c>
      <c r="S3080" s="95" t="s">
        <v>104</v>
      </c>
      <c r="T3080" s="356" t="s">
        <v>105</v>
      </c>
      <c r="U3080" s="356" t="s">
        <v>8</v>
      </c>
      <c r="V3080" s="100" t="s">
        <v>98</v>
      </c>
      <c r="Y3080" s="383" t="s">
        <v>104</v>
      </c>
      <c r="Z3080" s="119" t="s">
        <v>9</v>
      </c>
      <c r="AA3080" s="86"/>
      <c r="AB3080" s="384"/>
      <c r="AC3080" s="385"/>
      <c r="AD3080" s="94"/>
      <c r="AE3080" s="406"/>
    </row>
    <row r="3081" spans="3:31" s="260" customFormat="1" x14ac:dyDescent="0.25">
      <c r="C3081" s="84"/>
      <c r="D3081" s="85"/>
      <c r="E3081" s="86"/>
      <c r="F3081" s="86"/>
      <c r="G3081" s="86"/>
      <c r="H3081" s="86"/>
      <c r="I3081" s="86"/>
      <c r="J3081" s="87"/>
      <c r="K3081" s="88"/>
      <c r="M3081" s="102">
        <v>746</v>
      </c>
      <c r="N3081" s="533" t="str">
        <f>IFERROR(VLOOKUP(M3081,INSUMOS!$C$8:$K$928,2,0),"-----")</f>
        <v>TEE RANURADO Ø1"</v>
      </c>
      <c r="O3081" s="533"/>
      <c r="P3081" s="533"/>
      <c r="Q3081" s="533"/>
      <c r="R3081" s="78" t="str">
        <f>IFERROR(VLOOKUP(M3081,INSUMOS!$C$8:$K$928,6,0),"-----")</f>
        <v>und</v>
      </c>
      <c r="S3081" s="396">
        <v>1</v>
      </c>
      <c r="T3081" s="387">
        <v>0</v>
      </c>
      <c r="U3081" s="388">
        <f>IFERROR(VLOOKUP(M3081,INSUMOS!$C$8:$K$928,7,0),"0")</f>
        <v>14400</v>
      </c>
      <c r="V3081" s="389">
        <f>+IFERROR(U3081*(S3081*(1+T3081)),0)</f>
        <v>14400</v>
      </c>
      <c r="Y3081" s="393">
        <f>+IFERROR(Y3068*(S3081*(1+T3081)),0)</f>
        <v>40</v>
      </c>
      <c r="Z3081" s="391">
        <f>Y3068*V3081</f>
        <v>576000</v>
      </c>
      <c r="AA3081" s="394"/>
      <c r="AB3081" s="395">
        <f>+Y3081*U3081</f>
        <v>576000</v>
      </c>
      <c r="AC3081" s="93">
        <f>+AB3081-Z3081</f>
        <v>0</v>
      </c>
      <c r="AD3081" s="94"/>
      <c r="AE3081" s="406" t="str">
        <f>+IF(V3081=0,"CERO","NO")</f>
        <v>NO</v>
      </c>
    </row>
    <row r="3082" spans="3:31" s="260" customFormat="1" x14ac:dyDescent="0.25">
      <c r="C3082" s="84"/>
      <c r="D3082" s="85"/>
      <c r="E3082" s="86"/>
      <c r="F3082" s="86"/>
      <c r="G3082" s="86"/>
      <c r="H3082" s="86"/>
      <c r="I3082" s="86"/>
      <c r="J3082" s="87"/>
      <c r="K3082" s="88"/>
      <c r="M3082" s="102"/>
      <c r="N3082" s="533" t="str">
        <f>IFERROR(VLOOKUP(M3082,INSUMOS!$C$8:$K$928,2,0),"-----")</f>
        <v>-----</v>
      </c>
      <c r="O3082" s="533"/>
      <c r="P3082" s="533"/>
      <c r="Q3082" s="533"/>
      <c r="R3082" s="78" t="str">
        <f>IFERROR(VLOOKUP(M3082,INSUMOS!$C$8:$K$928,6,0),"-----")</f>
        <v>-----</v>
      </c>
      <c r="S3082" s="392"/>
      <c r="T3082" s="387">
        <v>0</v>
      </c>
      <c r="U3082" s="388" t="str">
        <f>IFERROR(VLOOKUP(M3082,INSUMOS!$C$8:$K$928,7,0),"0")</f>
        <v>0</v>
      </c>
      <c r="V3082" s="389">
        <f>+IFERROR(U3082*(S3082*(1+T3082)),0)</f>
        <v>0</v>
      </c>
      <c r="Y3082" s="393">
        <f>+IFERROR(Y3068*(S3082*(1+T3082)),0)</f>
        <v>0</v>
      </c>
      <c r="Z3082" s="391">
        <f>Y3068*V3082</f>
        <v>0</v>
      </c>
      <c r="AA3082" s="394"/>
      <c r="AB3082" s="395">
        <f>+Y3082*U3082</f>
        <v>0</v>
      </c>
      <c r="AC3082" s="93">
        <f>+AB3082-Z3082</f>
        <v>0</v>
      </c>
      <c r="AD3082" s="94"/>
      <c r="AE3082" s="406" t="str">
        <f>+IF(V3082=0,"CERO","NO")</f>
        <v>CERO</v>
      </c>
    </row>
    <row r="3083" spans="3:31" s="260" customFormat="1" x14ac:dyDescent="0.25">
      <c r="C3083" s="84"/>
      <c r="D3083" s="85"/>
      <c r="E3083" s="86"/>
      <c r="F3083" s="86"/>
      <c r="G3083" s="86"/>
      <c r="H3083" s="86"/>
      <c r="I3083" s="86"/>
      <c r="J3083" s="87"/>
      <c r="K3083" s="88"/>
      <c r="M3083" s="102"/>
      <c r="N3083" s="533" t="str">
        <f>IFERROR(VLOOKUP(M3083,INSUMOS!$C$8:$K$928,2,0),"-----")</f>
        <v>-----</v>
      </c>
      <c r="O3083" s="533"/>
      <c r="P3083" s="533"/>
      <c r="Q3083" s="533"/>
      <c r="R3083" s="78" t="str">
        <f>IFERROR(VLOOKUP(M3083,INSUMOS!$C$8:$K$928,6,0),"-----")</f>
        <v>-----</v>
      </c>
      <c r="S3083" s="396"/>
      <c r="T3083" s="387">
        <v>0</v>
      </c>
      <c r="U3083" s="388" t="str">
        <f>IFERROR(VLOOKUP(M3083,INSUMOS!$C$8:$K$928,7,0),"0")</f>
        <v>0</v>
      </c>
      <c r="V3083" s="389">
        <f>+IFERROR(U3083*(S3083*(1+T3083)),0)</f>
        <v>0</v>
      </c>
      <c r="Y3083" s="393">
        <f>+IFERROR(Y3068*(S3083*(1+T3083)),0)</f>
        <v>0</v>
      </c>
      <c r="Z3083" s="391">
        <f>Y3068*V3083</f>
        <v>0</v>
      </c>
      <c r="AA3083" s="394"/>
      <c r="AB3083" s="395">
        <f>+Y3083*U3083</f>
        <v>0</v>
      </c>
      <c r="AC3083" s="93">
        <f>+AB3083-Z3083</f>
        <v>0</v>
      </c>
      <c r="AD3083" s="94"/>
      <c r="AE3083" s="406" t="str">
        <f>+IF(V3083=0,"CERO","NO")</f>
        <v>CERO</v>
      </c>
    </row>
    <row r="3084" spans="3:31" s="260" customFormat="1" x14ac:dyDescent="0.25">
      <c r="C3084" s="84"/>
      <c r="D3084" s="85"/>
      <c r="E3084" s="86"/>
      <c r="F3084" s="86"/>
      <c r="G3084" s="86"/>
      <c r="H3084" s="86"/>
      <c r="I3084" s="86"/>
      <c r="J3084" s="87"/>
      <c r="K3084" s="88"/>
      <c r="M3084" s="102">
        <v>0</v>
      </c>
      <c r="N3084" s="533" t="str">
        <f>IFERROR(VLOOKUP(M3084,INSUMOS!$C$8:$K$928,2,0),"-----")</f>
        <v>-----</v>
      </c>
      <c r="O3084" s="533"/>
      <c r="P3084" s="533"/>
      <c r="Q3084" s="533"/>
      <c r="R3084" s="78" t="str">
        <f>IFERROR(VLOOKUP(M3084,INSUMOS!$C$8:$K$928,6,0),"-----")</f>
        <v>-----</v>
      </c>
      <c r="S3084" s="396"/>
      <c r="T3084" s="387"/>
      <c r="U3084" s="388" t="str">
        <f>IFERROR(VLOOKUP(M3084,INSUMOS!$C$8:$K$928,7,0),"0")</f>
        <v>0</v>
      </c>
      <c r="V3084" s="389">
        <f>+IFERROR(U3084*(S3084*(1+T3084)),0)</f>
        <v>0</v>
      </c>
      <c r="Y3084" s="393">
        <f>+IFERROR(Y3068*(S3084*(1+T3084)),0)</f>
        <v>0</v>
      </c>
      <c r="Z3084" s="391">
        <f>Y3068*V3084</f>
        <v>0</v>
      </c>
      <c r="AA3084" s="394"/>
      <c r="AB3084" s="395">
        <f>+Y3084*U3084</f>
        <v>0</v>
      </c>
      <c r="AC3084" s="93">
        <f>+AB3084-Z3084</f>
        <v>0</v>
      </c>
      <c r="AD3084" s="94"/>
      <c r="AE3084" s="406" t="str">
        <f>+IF(V3084=0,"CERO","NO")</f>
        <v>CERO</v>
      </c>
    </row>
    <row r="3085" spans="3:31" s="260" customFormat="1" ht="15.75" thickBot="1" x14ac:dyDescent="0.3">
      <c r="C3085" s="84"/>
      <c r="D3085" s="85"/>
      <c r="E3085" s="86"/>
      <c r="F3085" s="86"/>
      <c r="G3085" s="86"/>
      <c r="H3085" s="86"/>
      <c r="I3085" s="86"/>
      <c r="J3085" s="87"/>
      <c r="K3085" s="88"/>
      <c r="M3085" s="102">
        <v>0</v>
      </c>
      <c r="N3085" s="564"/>
      <c r="O3085" s="564"/>
      <c r="P3085" s="564"/>
      <c r="Q3085" s="564"/>
      <c r="R3085" s="96"/>
      <c r="S3085" s="79"/>
      <c r="T3085" s="97"/>
      <c r="U3085" s="358"/>
      <c r="V3085" s="397"/>
      <c r="Y3085" s="393">
        <f>+IFERROR(Y3068*(S3085*(1+T3085)),0)</f>
        <v>0</v>
      </c>
      <c r="Z3085" s="391">
        <f>Y3068*V3085</f>
        <v>0</v>
      </c>
      <c r="AA3085" s="394"/>
      <c r="AB3085" s="395">
        <f>+Y3085*U3085</f>
        <v>0</v>
      </c>
      <c r="AC3085" s="93">
        <f>+AB3085-Z3085</f>
        <v>0</v>
      </c>
      <c r="AD3085" s="94"/>
      <c r="AE3085" s="406" t="str">
        <f>+IF(V3085=0,"CERO","NO")</f>
        <v>CERO</v>
      </c>
    </row>
    <row r="3086" spans="3:31" s="260" customFormat="1" ht="15.75" thickBot="1" x14ac:dyDescent="0.3">
      <c r="C3086" s="84"/>
      <c r="D3086" s="375" t="s">
        <v>128</v>
      </c>
      <c r="E3086" s="376" t="s">
        <v>129</v>
      </c>
      <c r="F3086" s="376" t="s">
        <v>130</v>
      </c>
      <c r="G3086" s="376" t="s">
        <v>131</v>
      </c>
      <c r="H3086" s="376" t="s">
        <v>132</v>
      </c>
      <c r="I3086" s="376" t="s">
        <v>133</v>
      </c>
      <c r="J3086" s="377" t="s">
        <v>134</v>
      </c>
      <c r="K3086" s="88"/>
      <c r="M3086" s="534"/>
      <c r="N3086" s="536" t="s">
        <v>106</v>
      </c>
      <c r="O3086" s="536"/>
      <c r="P3086" s="536"/>
      <c r="Q3086" s="536"/>
      <c r="R3086" s="536"/>
      <c r="S3086" s="536"/>
      <c r="T3086" s="536"/>
      <c r="U3086" s="536"/>
      <c r="V3086" s="389">
        <f>+SUM(V3081:V3085)</f>
        <v>14400</v>
      </c>
      <c r="Y3086" s="398" t="s">
        <v>135</v>
      </c>
      <c r="Z3086" s="397">
        <f>+SUM(Z3081:Z3085)</f>
        <v>576000</v>
      </c>
      <c r="AA3086" s="86"/>
      <c r="AB3086" s="384"/>
      <c r="AC3086" s="385"/>
      <c r="AD3086" s="94"/>
      <c r="AE3086" s="399"/>
    </row>
    <row r="3087" spans="3:31" s="260" customFormat="1" ht="15.75" thickBot="1" x14ac:dyDescent="0.3">
      <c r="C3087" s="84"/>
      <c r="D3087" s="375"/>
      <c r="E3087" s="407">
        <f>+D3078</f>
        <v>3.14</v>
      </c>
      <c r="F3087" s="376"/>
      <c r="G3087" s="376"/>
      <c r="H3087" s="376"/>
      <c r="I3087" s="376"/>
      <c r="J3087" s="377"/>
      <c r="K3087" s="88"/>
      <c r="M3087" s="535"/>
      <c r="N3087" s="537" t="s">
        <v>107</v>
      </c>
      <c r="O3087" s="537"/>
      <c r="P3087" s="537"/>
      <c r="Q3087" s="537"/>
      <c r="R3087" s="537"/>
      <c r="S3087" s="537"/>
      <c r="T3087" s="537"/>
      <c r="U3087" s="537"/>
      <c r="V3087" s="408">
        <f>+ROUND(V3086,$AA$5)</f>
        <v>14400</v>
      </c>
      <c r="Y3087" s="401" t="s">
        <v>136</v>
      </c>
      <c r="Z3087" s="402">
        <f>+ROUND(Z3086,$AA$5)</f>
        <v>576000</v>
      </c>
      <c r="AA3087" s="86"/>
      <c r="AB3087" s="403">
        <f>+V3087*Y3068</f>
        <v>576000</v>
      </c>
      <c r="AC3087" s="404">
        <f>+AB3087-Z3087</f>
        <v>0</v>
      </c>
      <c r="AD3087" s="94"/>
      <c r="AE3087" s="405"/>
    </row>
    <row r="3088" spans="3:31" s="260" customFormat="1" x14ac:dyDescent="0.25">
      <c r="C3088" s="84"/>
      <c r="D3088" s="380"/>
      <c r="E3088" s="381"/>
      <c r="F3088" s="381"/>
      <c r="G3088" s="381"/>
      <c r="H3088" s="381"/>
      <c r="I3088" s="381"/>
      <c r="J3088" s="382"/>
      <c r="K3088" s="88"/>
      <c r="M3088" s="568" t="s">
        <v>108</v>
      </c>
      <c r="N3088" s="569"/>
      <c r="O3088" s="569"/>
      <c r="P3088" s="569"/>
      <c r="Q3088" s="569"/>
      <c r="R3088" s="569"/>
      <c r="S3088" s="569"/>
      <c r="T3088" s="569"/>
      <c r="U3088" s="569"/>
      <c r="V3088" s="570"/>
      <c r="Y3088" s="378"/>
      <c r="Z3088" s="121"/>
      <c r="AA3088" s="86"/>
      <c r="AB3088" s="409"/>
      <c r="AC3088" s="121"/>
      <c r="AD3088" s="94"/>
      <c r="AE3088" s="126"/>
    </row>
    <row r="3089" spans="3:31" s="260" customFormat="1" ht="25.5" x14ac:dyDescent="0.25">
      <c r="C3089" s="84"/>
      <c r="D3089" s="85"/>
      <c r="E3089" s="86"/>
      <c r="F3089" s="86"/>
      <c r="G3089" s="86"/>
      <c r="H3089" s="86"/>
      <c r="I3089" s="86"/>
      <c r="J3089" s="87"/>
      <c r="K3089" s="88"/>
      <c r="M3089" s="99" t="s">
        <v>94</v>
      </c>
      <c r="N3089" s="561" t="s">
        <v>95</v>
      </c>
      <c r="O3089" s="561"/>
      <c r="P3089" s="561"/>
      <c r="Q3089" s="95" t="s">
        <v>109</v>
      </c>
      <c r="R3089" s="95" t="s">
        <v>110</v>
      </c>
      <c r="S3089" s="95" t="s">
        <v>111</v>
      </c>
      <c r="T3089" s="562" t="s">
        <v>112</v>
      </c>
      <c r="U3089" s="562"/>
      <c r="V3089" s="100" t="s">
        <v>98</v>
      </c>
      <c r="Y3089" s="383" t="s">
        <v>104</v>
      </c>
      <c r="Z3089" s="119" t="s">
        <v>9</v>
      </c>
      <c r="AA3089" s="86"/>
      <c r="AB3089" s="384"/>
      <c r="AC3089" s="385"/>
      <c r="AD3089" s="94"/>
      <c r="AE3089" s="410"/>
    </row>
    <row r="3090" spans="3:31" s="260" customFormat="1" x14ac:dyDescent="0.25">
      <c r="C3090" s="84"/>
      <c r="D3090" s="85"/>
      <c r="E3090" s="86"/>
      <c r="F3090" s="86"/>
      <c r="G3090" s="86"/>
      <c r="H3090" s="86"/>
      <c r="I3090" s="86"/>
      <c r="J3090" s="87"/>
      <c r="K3090" s="88"/>
      <c r="M3090" s="102">
        <v>129</v>
      </c>
      <c r="N3090" s="530" t="str">
        <f>IFERROR(VLOOKUP(M3090,INSUMOS!$C$8:$K$928,2,0),"-----")</f>
        <v>transporte materiales en general</v>
      </c>
      <c r="O3090" s="531"/>
      <c r="P3090" s="532"/>
      <c r="Q3090" s="78" t="str">
        <f>IFERROR(VLOOKUP(M3090,INSUMOS!$C$8:$K$928,5,0),"-----")</f>
        <v>Km</v>
      </c>
      <c r="R3090" s="80">
        <v>1</v>
      </c>
      <c r="S3090" s="80">
        <f>IFERROR(VLOOKUP(M3090,INSUMOS!$C$8:$K$928,6,0),"0")</f>
        <v>348</v>
      </c>
      <c r="T3090" s="529">
        <f>IFERROR(VLOOKUP(M3090,INSUMOS!$C$8:$K$928,7,0),"0")</f>
        <v>0.99776362060288992</v>
      </c>
      <c r="U3090" s="529"/>
      <c r="V3090" s="82">
        <f>+T3090*S3090*R3090</f>
        <v>347.2217399698057</v>
      </c>
      <c r="Y3090" s="393">
        <f>+IFERROR((R3090*S3090)*Y3068,0)</f>
        <v>13920</v>
      </c>
      <c r="Z3090" s="391">
        <f>Y3068*V3090</f>
        <v>13888.869598792227</v>
      </c>
      <c r="AA3090" s="86"/>
      <c r="AB3090" s="92">
        <f>+Y3090*T3090</f>
        <v>13888.869598792227</v>
      </c>
      <c r="AC3090" s="93">
        <f>+AB3090-Z3090</f>
        <v>0</v>
      </c>
      <c r="AD3090" s="94"/>
      <c r="AE3090" s="406" t="str">
        <f>+IF(V3090=0,"CERO","NO")</f>
        <v>NO</v>
      </c>
    </row>
    <row r="3091" spans="3:31" s="260" customFormat="1" x14ac:dyDescent="0.25">
      <c r="C3091" s="84"/>
      <c r="D3091" s="85"/>
      <c r="E3091" s="86"/>
      <c r="F3091" s="86"/>
      <c r="G3091" s="86"/>
      <c r="H3091" s="86"/>
      <c r="I3091" s="86"/>
      <c r="J3091" s="87"/>
      <c r="K3091" s="88"/>
      <c r="M3091" s="102">
        <v>0</v>
      </c>
      <c r="N3091" s="530" t="str">
        <f>IFERROR(VLOOKUP(M3091,INSUMOS!$C$8:$K$928,2,0),"-----")</f>
        <v>-----</v>
      </c>
      <c r="O3091" s="531"/>
      <c r="P3091" s="532"/>
      <c r="Q3091" s="78" t="str">
        <f>IFERROR(VLOOKUP(M3091,INSUMOS!$C$8:$K$928,5,0),"-----")</f>
        <v>-----</v>
      </c>
      <c r="R3091" s="80"/>
      <c r="S3091" s="80" t="str">
        <f>IFERROR(VLOOKUP(M3091,INSUMOS!$C$8:$K$928,6,0),"0")</f>
        <v>0</v>
      </c>
      <c r="T3091" s="529" t="str">
        <f>IFERROR(VLOOKUP(M3091,INSUMOS!$C$8:$K$928,7,0),"0")</f>
        <v>0</v>
      </c>
      <c r="U3091" s="529"/>
      <c r="V3091" s="82">
        <f>+T3091*S3091*R3091</f>
        <v>0</v>
      </c>
      <c r="Y3091" s="393">
        <f>+IFERROR((R3091*S3091)*Y3068,0)</f>
        <v>0</v>
      </c>
      <c r="Z3091" s="391">
        <f>Y3068*V3091</f>
        <v>0</v>
      </c>
      <c r="AA3091" s="86"/>
      <c r="AB3091" s="92">
        <f>+Y3091*T3091</f>
        <v>0</v>
      </c>
      <c r="AC3091" s="93">
        <f>+AB3091-Z3091</f>
        <v>0</v>
      </c>
      <c r="AD3091" s="94"/>
      <c r="AE3091" s="406" t="str">
        <f>+IF(V3091=0,"CERO","NO")</f>
        <v>CERO</v>
      </c>
    </row>
    <row r="3092" spans="3:31" s="260" customFormat="1" x14ac:dyDescent="0.25">
      <c r="C3092" s="84"/>
      <c r="D3092" s="85"/>
      <c r="E3092" s="86"/>
      <c r="F3092" s="86"/>
      <c r="G3092" s="86"/>
      <c r="H3092" s="86"/>
      <c r="I3092" s="86"/>
      <c r="J3092" s="87"/>
      <c r="K3092" s="88"/>
      <c r="M3092" s="102">
        <v>0</v>
      </c>
      <c r="N3092" s="530" t="str">
        <f>IFERROR(VLOOKUP(M3092,INSUMOS!$C$8:$K$928,2,0),"-----")</f>
        <v>-----</v>
      </c>
      <c r="O3092" s="531"/>
      <c r="P3092" s="532"/>
      <c r="Q3092" s="78" t="str">
        <f>IFERROR(VLOOKUP(M3092,INSUMOS!$C$8:$K$928,5,0),"-----")</f>
        <v>-----</v>
      </c>
      <c r="R3092" s="80"/>
      <c r="S3092" s="80" t="str">
        <f>IFERROR(VLOOKUP(M3092,INSUMOS!$C$8:$K$928,6,0),"0")</f>
        <v>0</v>
      </c>
      <c r="T3092" s="529" t="str">
        <f>IFERROR(VLOOKUP(M3092,INSUMOS!$C$8:$K$928,7,0),"0")</f>
        <v>0</v>
      </c>
      <c r="U3092" s="529"/>
      <c r="V3092" s="82">
        <f>+T3092*S3092*R3092</f>
        <v>0</v>
      </c>
      <c r="Y3092" s="393">
        <f>+IFERROR((R3092*S3092)*Y3068,0)</f>
        <v>0</v>
      </c>
      <c r="Z3092" s="391">
        <f>Y3068*V3092</f>
        <v>0</v>
      </c>
      <c r="AA3092" s="86"/>
      <c r="AB3092" s="92">
        <f>+Y3092*T3092</f>
        <v>0</v>
      </c>
      <c r="AC3092" s="93">
        <f>+AB3092-Z3092</f>
        <v>0</v>
      </c>
      <c r="AD3092" s="94"/>
      <c r="AE3092" s="406" t="str">
        <f>+IF(V3092=0,"CERO","NO")</f>
        <v>CERO</v>
      </c>
    </row>
    <row r="3093" spans="3:31" s="260" customFormat="1" ht="15.75" thickBot="1" x14ac:dyDescent="0.3">
      <c r="C3093" s="84"/>
      <c r="D3093" s="89"/>
      <c r="E3093" s="90"/>
      <c r="F3093" s="90"/>
      <c r="G3093" s="90"/>
      <c r="H3093" s="90"/>
      <c r="I3093" s="90"/>
      <c r="J3093" s="91"/>
      <c r="K3093" s="88"/>
      <c r="M3093" s="102">
        <v>0</v>
      </c>
      <c r="N3093" s="533"/>
      <c r="O3093" s="533"/>
      <c r="P3093" s="533"/>
      <c r="Q3093" s="79"/>
      <c r="R3093" s="78"/>
      <c r="S3093" s="81"/>
      <c r="T3093" s="529"/>
      <c r="U3093" s="529"/>
      <c r="V3093" s="82"/>
      <c r="Y3093" s="393">
        <f>+IFERROR((R3093*S3093)*Y3068,0)</f>
        <v>0</v>
      </c>
      <c r="Z3093" s="391">
        <f>Y3068*V3093</f>
        <v>0</v>
      </c>
      <c r="AA3093" s="86"/>
      <c r="AB3093" s="92">
        <f>+Y3093*T3093</f>
        <v>0</v>
      </c>
      <c r="AC3093" s="93">
        <f>+AB3093-Z3093</f>
        <v>0</v>
      </c>
      <c r="AD3093" s="94"/>
      <c r="AE3093" s="406" t="str">
        <f>+IF(V3093=0,"CERO","NO")</f>
        <v>CERO</v>
      </c>
    </row>
    <row r="3094" spans="3:31" s="260" customFormat="1" ht="15.75" thickBot="1" x14ac:dyDescent="0.3">
      <c r="C3094" s="84"/>
      <c r="D3094" s="375" t="s">
        <v>128</v>
      </c>
      <c r="E3094" s="376" t="s">
        <v>129</v>
      </c>
      <c r="F3094" s="376" t="s">
        <v>130</v>
      </c>
      <c r="G3094" s="376" t="s">
        <v>131</v>
      </c>
      <c r="H3094" s="376" t="s">
        <v>132</v>
      </c>
      <c r="I3094" s="376" t="s">
        <v>133</v>
      </c>
      <c r="J3094" s="377" t="s">
        <v>134</v>
      </c>
      <c r="K3094" s="88"/>
      <c r="M3094" s="534"/>
      <c r="N3094" s="536" t="s">
        <v>113</v>
      </c>
      <c r="O3094" s="536"/>
      <c r="P3094" s="536"/>
      <c r="Q3094" s="536"/>
      <c r="R3094" s="536"/>
      <c r="S3094" s="536"/>
      <c r="T3094" s="536"/>
      <c r="U3094" s="536"/>
      <c r="V3094" s="411">
        <f>+SUM(V3090:V3093)</f>
        <v>347.2217399698057</v>
      </c>
      <c r="Y3094" s="398" t="s">
        <v>135</v>
      </c>
      <c r="Z3094" s="397">
        <f>+SUM(Z3090:Z3093)</f>
        <v>13888.869598792227</v>
      </c>
      <c r="AA3094" s="86"/>
      <c r="AB3094" s="384"/>
      <c r="AC3094" s="385"/>
      <c r="AD3094" s="94"/>
      <c r="AE3094" s="399"/>
    </row>
    <row r="3095" spans="3:31" s="260" customFormat="1" ht="15.75" thickBot="1" x14ac:dyDescent="0.3">
      <c r="C3095" s="84"/>
      <c r="D3095" s="355"/>
      <c r="E3095" s="367"/>
      <c r="F3095" s="412">
        <f>+E3087</f>
        <v>3.14</v>
      </c>
      <c r="G3095" s="367"/>
      <c r="H3095" s="367"/>
      <c r="I3095" s="367"/>
      <c r="J3095" s="368"/>
      <c r="K3095" s="88"/>
      <c r="M3095" s="535"/>
      <c r="N3095" s="537" t="s">
        <v>114</v>
      </c>
      <c r="O3095" s="537"/>
      <c r="P3095" s="537"/>
      <c r="Q3095" s="537"/>
      <c r="R3095" s="537"/>
      <c r="S3095" s="537"/>
      <c r="T3095" s="537"/>
      <c r="U3095" s="537"/>
      <c r="V3095" s="413">
        <f>+ROUND(V3094,$AA$5)</f>
        <v>347.22</v>
      </c>
      <c r="Y3095" s="401" t="s">
        <v>136</v>
      </c>
      <c r="Z3095" s="402">
        <f>+ROUND(Z3094,$AA$5)</f>
        <v>13888.87</v>
      </c>
      <c r="AA3095" s="86"/>
      <c r="AB3095" s="403">
        <f>+V3095*Y3068</f>
        <v>13888.800000000001</v>
      </c>
      <c r="AC3095" s="414"/>
      <c r="AD3095" s="94"/>
      <c r="AE3095" s="405"/>
    </row>
    <row r="3096" spans="3:31" s="260" customFormat="1" ht="15.75" thickBot="1" x14ac:dyDescent="0.3">
      <c r="C3096" s="84"/>
      <c r="D3096" s="415"/>
      <c r="E3096" s="416"/>
      <c r="F3096" s="416"/>
      <c r="G3096" s="416"/>
      <c r="H3096" s="416"/>
      <c r="I3096" s="416"/>
      <c r="J3096" s="417"/>
      <c r="K3096" s="88"/>
      <c r="M3096" s="538" t="s">
        <v>115</v>
      </c>
      <c r="N3096" s="539"/>
      <c r="O3096" s="539"/>
      <c r="P3096" s="539"/>
      <c r="Q3096" s="539"/>
      <c r="R3096" s="539"/>
      <c r="S3096" s="539"/>
      <c r="T3096" s="539"/>
      <c r="U3096" s="539"/>
      <c r="V3096" s="540"/>
      <c r="Y3096" s="378"/>
      <c r="Z3096" s="121"/>
      <c r="AA3096" s="86"/>
      <c r="AB3096" s="409"/>
      <c r="AC3096" s="121"/>
      <c r="AD3096" s="94"/>
      <c r="AE3096" s="126"/>
    </row>
    <row r="3097" spans="3:31" s="260" customFormat="1" ht="15.75" thickBot="1" x14ac:dyDescent="0.3">
      <c r="C3097" s="84"/>
      <c r="D3097" s="375" t="s">
        <v>128</v>
      </c>
      <c r="E3097" s="376" t="s">
        <v>129</v>
      </c>
      <c r="F3097" s="376" t="s">
        <v>130</v>
      </c>
      <c r="G3097" s="376" t="s">
        <v>131</v>
      </c>
      <c r="H3097" s="376" t="s">
        <v>132</v>
      </c>
      <c r="I3097" s="376" t="s">
        <v>133</v>
      </c>
      <c r="J3097" s="377" t="s">
        <v>134</v>
      </c>
      <c r="K3097" s="88"/>
      <c r="M3097" s="99" t="s">
        <v>94</v>
      </c>
      <c r="N3097" s="98" t="s">
        <v>95</v>
      </c>
      <c r="O3097" s="95" t="s">
        <v>96</v>
      </c>
      <c r="P3097" s="359" t="s">
        <v>104</v>
      </c>
      <c r="Q3097" s="95" t="s">
        <v>116</v>
      </c>
      <c r="R3097" s="418" t="s">
        <v>117</v>
      </c>
      <c r="S3097" s="95" t="s">
        <v>347</v>
      </c>
      <c r="T3097" s="419" t="s">
        <v>118</v>
      </c>
      <c r="U3097" s="189" t="s">
        <v>119</v>
      </c>
      <c r="V3097" s="100" t="s">
        <v>98</v>
      </c>
      <c r="Y3097" s="383" t="s">
        <v>104</v>
      </c>
      <c r="Z3097" s="119" t="s">
        <v>9</v>
      </c>
      <c r="AA3097" s="86"/>
      <c r="AB3097" s="384"/>
      <c r="AC3097" s="385"/>
      <c r="AD3097" s="94"/>
      <c r="AE3097" s="410"/>
    </row>
    <row r="3098" spans="3:31" s="260" customFormat="1" ht="25.5" x14ac:dyDescent="0.25">
      <c r="C3098" s="84"/>
      <c r="D3098" s="354"/>
      <c r="E3098" s="96"/>
      <c r="F3098" s="96"/>
      <c r="G3098" s="96"/>
      <c r="H3098" s="96"/>
      <c r="I3098" s="96"/>
      <c r="J3098" s="420">
        <f>+F3095</f>
        <v>3.14</v>
      </c>
      <c r="K3098" s="88"/>
      <c r="M3098" s="102">
        <v>207</v>
      </c>
      <c r="N3098" s="347" t="str">
        <f>IFERROR(VLOOKUP(M3098,INSUMOS!$C$8:$K$928,2,0),"-----")</f>
        <v>Oficial Hidrosanitario</v>
      </c>
      <c r="O3098" s="78" t="str">
        <f>IFERROR(VLOOKUP(M3098,INSUMOS!$C$8:$K$928,3,0),"-----")</f>
        <v>JORNAL+PS</v>
      </c>
      <c r="P3098" s="80">
        <v>1</v>
      </c>
      <c r="Q3098" s="79">
        <v>15</v>
      </c>
      <c r="R3098" s="190">
        <f>IFERROR(VLOOKUP(M3098,INSUMOS!$C$8:$K$928,4,0),"-----")</f>
        <v>92983</v>
      </c>
      <c r="S3098" s="190">
        <f>IFERROR(VLOOKUP(M3098,INSUMOS!$C$8:$K$928,6,0),"-----")</f>
        <v>74386</v>
      </c>
      <c r="T3098" s="190">
        <f>IFERROR(VLOOKUP(M3098,INSUMOS!$C$8:$K$928,5,0),"-----")</f>
        <v>0</v>
      </c>
      <c r="U3098" s="388">
        <f>SUM(R3098:T3098)</f>
        <v>167369</v>
      </c>
      <c r="V3098" s="82">
        <f>+IFERROR((P3098/Q3098)*U3098,0)</f>
        <v>11157.933333333332</v>
      </c>
      <c r="Y3098" s="393">
        <f>+IFERROR((Y3068/Q3098*P3098),0)</f>
        <v>2.6666666666666665</v>
      </c>
      <c r="Z3098" s="391">
        <f>Y3068*V3098</f>
        <v>446317.33333333331</v>
      </c>
      <c r="AA3098" s="86"/>
      <c r="AB3098" s="92">
        <f>+(U3098)*Y3098</f>
        <v>446317.33333333331</v>
      </c>
      <c r="AC3098" s="93">
        <f>+AB3098-Z3098</f>
        <v>0</v>
      </c>
      <c r="AD3098" s="421"/>
      <c r="AE3098" s="410" t="str">
        <f>+IF(V3098=0,"CERO","NO")</f>
        <v>NO</v>
      </c>
    </row>
    <row r="3099" spans="3:31" s="260" customFormat="1" ht="26.25" thickBot="1" x14ac:dyDescent="0.3">
      <c r="C3099" s="84"/>
      <c r="D3099" s="355"/>
      <c r="E3099" s="367"/>
      <c r="F3099" s="367"/>
      <c r="G3099" s="367"/>
      <c r="H3099" s="367"/>
      <c r="I3099" s="367"/>
      <c r="J3099" s="422">
        <f>+J3098</f>
        <v>3.14</v>
      </c>
      <c r="K3099" s="88"/>
      <c r="M3099" s="102">
        <v>208</v>
      </c>
      <c r="N3099" s="347" t="str">
        <f>IFERROR(VLOOKUP(M3099,INSUMOS!$C$8:$K$928,2,0),"-----")</f>
        <v>Ayudante Hidrosanitario</v>
      </c>
      <c r="O3099" s="78" t="str">
        <f>IFERROR(VLOOKUP(M3099,INSUMOS!$C$8:$K$928,3,0),"-----")</f>
        <v>JORNAL+PS</v>
      </c>
      <c r="P3099" s="80">
        <v>1</v>
      </c>
      <c r="Q3099" s="79">
        <v>15</v>
      </c>
      <c r="R3099" s="190">
        <f>IFERROR(VLOOKUP(M3099,INSUMOS!$C$8:$K$928,4,0),"-----")</f>
        <v>69172</v>
      </c>
      <c r="S3099" s="190">
        <f>IFERROR(VLOOKUP(M3099,INSUMOS!$C$8:$K$928,6,0),"-----")</f>
        <v>55337</v>
      </c>
      <c r="T3099" s="190">
        <f>IFERROR(VLOOKUP(M3099,INSUMOS!$C$8:$K$928,5,0),"-----")</f>
        <v>0</v>
      </c>
      <c r="U3099" s="388">
        <f>SUM(R3099:T3099)</f>
        <v>124509</v>
      </c>
      <c r="V3099" s="82">
        <f>+IFERROR((P3099/Q3099)*U3099,0)</f>
        <v>8300.6</v>
      </c>
      <c r="Y3099" s="393">
        <f>+IFERROR((Y3068/Q3099*P3099),0)</f>
        <v>2.6666666666666665</v>
      </c>
      <c r="Z3099" s="391">
        <f>Y3068*V3099</f>
        <v>332024</v>
      </c>
      <c r="AA3099" s="86"/>
      <c r="AB3099" s="92">
        <f>+U3099*Y3099</f>
        <v>332024</v>
      </c>
      <c r="AC3099" s="93">
        <f>+AB3099-Z3099</f>
        <v>0</v>
      </c>
      <c r="AD3099" s="94"/>
      <c r="AE3099" s="410" t="str">
        <f>+IF(V3099=0,"CERO","NO")</f>
        <v>NO</v>
      </c>
    </row>
    <row r="3100" spans="3:31" s="260" customFormat="1" ht="15.75" thickBot="1" x14ac:dyDescent="0.3">
      <c r="C3100" s="84"/>
      <c r="D3100" s="380"/>
      <c r="E3100" s="381"/>
      <c r="F3100" s="381"/>
      <c r="G3100" s="381"/>
      <c r="H3100" s="381"/>
      <c r="I3100" s="381"/>
      <c r="J3100" s="382"/>
      <c r="K3100" s="88"/>
      <c r="M3100" s="102">
        <v>0</v>
      </c>
      <c r="N3100" s="347"/>
      <c r="O3100" s="79"/>
      <c r="P3100" s="423"/>
      <c r="Q3100" s="81"/>
      <c r="R3100" s="111"/>
      <c r="S3100" s="357"/>
      <c r="T3100" s="111"/>
      <c r="U3100" s="388"/>
      <c r="V3100" s="426"/>
      <c r="Y3100" s="393">
        <f>+IFERROR((Y3068/Q3100*P3100),0)</f>
        <v>0</v>
      </c>
      <c r="Z3100" s="391">
        <f>Y3068*V3100</f>
        <v>0</v>
      </c>
      <c r="AA3100" s="86"/>
      <c r="AB3100" s="92">
        <f>+(U3100)*Y3100*P3100</f>
        <v>0</v>
      </c>
      <c r="AC3100" s="93">
        <f>+AB3100-Z3100</f>
        <v>0</v>
      </c>
      <c r="AD3100" s="94"/>
      <c r="AE3100" s="410" t="str">
        <f>+IF(V3100=0,"CERO","NO")</f>
        <v>CERO</v>
      </c>
    </row>
    <row r="3101" spans="3:31" s="260" customFormat="1" ht="15.75" thickBot="1" x14ac:dyDescent="0.3">
      <c r="C3101" s="84"/>
      <c r="D3101" s="375" t="s">
        <v>128</v>
      </c>
      <c r="E3101" s="376" t="s">
        <v>129</v>
      </c>
      <c r="F3101" s="376" t="s">
        <v>130</v>
      </c>
      <c r="G3101" s="376" t="s">
        <v>131</v>
      </c>
      <c r="H3101" s="376" t="s">
        <v>132</v>
      </c>
      <c r="I3101" s="376" t="s">
        <v>133</v>
      </c>
      <c r="J3101" s="377" t="s">
        <v>134</v>
      </c>
      <c r="K3101" s="88"/>
      <c r="M3101" s="534"/>
      <c r="N3101" s="536" t="s">
        <v>120</v>
      </c>
      <c r="O3101" s="536"/>
      <c r="P3101" s="536"/>
      <c r="Q3101" s="536"/>
      <c r="R3101" s="536"/>
      <c r="S3101" s="536"/>
      <c r="T3101" s="536"/>
      <c r="U3101" s="536"/>
      <c r="V3101" s="82">
        <f>+SUM(V3098:V3100)</f>
        <v>19458.533333333333</v>
      </c>
      <c r="Y3101" s="398" t="s">
        <v>135</v>
      </c>
      <c r="Z3101" s="397">
        <f>+SUM(Z3098:Z3100)</f>
        <v>778341.33333333326</v>
      </c>
      <c r="AA3101" s="86"/>
      <c r="AB3101" s="384"/>
      <c r="AC3101" s="385"/>
      <c r="AD3101" s="94"/>
      <c r="AE3101" s="399"/>
    </row>
    <row r="3102" spans="3:31" s="260" customFormat="1" ht="15.75" thickBot="1" x14ac:dyDescent="0.3">
      <c r="C3102" s="84"/>
      <c r="D3102" s="354"/>
      <c r="E3102" s="96"/>
      <c r="F3102" s="96"/>
      <c r="G3102" s="107">
        <f>+F3095</f>
        <v>3.14</v>
      </c>
      <c r="H3102" s="96"/>
      <c r="I3102" s="96"/>
      <c r="J3102" s="427"/>
      <c r="K3102" s="88"/>
      <c r="M3102" s="535"/>
      <c r="N3102" s="537" t="s">
        <v>121</v>
      </c>
      <c r="O3102" s="537"/>
      <c r="P3102" s="537"/>
      <c r="Q3102" s="537"/>
      <c r="R3102" s="537"/>
      <c r="S3102" s="537"/>
      <c r="T3102" s="537"/>
      <c r="U3102" s="537"/>
      <c r="V3102" s="413">
        <f>+ROUND(V3101,$AA$5)</f>
        <v>19458.53</v>
      </c>
      <c r="Y3102" s="401" t="s">
        <v>136</v>
      </c>
      <c r="Z3102" s="402">
        <f>+ROUND(Z3101,$AA$5)</f>
        <v>778341.33</v>
      </c>
      <c r="AA3102" s="86"/>
      <c r="AB3102" s="403">
        <f>+V3102*Y3068</f>
        <v>778341.2</v>
      </c>
      <c r="AC3102" s="404">
        <f>+AB3102-Z3102</f>
        <v>-0.13000000000465661</v>
      </c>
      <c r="AD3102" s="94"/>
      <c r="AE3102" s="405"/>
    </row>
    <row r="3103" spans="3:31" s="260" customFormat="1" ht="15.75" thickBot="1" x14ac:dyDescent="0.3">
      <c r="C3103" s="84"/>
      <c r="D3103" s="375" t="s">
        <v>128</v>
      </c>
      <c r="E3103" s="376" t="s">
        <v>129</v>
      </c>
      <c r="F3103" s="376" t="s">
        <v>130</v>
      </c>
      <c r="G3103" s="376" t="s">
        <v>131</v>
      </c>
      <c r="H3103" s="376" t="s">
        <v>132</v>
      </c>
      <c r="I3103" s="376" t="s">
        <v>133</v>
      </c>
      <c r="J3103" s="377" t="s">
        <v>134</v>
      </c>
      <c r="K3103" s="88"/>
      <c r="M3103" s="541"/>
      <c r="N3103" s="542"/>
      <c r="O3103" s="542"/>
      <c r="P3103" s="542"/>
      <c r="Q3103" s="542"/>
      <c r="R3103" s="542"/>
      <c r="S3103" s="542"/>
      <c r="T3103" s="542"/>
      <c r="U3103" s="542"/>
      <c r="V3103" s="543"/>
      <c r="Y3103" s="378"/>
      <c r="Z3103" s="121"/>
      <c r="AA3103" s="86"/>
      <c r="AB3103" s="409"/>
      <c r="AC3103" s="121"/>
      <c r="AD3103" s="94"/>
      <c r="AE3103" s="428"/>
    </row>
    <row r="3104" spans="3:31" s="260" customFormat="1" ht="15.75" thickBot="1" x14ac:dyDescent="0.3">
      <c r="C3104" s="84"/>
      <c r="D3104" s="355"/>
      <c r="E3104" s="367"/>
      <c r="F3104" s="367"/>
      <c r="G3104" s="367"/>
      <c r="H3104" s="412">
        <f>G3102</f>
        <v>3.14</v>
      </c>
      <c r="I3104" s="412"/>
      <c r="J3104" s="422"/>
      <c r="K3104" s="88"/>
      <c r="M3104" s="544" t="s">
        <v>122</v>
      </c>
      <c r="N3104" s="537"/>
      <c r="O3104" s="537"/>
      <c r="P3104" s="537"/>
      <c r="Q3104" s="537"/>
      <c r="R3104" s="537"/>
      <c r="S3104" s="537"/>
      <c r="T3104" s="537"/>
      <c r="U3104" s="545">
        <f>+V3102+V3095+V3087+V3078</f>
        <v>35178.68</v>
      </c>
      <c r="V3104" s="546"/>
      <c r="Y3104" s="429"/>
      <c r="Z3104" s="430">
        <f>+Z3102+Z3095+Z3087+Z3078</f>
        <v>1407147.26</v>
      </c>
      <c r="AA3104" s="86"/>
      <c r="AB3104" s="431">
        <f>+AB3102+AB3095+AB3087+AB3078</f>
        <v>1407147.2</v>
      </c>
      <c r="AC3104" s="404">
        <f>+AB3104-Z3104</f>
        <v>-6.0000000055879354E-2</v>
      </c>
      <c r="AD3104" s="94"/>
      <c r="AE3104" s="432"/>
    </row>
    <row r="3105" spans="3:31" s="260" customFormat="1" ht="15.75" thickBot="1" x14ac:dyDescent="0.3"/>
    <row r="3106" spans="3:31" s="260" customFormat="1" x14ac:dyDescent="0.25">
      <c r="M3106" s="547" t="s">
        <v>348</v>
      </c>
      <c r="N3106" s="548"/>
      <c r="O3106" s="548"/>
      <c r="P3106" s="548"/>
      <c r="Q3106" s="548"/>
      <c r="R3106" s="548"/>
      <c r="S3106" s="548"/>
      <c r="T3106" s="548"/>
      <c r="U3106" s="548"/>
      <c r="V3106" s="549"/>
      <c r="Y3106" s="378"/>
      <c r="Z3106" s="121"/>
      <c r="AA3106" s="86"/>
      <c r="AB3106" s="94"/>
      <c r="AC3106" s="94"/>
      <c r="AD3106" s="94"/>
      <c r="AE3106" s="126" t="s">
        <v>133</v>
      </c>
    </row>
    <row r="3107" spans="3:31" s="260" customFormat="1" x14ac:dyDescent="0.25">
      <c r="M3107" s="515" t="s">
        <v>138</v>
      </c>
      <c r="N3107" s="516"/>
      <c r="O3107" s="516"/>
      <c r="P3107" s="516"/>
      <c r="Q3107" s="516"/>
      <c r="R3107" s="516"/>
      <c r="S3107" s="516"/>
      <c r="T3107" s="437">
        <v>0</v>
      </c>
      <c r="U3107" s="517">
        <f>+ROUND(U3104*T3107,$AA$5)</f>
        <v>0</v>
      </c>
      <c r="V3107" s="518"/>
      <c r="Y3107" s="390"/>
      <c r="Z3107" s="438">
        <f>+Z3104*T3107</f>
        <v>0</v>
      </c>
      <c r="AA3107" s="86"/>
      <c r="AB3107" s="94"/>
      <c r="AC3107" s="94"/>
      <c r="AD3107" s="94"/>
      <c r="AE3107" s="386" t="s">
        <v>133</v>
      </c>
    </row>
    <row r="3108" spans="3:31" s="260" customFormat="1" x14ac:dyDescent="0.25">
      <c r="M3108" s="515" t="s">
        <v>19</v>
      </c>
      <c r="N3108" s="516"/>
      <c r="O3108" s="516"/>
      <c r="P3108" s="516"/>
      <c r="Q3108" s="516"/>
      <c r="R3108" s="516"/>
      <c r="S3108" s="516"/>
      <c r="T3108" s="437">
        <v>0.05</v>
      </c>
      <c r="U3108" s="517">
        <f>+ROUND(U3104*T3108,$AA$5)</f>
        <v>1758.93</v>
      </c>
      <c r="V3108" s="518"/>
      <c r="Y3108" s="390"/>
      <c r="Z3108" s="438">
        <f>+Z3104*T3108</f>
        <v>70357.362999999998</v>
      </c>
      <c r="AA3108" s="86"/>
      <c r="AB3108" s="94"/>
      <c r="AC3108" s="94"/>
      <c r="AD3108" s="94"/>
      <c r="AE3108" s="386" t="s">
        <v>133</v>
      </c>
    </row>
    <row r="3109" spans="3:31" s="260" customFormat="1" x14ac:dyDescent="0.25">
      <c r="M3109" s="515" t="s">
        <v>20</v>
      </c>
      <c r="N3109" s="516"/>
      <c r="O3109" s="516"/>
      <c r="P3109" s="516"/>
      <c r="Q3109" s="516"/>
      <c r="R3109" s="516"/>
      <c r="S3109" s="516"/>
      <c r="T3109" s="437">
        <v>0</v>
      </c>
      <c r="U3109" s="517">
        <f>+ROUND(U3104*T3109,$AA$5)</f>
        <v>0</v>
      </c>
      <c r="V3109" s="518"/>
      <c r="Y3109" s="390"/>
      <c r="Z3109" s="438">
        <f>+Z3104*T3109</f>
        <v>0</v>
      </c>
      <c r="AA3109" s="86"/>
      <c r="AB3109" s="94"/>
      <c r="AC3109" s="94"/>
      <c r="AD3109" s="94"/>
      <c r="AE3109" s="386" t="s">
        <v>133</v>
      </c>
    </row>
    <row r="3110" spans="3:31" s="260" customFormat="1" x14ac:dyDescent="0.25">
      <c r="M3110" s="515" t="s">
        <v>21</v>
      </c>
      <c r="N3110" s="516"/>
      <c r="O3110" s="516"/>
      <c r="P3110" s="516"/>
      <c r="Q3110" s="516"/>
      <c r="R3110" s="516"/>
      <c r="S3110" s="516"/>
      <c r="T3110" s="437">
        <f>$AA$9</f>
        <v>0</v>
      </c>
      <c r="U3110" s="517">
        <f>+ROUND(U3104*T3110,$AA$5)</f>
        <v>0</v>
      </c>
      <c r="V3110" s="518"/>
      <c r="Y3110" s="390"/>
      <c r="Z3110" s="438">
        <f>+Z3109*T3110</f>
        <v>0</v>
      </c>
      <c r="AA3110" s="86"/>
      <c r="AB3110" s="94"/>
      <c r="AC3110" s="94"/>
      <c r="AD3110" s="94"/>
      <c r="AE3110" s="386" t="s">
        <v>133</v>
      </c>
    </row>
    <row r="3111" spans="3:31" s="260" customFormat="1" ht="15.75" thickBot="1" x14ac:dyDescent="0.3">
      <c r="M3111" s="519" t="s">
        <v>349</v>
      </c>
      <c r="N3111" s="520"/>
      <c r="O3111" s="520"/>
      <c r="P3111" s="520"/>
      <c r="Q3111" s="520"/>
      <c r="R3111" s="520"/>
      <c r="S3111" s="520"/>
      <c r="T3111" s="520"/>
      <c r="U3111" s="521">
        <f>+SUM(U3107:V3110)</f>
        <v>1758.93</v>
      </c>
      <c r="V3111" s="522"/>
      <c r="Y3111" s="390"/>
      <c r="Z3111" s="439">
        <f>+SUM(Z3107:Z3110)</f>
        <v>70357.362999999998</v>
      </c>
      <c r="AA3111" s="86"/>
      <c r="AB3111" s="94"/>
      <c r="AC3111" s="94"/>
      <c r="AD3111" s="94"/>
      <c r="AE3111" s="386" t="s">
        <v>133</v>
      </c>
    </row>
    <row r="3112" spans="3:31" s="260" customFormat="1" ht="15.75" thickBot="1" x14ac:dyDescent="0.3">
      <c r="D3112" s="375" t="s">
        <v>128</v>
      </c>
      <c r="E3112" s="376" t="s">
        <v>129</v>
      </c>
      <c r="F3112" s="376" t="s">
        <v>130</v>
      </c>
      <c r="G3112" s="376" t="s">
        <v>131</v>
      </c>
      <c r="H3112" s="376" t="s">
        <v>132</v>
      </c>
      <c r="I3112" s="376" t="s">
        <v>133</v>
      </c>
      <c r="J3112" s="377" t="s">
        <v>134</v>
      </c>
      <c r="M3112" s="86"/>
      <c r="N3112" s="94"/>
      <c r="O3112" s="94"/>
      <c r="P3112" s="94"/>
      <c r="Q3112" s="86"/>
      <c r="R3112" s="86"/>
      <c r="S3112" s="86"/>
      <c r="T3112" s="440"/>
      <c r="U3112" s="523"/>
      <c r="V3112" s="523"/>
      <c r="Y3112" s="390"/>
      <c r="Z3112" s="385"/>
      <c r="AA3112" s="86"/>
      <c r="AB3112" s="94"/>
      <c r="AC3112" s="94"/>
      <c r="AD3112" s="94"/>
      <c r="AE3112" s="386" t="s">
        <v>133</v>
      </c>
    </row>
    <row r="3113" spans="3:31" s="260" customFormat="1" ht="15.75" thickBot="1" x14ac:dyDescent="0.3">
      <c r="D3113" s="355"/>
      <c r="E3113" s="367"/>
      <c r="F3113" s="367"/>
      <c r="G3113" s="367"/>
      <c r="H3113" s="412"/>
      <c r="I3113" s="412">
        <f>H3104</f>
        <v>3.14</v>
      </c>
      <c r="J3113" s="422"/>
      <c r="M3113" s="524" t="s">
        <v>11</v>
      </c>
      <c r="N3113" s="525"/>
      <c r="O3113" s="525"/>
      <c r="P3113" s="525"/>
      <c r="Q3113" s="525"/>
      <c r="R3113" s="525"/>
      <c r="S3113" s="525"/>
      <c r="T3113" s="526"/>
      <c r="U3113" s="527">
        <f>+U3111+U3104</f>
        <v>36937.61</v>
      </c>
      <c r="V3113" s="528"/>
      <c r="Y3113" s="429"/>
      <c r="Z3113" s="441">
        <f>+Z3111+Z3104</f>
        <v>1477504.6229999999</v>
      </c>
      <c r="AA3113" s="86"/>
      <c r="AB3113" s="94"/>
      <c r="AC3113" s="94"/>
      <c r="AD3113" s="94"/>
      <c r="AE3113" s="405" t="s">
        <v>133</v>
      </c>
    </row>
    <row r="3114" spans="3:31" s="260" customFormat="1" x14ac:dyDescent="0.25"/>
    <row r="3115" spans="3:31" s="260" customFormat="1" ht="15.75" thickBot="1" x14ac:dyDescent="0.3"/>
    <row r="3116" spans="3:31" s="260" customFormat="1" ht="15.75" thickBot="1" x14ac:dyDescent="0.3">
      <c r="M3116" s="363" t="s">
        <v>88</v>
      </c>
      <c r="N3116" s="436" t="str">
        <f>+N3067</f>
        <v>CAP.3</v>
      </c>
      <c r="O3116" s="550" t="str">
        <f>IFERROR(VLOOKUP(N3116,PPTO!C:H,2,0),"----")</f>
        <v>RED CONTRAINCENDIOS</v>
      </c>
      <c r="P3116" s="551"/>
      <c r="Q3116" s="551"/>
      <c r="R3116" s="551"/>
      <c r="S3116" s="551"/>
      <c r="T3116" s="551"/>
      <c r="U3116" s="552"/>
      <c r="V3116" s="74" t="s">
        <v>91</v>
      </c>
      <c r="Y3116" s="365" t="s">
        <v>104</v>
      </c>
      <c r="Z3116" s="94"/>
      <c r="AA3116" s="188"/>
      <c r="AB3116" s="553"/>
      <c r="AC3116" s="553"/>
      <c r="AD3116" s="553"/>
      <c r="AE3116" s="94"/>
    </row>
    <row r="3117" spans="3:31" s="260" customFormat="1" ht="15.75" thickBot="1" x14ac:dyDescent="0.3">
      <c r="C3117" s="369">
        <f>+N3117</f>
        <v>3.15</v>
      </c>
      <c r="D3117" s="86"/>
      <c r="E3117" s="86"/>
      <c r="F3117" s="86"/>
      <c r="G3117" s="86"/>
      <c r="H3117" s="86"/>
      <c r="I3117" s="86"/>
      <c r="J3117" s="86"/>
      <c r="K3117" s="370"/>
      <c r="M3117" s="75" t="s">
        <v>92</v>
      </c>
      <c r="N3117" s="371">
        <f>+ROUNDUP(N3068+0.01,2)</f>
        <v>3.15</v>
      </c>
      <c r="O3117" s="554" t="str">
        <f>IFERROR(VLOOKUP(N3117,PPTO!C:H,2,0),"----")</f>
        <v>Kit de transición de Acero a C-PVC</v>
      </c>
      <c r="P3117" s="555"/>
      <c r="Q3117" s="555"/>
      <c r="R3117" s="555"/>
      <c r="S3117" s="555"/>
      <c r="T3117" s="555"/>
      <c r="U3117" s="556"/>
      <c r="V3117" s="76" t="str">
        <f>IFERROR(VLOOKUP(N3117,PPTO!C:H,3,0),"----")</f>
        <v>UND</v>
      </c>
      <c r="Y3117" s="373">
        <f>SUMIFS(PPTO!F:F,PPTO!C:C,APUS!N3117)</f>
        <v>1</v>
      </c>
      <c r="Z3117" s="94"/>
      <c r="AA3117" s="86"/>
      <c r="AB3117" s="94"/>
      <c r="AC3117" s="94"/>
      <c r="AD3117" s="94"/>
      <c r="AE3117" s="94"/>
    </row>
    <row r="3118" spans="3:31" s="260" customFormat="1" ht="15.75" thickBot="1" x14ac:dyDescent="0.3">
      <c r="C3118" s="84"/>
      <c r="D3118" s="86"/>
      <c r="E3118" s="86"/>
      <c r="F3118" s="86"/>
      <c r="G3118" s="86"/>
      <c r="H3118" s="86"/>
      <c r="I3118" s="86"/>
      <c r="J3118" s="86"/>
      <c r="K3118" s="88"/>
      <c r="M3118" s="557"/>
      <c r="N3118" s="557"/>
      <c r="O3118" s="557"/>
      <c r="P3118" s="557"/>
      <c r="Q3118" s="557"/>
      <c r="R3118" s="557"/>
      <c r="S3118" s="557"/>
      <c r="T3118" s="557"/>
      <c r="U3118" s="557"/>
      <c r="V3118" s="557"/>
      <c r="Y3118" s="374"/>
      <c r="Z3118" s="94"/>
      <c r="AA3118" s="86"/>
      <c r="AB3118" s="94"/>
      <c r="AC3118" s="94"/>
      <c r="AD3118" s="94"/>
      <c r="AE3118" s="94"/>
    </row>
    <row r="3119" spans="3:31" s="260" customFormat="1" ht="15.75" thickBot="1" x14ac:dyDescent="0.3">
      <c r="C3119" s="84"/>
      <c r="D3119" s="375" t="s">
        <v>128</v>
      </c>
      <c r="E3119" s="376" t="s">
        <v>129</v>
      </c>
      <c r="F3119" s="376" t="s">
        <v>130</v>
      </c>
      <c r="G3119" s="376" t="s">
        <v>131</v>
      </c>
      <c r="H3119" s="376" t="s">
        <v>132</v>
      </c>
      <c r="I3119" s="376" t="s">
        <v>133</v>
      </c>
      <c r="J3119" s="377" t="s">
        <v>134</v>
      </c>
      <c r="K3119" s="88"/>
      <c r="M3119" s="558" t="s">
        <v>93</v>
      </c>
      <c r="N3119" s="559"/>
      <c r="O3119" s="559"/>
      <c r="P3119" s="559"/>
      <c r="Q3119" s="559"/>
      <c r="R3119" s="559"/>
      <c r="S3119" s="559"/>
      <c r="T3119" s="559"/>
      <c r="U3119" s="559"/>
      <c r="V3119" s="560"/>
      <c r="Y3119" s="378"/>
      <c r="Z3119" s="121"/>
      <c r="AA3119" s="86"/>
      <c r="AB3119" s="513"/>
      <c r="AC3119" s="514"/>
      <c r="AD3119" s="94"/>
      <c r="AE3119" s="379"/>
    </row>
    <row r="3120" spans="3:31" s="260" customFormat="1" x14ac:dyDescent="0.25">
      <c r="C3120" s="84"/>
      <c r="D3120" s="380"/>
      <c r="E3120" s="381"/>
      <c r="F3120" s="381"/>
      <c r="G3120" s="381"/>
      <c r="H3120" s="381"/>
      <c r="I3120" s="381"/>
      <c r="J3120" s="382"/>
      <c r="K3120" s="88"/>
      <c r="M3120" s="99" t="s">
        <v>94</v>
      </c>
      <c r="N3120" s="561" t="s">
        <v>95</v>
      </c>
      <c r="O3120" s="561"/>
      <c r="P3120" s="561"/>
      <c r="Q3120" s="561"/>
      <c r="R3120" s="95" t="s">
        <v>96</v>
      </c>
      <c r="S3120" s="95" t="s">
        <v>97</v>
      </c>
      <c r="T3120" s="562" t="s">
        <v>8</v>
      </c>
      <c r="U3120" s="562"/>
      <c r="V3120" s="100" t="s">
        <v>98</v>
      </c>
      <c r="Y3120" s="383" t="s">
        <v>104</v>
      </c>
      <c r="Z3120" s="119" t="s">
        <v>9</v>
      </c>
      <c r="AA3120" s="86"/>
      <c r="AB3120" s="384"/>
      <c r="AC3120" s="385"/>
      <c r="AD3120" s="94"/>
      <c r="AE3120" s="386"/>
    </row>
    <row r="3121" spans="3:31" s="260" customFormat="1" x14ac:dyDescent="0.25">
      <c r="C3121" s="84"/>
      <c r="D3121" s="85"/>
      <c r="E3121" s="86"/>
      <c r="F3121" s="86"/>
      <c r="G3121" s="86"/>
      <c r="H3121" s="86"/>
      <c r="I3121" s="86"/>
      <c r="J3121" s="87"/>
      <c r="K3121" s="88"/>
      <c r="M3121" s="102"/>
      <c r="N3121" s="533" t="s">
        <v>99</v>
      </c>
      <c r="O3121" s="533"/>
      <c r="P3121" s="533"/>
      <c r="Q3121" s="533"/>
      <c r="R3121" s="78" t="s">
        <v>100</v>
      </c>
      <c r="S3121" s="387">
        <f>+$AA$10</f>
        <v>0.05</v>
      </c>
      <c r="T3121" s="563">
        <f>V3151</f>
        <v>36484.75</v>
      </c>
      <c r="U3121" s="563"/>
      <c r="V3121" s="389">
        <f>+IFERROR(T3121*S3121,0)</f>
        <v>1824.2375000000002</v>
      </c>
      <c r="Y3121" s="390"/>
      <c r="Z3121" s="391">
        <f>Y3117*V3121</f>
        <v>1824.2375000000002</v>
      </c>
      <c r="AA3121" s="86"/>
      <c r="AB3121" s="384"/>
      <c r="AC3121" s="385"/>
      <c r="AD3121" s="94"/>
      <c r="AE3121" s="386" t="str">
        <f>+IF(V3121=0,"CERO","NO")</f>
        <v>NO</v>
      </c>
    </row>
    <row r="3122" spans="3:31" s="260" customFormat="1" x14ac:dyDescent="0.25">
      <c r="C3122" s="84"/>
      <c r="D3122" s="85"/>
      <c r="E3122" s="86"/>
      <c r="F3122" s="86"/>
      <c r="G3122" s="86"/>
      <c r="H3122" s="86"/>
      <c r="I3122" s="86"/>
      <c r="J3122" s="87"/>
      <c r="K3122" s="88"/>
      <c r="M3122" s="106"/>
      <c r="N3122" s="533" t="str">
        <f>IFERROR(VLOOKUP(M3122,INSUMOS!$C$8:$K$928,2,0),"-----")</f>
        <v>-----</v>
      </c>
      <c r="O3122" s="533"/>
      <c r="P3122" s="533"/>
      <c r="Q3122" s="533"/>
      <c r="R3122" s="78" t="str">
        <f>IFERROR(VLOOKUP(M3122,INSUMOS!$C$8:$K$928,6,0),"-----")</f>
        <v>-----</v>
      </c>
      <c r="S3122" s="392"/>
      <c r="T3122" s="529" t="str">
        <f>IFERROR(VLOOKUP(M3122,INSUMOS!$C$8:$K$928,7,0),"0")</f>
        <v>0</v>
      </c>
      <c r="U3122" s="529"/>
      <c r="V3122" s="389">
        <f>+IFERROR(T3122*S3122,0)</f>
        <v>0</v>
      </c>
      <c r="Y3122" s="393">
        <f>+IFERROR(Y3117*S3122,0)</f>
        <v>0</v>
      </c>
      <c r="Z3122" s="391">
        <f>Y3117*V3122</f>
        <v>0</v>
      </c>
      <c r="AA3122" s="394"/>
      <c r="AB3122" s="395">
        <f>+Y3122*T3122</f>
        <v>0</v>
      </c>
      <c r="AC3122" s="93">
        <f>+AB3122-Z3122</f>
        <v>0</v>
      </c>
      <c r="AD3122" s="94"/>
      <c r="AE3122" s="386" t="str">
        <f>+IF(V3122=0,"CERO","NO")</f>
        <v>CERO</v>
      </c>
    </row>
    <row r="3123" spans="3:31" s="260" customFormat="1" x14ac:dyDescent="0.25">
      <c r="C3123" s="84"/>
      <c r="D3123" s="85"/>
      <c r="E3123" s="86"/>
      <c r="F3123" s="86"/>
      <c r="G3123" s="86"/>
      <c r="H3123" s="86"/>
      <c r="I3123" s="86"/>
      <c r="J3123" s="87"/>
      <c r="K3123" s="88"/>
      <c r="M3123" s="102">
        <v>0</v>
      </c>
      <c r="N3123" s="533"/>
      <c r="O3123" s="533"/>
      <c r="P3123" s="533"/>
      <c r="Q3123" s="533"/>
      <c r="R3123" s="78"/>
      <c r="S3123" s="396"/>
      <c r="T3123" s="529"/>
      <c r="U3123" s="529"/>
      <c r="V3123" s="397"/>
      <c r="Y3123" s="393">
        <f>+IFERROR(Y3117*S3123,0)</f>
        <v>0</v>
      </c>
      <c r="Z3123" s="391">
        <f>Y3117*V3123</f>
        <v>0</v>
      </c>
      <c r="AA3123" s="394"/>
      <c r="AB3123" s="395">
        <f>+Y3123*T3123</f>
        <v>0</v>
      </c>
      <c r="AC3123" s="93">
        <f>+AB3123-Z3123</f>
        <v>0</v>
      </c>
      <c r="AD3123" s="94"/>
      <c r="AE3123" s="386" t="str">
        <f>+IF(V3123=0,"CERO","NO")</f>
        <v>CERO</v>
      </c>
    </row>
    <row r="3124" spans="3:31" s="260" customFormat="1" x14ac:dyDescent="0.25">
      <c r="C3124" s="84"/>
      <c r="D3124" s="85"/>
      <c r="E3124" s="86"/>
      <c r="F3124" s="86"/>
      <c r="G3124" s="86"/>
      <c r="H3124" s="86"/>
      <c r="I3124" s="86"/>
      <c r="J3124" s="87"/>
      <c r="K3124" s="88"/>
      <c r="M3124" s="102">
        <v>0</v>
      </c>
      <c r="N3124" s="533"/>
      <c r="O3124" s="533"/>
      <c r="P3124" s="533"/>
      <c r="Q3124" s="533"/>
      <c r="R3124" s="78"/>
      <c r="S3124" s="396"/>
      <c r="T3124" s="529"/>
      <c r="U3124" s="529"/>
      <c r="V3124" s="397"/>
      <c r="Y3124" s="393">
        <f>+IFERROR(Y3117*S3124,0)</f>
        <v>0</v>
      </c>
      <c r="Z3124" s="391">
        <f>Y3117*V3124</f>
        <v>0</v>
      </c>
      <c r="AA3124" s="394"/>
      <c r="AB3124" s="395">
        <f>+Y3124*T3124</f>
        <v>0</v>
      </c>
      <c r="AC3124" s="93">
        <f>+AB3124-Z3124</f>
        <v>0</v>
      </c>
      <c r="AD3124" s="94"/>
      <c r="AE3124" s="386" t="str">
        <f>+IF(V3124=0,"CERO","NO")</f>
        <v>CERO</v>
      </c>
    </row>
    <row r="3125" spans="3:31" s="260" customFormat="1" ht="15.75" thickBot="1" x14ac:dyDescent="0.3">
      <c r="C3125" s="84"/>
      <c r="D3125" s="85"/>
      <c r="E3125" s="86"/>
      <c r="F3125" s="86"/>
      <c r="G3125" s="86"/>
      <c r="H3125" s="86"/>
      <c r="I3125" s="86"/>
      <c r="J3125" s="87"/>
      <c r="K3125" s="88"/>
      <c r="M3125" s="102">
        <v>0</v>
      </c>
      <c r="N3125" s="564"/>
      <c r="O3125" s="564"/>
      <c r="P3125" s="564"/>
      <c r="Q3125" s="564"/>
      <c r="R3125" s="96"/>
      <c r="S3125" s="96"/>
      <c r="T3125" s="565"/>
      <c r="U3125" s="565"/>
      <c r="V3125" s="101"/>
      <c r="Y3125" s="393">
        <f>+IFERROR(Y3117*S3125,0)</f>
        <v>0</v>
      </c>
      <c r="Z3125" s="391">
        <f>Y3117*V3125</f>
        <v>0</v>
      </c>
      <c r="AA3125" s="394"/>
      <c r="AB3125" s="395">
        <f>+Y3125*T3125</f>
        <v>0</v>
      </c>
      <c r="AC3125" s="93">
        <f>+AB3125-Z3125</f>
        <v>0</v>
      </c>
      <c r="AD3125" s="94"/>
      <c r="AE3125" s="386" t="str">
        <f>+IF(V3125=0,"CERO","NO")</f>
        <v>CERO</v>
      </c>
    </row>
    <row r="3126" spans="3:31" s="260" customFormat="1" ht="15.75" thickBot="1" x14ac:dyDescent="0.3">
      <c r="C3126" s="84"/>
      <c r="D3126" s="375" t="s">
        <v>128</v>
      </c>
      <c r="E3126" s="376" t="s">
        <v>129</v>
      </c>
      <c r="F3126" s="376" t="s">
        <v>130</v>
      </c>
      <c r="G3126" s="376" t="s">
        <v>131</v>
      </c>
      <c r="H3126" s="376" t="s">
        <v>132</v>
      </c>
      <c r="I3126" s="376" t="s">
        <v>133</v>
      </c>
      <c r="J3126" s="377" t="s">
        <v>134</v>
      </c>
      <c r="K3126" s="88"/>
      <c r="M3126" s="534"/>
      <c r="N3126" s="536" t="s">
        <v>101</v>
      </c>
      <c r="O3126" s="536"/>
      <c r="P3126" s="536"/>
      <c r="Q3126" s="536"/>
      <c r="R3126" s="536"/>
      <c r="S3126" s="536"/>
      <c r="T3126" s="536"/>
      <c r="U3126" s="536"/>
      <c r="V3126" s="389">
        <f>+SUM(V3121:V3125)</f>
        <v>1824.2375000000002</v>
      </c>
      <c r="Y3126" s="398" t="s">
        <v>135</v>
      </c>
      <c r="Z3126" s="397">
        <f>+SUM(Z3121:Z3125)</f>
        <v>1824.2375000000002</v>
      </c>
      <c r="AA3126" s="86"/>
      <c r="AB3126" s="384"/>
      <c r="AC3126" s="385"/>
      <c r="AD3126" s="94"/>
      <c r="AE3126" s="399"/>
    </row>
    <row r="3127" spans="3:31" s="260" customFormat="1" ht="15.75" thickBot="1" x14ac:dyDescent="0.3">
      <c r="C3127" s="84"/>
      <c r="D3127" s="375">
        <f>C3117</f>
        <v>3.15</v>
      </c>
      <c r="E3127" s="376"/>
      <c r="F3127" s="376"/>
      <c r="G3127" s="376"/>
      <c r="H3127" s="376"/>
      <c r="I3127" s="376"/>
      <c r="J3127" s="377"/>
      <c r="K3127" s="88"/>
      <c r="M3127" s="566"/>
      <c r="N3127" s="567" t="s">
        <v>102</v>
      </c>
      <c r="O3127" s="567"/>
      <c r="P3127" s="567"/>
      <c r="Q3127" s="567"/>
      <c r="R3127" s="567"/>
      <c r="S3127" s="567"/>
      <c r="T3127" s="567"/>
      <c r="U3127" s="567"/>
      <c r="V3127" s="400">
        <f>+ROUND(V3126,$AA$5)</f>
        <v>1824.24</v>
      </c>
      <c r="Y3127" s="401" t="s">
        <v>136</v>
      </c>
      <c r="Z3127" s="402">
        <f>+ROUND(Z3126,$AA$5)</f>
        <v>1824.24</v>
      </c>
      <c r="AA3127" s="86"/>
      <c r="AB3127" s="403">
        <f>+V3127*Y3117</f>
        <v>1824.24</v>
      </c>
      <c r="AC3127" s="404">
        <f>+AB3127-Z3127</f>
        <v>0</v>
      </c>
      <c r="AD3127" s="94"/>
      <c r="AE3127" s="405"/>
    </row>
    <row r="3128" spans="3:31" s="260" customFormat="1" x14ac:dyDescent="0.25">
      <c r="C3128" s="84"/>
      <c r="D3128" s="380"/>
      <c r="E3128" s="381"/>
      <c r="F3128" s="381"/>
      <c r="G3128" s="381"/>
      <c r="H3128" s="381"/>
      <c r="I3128" s="381"/>
      <c r="J3128" s="382"/>
      <c r="K3128" s="88"/>
      <c r="M3128" s="510" t="s">
        <v>103</v>
      </c>
      <c r="N3128" s="511"/>
      <c r="O3128" s="511"/>
      <c r="P3128" s="511"/>
      <c r="Q3128" s="511"/>
      <c r="R3128" s="511"/>
      <c r="S3128" s="511"/>
      <c r="T3128" s="511"/>
      <c r="U3128" s="511"/>
      <c r="V3128" s="512"/>
      <c r="Y3128" s="378"/>
      <c r="Z3128" s="121"/>
      <c r="AA3128" s="86"/>
      <c r="AB3128" s="513"/>
      <c r="AC3128" s="514"/>
      <c r="AD3128" s="94"/>
      <c r="AE3128" s="126"/>
    </row>
    <row r="3129" spans="3:31" s="260" customFormat="1" x14ac:dyDescent="0.25">
      <c r="C3129" s="84"/>
      <c r="D3129" s="85"/>
      <c r="E3129" s="86"/>
      <c r="F3129" s="86"/>
      <c r="G3129" s="86"/>
      <c r="H3129" s="86"/>
      <c r="I3129" s="86"/>
      <c r="J3129" s="87"/>
      <c r="K3129" s="88"/>
      <c r="M3129" s="99" t="s">
        <v>94</v>
      </c>
      <c r="N3129" s="561" t="s">
        <v>95</v>
      </c>
      <c r="O3129" s="561"/>
      <c r="P3129" s="561"/>
      <c r="Q3129" s="561"/>
      <c r="R3129" s="95" t="s">
        <v>96</v>
      </c>
      <c r="S3129" s="95" t="s">
        <v>104</v>
      </c>
      <c r="T3129" s="356" t="s">
        <v>105</v>
      </c>
      <c r="U3129" s="356" t="s">
        <v>8</v>
      </c>
      <c r="V3129" s="100" t="s">
        <v>98</v>
      </c>
      <c r="Y3129" s="383" t="s">
        <v>104</v>
      </c>
      <c r="Z3129" s="119" t="s">
        <v>9</v>
      </c>
      <c r="AA3129" s="86"/>
      <c r="AB3129" s="384"/>
      <c r="AC3129" s="385"/>
      <c r="AD3129" s="94"/>
      <c r="AE3129" s="406"/>
    </row>
    <row r="3130" spans="3:31" s="260" customFormat="1" x14ac:dyDescent="0.25">
      <c r="C3130" s="84"/>
      <c r="D3130" s="85"/>
      <c r="E3130" s="86"/>
      <c r="F3130" s="86"/>
      <c r="G3130" s="86"/>
      <c r="H3130" s="86"/>
      <c r="I3130" s="86"/>
      <c r="J3130" s="87"/>
      <c r="K3130" s="88"/>
      <c r="M3130" s="102">
        <v>929</v>
      </c>
      <c r="N3130" s="533" t="str">
        <f>IFERROR(VLOOKUP(M3130,INSUMOS!$C$8:$K$928,2,0),"-----")</f>
        <v>Kit de transición de acero a C-PVC</v>
      </c>
      <c r="O3130" s="533"/>
      <c r="P3130" s="533"/>
      <c r="Q3130" s="533"/>
      <c r="R3130" s="78" t="str">
        <f>IFERROR(VLOOKUP(M3130,INSUMOS!$C$8:$K$928,6,0),"-----")</f>
        <v>und</v>
      </c>
      <c r="S3130" s="396">
        <v>1</v>
      </c>
      <c r="T3130" s="387">
        <v>0</v>
      </c>
      <c r="U3130" s="388">
        <f>IFERROR(VLOOKUP(M3130,INSUMOS!$C$8:$K$928,7,0),"0")</f>
        <v>1120000</v>
      </c>
      <c r="V3130" s="389">
        <f>+IFERROR(U3130*(S3130*(1+T3130)),0)</f>
        <v>1120000</v>
      </c>
      <c r="Y3130" s="393">
        <f>+IFERROR(Y3117*(S3130*(1+T3130)),0)</f>
        <v>1</v>
      </c>
      <c r="Z3130" s="391">
        <f>Y3117*V3130</f>
        <v>1120000</v>
      </c>
      <c r="AA3130" s="394"/>
      <c r="AB3130" s="395">
        <f>+Y3130*U3130</f>
        <v>1120000</v>
      </c>
      <c r="AC3130" s="93">
        <f>+AB3130-Z3130</f>
        <v>0</v>
      </c>
      <c r="AD3130" s="94"/>
      <c r="AE3130" s="406" t="str">
        <f>+IF(V3130=0,"CERO","NO")</f>
        <v>NO</v>
      </c>
    </row>
    <row r="3131" spans="3:31" s="260" customFormat="1" x14ac:dyDescent="0.25">
      <c r="C3131" s="84"/>
      <c r="D3131" s="85"/>
      <c r="E3131" s="86"/>
      <c r="F3131" s="86"/>
      <c r="G3131" s="86"/>
      <c r="H3131" s="86"/>
      <c r="I3131" s="86"/>
      <c r="J3131" s="87"/>
      <c r="K3131" s="88"/>
      <c r="M3131" s="102"/>
      <c r="N3131" s="533" t="str">
        <f>IFERROR(VLOOKUP(M3131,INSUMOS!$C$8:$K$928,2,0),"-----")</f>
        <v>-----</v>
      </c>
      <c r="O3131" s="533"/>
      <c r="P3131" s="533"/>
      <c r="Q3131" s="533"/>
      <c r="R3131" s="78" t="str">
        <f>IFERROR(VLOOKUP(M3131,INSUMOS!$C$8:$K$928,6,0),"-----")</f>
        <v>-----</v>
      </c>
      <c r="S3131" s="392"/>
      <c r="T3131" s="387">
        <v>0</v>
      </c>
      <c r="U3131" s="388" t="str">
        <f>IFERROR(VLOOKUP(M3131,INSUMOS!$C$8:$K$928,7,0),"0")</f>
        <v>0</v>
      </c>
      <c r="V3131" s="389">
        <f>+IFERROR(U3131*(S3131*(1+T3131)),0)</f>
        <v>0</v>
      </c>
      <c r="Y3131" s="393">
        <f>+IFERROR(Y3117*(S3131*(1+T3131)),0)</f>
        <v>0</v>
      </c>
      <c r="Z3131" s="391">
        <f>Y3117*V3131</f>
        <v>0</v>
      </c>
      <c r="AA3131" s="394"/>
      <c r="AB3131" s="395">
        <f>+Y3131*U3131</f>
        <v>0</v>
      </c>
      <c r="AC3131" s="93">
        <f>+AB3131-Z3131</f>
        <v>0</v>
      </c>
      <c r="AD3131" s="94"/>
      <c r="AE3131" s="406" t="str">
        <f>+IF(V3131=0,"CERO","NO")</f>
        <v>CERO</v>
      </c>
    </row>
    <row r="3132" spans="3:31" s="260" customFormat="1" x14ac:dyDescent="0.25">
      <c r="C3132" s="84"/>
      <c r="D3132" s="85"/>
      <c r="E3132" s="86"/>
      <c r="F3132" s="86"/>
      <c r="G3132" s="86"/>
      <c r="H3132" s="86"/>
      <c r="I3132" s="86"/>
      <c r="J3132" s="87"/>
      <c r="K3132" s="88"/>
      <c r="M3132" s="102"/>
      <c r="N3132" s="533" t="str">
        <f>IFERROR(VLOOKUP(M3132,INSUMOS!$C$8:$K$928,2,0),"-----")</f>
        <v>-----</v>
      </c>
      <c r="O3132" s="533"/>
      <c r="P3132" s="533"/>
      <c r="Q3132" s="533"/>
      <c r="R3132" s="78" t="str">
        <f>IFERROR(VLOOKUP(M3132,INSUMOS!$C$8:$K$928,6,0),"-----")</f>
        <v>-----</v>
      </c>
      <c r="S3132" s="396"/>
      <c r="T3132" s="387">
        <v>0</v>
      </c>
      <c r="U3132" s="388" t="str">
        <f>IFERROR(VLOOKUP(M3132,INSUMOS!$C$8:$K$928,7,0),"0")</f>
        <v>0</v>
      </c>
      <c r="V3132" s="389">
        <f>+IFERROR(U3132*(S3132*(1+T3132)),0)</f>
        <v>0</v>
      </c>
      <c r="Y3132" s="393">
        <f>+IFERROR(Y3117*(S3132*(1+T3132)),0)</f>
        <v>0</v>
      </c>
      <c r="Z3132" s="391">
        <f>Y3117*V3132</f>
        <v>0</v>
      </c>
      <c r="AA3132" s="394"/>
      <c r="AB3132" s="395">
        <f>+Y3132*U3132</f>
        <v>0</v>
      </c>
      <c r="AC3132" s="93">
        <f>+AB3132-Z3132</f>
        <v>0</v>
      </c>
      <c r="AD3132" s="94"/>
      <c r="AE3132" s="406" t="str">
        <f>+IF(V3132=0,"CERO","NO")</f>
        <v>CERO</v>
      </c>
    </row>
    <row r="3133" spans="3:31" s="260" customFormat="1" x14ac:dyDescent="0.25">
      <c r="C3133" s="84"/>
      <c r="D3133" s="85"/>
      <c r="E3133" s="86"/>
      <c r="F3133" s="86"/>
      <c r="G3133" s="86"/>
      <c r="H3133" s="86"/>
      <c r="I3133" s="86"/>
      <c r="J3133" s="87"/>
      <c r="K3133" s="88"/>
      <c r="M3133" s="102">
        <v>0</v>
      </c>
      <c r="N3133" s="533" t="str">
        <f>IFERROR(VLOOKUP(M3133,INSUMOS!$C$8:$K$928,2,0),"-----")</f>
        <v>-----</v>
      </c>
      <c r="O3133" s="533"/>
      <c r="P3133" s="533"/>
      <c r="Q3133" s="533"/>
      <c r="R3133" s="78" t="str">
        <f>IFERROR(VLOOKUP(M3133,INSUMOS!$C$8:$K$928,6,0),"-----")</f>
        <v>-----</v>
      </c>
      <c r="S3133" s="396"/>
      <c r="T3133" s="387"/>
      <c r="U3133" s="388" t="str">
        <f>IFERROR(VLOOKUP(M3133,INSUMOS!$C$8:$K$928,7,0),"0")</f>
        <v>0</v>
      </c>
      <c r="V3133" s="389">
        <f>+IFERROR(U3133*(S3133*(1+T3133)),0)</f>
        <v>0</v>
      </c>
      <c r="Y3133" s="393">
        <f>+IFERROR(Y3117*(S3133*(1+T3133)),0)</f>
        <v>0</v>
      </c>
      <c r="Z3133" s="391">
        <f>Y3117*V3133</f>
        <v>0</v>
      </c>
      <c r="AA3133" s="394"/>
      <c r="AB3133" s="395">
        <f>+Y3133*U3133</f>
        <v>0</v>
      </c>
      <c r="AC3133" s="93">
        <f>+AB3133-Z3133</f>
        <v>0</v>
      </c>
      <c r="AD3133" s="94"/>
      <c r="AE3133" s="406" t="str">
        <f>+IF(V3133=0,"CERO","NO")</f>
        <v>CERO</v>
      </c>
    </row>
    <row r="3134" spans="3:31" s="260" customFormat="1" ht="15.75" thickBot="1" x14ac:dyDescent="0.3">
      <c r="C3134" s="84"/>
      <c r="D3134" s="85"/>
      <c r="E3134" s="86"/>
      <c r="F3134" s="86"/>
      <c r="G3134" s="86"/>
      <c r="H3134" s="86"/>
      <c r="I3134" s="86"/>
      <c r="J3134" s="87"/>
      <c r="K3134" s="88"/>
      <c r="M3134" s="102">
        <v>0</v>
      </c>
      <c r="N3134" s="564"/>
      <c r="O3134" s="564"/>
      <c r="P3134" s="564"/>
      <c r="Q3134" s="564"/>
      <c r="R3134" s="96"/>
      <c r="S3134" s="79"/>
      <c r="T3134" s="97"/>
      <c r="U3134" s="358"/>
      <c r="V3134" s="397"/>
      <c r="Y3134" s="393">
        <f>+IFERROR(Y3117*(S3134*(1+T3134)),0)</f>
        <v>0</v>
      </c>
      <c r="Z3134" s="391">
        <f>Y3117*V3134</f>
        <v>0</v>
      </c>
      <c r="AA3134" s="394"/>
      <c r="AB3134" s="395">
        <f>+Y3134*U3134</f>
        <v>0</v>
      </c>
      <c r="AC3134" s="93">
        <f>+AB3134-Z3134</f>
        <v>0</v>
      </c>
      <c r="AD3134" s="94"/>
      <c r="AE3134" s="406" t="str">
        <f>+IF(V3134=0,"CERO","NO")</f>
        <v>CERO</v>
      </c>
    </row>
    <row r="3135" spans="3:31" s="260" customFormat="1" ht="15.75" thickBot="1" x14ac:dyDescent="0.3">
      <c r="C3135" s="84"/>
      <c r="D3135" s="375" t="s">
        <v>128</v>
      </c>
      <c r="E3135" s="376" t="s">
        <v>129</v>
      </c>
      <c r="F3135" s="376" t="s">
        <v>130</v>
      </c>
      <c r="G3135" s="376" t="s">
        <v>131</v>
      </c>
      <c r="H3135" s="376" t="s">
        <v>132</v>
      </c>
      <c r="I3135" s="376" t="s">
        <v>133</v>
      </c>
      <c r="J3135" s="377" t="s">
        <v>134</v>
      </c>
      <c r="K3135" s="88"/>
      <c r="M3135" s="534"/>
      <c r="N3135" s="536" t="s">
        <v>106</v>
      </c>
      <c r="O3135" s="536"/>
      <c r="P3135" s="536"/>
      <c r="Q3135" s="536"/>
      <c r="R3135" s="536"/>
      <c r="S3135" s="536"/>
      <c r="T3135" s="536"/>
      <c r="U3135" s="536"/>
      <c r="V3135" s="389">
        <f>+SUM(V3130:V3134)</f>
        <v>1120000</v>
      </c>
      <c r="Y3135" s="398" t="s">
        <v>135</v>
      </c>
      <c r="Z3135" s="397">
        <f>+SUM(Z3130:Z3134)</f>
        <v>1120000</v>
      </c>
      <c r="AA3135" s="86"/>
      <c r="AB3135" s="384"/>
      <c r="AC3135" s="385"/>
      <c r="AD3135" s="94"/>
      <c r="AE3135" s="399"/>
    </row>
    <row r="3136" spans="3:31" s="260" customFormat="1" ht="15.75" thickBot="1" x14ac:dyDescent="0.3">
      <c r="C3136" s="84"/>
      <c r="D3136" s="375"/>
      <c r="E3136" s="407">
        <f>+D3127</f>
        <v>3.15</v>
      </c>
      <c r="F3136" s="376"/>
      <c r="G3136" s="376"/>
      <c r="H3136" s="376"/>
      <c r="I3136" s="376"/>
      <c r="J3136" s="377"/>
      <c r="K3136" s="88"/>
      <c r="M3136" s="535"/>
      <c r="N3136" s="537" t="s">
        <v>107</v>
      </c>
      <c r="O3136" s="537"/>
      <c r="P3136" s="537"/>
      <c r="Q3136" s="537"/>
      <c r="R3136" s="537"/>
      <c r="S3136" s="537"/>
      <c r="T3136" s="537"/>
      <c r="U3136" s="537"/>
      <c r="V3136" s="408">
        <f>+ROUND(V3135,$AA$5)</f>
        <v>1120000</v>
      </c>
      <c r="Y3136" s="401" t="s">
        <v>136</v>
      </c>
      <c r="Z3136" s="402">
        <f>+ROUND(Z3135,$AA$5)</f>
        <v>1120000</v>
      </c>
      <c r="AA3136" s="86"/>
      <c r="AB3136" s="403">
        <f>+V3136*Y3117</f>
        <v>1120000</v>
      </c>
      <c r="AC3136" s="404">
        <f>+AB3136-Z3136</f>
        <v>0</v>
      </c>
      <c r="AD3136" s="94"/>
      <c r="AE3136" s="405"/>
    </row>
    <row r="3137" spans="3:31" s="260" customFormat="1" x14ac:dyDescent="0.25">
      <c r="C3137" s="84"/>
      <c r="D3137" s="380"/>
      <c r="E3137" s="381"/>
      <c r="F3137" s="381"/>
      <c r="G3137" s="381"/>
      <c r="H3137" s="381"/>
      <c r="I3137" s="381"/>
      <c r="J3137" s="382"/>
      <c r="K3137" s="88"/>
      <c r="M3137" s="568" t="s">
        <v>108</v>
      </c>
      <c r="N3137" s="569"/>
      <c r="O3137" s="569"/>
      <c r="P3137" s="569"/>
      <c r="Q3137" s="569"/>
      <c r="R3137" s="569"/>
      <c r="S3137" s="569"/>
      <c r="T3137" s="569"/>
      <c r="U3137" s="569"/>
      <c r="V3137" s="570"/>
      <c r="Y3137" s="378"/>
      <c r="Z3137" s="121"/>
      <c r="AA3137" s="86"/>
      <c r="AB3137" s="409"/>
      <c r="AC3137" s="121"/>
      <c r="AD3137" s="94"/>
      <c r="AE3137" s="126"/>
    </row>
    <row r="3138" spans="3:31" s="260" customFormat="1" ht="25.5" x14ac:dyDescent="0.25">
      <c r="C3138" s="84"/>
      <c r="D3138" s="85"/>
      <c r="E3138" s="86"/>
      <c r="F3138" s="86"/>
      <c r="G3138" s="86"/>
      <c r="H3138" s="86"/>
      <c r="I3138" s="86"/>
      <c r="J3138" s="87"/>
      <c r="K3138" s="88"/>
      <c r="M3138" s="99" t="s">
        <v>94</v>
      </c>
      <c r="N3138" s="561" t="s">
        <v>95</v>
      </c>
      <c r="O3138" s="561"/>
      <c r="P3138" s="561"/>
      <c r="Q3138" s="95" t="s">
        <v>109</v>
      </c>
      <c r="R3138" s="95" t="s">
        <v>110</v>
      </c>
      <c r="S3138" s="95" t="s">
        <v>111</v>
      </c>
      <c r="T3138" s="562" t="s">
        <v>112</v>
      </c>
      <c r="U3138" s="562"/>
      <c r="V3138" s="100" t="s">
        <v>98</v>
      </c>
      <c r="Y3138" s="383" t="s">
        <v>104</v>
      </c>
      <c r="Z3138" s="119" t="s">
        <v>9</v>
      </c>
      <c r="AA3138" s="86"/>
      <c r="AB3138" s="384"/>
      <c r="AC3138" s="385"/>
      <c r="AD3138" s="94"/>
      <c r="AE3138" s="410"/>
    </row>
    <row r="3139" spans="3:31" s="260" customFormat="1" x14ac:dyDescent="0.25">
      <c r="C3139" s="84"/>
      <c r="D3139" s="85"/>
      <c r="E3139" s="86"/>
      <c r="F3139" s="86"/>
      <c r="G3139" s="86"/>
      <c r="H3139" s="86"/>
      <c r="I3139" s="86"/>
      <c r="J3139" s="87"/>
      <c r="K3139" s="88"/>
      <c r="M3139" s="102">
        <v>129</v>
      </c>
      <c r="N3139" s="530" t="str">
        <f>IFERROR(VLOOKUP(M3139,INSUMOS!$C$8:$K$928,2,0),"-----")</f>
        <v>transporte materiales en general</v>
      </c>
      <c r="O3139" s="531"/>
      <c r="P3139" s="532"/>
      <c r="Q3139" s="78" t="str">
        <f>IFERROR(VLOOKUP(M3139,INSUMOS!$C$8:$K$928,5,0),"-----")</f>
        <v>Km</v>
      </c>
      <c r="R3139" s="80">
        <v>1</v>
      </c>
      <c r="S3139" s="80">
        <f>IFERROR(VLOOKUP(M3139,INSUMOS!$C$8:$K$928,6,0),"0")</f>
        <v>348</v>
      </c>
      <c r="T3139" s="529">
        <f>IFERROR(VLOOKUP(M3139,INSUMOS!$C$8:$K$928,7,0),"0")</f>
        <v>0.99776362060288992</v>
      </c>
      <c r="U3139" s="529"/>
      <c r="V3139" s="82">
        <f>+T3139*S3139*R3139</f>
        <v>347.2217399698057</v>
      </c>
      <c r="Y3139" s="393">
        <f>+IFERROR((R3139*S3139)*Y3117,0)</f>
        <v>348</v>
      </c>
      <c r="Z3139" s="391">
        <f>Y3117*V3139</f>
        <v>347.2217399698057</v>
      </c>
      <c r="AA3139" s="86"/>
      <c r="AB3139" s="92">
        <f>+Y3139*T3139</f>
        <v>347.2217399698057</v>
      </c>
      <c r="AC3139" s="93">
        <f>+AB3139-Z3139</f>
        <v>0</v>
      </c>
      <c r="AD3139" s="94"/>
      <c r="AE3139" s="406" t="str">
        <f>+IF(V3139=0,"CERO","NO")</f>
        <v>NO</v>
      </c>
    </row>
    <row r="3140" spans="3:31" s="260" customFormat="1" x14ac:dyDescent="0.25">
      <c r="C3140" s="84"/>
      <c r="D3140" s="85"/>
      <c r="E3140" s="86"/>
      <c r="F3140" s="86"/>
      <c r="G3140" s="86"/>
      <c r="H3140" s="86"/>
      <c r="I3140" s="86"/>
      <c r="J3140" s="87"/>
      <c r="K3140" s="88"/>
      <c r="M3140" s="102">
        <v>0</v>
      </c>
      <c r="N3140" s="530" t="str">
        <f>IFERROR(VLOOKUP(M3140,INSUMOS!$C$8:$K$928,2,0),"-----")</f>
        <v>-----</v>
      </c>
      <c r="O3140" s="531"/>
      <c r="P3140" s="532"/>
      <c r="Q3140" s="78" t="str">
        <f>IFERROR(VLOOKUP(M3140,INSUMOS!$C$8:$K$928,5,0),"-----")</f>
        <v>-----</v>
      </c>
      <c r="R3140" s="80"/>
      <c r="S3140" s="80" t="str">
        <f>IFERROR(VLOOKUP(M3140,INSUMOS!$C$8:$K$928,6,0),"0")</f>
        <v>0</v>
      </c>
      <c r="T3140" s="529" t="str">
        <f>IFERROR(VLOOKUP(M3140,INSUMOS!$C$8:$K$928,7,0),"0")</f>
        <v>0</v>
      </c>
      <c r="U3140" s="529"/>
      <c r="V3140" s="82">
        <f>+T3140*S3140*R3140</f>
        <v>0</v>
      </c>
      <c r="Y3140" s="393">
        <f>+IFERROR((R3140*S3140)*Y3117,0)</f>
        <v>0</v>
      </c>
      <c r="Z3140" s="391">
        <f>Y3117*V3140</f>
        <v>0</v>
      </c>
      <c r="AA3140" s="86"/>
      <c r="AB3140" s="92">
        <f>+Y3140*T3140</f>
        <v>0</v>
      </c>
      <c r="AC3140" s="93">
        <f>+AB3140-Z3140</f>
        <v>0</v>
      </c>
      <c r="AD3140" s="94"/>
      <c r="AE3140" s="406" t="str">
        <f>+IF(V3140=0,"CERO","NO")</f>
        <v>CERO</v>
      </c>
    </row>
    <row r="3141" spans="3:31" s="260" customFormat="1" x14ac:dyDescent="0.25">
      <c r="C3141" s="84"/>
      <c r="D3141" s="85"/>
      <c r="E3141" s="86"/>
      <c r="F3141" s="86"/>
      <c r="G3141" s="86"/>
      <c r="H3141" s="86"/>
      <c r="I3141" s="86"/>
      <c r="J3141" s="87"/>
      <c r="K3141" s="88"/>
      <c r="M3141" s="102">
        <v>0</v>
      </c>
      <c r="N3141" s="530" t="str">
        <f>IFERROR(VLOOKUP(M3141,INSUMOS!$C$8:$K$928,2,0),"-----")</f>
        <v>-----</v>
      </c>
      <c r="O3141" s="531"/>
      <c r="P3141" s="532"/>
      <c r="Q3141" s="78" t="str">
        <f>IFERROR(VLOOKUP(M3141,INSUMOS!$C$8:$K$928,5,0),"-----")</f>
        <v>-----</v>
      </c>
      <c r="R3141" s="80"/>
      <c r="S3141" s="80" t="str">
        <f>IFERROR(VLOOKUP(M3141,INSUMOS!$C$8:$K$928,6,0),"0")</f>
        <v>0</v>
      </c>
      <c r="T3141" s="529" t="str">
        <f>IFERROR(VLOOKUP(M3141,INSUMOS!$C$8:$K$928,7,0),"0")</f>
        <v>0</v>
      </c>
      <c r="U3141" s="529"/>
      <c r="V3141" s="82">
        <f>+T3141*S3141*R3141</f>
        <v>0</v>
      </c>
      <c r="Y3141" s="393">
        <f>+IFERROR((R3141*S3141)*Y3117,0)</f>
        <v>0</v>
      </c>
      <c r="Z3141" s="391">
        <f>Y3117*V3141</f>
        <v>0</v>
      </c>
      <c r="AA3141" s="86"/>
      <c r="AB3141" s="92">
        <f>+Y3141*T3141</f>
        <v>0</v>
      </c>
      <c r="AC3141" s="93">
        <f>+AB3141-Z3141</f>
        <v>0</v>
      </c>
      <c r="AD3141" s="94"/>
      <c r="AE3141" s="406" t="str">
        <f>+IF(V3141=0,"CERO","NO")</f>
        <v>CERO</v>
      </c>
    </row>
    <row r="3142" spans="3:31" s="260" customFormat="1" ht="15.75" thickBot="1" x14ac:dyDescent="0.3">
      <c r="C3142" s="84"/>
      <c r="D3142" s="89"/>
      <c r="E3142" s="90"/>
      <c r="F3142" s="90"/>
      <c r="G3142" s="90"/>
      <c r="H3142" s="90"/>
      <c r="I3142" s="90"/>
      <c r="J3142" s="91"/>
      <c r="K3142" s="88"/>
      <c r="M3142" s="102">
        <v>0</v>
      </c>
      <c r="N3142" s="533"/>
      <c r="O3142" s="533"/>
      <c r="P3142" s="533"/>
      <c r="Q3142" s="79"/>
      <c r="R3142" s="78"/>
      <c r="S3142" s="81"/>
      <c r="T3142" s="529"/>
      <c r="U3142" s="529"/>
      <c r="V3142" s="82"/>
      <c r="Y3142" s="393">
        <f>+IFERROR((R3142*S3142)*Y3117,0)</f>
        <v>0</v>
      </c>
      <c r="Z3142" s="391">
        <f>Y3117*V3142</f>
        <v>0</v>
      </c>
      <c r="AA3142" s="86"/>
      <c r="AB3142" s="92">
        <f>+Y3142*T3142</f>
        <v>0</v>
      </c>
      <c r="AC3142" s="93">
        <f>+AB3142-Z3142</f>
        <v>0</v>
      </c>
      <c r="AD3142" s="94"/>
      <c r="AE3142" s="406" t="str">
        <f>+IF(V3142=0,"CERO","NO")</f>
        <v>CERO</v>
      </c>
    </row>
    <row r="3143" spans="3:31" s="260" customFormat="1" ht="15.75" thickBot="1" x14ac:dyDescent="0.3">
      <c r="C3143" s="84"/>
      <c r="D3143" s="375" t="s">
        <v>128</v>
      </c>
      <c r="E3143" s="376" t="s">
        <v>129</v>
      </c>
      <c r="F3143" s="376" t="s">
        <v>130</v>
      </c>
      <c r="G3143" s="376" t="s">
        <v>131</v>
      </c>
      <c r="H3143" s="376" t="s">
        <v>132</v>
      </c>
      <c r="I3143" s="376" t="s">
        <v>133</v>
      </c>
      <c r="J3143" s="377" t="s">
        <v>134</v>
      </c>
      <c r="K3143" s="88"/>
      <c r="M3143" s="534"/>
      <c r="N3143" s="536" t="s">
        <v>113</v>
      </c>
      <c r="O3143" s="536"/>
      <c r="P3143" s="536"/>
      <c r="Q3143" s="536"/>
      <c r="R3143" s="536"/>
      <c r="S3143" s="536"/>
      <c r="T3143" s="536"/>
      <c r="U3143" s="536"/>
      <c r="V3143" s="411">
        <f>+SUM(V3139:V3142)</f>
        <v>347.2217399698057</v>
      </c>
      <c r="Y3143" s="398" t="s">
        <v>135</v>
      </c>
      <c r="Z3143" s="397">
        <f>+SUM(Z3139:Z3142)</f>
        <v>347.2217399698057</v>
      </c>
      <c r="AA3143" s="86"/>
      <c r="AB3143" s="384"/>
      <c r="AC3143" s="385"/>
      <c r="AD3143" s="94"/>
      <c r="AE3143" s="399"/>
    </row>
    <row r="3144" spans="3:31" s="260" customFormat="1" ht="15.75" thickBot="1" x14ac:dyDescent="0.3">
      <c r="C3144" s="84"/>
      <c r="D3144" s="355"/>
      <c r="E3144" s="367"/>
      <c r="F3144" s="412">
        <f>+E3136</f>
        <v>3.15</v>
      </c>
      <c r="G3144" s="367"/>
      <c r="H3144" s="367"/>
      <c r="I3144" s="367"/>
      <c r="J3144" s="368"/>
      <c r="K3144" s="88"/>
      <c r="M3144" s="535"/>
      <c r="N3144" s="537" t="s">
        <v>114</v>
      </c>
      <c r="O3144" s="537"/>
      <c r="P3144" s="537"/>
      <c r="Q3144" s="537"/>
      <c r="R3144" s="537"/>
      <c r="S3144" s="537"/>
      <c r="T3144" s="537"/>
      <c r="U3144" s="537"/>
      <c r="V3144" s="413">
        <f>+ROUND(V3143,$AA$5)</f>
        <v>347.22</v>
      </c>
      <c r="Y3144" s="401" t="s">
        <v>136</v>
      </c>
      <c r="Z3144" s="402">
        <f>+ROUND(Z3143,$AA$5)</f>
        <v>347.22</v>
      </c>
      <c r="AA3144" s="86"/>
      <c r="AB3144" s="403">
        <f>+V3144*Y3117</f>
        <v>347.22</v>
      </c>
      <c r="AC3144" s="414"/>
      <c r="AD3144" s="94"/>
      <c r="AE3144" s="405"/>
    </row>
    <row r="3145" spans="3:31" s="260" customFormat="1" ht="15.75" thickBot="1" x14ac:dyDescent="0.3">
      <c r="C3145" s="84"/>
      <c r="D3145" s="415"/>
      <c r="E3145" s="416"/>
      <c r="F3145" s="416"/>
      <c r="G3145" s="416"/>
      <c r="H3145" s="416"/>
      <c r="I3145" s="416"/>
      <c r="J3145" s="417"/>
      <c r="K3145" s="88"/>
      <c r="M3145" s="538" t="s">
        <v>115</v>
      </c>
      <c r="N3145" s="539"/>
      <c r="O3145" s="539"/>
      <c r="P3145" s="539"/>
      <c r="Q3145" s="539"/>
      <c r="R3145" s="539"/>
      <c r="S3145" s="539"/>
      <c r="T3145" s="539"/>
      <c r="U3145" s="539"/>
      <c r="V3145" s="540"/>
      <c r="Y3145" s="378"/>
      <c r="Z3145" s="121"/>
      <c r="AA3145" s="86"/>
      <c r="AB3145" s="409"/>
      <c r="AC3145" s="121"/>
      <c r="AD3145" s="94"/>
      <c r="AE3145" s="126"/>
    </row>
    <row r="3146" spans="3:31" s="260" customFormat="1" ht="15.75" thickBot="1" x14ac:dyDescent="0.3">
      <c r="C3146" s="84"/>
      <c r="D3146" s="375" t="s">
        <v>128</v>
      </c>
      <c r="E3146" s="376" t="s">
        <v>129</v>
      </c>
      <c r="F3146" s="376" t="s">
        <v>130</v>
      </c>
      <c r="G3146" s="376" t="s">
        <v>131</v>
      </c>
      <c r="H3146" s="376" t="s">
        <v>132</v>
      </c>
      <c r="I3146" s="376" t="s">
        <v>133</v>
      </c>
      <c r="J3146" s="377" t="s">
        <v>134</v>
      </c>
      <c r="K3146" s="88"/>
      <c r="M3146" s="99" t="s">
        <v>94</v>
      </c>
      <c r="N3146" s="98" t="s">
        <v>95</v>
      </c>
      <c r="O3146" s="95" t="s">
        <v>96</v>
      </c>
      <c r="P3146" s="359" t="s">
        <v>104</v>
      </c>
      <c r="Q3146" s="95" t="s">
        <v>116</v>
      </c>
      <c r="R3146" s="418" t="s">
        <v>117</v>
      </c>
      <c r="S3146" s="95" t="s">
        <v>347</v>
      </c>
      <c r="T3146" s="419" t="s">
        <v>118</v>
      </c>
      <c r="U3146" s="189" t="s">
        <v>119</v>
      </c>
      <c r="V3146" s="100" t="s">
        <v>98</v>
      </c>
      <c r="Y3146" s="383" t="s">
        <v>104</v>
      </c>
      <c r="Z3146" s="119" t="s">
        <v>9</v>
      </c>
      <c r="AA3146" s="86"/>
      <c r="AB3146" s="384"/>
      <c r="AC3146" s="385"/>
      <c r="AD3146" s="94"/>
      <c r="AE3146" s="410"/>
    </row>
    <row r="3147" spans="3:31" s="260" customFormat="1" ht="25.5" x14ac:dyDescent="0.25">
      <c r="C3147" s="84"/>
      <c r="D3147" s="354"/>
      <c r="E3147" s="96"/>
      <c r="F3147" s="96"/>
      <c r="G3147" s="96"/>
      <c r="H3147" s="96"/>
      <c r="I3147" s="96"/>
      <c r="J3147" s="420">
        <f>+F3144</f>
        <v>3.15</v>
      </c>
      <c r="K3147" s="88"/>
      <c r="M3147" s="102">
        <v>207</v>
      </c>
      <c r="N3147" s="347" t="str">
        <f>IFERROR(VLOOKUP(M3147,INSUMOS!$C$8:$K$928,2,0),"-----")</f>
        <v>Oficial Hidrosanitario</v>
      </c>
      <c r="O3147" s="78" t="str">
        <f>IFERROR(VLOOKUP(M3147,INSUMOS!$C$8:$K$928,3,0),"-----")</f>
        <v>JORNAL+PS</v>
      </c>
      <c r="P3147" s="80">
        <v>1</v>
      </c>
      <c r="Q3147" s="79">
        <v>8</v>
      </c>
      <c r="R3147" s="190">
        <f>IFERROR(VLOOKUP(M3147,INSUMOS!$C$8:$K$928,4,0),"-----")</f>
        <v>92983</v>
      </c>
      <c r="S3147" s="190">
        <f>IFERROR(VLOOKUP(M3147,INSUMOS!$C$8:$K$928,6,0),"-----")</f>
        <v>74386</v>
      </c>
      <c r="T3147" s="190">
        <f>IFERROR(VLOOKUP(M3147,INSUMOS!$C$8:$K$928,5,0),"-----")</f>
        <v>0</v>
      </c>
      <c r="U3147" s="388">
        <f>SUM(R3147:T3147)</f>
        <v>167369</v>
      </c>
      <c r="V3147" s="82">
        <f>+IFERROR((P3147/Q3147)*U3147,0)</f>
        <v>20921.125</v>
      </c>
      <c r="Y3147" s="393">
        <f>+IFERROR((Y3117/Q3147*P3147),0)</f>
        <v>0.125</v>
      </c>
      <c r="Z3147" s="391">
        <f>Y3117*V3147</f>
        <v>20921.125</v>
      </c>
      <c r="AA3147" s="86"/>
      <c r="AB3147" s="92">
        <f>+(U3147)*Y3147</f>
        <v>20921.125</v>
      </c>
      <c r="AC3147" s="93">
        <f>+AB3147-Z3147</f>
        <v>0</v>
      </c>
      <c r="AD3147" s="421"/>
      <c r="AE3147" s="410" t="str">
        <f>+IF(V3147=0,"CERO","NO")</f>
        <v>NO</v>
      </c>
    </row>
    <row r="3148" spans="3:31" s="260" customFormat="1" ht="26.25" thickBot="1" x14ac:dyDescent="0.3">
      <c r="C3148" s="84"/>
      <c r="D3148" s="355"/>
      <c r="E3148" s="367"/>
      <c r="F3148" s="367"/>
      <c r="G3148" s="367"/>
      <c r="H3148" s="367"/>
      <c r="I3148" s="367"/>
      <c r="J3148" s="422">
        <f>+J3147</f>
        <v>3.15</v>
      </c>
      <c r="K3148" s="88"/>
      <c r="M3148" s="102">
        <v>208</v>
      </c>
      <c r="N3148" s="347" t="str">
        <f>IFERROR(VLOOKUP(M3148,INSUMOS!$C$8:$K$928,2,0),"-----")</f>
        <v>Ayudante Hidrosanitario</v>
      </c>
      <c r="O3148" s="78" t="str">
        <f>IFERROR(VLOOKUP(M3148,INSUMOS!$C$8:$K$928,3,0),"-----")</f>
        <v>JORNAL+PS</v>
      </c>
      <c r="P3148" s="80">
        <v>1</v>
      </c>
      <c r="Q3148" s="79">
        <v>8</v>
      </c>
      <c r="R3148" s="190">
        <f>IFERROR(VLOOKUP(M3148,INSUMOS!$C$8:$K$928,4,0),"-----")</f>
        <v>69172</v>
      </c>
      <c r="S3148" s="190">
        <f>IFERROR(VLOOKUP(M3148,INSUMOS!$C$8:$K$928,6,0),"-----")</f>
        <v>55337</v>
      </c>
      <c r="T3148" s="190">
        <f>IFERROR(VLOOKUP(M3148,INSUMOS!$C$8:$K$928,5,0),"-----")</f>
        <v>0</v>
      </c>
      <c r="U3148" s="388">
        <f>SUM(R3148:T3148)</f>
        <v>124509</v>
      </c>
      <c r="V3148" s="82">
        <f>+IFERROR((P3148/Q3148)*U3148,0)</f>
        <v>15563.625</v>
      </c>
      <c r="Y3148" s="393">
        <f>+IFERROR((Y3117/Q3148*P3148),0)</f>
        <v>0.125</v>
      </c>
      <c r="Z3148" s="391">
        <f>Y3117*V3148</f>
        <v>15563.625</v>
      </c>
      <c r="AA3148" s="86"/>
      <c r="AB3148" s="92">
        <f>+U3148*Y3148</f>
        <v>15563.625</v>
      </c>
      <c r="AC3148" s="93">
        <f>+AB3148-Z3148</f>
        <v>0</v>
      </c>
      <c r="AD3148" s="94"/>
      <c r="AE3148" s="410" t="str">
        <f>+IF(V3148=0,"CERO","NO")</f>
        <v>NO</v>
      </c>
    </row>
    <row r="3149" spans="3:31" s="260" customFormat="1" ht="15.75" thickBot="1" x14ac:dyDescent="0.3">
      <c r="C3149" s="84"/>
      <c r="D3149" s="380"/>
      <c r="E3149" s="381"/>
      <c r="F3149" s="381"/>
      <c r="G3149" s="381"/>
      <c r="H3149" s="381"/>
      <c r="I3149" s="381"/>
      <c r="J3149" s="382"/>
      <c r="K3149" s="88"/>
      <c r="M3149" s="102">
        <v>0</v>
      </c>
      <c r="N3149" s="347"/>
      <c r="O3149" s="79"/>
      <c r="P3149" s="423"/>
      <c r="Q3149" s="81"/>
      <c r="R3149" s="111"/>
      <c r="S3149" s="357"/>
      <c r="T3149" s="111"/>
      <c r="U3149" s="388"/>
      <c r="V3149" s="426"/>
      <c r="Y3149" s="393">
        <f>+IFERROR((Y3117/Q3149*P3149),0)</f>
        <v>0</v>
      </c>
      <c r="Z3149" s="391">
        <f>Y3117*V3149</f>
        <v>0</v>
      </c>
      <c r="AA3149" s="86"/>
      <c r="AB3149" s="92">
        <f>+(U3149)*Y3149*P3149</f>
        <v>0</v>
      </c>
      <c r="AC3149" s="93">
        <f>+AB3149-Z3149</f>
        <v>0</v>
      </c>
      <c r="AD3149" s="94"/>
      <c r="AE3149" s="410" t="str">
        <f>+IF(V3149=0,"CERO","NO")</f>
        <v>CERO</v>
      </c>
    </row>
    <row r="3150" spans="3:31" s="260" customFormat="1" ht="15.75" thickBot="1" x14ac:dyDescent="0.3">
      <c r="C3150" s="84"/>
      <c r="D3150" s="375" t="s">
        <v>128</v>
      </c>
      <c r="E3150" s="376" t="s">
        <v>129</v>
      </c>
      <c r="F3150" s="376" t="s">
        <v>130</v>
      </c>
      <c r="G3150" s="376" t="s">
        <v>131</v>
      </c>
      <c r="H3150" s="376" t="s">
        <v>132</v>
      </c>
      <c r="I3150" s="376" t="s">
        <v>133</v>
      </c>
      <c r="J3150" s="377" t="s">
        <v>134</v>
      </c>
      <c r="K3150" s="88"/>
      <c r="M3150" s="534"/>
      <c r="N3150" s="536" t="s">
        <v>120</v>
      </c>
      <c r="O3150" s="536"/>
      <c r="P3150" s="536"/>
      <c r="Q3150" s="536"/>
      <c r="R3150" s="536"/>
      <c r="S3150" s="536"/>
      <c r="T3150" s="536"/>
      <c r="U3150" s="536"/>
      <c r="V3150" s="82">
        <f>+SUM(V3147:V3149)</f>
        <v>36484.75</v>
      </c>
      <c r="Y3150" s="398" t="s">
        <v>135</v>
      </c>
      <c r="Z3150" s="397">
        <f>+SUM(Z3147:Z3149)</f>
        <v>36484.75</v>
      </c>
      <c r="AA3150" s="86"/>
      <c r="AB3150" s="384"/>
      <c r="AC3150" s="385"/>
      <c r="AD3150" s="94"/>
      <c r="AE3150" s="399"/>
    </row>
    <row r="3151" spans="3:31" s="260" customFormat="1" ht="15.75" thickBot="1" x14ac:dyDescent="0.3">
      <c r="C3151" s="84"/>
      <c r="D3151" s="354"/>
      <c r="E3151" s="96"/>
      <c r="F3151" s="96"/>
      <c r="G3151" s="107">
        <f>+F3144</f>
        <v>3.15</v>
      </c>
      <c r="H3151" s="96"/>
      <c r="I3151" s="96"/>
      <c r="J3151" s="427"/>
      <c r="K3151" s="88"/>
      <c r="M3151" s="535"/>
      <c r="N3151" s="537" t="s">
        <v>121</v>
      </c>
      <c r="O3151" s="537"/>
      <c r="P3151" s="537"/>
      <c r="Q3151" s="537"/>
      <c r="R3151" s="537"/>
      <c r="S3151" s="537"/>
      <c r="T3151" s="537"/>
      <c r="U3151" s="537"/>
      <c r="V3151" s="413">
        <f>+ROUND(V3150,$AA$5)</f>
        <v>36484.75</v>
      </c>
      <c r="Y3151" s="401" t="s">
        <v>136</v>
      </c>
      <c r="Z3151" s="402">
        <f>+ROUND(Z3150,$AA$5)</f>
        <v>36484.75</v>
      </c>
      <c r="AA3151" s="86"/>
      <c r="AB3151" s="403">
        <f>+V3151*Y3117</f>
        <v>36484.75</v>
      </c>
      <c r="AC3151" s="404">
        <f>+AB3151-Z3151</f>
        <v>0</v>
      </c>
      <c r="AD3151" s="94"/>
      <c r="AE3151" s="405"/>
    </row>
    <row r="3152" spans="3:31" s="260" customFormat="1" ht="15.75" thickBot="1" x14ac:dyDescent="0.3">
      <c r="C3152" s="84"/>
      <c r="D3152" s="375" t="s">
        <v>128</v>
      </c>
      <c r="E3152" s="376" t="s">
        <v>129</v>
      </c>
      <c r="F3152" s="376" t="s">
        <v>130</v>
      </c>
      <c r="G3152" s="376" t="s">
        <v>131</v>
      </c>
      <c r="H3152" s="376" t="s">
        <v>132</v>
      </c>
      <c r="I3152" s="376" t="s">
        <v>133</v>
      </c>
      <c r="J3152" s="377" t="s">
        <v>134</v>
      </c>
      <c r="K3152" s="88"/>
      <c r="M3152" s="541"/>
      <c r="N3152" s="542"/>
      <c r="O3152" s="542"/>
      <c r="P3152" s="542"/>
      <c r="Q3152" s="542"/>
      <c r="R3152" s="542"/>
      <c r="S3152" s="542"/>
      <c r="T3152" s="542"/>
      <c r="U3152" s="542"/>
      <c r="V3152" s="543"/>
      <c r="Y3152" s="378"/>
      <c r="Z3152" s="121"/>
      <c r="AA3152" s="86"/>
      <c r="AB3152" s="409"/>
      <c r="AC3152" s="121"/>
      <c r="AD3152" s="94"/>
      <c r="AE3152" s="428"/>
    </row>
    <row r="3153" spans="3:31" s="260" customFormat="1" ht="15.75" thickBot="1" x14ac:dyDescent="0.3">
      <c r="C3153" s="84"/>
      <c r="D3153" s="355"/>
      <c r="E3153" s="367"/>
      <c r="F3153" s="367"/>
      <c r="G3153" s="367"/>
      <c r="H3153" s="412">
        <f>G3151</f>
        <v>3.15</v>
      </c>
      <c r="I3153" s="412"/>
      <c r="J3153" s="422"/>
      <c r="K3153" s="88"/>
      <c r="M3153" s="544" t="s">
        <v>122</v>
      </c>
      <c r="N3153" s="537"/>
      <c r="O3153" s="537"/>
      <c r="P3153" s="537"/>
      <c r="Q3153" s="537"/>
      <c r="R3153" s="537"/>
      <c r="S3153" s="537"/>
      <c r="T3153" s="537"/>
      <c r="U3153" s="545">
        <f>+V3151+V3144+V3136+V3127</f>
        <v>1158656.21</v>
      </c>
      <c r="V3153" s="546"/>
      <c r="Y3153" s="429"/>
      <c r="Z3153" s="430">
        <f>+Z3151+Z3144+Z3136+Z3127</f>
        <v>1158656.21</v>
      </c>
      <c r="AA3153" s="86"/>
      <c r="AB3153" s="431">
        <f>+AB3151+AB3144+AB3136+AB3127</f>
        <v>1158656.21</v>
      </c>
      <c r="AC3153" s="404">
        <f>+AB3153-Z3153</f>
        <v>0</v>
      </c>
      <c r="AD3153" s="94"/>
      <c r="AE3153" s="432"/>
    </row>
    <row r="3154" spans="3:31" s="260" customFormat="1" ht="15.75" thickBot="1" x14ac:dyDescent="0.3"/>
    <row r="3155" spans="3:31" s="260" customFormat="1" x14ac:dyDescent="0.25">
      <c r="M3155" s="547" t="s">
        <v>348</v>
      </c>
      <c r="N3155" s="548"/>
      <c r="O3155" s="548"/>
      <c r="P3155" s="548"/>
      <c r="Q3155" s="548"/>
      <c r="R3155" s="548"/>
      <c r="S3155" s="548"/>
      <c r="T3155" s="548"/>
      <c r="U3155" s="548"/>
      <c r="V3155" s="549"/>
      <c r="Y3155" s="378"/>
      <c r="Z3155" s="121"/>
      <c r="AA3155" s="86"/>
      <c r="AB3155" s="94"/>
      <c r="AC3155" s="94"/>
      <c r="AD3155" s="94"/>
      <c r="AE3155" s="126" t="s">
        <v>133</v>
      </c>
    </row>
    <row r="3156" spans="3:31" s="260" customFormat="1" x14ac:dyDescent="0.25">
      <c r="M3156" s="515" t="s">
        <v>138</v>
      </c>
      <c r="N3156" s="516"/>
      <c r="O3156" s="516"/>
      <c r="P3156" s="516"/>
      <c r="Q3156" s="516"/>
      <c r="R3156" s="516"/>
      <c r="S3156" s="516"/>
      <c r="T3156" s="437">
        <v>0</v>
      </c>
      <c r="U3156" s="517">
        <f>+ROUND(U3153*T3156,$AA$5)</f>
        <v>0</v>
      </c>
      <c r="V3156" s="518"/>
      <c r="Y3156" s="390"/>
      <c r="Z3156" s="438">
        <f>+Z3153*T3156</f>
        <v>0</v>
      </c>
      <c r="AA3156" s="86"/>
      <c r="AB3156" s="94"/>
      <c r="AC3156" s="94"/>
      <c r="AD3156" s="94"/>
      <c r="AE3156" s="386" t="s">
        <v>133</v>
      </c>
    </row>
    <row r="3157" spans="3:31" s="260" customFormat="1" x14ac:dyDescent="0.25">
      <c r="M3157" s="515" t="s">
        <v>19</v>
      </c>
      <c r="N3157" s="516"/>
      <c r="O3157" s="516"/>
      <c r="P3157" s="516"/>
      <c r="Q3157" s="516"/>
      <c r="R3157" s="516"/>
      <c r="S3157" s="516"/>
      <c r="T3157" s="437">
        <v>0.05</v>
      </c>
      <c r="U3157" s="517">
        <f>+ROUND(U3153*T3157,$AA$5)</f>
        <v>57932.81</v>
      </c>
      <c r="V3157" s="518"/>
      <c r="Y3157" s="390"/>
      <c r="Z3157" s="438">
        <f>+Z3153*T3157</f>
        <v>57932.8105</v>
      </c>
      <c r="AA3157" s="86"/>
      <c r="AB3157" s="94"/>
      <c r="AC3157" s="94"/>
      <c r="AD3157" s="94"/>
      <c r="AE3157" s="386" t="s">
        <v>133</v>
      </c>
    </row>
    <row r="3158" spans="3:31" s="260" customFormat="1" x14ac:dyDescent="0.25">
      <c r="M3158" s="515" t="s">
        <v>20</v>
      </c>
      <c r="N3158" s="516"/>
      <c r="O3158" s="516"/>
      <c r="P3158" s="516"/>
      <c r="Q3158" s="516"/>
      <c r="R3158" s="516"/>
      <c r="S3158" s="516"/>
      <c r="T3158" s="437">
        <v>0</v>
      </c>
      <c r="U3158" s="517">
        <f>+ROUND(U3153*T3158,$AA$5)</f>
        <v>0</v>
      </c>
      <c r="V3158" s="518"/>
      <c r="Y3158" s="390"/>
      <c r="Z3158" s="438">
        <f>+Z3153*T3158</f>
        <v>0</v>
      </c>
      <c r="AA3158" s="86"/>
      <c r="AB3158" s="94"/>
      <c r="AC3158" s="94"/>
      <c r="AD3158" s="94"/>
      <c r="AE3158" s="386" t="s">
        <v>133</v>
      </c>
    </row>
    <row r="3159" spans="3:31" s="260" customFormat="1" x14ac:dyDescent="0.25">
      <c r="M3159" s="515" t="s">
        <v>21</v>
      </c>
      <c r="N3159" s="516"/>
      <c r="O3159" s="516"/>
      <c r="P3159" s="516"/>
      <c r="Q3159" s="516"/>
      <c r="R3159" s="516"/>
      <c r="S3159" s="516"/>
      <c r="T3159" s="437">
        <f>$AA$9</f>
        <v>0</v>
      </c>
      <c r="U3159" s="517">
        <f>+ROUND(U3153*T3159,$AA$5)</f>
        <v>0</v>
      </c>
      <c r="V3159" s="518"/>
      <c r="Y3159" s="390"/>
      <c r="Z3159" s="438">
        <f>+Z3158*T3159</f>
        <v>0</v>
      </c>
      <c r="AA3159" s="86"/>
      <c r="AB3159" s="94"/>
      <c r="AC3159" s="94"/>
      <c r="AD3159" s="94"/>
      <c r="AE3159" s="386" t="s">
        <v>133</v>
      </c>
    </row>
    <row r="3160" spans="3:31" s="260" customFormat="1" ht="15.75" thickBot="1" x14ac:dyDescent="0.3">
      <c r="M3160" s="519" t="s">
        <v>349</v>
      </c>
      <c r="N3160" s="520"/>
      <c r="O3160" s="520"/>
      <c r="P3160" s="520"/>
      <c r="Q3160" s="520"/>
      <c r="R3160" s="520"/>
      <c r="S3160" s="520"/>
      <c r="T3160" s="520"/>
      <c r="U3160" s="521">
        <f>+SUM(U3156:V3159)</f>
        <v>57932.81</v>
      </c>
      <c r="V3160" s="522"/>
      <c r="Y3160" s="390"/>
      <c r="Z3160" s="439">
        <f>+SUM(Z3156:Z3159)</f>
        <v>57932.8105</v>
      </c>
      <c r="AA3160" s="86"/>
      <c r="AB3160" s="94"/>
      <c r="AC3160" s="94"/>
      <c r="AD3160" s="94"/>
      <c r="AE3160" s="386" t="s">
        <v>133</v>
      </c>
    </row>
    <row r="3161" spans="3:31" s="260" customFormat="1" ht="15.75" thickBot="1" x14ac:dyDescent="0.3">
      <c r="D3161" s="375" t="s">
        <v>128</v>
      </c>
      <c r="E3161" s="376" t="s">
        <v>129</v>
      </c>
      <c r="F3161" s="376" t="s">
        <v>130</v>
      </c>
      <c r="G3161" s="376" t="s">
        <v>131</v>
      </c>
      <c r="H3161" s="376" t="s">
        <v>132</v>
      </c>
      <c r="I3161" s="376" t="s">
        <v>133</v>
      </c>
      <c r="J3161" s="377" t="s">
        <v>134</v>
      </c>
      <c r="M3161" s="86"/>
      <c r="N3161" s="94"/>
      <c r="O3161" s="94"/>
      <c r="P3161" s="94"/>
      <c r="Q3161" s="86"/>
      <c r="R3161" s="86"/>
      <c r="S3161" s="86"/>
      <c r="T3161" s="440"/>
      <c r="U3161" s="523"/>
      <c r="V3161" s="523"/>
      <c r="Y3161" s="390"/>
      <c r="Z3161" s="385"/>
      <c r="AA3161" s="86"/>
      <c r="AB3161" s="94"/>
      <c r="AC3161" s="94"/>
      <c r="AD3161" s="94"/>
      <c r="AE3161" s="386" t="s">
        <v>133</v>
      </c>
    </row>
    <row r="3162" spans="3:31" s="260" customFormat="1" ht="15.75" thickBot="1" x14ac:dyDescent="0.3">
      <c r="D3162" s="355"/>
      <c r="E3162" s="367"/>
      <c r="F3162" s="367"/>
      <c r="G3162" s="367"/>
      <c r="H3162" s="412"/>
      <c r="I3162" s="412">
        <f>H3153</f>
        <v>3.15</v>
      </c>
      <c r="J3162" s="422"/>
      <c r="M3162" s="524" t="s">
        <v>11</v>
      </c>
      <c r="N3162" s="525"/>
      <c r="O3162" s="525"/>
      <c r="P3162" s="525"/>
      <c r="Q3162" s="525"/>
      <c r="R3162" s="525"/>
      <c r="S3162" s="525"/>
      <c r="T3162" s="526"/>
      <c r="U3162" s="527">
        <f>+U3160+U3153</f>
        <v>1216589.02</v>
      </c>
      <c r="V3162" s="528"/>
      <c r="Y3162" s="429"/>
      <c r="Z3162" s="441">
        <f>+Z3160+Z3153</f>
        <v>1216589.0204999999</v>
      </c>
      <c r="AA3162" s="86"/>
      <c r="AB3162" s="94"/>
      <c r="AC3162" s="94"/>
      <c r="AD3162" s="94"/>
      <c r="AE3162" s="405" t="s">
        <v>133</v>
      </c>
    </row>
    <row r="3163" spans="3:31" s="260" customFormat="1" x14ac:dyDescent="0.25"/>
    <row r="3164" spans="3:31" s="260" customFormat="1" ht="15.75" thickBot="1" x14ac:dyDescent="0.3"/>
    <row r="3165" spans="3:31" s="260" customFormat="1" ht="15.75" thickBot="1" x14ac:dyDescent="0.3">
      <c r="M3165" s="363" t="s">
        <v>88</v>
      </c>
      <c r="N3165" s="436" t="str">
        <f>+N3116</f>
        <v>CAP.3</v>
      </c>
      <c r="O3165" s="550" t="str">
        <f>IFERROR(VLOOKUP(N3165,PPTO!C:H,2,0),"----")</f>
        <v>RED CONTRAINCENDIOS</v>
      </c>
      <c r="P3165" s="551"/>
      <c r="Q3165" s="551"/>
      <c r="R3165" s="551"/>
      <c r="S3165" s="551"/>
      <c r="T3165" s="551"/>
      <c r="U3165" s="552"/>
      <c r="V3165" s="74" t="s">
        <v>91</v>
      </c>
      <c r="Y3165" s="365" t="s">
        <v>104</v>
      </c>
      <c r="Z3165" s="94"/>
      <c r="AA3165" s="188"/>
      <c r="AB3165" s="553"/>
      <c r="AC3165" s="553"/>
      <c r="AD3165" s="553"/>
      <c r="AE3165" s="94"/>
    </row>
    <row r="3166" spans="3:31" s="260" customFormat="1" ht="15.75" thickBot="1" x14ac:dyDescent="0.3">
      <c r="C3166" s="369">
        <f>+N3166</f>
        <v>3.16</v>
      </c>
      <c r="D3166" s="86"/>
      <c r="E3166" s="86"/>
      <c r="F3166" s="86"/>
      <c r="G3166" s="86"/>
      <c r="H3166" s="86"/>
      <c r="I3166" s="86"/>
      <c r="J3166" s="86"/>
      <c r="K3166" s="370"/>
      <c r="M3166" s="75" t="s">
        <v>92</v>
      </c>
      <c r="N3166" s="371">
        <f>+ROUNDUP(N3117+0.01,2)</f>
        <v>3.16</v>
      </c>
      <c r="O3166" s="554" t="str">
        <f>IFERROR(VLOOKUP(N3166,PPTO!C:H,2,0),"----")</f>
        <v>Rociadores sprinkers tipo pendent 1/2" k=5.6 con escudo y accesorios</v>
      </c>
      <c r="P3166" s="555"/>
      <c r="Q3166" s="555"/>
      <c r="R3166" s="555"/>
      <c r="S3166" s="555"/>
      <c r="T3166" s="555"/>
      <c r="U3166" s="556"/>
      <c r="V3166" s="76" t="str">
        <f>IFERROR(VLOOKUP(N3166,PPTO!C:H,3,0),"----")</f>
        <v>UND</v>
      </c>
      <c r="Y3166" s="373">
        <f>SUMIFS(PPTO!F:F,PPTO!C:C,APUS!N3166)</f>
        <v>272</v>
      </c>
      <c r="Z3166" s="94"/>
      <c r="AA3166" s="86"/>
      <c r="AB3166" s="94"/>
      <c r="AC3166" s="94"/>
      <c r="AD3166" s="94"/>
      <c r="AE3166" s="94"/>
    </row>
    <row r="3167" spans="3:31" s="260" customFormat="1" ht="15.75" thickBot="1" x14ac:dyDescent="0.3">
      <c r="C3167" s="84"/>
      <c r="D3167" s="86"/>
      <c r="E3167" s="86"/>
      <c r="F3167" s="86"/>
      <c r="G3167" s="86"/>
      <c r="H3167" s="86"/>
      <c r="I3167" s="86"/>
      <c r="J3167" s="86"/>
      <c r="K3167" s="88"/>
      <c r="M3167" s="557"/>
      <c r="N3167" s="557"/>
      <c r="O3167" s="557"/>
      <c r="P3167" s="557"/>
      <c r="Q3167" s="557"/>
      <c r="R3167" s="557"/>
      <c r="S3167" s="557"/>
      <c r="T3167" s="557"/>
      <c r="U3167" s="557"/>
      <c r="V3167" s="557"/>
      <c r="Y3167" s="374"/>
      <c r="Z3167" s="94"/>
      <c r="AA3167" s="86"/>
      <c r="AB3167" s="94"/>
      <c r="AC3167" s="94"/>
      <c r="AD3167" s="94"/>
      <c r="AE3167" s="94"/>
    </row>
    <row r="3168" spans="3:31" s="260" customFormat="1" ht="15.75" thickBot="1" x14ac:dyDescent="0.3">
      <c r="C3168" s="84"/>
      <c r="D3168" s="375" t="s">
        <v>128</v>
      </c>
      <c r="E3168" s="376" t="s">
        <v>129</v>
      </c>
      <c r="F3168" s="376" t="s">
        <v>130</v>
      </c>
      <c r="G3168" s="376" t="s">
        <v>131</v>
      </c>
      <c r="H3168" s="376" t="s">
        <v>132</v>
      </c>
      <c r="I3168" s="376" t="s">
        <v>133</v>
      </c>
      <c r="J3168" s="377" t="s">
        <v>134</v>
      </c>
      <c r="K3168" s="88"/>
      <c r="M3168" s="558" t="s">
        <v>93</v>
      </c>
      <c r="N3168" s="559"/>
      <c r="O3168" s="559"/>
      <c r="P3168" s="559"/>
      <c r="Q3168" s="559"/>
      <c r="R3168" s="559"/>
      <c r="S3168" s="559"/>
      <c r="T3168" s="559"/>
      <c r="U3168" s="559"/>
      <c r="V3168" s="560"/>
      <c r="Y3168" s="378"/>
      <c r="Z3168" s="121"/>
      <c r="AA3168" s="86"/>
      <c r="AB3168" s="513"/>
      <c r="AC3168" s="514"/>
      <c r="AD3168" s="94"/>
      <c r="AE3168" s="379"/>
    </row>
    <row r="3169" spans="3:31" s="260" customFormat="1" x14ac:dyDescent="0.25">
      <c r="C3169" s="84"/>
      <c r="D3169" s="380"/>
      <c r="E3169" s="381"/>
      <c r="F3169" s="381"/>
      <c r="G3169" s="381"/>
      <c r="H3169" s="381"/>
      <c r="I3169" s="381"/>
      <c r="J3169" s="382"/>
      <c r="K3169" s="88"/>
      <c r="M3169" s="99" t="s">
        <v>94</v>
      </c>
      <c r="N3169" s="561" t="s">
        <v>95</v>
      </c>
      <c r="O3169" s="561"/>
      <c r="P3169" s="561"/>
      <c r="Q3169" s="561"/>
      <c r="R3169" s="95" t="s">
        <v>96</v>
      </c>
      <c r="S3169" s="95" t="s">
        <v>97</v>
      </c>
      <c r="T3169" s="562" t="s">
        <v>8</v>
      </c>
      <c r="U3169" s="562"/>
      <c r="V3169" s="100" t="s">
        <v>98</v>
      </c>
      <c r="Y3169" s="383" t="s">
        <v>104</v>
      </c>
      <c r="Z3169" s="119" t="s">
        <v>9</v>
      </c>
      <c r="AA3169" s="86"/>
      <c r="AB3169" s="384"/>
      <c r="AC3169" s="385"/>
      <c r="AD3169" s="94"/>
      <c r="AE3169" s="386"/>
    </row>
    <row r="3170" spans="3:31" s="260" customFormat="1" x14ac:dyDescent="0.25">
      <c r="C3170" s="84"/>
      <c r="D3170" s="85"/>
      <c r="E3170" s="86"/>
      <c r="F3170" s="86"/>
      <c r="G3170" s="86"/>
      <c r="H3170" s="86"/>
      <c r="I3170" s="86"/>
      <c r="J3170" s="87"/>
      <c r="K3170" s="88"/>
      <c r="M3170" s="102"/>
      <c r="N3170" s="533" t="s">
        <v>99</v>
      </c>
      <c r="O3170" s="533"/>
      <c r="P3170" s="533"/>
      <c r="Q3170" s="533"/>
      <c r="R3170" s="78" t="s">
        <v>100</v>
      </c>
      <c r="S3170" s="387">
        <f>+$AA$10</f>
        <v>0.05</v>
      </c>
      <c r="T3170" s="563">
        <f>V3201</f>
        <v>36484.75</v>
      </c>
      <c r="U3170" s="563"/>
      <c r="V3170" s="389">
        <f>+IFERROR(T3170*S3170,0)</f>
        <v>1824.2375000000002</v>
      </c>
      <c r="Y3170" s="390"/>
      <c r="Z3170" s="391">
        <f>Y3166*V3170</f>
        <v>496192.60000000003</v>
      </c>
      <c r="AA3170" s="86"/>
      <c r="AB3170" s="384"/>
      <c r="AC3170" s="385"/>
      <c r="AD3170" s="94"/>
      <c r="AE3170" s="386" t="str">
        <f>+IF(V3170=0,"CERO","NO")</f>
        <v>NO</v>
      </c>
    </row>
    <row r="3171" spans="3:31" s="260" customFormat="1" x14ac:dyDescent="0.25">
      <c r="C3171" s="84"/>
      <c r="D3171" s="85"/>
      <c r="E3171" s="86"/>
      <c r="F3171" s="86"/>
      <c r="G3171" s="86"/>
      <c r="H3171" s="86"/>
      <c r="I3171" s="86"/>
      <c r="J3171" s="87"/>
      <c r="K3171" s="88"/>
      <c r="M3171" s="106"/>
      <c r="N3171" s="533" t="str">
        <f>IFERROR(VLOOKUP(M3171,INSUMOS!$C$8:$K$928,2,0),"-----")</f>
        <v>-----</v>
      </c>
      <c r="O3171" s="533"/>
      <c r="P3171" s="533"/>
      <c r="Q3171" s="533"/>
      <c r="R3171" s="78" t="str">
        <f>IFERROR(VLOOKUP(M3171,INSUMOS!$C$8:$K$928,6,0),"-----")</f>
        <v>-----</v>
      </c>
      <c r="S3171" s="392"/>
      <c r="T3171" s="529" t="str">
        <f>IFERROR(VLOOKUP(M3171,INSUMOS!$C$8:$K$928,7,0),"0")</f>
        <v>0</v>
      </c>
      <c r="U3171" s="529"/>
      <c r="V3171" s="389">
        <f>+IFERROR(T3171*S3171,0)</f>
        <v>0</v>
      </c>
      <c r="Y3171" s="393">
        <f>+IFERROR(Y3166*S3171,0)</f>
        <v>0</v>
      </c>
      <c r="Z3171" s="391">
        <f>Y3166*V3171</f>
        <v>0</v>
      </c>
      <c r="AA3171" s="394"/>
      <c r="AB3171" s="395">
        <f>+Y3171*T3171</f>
        <v>0</v>
      </c>
      <c r="AC3171" s="93">
        <f>+AB3171-Z3171</f>
        <v>0</v>
      </c>
      <c r="AD3171" s="94"/>
      <c r="AE3171" s="386" t="str">
        <f>+IF(V3171=0,"CERO","NO")</f>
        <v>CERO</v>
      </c>
    </row>
    <row r="3172" spans="3:31" s="260" customFormat="1" x14ac:dyDescent="0.25">
      <c r="C3172" s="84"/>
      <c r="D3172" s="85"/>
      <c r="E3172" s="86"/>
      <c r="F3172" s="86"/>
      <c r="G3172" s="86"/>
      <c r="H3172" s="86"/>
      <c r="I3172" s="86"/>
      <c r="J3172" s="87"/>
      <c r="K3172" s="88"/>
      <c r="M3172" s="102">
        <v>0</v>
      </c>
      <c r="N3172" s="533"/>
      <c r="O3172" s="533"/>
      <c r="P3172" s="533"/>
      <c r="Q3172" s="533"/>
      <c r="R3172" s="78"/>
      <c r="S3172" s="396"/>
      <c r="T3172" s="529"/>
      <c r="U3172" s="529"/>
      <c r="V3172" s="397"/>
      <c r="Y3172" s="393">
        <f>+IFERROR(Y3166*S3172,0)</f>
        <v>0</v>
      </c>
      <c r="Z3172" s="391">
        <f>Y3166*V3172</f>
        <v>0</v>
      </c>
      <c r="AA3172" s="394"/>
      <c r="AB3172" s="395">
        <f>+Y3172*T3172</f>
        <v>0</v>
      </c>
      <c r="AC3172" s="93">
        <f>+AB3172-Z3172</f>
        <v>0</v>
      </c>
      <c r="AD3172" s="94"/>
      <c r="AE3172" s="386" t="str">
        <f>+IF(V3172=0,"CERO","NO")</f>
        <v>CERO</v>
      </c>
    </row>
    <row r="3173" spans="3:31" s="260" customFormat="1" x14ac:dyDescent="0.25">
      <c r="C3173" s="84"/>
      <c r="D3173" s="85"/>
      <c r="E3173" s="86"/>
      <c r="F3173" s="86"/>
      <c r="G3173" s="86"/>
      <c r="H3173" s="86"/>
      <c r="I3173" s="86"/>
      <c r="J3173" s="87"/>
      <c r="K3173" s="88"/>
      <c r="M3173" s="102">
        <v>0</v>
      </c>
      <c r="N3173" s="533"/>
      <c r="O3173" s="533"/>
      <c r="P3173" s="533"/>
      <c r="Q3173" s="533"/>
      <c r="R3173" s="78"/>
      <c r="S3173" s="396"/>
      <c r="T3173" s="529"/>
      <c r="U3173" s="529"/>
      <c r="V3173" s="397"/>
      <c r="Y3173" s="393">
        <f>+IFERROR(Y3166*S3173,0)</f>
        <v>0</v>
      </c>
      <c r="Z3173" s="391">
        <f>Y3166*V3173</f>
        <v>0</v>
      </c>
      <c r="AA3173" s="394"/>
      <c r="AB3173" s="395">
        <f>+Y3173*T3173</f>
        <v>0</v>
      </c>
      <c r="AC3173" s="93">
        <f>+AB3173-Z3173</f>
        <v>0</v>
      </c>
      <c r="AD3173" s="94"/>
      <c r="AE3173" s="386" t="str">
        <f>+IF(V3173=0,"CERO","NO")</f>
        <v>CERO</v>
      </c>
    </row>
    <row r="3174" spans="3:31" s="260" customFormat="1" ht="15.75" thickBot="1" x14ac:dyDescent="0.3">
      <c r="C3174" s="84"/>
      <c r="D3174" s="85"/>
      <c r="E3174" s="86"/>
      <c r="F3174" s="86"/>
      <c r="G3174" s="86"/>
      <c r="H3174" s="86"/>
      <c r="I3174" s="86"/>
      <c r="J3174" s="87"/>
      <c r="K3174" s="88"/>
      <c r="M3174" s="102">
        <v>0</v>
      </c>
      <c r="N3174" s="564"/>
      <c r="O3174" s="564"/>
      <c r="P3174" s="564"/>
      <c r="Q3174" s="564"/>
      <c r="R3174" s="96"/>
      <c r="S3174" s="96"/>
      <c r="T3174" s="565"/>
      <c r="U3174" s="565"/>
      <c r="V3174" s="101"/>
      <c r="Y3174" s="393">
        <f>+IFERROR(Y3166*S3174,0)</f>
        <v>0</v>
      </c>
      <c r="Z3174" s="391">
        <f>Y3166*V3174</f>
        <v>0</v>
      </c>
      <c r="AA3174" s="394"/>
      <c r="AB3174" s="395">
        <f>+Y3174*T3174</f>
        <v>0</v>
      </c>
      <c r="AC3174" s="93">
        <f>+AB3174-Z3174</f>
        <v>0</v>
      </c>
      <c r="AD3174" s="94"/>
      <c r="AE3174" s="386" t="str">
        <f>+IF(V3174=0,"CERO","NO")</f>
        <v>CERO</v>
      </c>
    </row>
    <row r="3175" spans="3:31" s="260" customFormat="1" ht="15.75" thickBot="1" x14ac:dyDescent="0.3">
      <c r="C3175" s="84"/>
      <c r="D3175" s="375" t="s">
        <v>128</v>
      </c>
      <c r="E3175" s="376" t="s">
        <v>129</v>
      </c>
      <c r="F3175" s="376" t="s">
        <v>130</v>
      </c>
      <c r="G3175" s="376" t="s">
        <v>131</v>
      </c>
      <c r="H3175" s="376" t="s">
        <v>132</v>
      </c>
      <c r="I3175" s="376" t="s">
        <v>133</v>
      </c>
      <c r="J3175" s="377" t="s">
        <v>134</v>
      </c>
      <c r="K3175" s="88"/>
      <c r="M3175" s="534"/>
      <c r="N3175" s="536" t="s">
        <v>101</v>
      </c>
      <c r="O3175" s="536"/>
      <c r="P3175" s="536"/>
      <c r="Q3175" s="536"/>
      <c r="R3175" s="536"/>
      <c r="S3175" s="536"/>
      <c r="T3175" s="536"/>
      <c r="U3175" s="536"/>
      <c r="V3175" s="389">
        <f>+SUM(V3170:V3174)</f>
        <v>1824.2375000000002</v>
      </c>
      <c r="Y3175" s="398" t="s">
        <v>135</v>
      </c>
      <c r="Z3175" s="397">
        <f>+SUM(Z3170:Z3174)</f>
        <v>496192.60000000003</v>
      </c>
      <c r="AA3175" s="86"/>
      <c r="AB3175" s="384"/>
      <c r="AC3175" s="385"/>
      <c r="AD3175" s="94"/>
      <c r="AE3175" s="399"/>
    </row>
    <row r="3176" spans="3:31" s="260" customFormat="1" ht="15.75" thickBot="1" x14ac:dyDescent="0.3">
      <c r="C3176" s="84"/>
      <c r="D3176" s="375">
        <f>C3166</f>
        <v>3.16</v>
      </c>
      <c r="E3176" s="376"/>
      <c r="F3176" s="376"/>
      <c r="G3176" s="376"/>
      <c r="H3176" s="376"/>
      <c r="I3176" s="376"/>
      <c r="J3176" s="377"/>
      <c r="K3176" s="88"/>
      <c r="M3176" s="566"/>
      <c r="N3176" s="567" t="s">
        <v>102</v>
      </c>
      <c r="O3176" s="567"/>
      <c r="P3176" s="567"/>
      <c r="Q3176" s="567"/>
      <c r="R3176" s="567"/>
      <c r="S3176" s="567"/>
      <c r="T3176" s="567"/>
      <c r="U3176" s="567"/>
      <c r="V3176" s="400">
        <f>+ROUND(V3175,$AA$5)</f>
        <v>1824.24</v>
      </c>
      <c r="Y3176" s="401" t="s">
        <v>136</v>
      </c>
      <c r="Z3176" s="402">
        <f>+ROUND(Z3175,$AA$5)</f>
        <v>496192.6</v>
      </c>
      <c r="AA3176" s="86"/>
      <c r="AB3176" s="403">
        <f>+V3176*Y3166</f>
        <v>496193.28000000003</v>
      </c>
      <c r="AC3176" s="404">
        <f>+AB3176-Z3176</f>
        <v>0.68000000005122274</v>
      </c>
      <c r="AD3176" s="94"/>
      <c r="AE3176" s="405"/>
    </row>
    <row r="3177" spans="3:31" s="260" customFormat="1" x14ac:dyDescent="0.25">
      <c r="C3177" s="84"/>
      <c r="D3177" s="380"/>
      <c r="E3177" s="381"/>
      <c r="F3177" s="381"/>
      <c r="G3177" s="381"/>
      <c r="H3177" s="381"/>
      <c r="I3177" s="381"/>
      <c r="J3177" s="382"/>
      <c r="K3177" s="88"/>
      <c r="M3177" s="510" t="s">
        <v>103</v>
      </c>
      <c r="N3177" s="511"/>
      <c r="O3177" s="511"/>
      <c r="P3177" s="511"/>
      <c r="Q3177" s="511"/>
      <c r="R3177" s="511"/>
      <c r="S3177" s="511"/>
      <c r="T3177" s="511"/>
      <c r="U3177" s="511"/>
      <c r="V3177" s="512"/>
      <c r="Y3177" s="378"/>
      <c r="Z3177" s="121"/>
      <c r="AA3177" s="86"/>
      <c r="AB3177" s="513"/>
      <c r="AC3177" s="514"/>
      <c r="AD3177" s="94"/>
      <c r="AE3177" s="126"/>
    </row>
    <row r="3178" spans="3:31" s="260" customFormat="1" x14ac:dyDescent="0.25">
      <c r="C3178" s="84"/>
      <c r="D3178" s="85"/>
      <c r="E3178" s="86"/>
      <c r="F3178" s="86"/>
      <c r="G3178" s="86"/>
      <c r="H3178" s="86"/>
      <c r="I3178" s="86"/>
      <c r="J3178" s="87"/>
      <c r="K3178" s="88"/>
      <c r="M3178" s="99" t="s">
        <v>94</v>
      </c>
      <c r="N3178" s="561" t="s">
        <v>95</v>
      </c>
      <c r="O3178" s="561"/>
      <c r="P3178" s="561"/>
      <c r="Q3178" s="561"/>
      <c r="R3178" s="95" t="s">
        <v>96</v>
      </c>
      <c r="S3178" s="95" t="s">
        <v>104</v>
      </c>
      <c r="T3178" s="356" t="s">
        <v>105</v>
      </c>
      <c r="U3178" s="356" t="s">
        <v>8</v>
      </c>
      <c r="V3178" s="100" t="s">
        <v>98</v>
      </c>
      <c r="Y3178" s="383" t="s">
        <v>104</v>
      </c>
      <c r="Z3178" s="119" t="s">
        <v>9</v>
      </c>
      <c r="AA3178" s="86"/>
      <c r="AB3178" s="384"/>
      <c r="AC3178" s="385"/>
      <c r="AD3178" s="94"/>
      <c r="AE3178" s="406"/>
    </row>
    <row r="3179" spans="3:31" s="260" customFormat="1" x14ac:dyDescent="0.25">
      <c r="C3179" s="84"/>
      <c r="D3179" s="85"/>
      <c r="E3179" s="86"/>
      <c r="F3179" s="86"/>
      <c r="G3179" s="86"/>
      <c r="H3179" s="86"/>
      <c r="I3179" s="86"/>
      <c r="J3179" s="87"/>
      <c r="K3179" s="88"/>
      <c r="M3179" s="102">
        <v>883</v>
      </c>
      <c r="N3179" s="533" t="str">
        <f>IFERROR(VLOOKUP(M3179,INSUMOS!$C$8:$K$928,2,0),"-----")</f>
        <v>SPRINKERS TIPO PENDENT 1/2" K=5.6 CON ESCUDO Y ACCESORIOS</v>
      </c>
      <c r="O3179" s="533"/>
      <c r="P3179" s="533"/>
      <c r="Q3179" s="533"/>
      <c r="R3179" s="78" t="str">
        <f>IFERROR(VLOOKUP(M3179,INSUMOS!$C$8:$K$928,6,0),"-----")</f>
        <v>und</v>
      </c>
      <c r="S3179" s="396">
        <v>1</v>
      </c>
      <c r="T3179" s="387">
        <v>0</v>
      </c>
      <c r="U3179" s="388">
        <f>IFERROR(VLOOKUP(M3179,INSUMOS!$C$8:$K$928,7,0),"0")</f>
        <v>38556</v>
      </c>
      <c r="V3179" s="389">
        <f>+IFERROR(U3179*(S3179*(1+T3179)),0)</f>
        <v>38556</v>
      </c>
      <c r="Y3179" s="393">
        <f>+IFERROR(Y3166*(S3179*(1+T3179)),0)</f>
        <v>272</v>
      </c>
      <c r="Z3179" s="391">
        <f>Y3166*V3179</f>
        <v>10487232</v>
      </c>
      <c r="AA3179" s="394"/>
      <c r="AB3179" s="395">
        <f t="shared" ref="AB3179:AB3184" si="23">+Y3179*U3179</f>
        <v>10487232</v>
      </c>
      <c r="AC3179" s="93">
        <f t="shared" ref="AC3179:AC3184" si="24">+AB3179-Z3179</f>
        <v>0</v>
      </c>
      <c r="AD3179" s="94"/>
      <c r="AE3179" s="406" t="str">
        <f>+IF(V3179=0,"CERO","NO")</f>
        <v>NO</v>
      </c>
    </row>
    <row r="3180" spans="3:31" s="260" customFormat="1" x14ac:dyDescent="0.25">
      <c r="C3180" s="84"/>
      <c r="D3180" s="85"/>
      <c r="E3180" s="86"/>
      <c r="F3180" s="86"/>
      <c r="G3180" s="86"/>
      <c r="H3180" s="86"/>
      <c r="I3180" s="86"/>
      <c r="J3180" s="87"/>
      <c r="K3180" s="88"/>
      <c r="M3180" s="102">
        <v>891</v>
      </c>
      <c r="N3180" s="533" t="str">
        <f>IFERROR(VLOOKUP(M3180,INSUMOS!$C$8:$K$928,2,0),"-----")</f>
        <v>SELLANTE ANAERÓBICO FUERZA ALTA</v>
      </c>
      <c r="O3180" s="533"/>
      <c r="P3180" s="533"/>
      <c r="Q3180" s="533"/>
      <c r="R3180" s="78" t="str">
        <f>IFERROR(VLOOKUP(M3180,INSUMOS!$C$8:$K$928,6,0),"-----")</f>
        <v>gr</v>
      </c>
      <c r="S3180" s="396">
        <v>2</v>
      </c>
      <c r="T3180" s="387">
        <v>0</v>
      </c>
      <c r="U3180" s="388">
        <f>IFERROR(VLOOKUP(M3180,INSUMOS!$C$8:$K$928,7,0),"0")</f>
        <v>521.45138888888835</v>
      </c>
      <c r="V3180" s="389">
        <f>+IFERROR(U3180*(S3180*(1+T3180)),0)</f>
        <v>1042.9027777777767</v>
      </c>
      <c r="Y3180" s="393">
        <f>+IFERROR(Y3166*(S3180*(1+T3180)),0)</f>
        <v>544</v>
      </c>
      <c r="Z3180" s="391">
        <f>Y3166*V3180</f>
        <v>283669.55555555527</v>
      </c>
      <c r="AA3180" s="394"/>
      <c r="AB3180" s="395">
        <f t="shared" si="23"/>
        <v>283669.55555555527</v>
      </c>
      <c r="AC3180" s="93">
        <f t="shared" si="24"/>
        <v>0</v>
      </c>
      <c r="AD3180" s="94"/>
      <c r="AE3180" s="406" t="str">
        <f>+IF(V3180=0,"CERO","NO")</f>
        <v>NO</v>
      </c>
    </row>
    <row r="3181" spans="3:31" s="260" customFormat="1" x14ac:dyDescent="0.25">
      <c r="C3181" s="84"/>
      <c r="D3181" s="85"/>
      <c r="E3181" s="86"/>
      <c r="F3181" s="86"/>
      <c r="G3181" s="86"/>
      <c r="H3181" s="86"/>
      <c r="I3181" s="86"/>
      <c r="J3181" s="87"/>
      <c r="K3181" s="88"/>
      <c r="M3181" s="102">
        <v>899</v>
      </c>
      <c r="N3181" s="533" t="str">
        <f>IFERROR(VLOOKUP(M3181,INSUMOS!$C$8:$K$928,2,0),"-----")</f>
        <v>UNION RIGIDA RANURADA 1" UL/FM IMP</v>
      </c>
      <c r="O3181" s="533"/>
      <c r="P3181" s="533"/>
      <c r="Q3181" s="533"/>
      <c r="R3181" s="78" t="str">
        <f>IFERROR(VLOOKUP(M3181,INSUMOS!$C$8:$K$928,6,0),"-----")</f>
        <v>und</v>
      </c>
      <c r="S3181" s="396">
        <v>1</v>
      </c>
      <c r="T3181" s="387">
        <v>0</v>
      </c>
      <c r="U3181" s="388">
        <f>IFERROR(VLOOKUP(M3181,INSUMOS!$C$8:$K$928,7,0),"0")</f>
        <v>19600</v>
      </c>
      <c r="V3181" s="389">
        <f>+IFERROR(U3181*(S3181*(1+T3181)),0)</f>
        <v>19600</v>
      </c>
      <c r="Y3181" s="393">
        <f>+IFERROR(Y3166*(S3181*(1+T3181)),0)</f>
        <v>272</v>
      </c>
      <c r="Z3181" s="391">
        <f>Y3166*V3181</f>
        <v>5331200</v>
      </c>
      <c r="AA3181" s="394"/>
      <c r="AB3181" s="395">
        <f t="shared" si="23"/>
        <v>5331200</v>
      </c>
      <c r="AC3181" s="93">
        <f t="shared" si="24"/>
        <v>0</v>
      </c>
      <c r="AD3181" s="94"/>
      <c r="AE3181" s="406" t="str">
        <f>+IF(V3181=0,"CERO","NO")</f>
        <v>NO</v>
      </c>
    </row>
    <row r="3182" spans="3:31" s="260" customFormat="1" x14ac:dyDescent="0.25">
      <c r="C3182" s="84"/>
      <c r="D3182" s="85"/>
      <c r="E3182" s="86"/>
      <c r="F3182" s="86"/>
      <c r="G3182" s="86"/>
      <c r="H3182" s="86"/>
      <c r="I3182" s="86"/>
      <c r="J3182" s="87"/>
      <c r="K3182" s="88"/>
      <c r="M3182" s="102">
        <v>884</v>
      </c>
      <c r="N3182" s="533" t="str">
        <f>IFERROR(VLOOKUP(M3182,INSUMOS!$C$8:$K$928,2,0),"-----")</f>
        <v xml:space="preserve">TUBO GALVANIZADO SCH 40 3/4 </v>
      </c>
      <c r="O3182" s="533"/>
      <c r="P3182" s="533"/>
      <c r="Q3182" s="533"/>
      <c r="R3182" s="78" t="str">
        <f>IFERROR(VLOOKUP(M3182,INSUMOS!$C$8:$K$928,6,0),"-----")</f>
        <v>ml</v>
      </c>
      <c r="S3182" s="396">
        <v>0.2</v>
      </c>
      <c r="T3182" s="387">
        <v>0</v>
      </c>
      <c r="U3182" s="388">
        <f>IFERROR(VLOOKUP(M3182,INSUMOS!$C$8:$K$928,7,0),"0")</f>
        <v>30674.666666666668</v>
      </c>
      <c r="V3182" s="389">
        <f>+IFERROR(U3182*(S3182*(1+T3182)),0)</f>
        <v>6134.9333333333343</v>
      </c>
      <c r="Y3182" s="393">
        <f>+IFERROR(Y3166*(S3182*(1+T3182)),0)</f>
        <v>54.400000000000006</v>
      </c>
      <c r="Z3182" s="391">
        <f>Y3166*V3182</f>
        <v>1668701.8666666669</v>
      </c>
      <c r="AA3182" s="394"/>
      <c r="AB3182" s="395">
        <f t="shared" si="23"/>
        <v>1668701.8666666669</v>
      </c>
      <c r="AC3182" s="93">
        <f t="shared" si="24"/>
        <v>0</v>
      </c>
      <c r="AD3182" s="94"/>
      <c r="AE3182" s="406" t="str">
        <f>+IF(V3182=0,"CERO","NO")</f>
        <v>NO</v>
      </c>
    </row>
    <row r="3183" spans="3:31" s="260" customFormat="1" x14ac:dyDescent="0.25">
      <c r="C3183" s="84"/>
      <c r="D3183" s="85"/>
      <c r="E3183" s="86"/>
      <c r="F3183" s="86"/>
      <c r="G3183" s="86"/>
      <c r="H3183" s="86"/>
      <c r="I3183" s="86"/>
      <c r="J3183" s="87"/>
      <c r="K3183" s="88"/>
      <c r="M3183" s="102">
        <v>885</v>
      </c>
      <c r="N3183" s="533" t="str">
        <f>IFERROR(VLOOKUP(M3183,INSUMOS!$C$8:$K$928,2,0),"-----")</f>
        <v>BUJE ROSCADO 1" A 3/4"</v>
      </c>
      <c r="O3183" s="533"/>
      <c r="P3183" s="533"/>
      <c r="Q3183" s="533"/>
      <c r="R3183" s="78" t="str">
        <f>IFERROR(VLOOKUP(M3183,INSUMOS!$C$8:$K$928,6,0),"-----")</f>
        <v>und</v>
      </c>
      <c r="S3183" s="79">
        <v>1</v>
      </c>
      <c r="T3183" s="97">
        <v>0</v>
      </c>
      <c r="U3183" s="388">
        <f>IFERROR(VLOOKUP(M3183,INSUMOS!$C$8:$K$928,7,0),"0")</f>
        <v>7735</v>
      </c>
      <c r="V3183" s="389">
        <f t="shared" ref="V3183:V3184" si="25">+IFERROR(U3183*(S3183*(1+T3183)),0)</f>
        <v>7735</v>
      </c>
      <c r="Y3183" s="393">
        <f>+IFERROR(Y3166*(S3183*(1+T3183)),0)</f>
        <v>272</v>
      </c>
      <c r="Z3183" s="391">
        <f>Y3166*V3183</f>
        <v>2103920</v>
      </c>
      <c r="AA3183" s="394"/>
      <c r="AB3183" s="395">
        <f t="shared" si="23"/>
        <v>2103920</v>
      </c>
      <c r="AC3183" s="93">
        <f t="shared" si="24"/>
        <v>0</v>
      </c>
      <c r="AD3183" s="94"/>
      <c r="AE3183" s="406" t="str">
        <f>+IF(V3183=0,"CERO","NO")</f>
        <v>NO</v>
      </c>
    </row>
    <row r="3184" spans="3:31" s="260" customFormat="1" ht="15.75" thickBot="1" x14ac:dyDescent="0.3">
      <c r="C3184" s="84"/>
      <c r="D3184" s="85"/>
      <c r="E3184" s="86"/>
      <c r="F3184" s="86"/>
      <c r="G3184" s="86"/>
      <c r="H3184" s="86"/>
      <c r="I3184" s="86"/>
      <c r="J3184" s="87"/>
      <c r="K3184" s="88"/>
      <c r="M3184" s="102">
        <v>886</v>
      </c>
      <c r="N3184" s="533" t="str">
        <f>IFERROR(VLOOKUP(M3184,INSUMOS!$C$8:$K$928,2,0),"-----")</f>
        <v>BUJE ROSCADO 3/4" A 1/2"</v>
      </c>
      <c r="O3184" s="533"/>
      <c r="P3184" s="533"/>
      <c r="Q3184" s="533"/>
      <c r="R3184" s="78" t="str">
        <f>IFERROR(VLOOKUP(M3184,INSUMOS!$C$8:$K$928,6,0),"-----")</f>
        <v>und</v>
      </c>
      <c r="S3184" s="79">
        <v>1</v>
      </c>
      <c r="T3184" s="97">
        <v>0</v>
      </c>
      <c r="U3184" s="388">
        <f>IFERROR(VLOOKUP(M3184,INSUMOS!$C$8:$K$928,7,0),"0")</f>
        <v>6068</v>
      </c>
      <c r="V3184" s="389">
        <f t="shared" si="25"/>
        <v>6068</v>
      </c>
      <c r="Y3184" s="393">
        <f>+IFERROR(Y3166*(S3184*(1+T3184)),0)</f>
        <v>272</v>
      </c>
      <c r="Z3184" s="391">
        <f>Y3166*V3184</f>
        <v>1650496</v>
      </c>
      <c r="AA3184" s="394"/>
      <c r="AB3184" s="395">
        <f t="shared" si="23"/>
        <v>1650496</v>
      </c>
      <c r="AC3184" s="93">
        <f t="shared" si="24"/>
        <v>0</v>
      </c>
      <c r="AD3184" s="94"/>
      <c r="AE3184" s="406"/>
    </row>
    <row r="3185" spans="3:31" s="260" customFormat="1" ht="15.75" thickBot="1" x14ac:dyDescent="0.3">
      <c r="C3185" s="84"/>
      <c r="D3185" s="375" t="s">
        <v>128</v>
      </c>
      <c r="E3185" s="376" t="s">
        <v>129</v>
      </c>
      <c r="F3185" s="376" t="s">
        <v>130</v>
      </c>
      <c r="G3185" s="376" t="s">
        <v>131</v>
      </c>
      <c r="H3185" s="376" t="s">
        <v>132</v>
      </c>
      <c r="I3185" s="376" t="s">
        <v>133</v>
      </c>
      <c r="J3185" s="377" t="s">
        <v>134</v>
      </c>
      <c r="K3185" s="88"/>
      <c r="M3185" s="534"/>
      <c r="N3185" s="536" t="s">
        <v>106</v>
      </c>
      <c r="O3185" s="536"/>
      <c r="P3185" s="536"/>
      <c r="Q3185" s="536"/>
      <c r="R3185" s="536"/>
      <c r="S3185" s="536"/>
      <c r="T3185" s="536"/>
      <c r="U3185" s="536"/>
      <c r="V3185" s="389">
        <f>+SUM(V3179:V3184)</f>
        <v>79136.836111111101</v>
      </c>
      <c r="Y3185" s="398" t="s">
        <v>135</v>
      </c>
      <c r="Z3185" s="397">
        <f>+SUM(Z3179:Z3184)</f>
        <v>21525219.422222223</v>
      </c>
      <c r="AA3185" s="86"/>
      <c r="AB3185" s="384"/>
      <c r="AC3185" s="385"/>
      <c r="AD3185" s="94"/>
      <c r="AE3185" s="399"/>
    </row>
    <row r="3186" spans="3:31" s="260" customFormat="1" ht="15.75" thickBot="1" x14ac:dyDescent="0.3">
      <c r="C3186" s="84"/>
      <c r="D3186" s="375"/>
      <c r="E3186" s="407">
        <f>+D3176</f>
        <v>3.16</v>
      </c>
      <c r="F3186" s="376"/>
      <c r="G3186" s="376"/>
      <c r="H3186" s="376"/>
      <c r="I3186" s="376"/>
      <c r="J3186" s="377"/>
      <c r="K3186" s="88"/>
      <c r="M3186" s="535"/>
      <c r="N3186" s="537" t="s">
        <v>107</v>
      </c>
      <c r="O3186" s="537"/>
      <c r="P3186" s="537"/>
      <c r="Q3186" s="537"/>
      <c r="R3186" s="537"/>
      <c r="S3186" s="537"/>
      <c r="T3186" s="537"/>
      <c r="U3186" s="537"/>
      <c r="V3186" s="408">
        <f>+ROUND(V3185,$AA$5)</f>
        <v>79136.84</v>
      </c>
      <c r="Y3186" s="401" t="s">
        <v>136</v>
      </c>
      <c r="Z3186" s="402">
        <f>+ROUND(Z3185,$AA$5)</f>
        <v>21525219.420000002</v>
      </c>
      <c r="AA3186" s="86"/>
      <c r="AB3186" s="403">
        <f>+V3186*Y3166</f>
        <v>21525220.48</v>
      </c>
      <c r="AC3186" s="404">
        <f>+AB3186-Z3186</f>
        <v>1.0599999986588955</v>
      </c>
      <c r="AD3186" s="94"/>
      <c r="AE3186" s="405"/>
    </row>
    <row r="3187" spans="3:31" s="260" customFormat="1" x14ac:dyDescent="0.25">
      <c r="C3187" s="84"/>
      <c r="D3187" s="380"/>
      <c r="E3187" s="381"/>
      <c r="F3187" s="381"/>
      <c r="G3187" s="381"/>
      <c r="H3187" s="381"/>
      <c r="I3187" s="381"/>
      <c r="J3187" s="382"/>
      <c r="K3187" s="88"/>
      <c r="M3187" s="568" t="s">
        <v>108</v>
      </c>
      <c r="N3187" s="569"/>
      <c r="O3187" s="569"/>
      <c r="P3187" s="569"/>
      <c r="Q3187" s="569"/>
      <c r="R3187" s="569"/>
      <c r="S3187" s="569"/>
      <c r="T3187" s="569"/>
      <c r="U3187" s="569"/>
      <c r="V3187" s="570"/>
      <c r="Y3187" s="378"/>
      <c r="Z3187" s="121"/>
      <c r="AA3187" s="86"/>
      <c r="AB3187" s="409"/>
      <c r="AC3187" s="121"/>
      <c r="AD3187" s="94"/>
      <c r="AE3187" s="126"/>
    </row>
    <row r="3188" spans="3:31" s="260" customFormat="1" ht="25.5" x14ac:dyDescent="0.25">
      <c r="C3188" s="84"/>
      <c r="D3188" s="85"/>
      <c r="E3188" s="86"/>
      <c r="F3188" s="86"/>
      <c r="G3188" s="86"/>
      <c r="H3188" s="86"/>
      <c r="I3188" s="86"/>
      <c r="J3188" s="87"/>
      <c r="K3188" s="88"/>
      <c r="M3188" s="99" t="s">
        <v>94</v>
      </c>
      <c r="N3188" s="561" t="s">
        <v>95</v>
      </c>
      <c r="O3188" s="561"/>
      <c r="P3188" s="561"/>
      <c r="Q3188" s="95" t="s">
        <v>109</v>
      </c>
      <c r="R3188" s="95" t="s">
        <v>110</v>
      </c>
      <c r="S3188" s="95" t="s">
        <v>111</v>
      </c>
      <c r="T3188" s="562" t="s">
        <v>112</v>
      </c>
      <c r="U3188" s="562"/>
      <c r="V3188" s="100" t="s">
        <v>98</v>
      </c>
      <c r="Y3188" s="383" t="s">
        <v>104</v>
      </c>
      <c r="Z3188" s="119" t="s">
        <v>9</v>
      </c>
      <c r="AA3188" s="86"/>
      <c r="AB3188" s="384"/>
      <c r="AC3188" s="385"/>
      <c r="AD3188" s="94"/>
      <c r="AE3188" s="410"/>
    </row>
    <row r="3189" spans="3:31" s="260" customFormat="1" x14ac:dyDescent="0.25">
      <c r="C3189" s="84"/>
      <c r="D3189" s="85"/>
      <c r="E3189" s="86"/>
      <c r="F3189" s="86"/>
      <c r="G3189" s="86"/>
      <c r="H3189" s="86"/>
      <c r="I3189" s="86"/>
      <c r="J3189" s="87"/>
      <c r="K3189" s="88"/>
      <c r="M3189" s="102">
        <v>129</v>
      </c>
      <c r="N3189" s="530" t="str">
        <f>IFERROR(VLOOKUP(M3189,INSUMOS!$C$8:$K$928,2,0),"-----")</f>
        <v>transporte materiales en general</v>
      </c>
      <c r="O3189" s="531"/>
      <c r="P3189" s="532"/>
      <c r="Q3189" s="78" t="str">
        <f>IFERROR(VLOOKUP(M3189,INSUMOS!$C$8:$K$928,5,0),"-----")</f>
        <v>Km</v>
      </c>
      <c r="R3189" s="80">
        <v>1</v>
      </c>
      <c r="S3189" s="80">
        <f>IFERROR(VLOOKUP(M3189,INSUMOS!$C$8:$K$928,6,0),"0")</f>
        <v>348</v>
      </c>
      <c r="T3189" s="529">
        <f>IFERROR(VLOOKUP(M3189,INSUMOS!$C$8:$K$928,7,0),"0")</f>
        <v>0.99776362060288992</v>
      </c>
      <c r="U3189" s="529"/>
      <c r="V3189" s="82">
        <f>+T3189*S3189*R3189</f>
        <v>347.2217399698057</v>
      </c>
      <c r="Y3189" s="393">
        <f>+IFERROR((R3189*S3189)*Y3166,0)</f>
        <v>94656</v>
      </c>
      <c r="Z3189" s="391">
        <f>Y3166*V3189</f>
        <v>94444.313271787149</v>
      </c>
      <c r="AA3189" s="86"/>
      <c r="AB3189" s="92">
        <f>+Y3189*T3189</f>
        <v>94444.313271787149</v>
      </c>
      <c r="AC3189" s="93">
        <f>+AB3189-Z3189</f>
        <v>0</v>
      </c>
      <c r="AD3189" s="94"/>
      <c r="AE3189" s="406" t="str">
        <f>+IF(V3189=0,"CERO","NO")</f>
        <v>NO</v>
      </c>
    </row>
    <row r="3190" spans="3:31" s="260" customFormat="1" x14ac:dyDescent="0.25">
      <c r="C3190" s="84"/>
      <c r="D3190" s="85"/>
      <c r="E3190" s="86"/>
      <c r="F3190" s="86"/>
      <c r="G3190" s="86"/>
      <c r="H3190" s="86"/>
      <c r="I3190" s="86"/>
      <c r="J3190" s="87"/>
      <c r="K3190" s="88"/>
      <c r="M3190" s="102">
        <v>0</v>
      </c>
      <c r="N3190" s="530" t="str">
        <f>IFERROR(VLOOKUP(M3190,INSUMOS!$C$8:$K$928,2,0),"-----")</f>
        <v>-----</v>
      </c>
      <c r="O3190" s="531"/>
      <c r="P3190" s="532"/>
      <c r="Q3190" s="78" t="str">
        <f>IFERROR(VLOOKUP(M3190,INSUMOS!$C$8:$K$928,5,0),"-----")</f>
        <v>-----</v>
      </c>
      <c r="R3190" s="80"/>
      <c r="S3190" s="80" t="str">
        <f>IFERROR(VLOOKUP(M3190,INSUMOS!$C$8:$K$928,6,0),"0")</f>
        <v>0</v>
      </c>
      <c r="T3190" s="529" t="str">
        <f>IFERROR(VLOOKUP(M3190,INSUMOS!$C$8:$K$928,7,0),"0")</f>
        <v>0</v>
      </c>
      <c r="U3190" s="529"/>
      <c r="V3190" s="82">
        <f>+T3190*S3190*R3190</f>
        <v>0</v>
      </c>
      <c r="Y3190" s="393">
        <f>+IFERROR((R3190*S3190)*Y3166,0)</f>
        <v>0</v>
      </c>
      <c r="Z3190" s="391">
        <f>Y3166*V3190</f>
        <v>0</v>
      </c>
      <c r="AA3190" s="86"/>
      <c r="AB3190" s="92">
        <f>+Y3190*T3190</f>
        <v>0</v>
      </c>
      <c r="AC3190" s="93">
        <f>+AB3190-Z3190</f>
        <v>0</v>
      </c>
      <c r="AD3190" s="94"/>
      <c r="AE3190" s="406" t="str">
        <f>+IF(V3190=0,"CERO","NO")</f>
        <v>CERO</v>
      </c>
    </row>
    <row r="3191" spans="3:31" s="260" customFormat="1" x14ac:dyDescent="0.25">
      <c r="C3191" s="84"/>
      <c r="D3191" s="85"/>
      <c r="E3191" s="86"/>
      <c r="F3191" s="86"/>
      <c r="G3191" s="86"/>
      <c r="H3191" s="86"/>
      <c r="I3191" s="86"/>
      <c r="J3191" s="87"/>
      <c r="K3191" s="88"/>
      <c r="M3191" s="102">
        <v>0</v>
      </c>
      <c r="N3191" s="530" t="str">
        <f>IFERROR(VLOOKUP(M3191,INSUMOS!$C$8:$K$928,2,0),"-----")</f>
        <v>-----</v>
      </c>
      <c r="O3191" s="531"/>
      <c r="P3191" s="532"/>
      <c r="Q3191" s="78" t="str">
        <f>IFERROR(VLOOKUP(M3191,INSUMOS!$C$8:$K$928,5,0),"-----")</f>
        <v>-----</v>
      </c>
      <c r="R3191" s="80"/>
      <c r="S3191" s="80" t="str">
        <f>IFERROR(VLOOKUP(M3191,INSUMOS!$C$8:$K$928,6,0),"0")</f>
        <v>0</v>
      </c>
      <c r="T3191" s="529" t="str">
        <f>IFERROR(VLOOKUP(M3191,INSUMOS!$C$8:$K$928,7,0),"0")</f>
        <v>0</v>
      </c>
      <c r="U3191" s="529"/>
      <c r="V3191" s="82">
        <f>+T3191*S3191*R3191</f>
        <v>0</v>
      </c>
      <c r="Y3191" s="393">
        <f>+IFERROR((R3191*S3191)*Y3166,0)</f>
        <v>0</v>
      </c>
      <c r="Z3191" s="391">
        <f>Y3166*V3191</f>
        <v>0</v>
      </c>
      <c r="AA3191" s="86"/>
      <c r="AB3191" s="92">
        <f>+Y3191*T3191</f>
        <v>0</v>
      </c>
      <c r="AC3191" s="93">
        <f>+AB3191-Z3191</f>
        <v>0</v>
      </c>
      <c r="AD3191" s="94"/>
      <c r="AE3191" s="406" t="str">
        <f>+IF(V3191=0,"CERO","NO")</f>
        <v>CERO</v>
      </c>
    </row>
    <row r="3192" spans="3:31" s="260" customFormat="1" ht="15.75" thickBot="1" x14ac:dyDescent="0.3">
      <c r="C3192" s="84"/>
      <c r="D3192" s="89"/>
      <c r="E3192" s="90"/>
      <c r="F3192" s="90"/>
      <c r="G3192" s="90"/>
      <c r="H3192" s="90"/>
      <c r="I3192" s="90"/>
      <c r="J3192" s="91"/>
      <c r="K3192" s="88"/>
      <c r="M3192" s="102">
        <v>0</v>
      </c>
      <c r="N3192" s="533"/>
      <c r="O3192" s="533"/>
      <c r="P3192" s="533"/>
      <c r="Q3192" s="79"/>
      <c r="R3192" s="78"/>
      <c r="S3192" s="81"/>
      <c r="T3192" s="529"/>
      <c r="U3192" s="529"/>
      <c r="V3192" s="82"/>
      <c r="Y3192" s="393">
        <f>+IFERROR((R3192*S3192)*Y3166,0)</f>
        <v>0</v>
      </c>
      <c r="Z3192" s="391">
        <f>Y3166*V3192</f>
        <v>0</v>
      </c>
      <c r="AA3192" s="86"/>
      <c r="AB3192" s="92">
        <f>+Y3192*T3192</f>
        <v>0</v>
      </c>
      <c r="AC3192" s="93">
        <f>+AB3192-Z3192</f>
        <v>0</v>
      </c>
      <c r="AD3192" s="94"/>
      <c r="AE3192" s="406" t="str">
        <f>+IF(V3192=0,"CERO","NO")</f>
        <v>CERO</v>
      </c>
    </row>
    <row r="3193" spans="3:31" s="260" customFormat="1" ht="15.75" thickBot="1" x14ac:dyDescent="0.3">
      <c r="C3193" s="84"/>
      <c r="D3193" s="375" t="s">
        <v>128</v>
      </c>
      <c r="E3193" s="376" t="s">
        <v>129</v>
      </c>
      <c r="F3193" s="376" t="s">
        <v>130</v>
      </c>
      <c r="G3193" s="376" t="s">
        <v>131</v>
      </c>
      <c r="H3193" s="376" t="s">
        <v>132</v>
      </c>
      <c r="I3193" s="376" t="s">
        <v>133</v>
      </c>
      <c r="J3193" s="377" t="s">
        <v>134</v>
      </c>
      <c r="K3193" s="88"/>
      <c r="M3193" s="534"/>
      <c r="N3193" s="536" t="s">
        <v>113</v>
      </c>
      <c r="O3193" s="536"/>
      <c r="P3193" s="536"/>
      <c r="Q3193" s="536"/>
      <c r="R3193" s="536"/>
      <c r="S3193" s="536"/>
      <c r="T3193" s="536"/>
      <c r="U3193" s="536"/>
      <c r="V3193" s="411">
        <f>+SUM(V3189:V3192)</f>
        <v>347.2217399698057</v>
      </c>
      <c r="Y3193" s="398" t="s">
        <v>135</v>
      </c>
      <c r="Z3193" s="397">
        <f>+SUM(Z3189:Z3192)</f>
        <v>94444.313271787149</v>
      </c>
      <c r="AA3193" s="86"/>
      <c r="AB3193" s="384"/>
      <c r="AC3193" s="385"/>
      <c r="AD3193" s="94"/>
      <c r="AE3193" s="399"/>
    </row>
    <row r="3194" spans="3:31" s="260" customFormat="1" ht="15.75" thickBot="1" x14ac:dyDescent="0.3">
      <c r="C3194" s="84"/>
      <c r="D3194" s="355"/>
      <c r="E3194" s="367"/>
      <c r="F3194" s="412">
        <f>+E3186</f>
        <v>3.16</v>
      </c>
      <c r="G3194" s="367"/>
      <c r="H3194" s="367"/>
      <c r="I3194" s="367"/>
      <c r="J3194" s="368"/>
      <c r="K3194" s="88"/>
      <c r="M3194" s="535"/>
      <c r="N3194" s="537" t="s">
        <v>114</v>
      </c>
      <c r="O3194" s="537"/>
      <c r="P3194" s="537"/>
      <c r="Q3194" s="537"/>
      <c r="R3194" s="537"/>
      <c r="S3194" s="537"/>
      <c r="T3194" s="537"/>
      <c r="U3194" s="537"/>
      <c r="V3194" s="413">
        <f>+ROUND(V3193,$AA$5)</f>
        <v>347.22</v>
      </c>
      <c r="Y3194" s="401" t="s">
        <v>136</v>
      </c>
      <c r="Z3194" s="402">
        <f>+ROUND(Z3193,$AA$5)</f>
        <v>94444.31</v>
      </c>
      <c r="AA3194" s="86"/>
      <c r="AB3194" s="403">
        <f>+V3194*Y3166</f>
        <v>94443.840000000011</v>
      </c>
      <c r="AC3194" s="414"/>
      <c r="AD3194" s="94"/>
      <c r="AE3194" s="405"/>
    </row>
    <row r="3195" spans="3:31" s="260" customFormat="1" ht="15.75" thickBot="1" x14ac:dyDescent="0.3">
      <c r="C3195" s="84"/>
      <c r="D3195" s="415"/>
      <c r="E3195" s="416"/>
      <c r="F3195" s="416"/>
      <c r="G3195" s="416"/>
      <c r="H3195" s="416"/>
      <c r="I3195" s="416"/>
      <c r="J3195" s="417"/>
      <c r="K3195" s="88"/>
      <c r="M3195" s="538" t="s">
        <v>115</v>
      </c>
      <c r="N3195" s="539"/>
      <c r="O3195" s="539"/>
      <c r="P3195" s="539"/>
      <c r="Q3195" s="539"/>
      <c r="R3195" s="539"/>
      <c r="S3195" s="539"/>
      <c r="T3195" s="539"/>
      <c r="U3195" s="539"/>
      <c r="V3195" s="540"/>
      <c r="Y3195" s="378"/>
      <c r="Z3195" s="121"/>
      <c r="AA3195" s="86"/>
      <c r="AB3195" s="409"/>
      <c r="AC3195" s="121"/>
      <c r="AD3195" s="94"/>
      <c r="AE3195" s="126"/>
    </row>
    <row r="3196" spans="3:31" s="260" customFormat="1" ht="15.75" thickBot="1" x14ac:dyDescent="0.3">
      <c r="C3196" s="84"/>
      <c r="D3196" s="375" t="s">
        <v>128</v>
      </c>
      <c r="E3196" s="376" t="s">
        <v>129</v>
      </c>
      <c r="F3196" s="376" t="s">
        <v>130</v>
      </c>
      <c r="G3196" s="376" t="s">
        <v>131</v>
      </c>
      <c r="H3196" s="376" t="s">
        <v>132</v>
      </c>
      <c r="I3196" s="376" t="s">
        <v>133</v>
      </c>
      <c r="J3196" s="377" t="s">
        <v>134</v>
      </c>
      <c r="K3196" s="88"/>
      <c r="M3196" s="99" t="s">
        <v>94</v>
      </c>
      <c r="N3196" s="98" t="s">
        <v>95</v>
      </c>
      <c r="O3196" s="95" t="s">
        <v>96</v>
      </c>
      <c r="P3196" s="359" t="s">
        <v>104</v>
      </c>
      <c r="Q3196" s="95" t="s">
        <v>116</v>
      </c>
      <c r="R3196" s="418" t="s">
        <v>117</v>
      </c>
      <c r="S3196" s="95" t="s">
        <v>347</v>
      </c>
      <c r="T3196" s="419" t="s">
        <v>118</v>
      </c>
      <c r="U3196" s="189" t="s">
        <v>119</v>
      </c>
      <c r="V3196" s="100" t="s">
        <v>98</v>
      </c>
      <c r="Y3196" s="383" t="s">
        <v>104</v>
      </c>
      <c r="Z3196" s="119" t="s">
        <v>9</v>
      </c>
      <c r="AA3196" s="86"/>
      <c r="AB3196" s="384"/>
      <c r="AC3196" s="385"/>
      <c r="AD3196" s="94"/>
      <c r="AE3196" s="410"/>
    </row>
    <row r="3197" spans="3:31" s="260" customFormat="1" ht="25.5" x14ac:dyDescent="0.25">
      <c r="C3197" s="84"/>
      <c r="D3197" s="354"/>
      <c r="E3197" s="96"/>
      <c r="F3197" s="96"/>
      <c r="G3197" s="96"/>
      <c r="H3197" s="96"/>
      <c r="I3197" s="96"/>
      <c r="J3197" s="420">
        <f>+F3194</f>
        <v>3.16</v>
      </c>
      <c r="K3197" s="88"/>
      <c r="M3197" s="102">
        <v>207</v>
      </c>
      <c r="N3197" s="347" t="str">
        <f>IFERROR(VLOOKUP(M3197,INSUMOS!$C$8:$K$928,2,0),"-----")</f>
        <v>Oficial Hidrosanitario</v>
      </c>
      <c r="O3197" s="78" t="str">
        <f>IFERROR(VLOOKUP(M3197,INSUMOS!$C$8:$K$928,3,0),"-----")</f>
        <v>JORNAL+PS</v>
      </c>
      <c r="P3197" s="80">
        <v>1</v>
      </c>
      <c r="Q3197" s="79">
        <v>8</v>
      </c>
      <c r="R3197" s="190">
        <f>IFERROR(VLOOKUP(M3197,INSUMOS!$C$8:$K$928,4,0),"-----")</f>
        <v>92983</v>
      </c>
      <c r="S3197" s="190">
        <f>IFERROR(VLOOKUP(M3197,INSUMOS!$C$8:$K$928,6,0),"-----")</f>
        <v>74386</v>
      </c>
      <c r="T3197" s="190">
        <f>IFERROR(VLOOKUP(M3197,INSUMOS!$C$8:$K$928,5,0),"-----")</f>
        <v>0</v>
      </c>
      <c r="U3197" s="388">
        <f>SUM(R3197:T3197)</f>
        <v>167369</v>
      </c>
      <c r="V3197" s="82">
        <f>+IFERROR((P3197/Q3197)*U3197,0)</f>
        <v>20921.125</v>
      </c>
      <c r="Y3197" s="393">
        <f>+IFERROR((Y3166/Q3197*P3197),0)</f>
        <v>34</v>
      </c>
      <c r="Z3197" s="391">
        <f>Y3166*V3197</f>
        <v>5690546</v>
      </c>
      <c r="AA3197" s="86"/>
      <c r="AB3197" s="92">
        <f>+(U3197)*Y3197</f>
        <v>5690546</v>
      </c>
      <c r="AC3197" s="93">
        <f>+AB3197-Z3197</f>
        <v>0</v>
      </c>
      <c r="AD3197" s="421"/>
      <c r="AE3197" s="410" t="str">
        <f>+IF(V3197=0,"CERO","NO")</f>
        <v>NO</v>
      </c>
    </row>
    <row r="3198" spans="3:31" s="260" customFormat="1" ht="26.25" thickBot="1" x14ac:dyDescent="0.3">
      <c r="C3198" s="84"/>
      <c r="D3198" s="355"/>
      <c r="E3198" s="367"/>
      <c r="F3198" s="367"/>
      <c r="G3198" s="367"/>
      <c r="H3198" s="367"/>
      <c r="I3198" s="367"/>
      <c r="J3198" s="422">
        <f>+J3197</f>
        <v>3.16</v>
      </c>
      <c r="K3198" s="88"/>
      <c r="M3198" s="102">
        <v>208</v>
      </c>
      <c r="N3198" s="347" t="str">
        <f>IFERROR(VLOOKUP(M3198,INSUMOS!$C$8:$K$928,2,0),"-----")</f>
        <v>Ayudante Hidrosanitario</v>
      </c>
      <c r="O3198" s="78" t="str">
        <f>IFERROR(VLOOKUP(M3198,INSUMOS!$C$8:$K$928,3,0),"-----")</f>
        <v>JORNAL+PS</v>
      </c>
      <c r="P3198" s="80">
        <v>1</v>
      </c>
      <c r="Q3198" s="79">
        <v>8</v>
      </c>
      <c r="R3198" s="190">
        <f>IFERROR(VLOOKUP(M3198,INSUMOS!$C$8:$K$928,4,0),"-----")</f>
        <v>69172</v>
      </c>
      <c r="S3198" s="190">
        <f>IFERROR(VLOOKUP(M3198,INSUMOS!$C$8:$K$928,6,0),"-----")</f>
        <v>55337</v>
      </c>
      <c r="T3198" s="190">
        <f>IFERROR(VLOOKUP(M3198,INSUMOS!$C$8:$K$928,5,0),"-----")</f>
        <v>0</v>
      </c>
      <c r="U3198" s="388">
        <f>SUM(R3198:T3198)</f>
        <v>124509</v>
      </c>
      <c r="V3198" s="82">
        <f>+IFERROR((P3198/Q3198)*U3198,0)</f>
        <v>15563.625</v>
      </c>
      <c r="Y3198" s="393">
        <f>+IFERROR((Y3166/Q3198*P3198),0)</f>
        <v>34</v>
      </c>
      <c r="Z3198" s="391">
        <f>Y3166*V3198</f>
        <v>4233306</v>
      </c>
      <c r="AA3198" s="86"/>
      <c r="AB3198" s="92">
        <f>+U3198*Y3198</f>
        <v>4233306</v>
      </c>
      <c r="AC3198" s="93">
        <f>+AB3198-Z3198</f>
        <v>0</v>
      </c>
      <c r="AD3198" s="94"/>
      <c r="AE3198" s="410" t="str">
        <f>+IF(V3198=0,"CERO","NO")</f>
        <v>NO</v>
      </c>
    </row>
    <row r="3199" spans="3:31" s="260" customFormat="1" ht="15.75" thickBot="1" x14ac:dyDescent="0.3">
      <c r="C3199" s="84"/>
      <c r="D3199" s="380"/>
      <c r="E3199" s="381"/>
      <c r="F3199" s="381"/>
      <c r="G3199" s="381"/>
      <c r="H3199" s="381"/>
      <c r="I3199" s="381"/>
      <c r="J3199" s="382"/>
      <c r="K3199" s="88"/>
      <c r="M3199" s="102">
        <v>0</v>
      </c>
      <c r="N3199" s="347"/>
      <c r="O3199" s="79"/>
      <c r="P3199" s="423"/>
      <c r="Q3199" s="81"/>
      <c r="R3199" s="111"/>
      <c r="S3199" s="357"/>
      <c r="T3199" s="111"/>
      <c r="U3199" s="388"/>
      <c r="V3199" s="426"/>
      <c r="Y3199" s="393">
        <f>+IFERROR((Y3166/Q3199*P3199),0)</f>
        <v>0</v>
      </c>
      <c r="Z3199" s="391">
        <f>Y3166*V3199</f>
        <v>0</v>
      </c>
      <c r="AA3199" s="86"/>
      <c r="AB3199" s="92">
        <f>+(U3199)*Y3199*P3199</f>
        <v>0</v>
      </c>
      <c r="AC3199" s="93">
        <f>+AB3199-Z3199</f>
        <v>0</v>
      </c>
      <c r="AD3199" s="94"/>
      <c r="AE3199" s="410" t="str">
        <f>+IF(V3199=0,"CERO","NO")</f>
        <v>CERO</v>
      </c>
    </row>
    <row r="3200" spans="3:31" s="260" customFormat="1" ht="15.75" thickBot="1" x14ac:dyDescent="0.3">
      <c r="C3200" s="84"/>
      <c r="D3200" s="375" t="s">
        <v>128</v>
      </c>
      <c r="E3200" s="376" t="s">
        <v>129</v>
      </c>
      <c r="F3200" s="376" t="s">
        <v>130</v>
      </c>
      <c r="G3200" s="376" t="s">
        <v>131</v>
      </c>
      <c r="H3200" s="376" t="s">
        <v>132</v>
      </c>
      <c r="I3200" s="376" t="s">
        <v>133</v>
      </c>
      <c r="J3200" s="377" t="s">
        <v>134</v>
      </c>
      <c r="K3200" s="88"/>
      <c r="M3200" s="534"/>
      <c r="N3200" s="536" t="s">
        <v>120</v>
      </c>
      <c r="O3200" s="536"/>
      <c r="P3200" s="536"/>
      <c r="Q3200" s="536"/>
      <c r="R3200" s="536"/>
      <c r="S3200" s="536"/>
      <c r="T3200" s="536"/>
      <c r="U3200" s="536"/>
      <c r="V3200" s="82">
        <f>+SUM(V3197:V3199)</f>
        <v>36484.75</v>
      </c>
      <c r="Y3200" s="398" t="s">
        <v>135</v>
      </c>
      <c r="Z3200" s="397">
        <f>+SUM(Z3197:Z3199)</f>
        <v>9923852</v>
      </c>
      <c r="AA3200" s="86"/>
      <c r="AB3200" s="384"/>
      <c r="AC3200" s="385"/>
      <c r="AD3200" s="94"/>
      <c r="AE3200" s="399"/>
    </row>
    <row r="3201" spans="3:31" s="260" customFormat="1" ht="15.75" thickBot="1" x14ac:dyDescent="0.3">
      <c r="C3201" s="84"/>
      <c r="D3201" s="354"/>
      <c r="E3201" s="96"/>
      <c r="F3201" s="96"/>
      <c r="G3201" s="107">
        <f>+F3194</f>
        <v>3.16</v>
      </c>
      <c r="H3201" s="96"/>
      <c r="I3201" s="96"/>
      <c r="J3201" s="427"/>
      <c r="K3201" s="88"/>
      <c r="M3201" s="535"/>
      <c r="N3201" s="537" t="s">
        <v>121</v>
      </c>
      <c r="O3201" s="537"/>
      <c r="P3201" s="537"/>
      <c r="Q3201" s="537"/>
      <c r="R3201" s="537"/>
      <c r="S3201" s="537"/>
      <c r="T3201" s="537"/>
      <c r="U3201" s="537"/>
      <c r="V3201" s="413">
        <f>+ROUND(V3200,$AA$5)</f>
        <v>36484.75</v>
      </c>
      <c r="Y3201" s="401" t="s">
        <v>136</v>
      </c>
      <c r="Z3201" s="402">
        <f>+ROUND(Z3200,$AA$5)</f>
        <v>9923852</v>
      </c>
      <c r="AA3201" s="86"/>
      <c r="AB3201" s="403">
        <f>+V3201*Y3166</f>
        <v>9923852</v>
      </c>
      <c r="AC3201" s="404">
        <f>+AB3201-Z3201</f>
        <v>0</v>
      </c>
      <c r="AD3201" s="94"/>
      <c r="AE3201" s="405"/>
    </row>
    <row r="3202" spans="3:31" s="260" customFormat="1" ht="15.75" thickBot="1" x14ac:dyDescent="0.3">
      <c r="C3202" s="84"/>
      <c r="D3202" s="375" t="s">
        <v>128</v>
      </c>
      <c r="E3202" s="376" t="s">
        <v>129</v>
      </c>
      <c r="F3202" s="376" t="s">
        <v>130</v>
      </c>
      <c r="G3202" s="376" t="s">
        <v>131</v>
      </c>
      <c r="H3202" s="376" t="s">
        <v>132</v>
      </c>
      <c r="I3202" s="376" t="s">
        <v>133</v>
      </c>
      <c r="J3202" s="377" t="s">
        <v>134</v>
      </c>
      <c r="K3202" s="88"/>
      <c r="M3202" s="541"/>
      <c r="N3202" s="542"/>
      <c r="O3202" s="542"/>
      <c r="P3202" s="542"/>
      <c r="Q3202" s="542"/>
      <c r="R3202" s="542"/>
      <c r="S3202" s="542"/>
      <c r="T3202" s="542"/>
      <c r="U3202" s="542"/>
      <c r="V3202" s="543"/>
      <c r="Y3202" s="378"/>
      <c r="Z3202" s="121"/>
      <c r="AA3202" s="86"/>
      <c r="AB3202" s="409"/>
      <c r="AC3202" s="121"/>
      <c r="AD3202" s="94"/>
      <c r="AE3202" s="428"/>
    </row>
    <row r="3203" spans="3:31" s="260" customFormat="1" ht="15.75" thickBot="1" x14ac:dyDescent="0.3">
      <c r="C3203" s="84"/>
      <c r="D3203" s="355"/>
      <c r="E3203" s="367"/>
      <c r="F3203" s="367"/>
      <c r="G3203" s="367"/>
      <c r="H3203" s="412">
        <f>G3201</f>
        <v>3.16</v>
      </c>
      <c r="I3203" s="412"/>
      <c r="J3203" s="422"/>
      <c r="K3203" s="88"/>
      <c r="M3203" s="544" t="s">
        <v>122</v>
      </c>
      <c r="N3203" s="537"/>
      <c r="O3203" s="537"/>
      <c r="P3203" s="537"/>
      <c r="Q3203" s="537"/>
      <c r="R3203" s="537"/>
      <c r="S3203" s="537"/>
      <c r="T3203" s="537"/>
      <c r="U3203" s="545">
        <f>+V3201+V3194+V3186+V3176</f>
        <v>117793.05</v>
      </c>
      <c r="V3203" s="546"/>
      <c r="Y3203" s="429"/>
      <c r="Z3203" s="430">
        <f>+Z3201+Z3194+Z3186+Z3176</f>
        <v>32039708.330000006</v>
      </c>
      <c r="AA3203" s="86"/>
      <c r="AB3203" s="431">
        <f>+AB3201+AB3194+AB3186+AB3176</f>
        <v>32039709.600000001</v>
      </c>
      <c r="AC3203" s="404">
        <f>+AB3203-Z3203</f>
        <v>1.2699999958276749</v>
      </c>
      <c r="AD3203" s="94"/>
      <c r="AE3203" s="432"/>
    </row>
    <row r="3204" spans="3:31" s="260" customFormat="1" ht="15.75" thickBot="1" x14ac:dyDescent="0.3"/>
    <row r="3205" spans="3:31" s="260" customFormat="1" x14ac:dyDescent="0.25">
      <c r="M3205" s="547" t="s">
        <v>348</v>
      </c>
      <c r="N3205" s="548"/>
      <c r="O3205" s="548"/>
      <c r="P3205" s="548"/>
      <c r="Q3205" s="548"/>
      <c r="R3205" s="548"/>
      <c r="S3205" s="548"/>
      <c r="T3205" s="548"/>
      <c r="U3205" s="548"/>
      <c r="V3205" s="549"/>
      <c r="Y3205" s="378"/>
      <c r="Z3205" s="121"/>
      <c r="AA3205" s="86"/>
      <c r="AB3205" s="94"/>
      <c r="AC3205" s="94"/>
      <c r="AD3205" s="94"/>
      <c r="AE3205" s="126" t="s">
        <v>133</v>
      </c>
    </row>
    <row r="3206" spans="3:31" s="260" customFormat="1" x14ac:dyDescent="0.25">
      <c r="M3206" s="515" t="s">
        <v>138</v>
      </c>
      <c r="N3206" s="516"/>
      <c r="O3206" s="516"/>
      <c r="P3206" s="516"/>
      <c r="Q3206" s="516"/>
      <c r="R3206" s="516"/>
      <c r="S3206" s="516"/>
      <c r="T3206" s="437">
        <v>0</v>
      </c>
      <c r="U3206" s="517">
        <f>+ROUND(U3203*T3206,$AA$5)</f>
        <v>0</v>
      </c>
      <c r="V3206" s="518"/>
      <c r="Y3206" s="390"/>
      <c r="Z3206" s="438">
        <f>+Z3203*T3206</f>
        <v>0</v>
      </c>
      <c r="AA3206" s="86"/>
      <c r="AB3206" s="94"/>
      <c r="AC3206" s="94"/>
      <c r="AD3206" s="94"/>
      <c r="AE3206" s="386" t="s">
        <v>133</v>
      </c>
    </row>
    <row r="3207" spans="3:31" s="260" customFormat="1" x14ac:dyDescent="0.25">
      <c r="M3207" s="515" t="s">
        <v>19</v>
      </c>
      <c r="N3207" s="516"/>
      <c r="O3207" s="516"/>
      <c r="P3207" s="516"/>
      <c r="Q3207" s="516"/>
      <c r="R3207" s="516"/>
      <c r="S3207" s="516"/>
      <c r="T3207" s="437">
        <v>0.05</v>
      </c>
      <c r="U3207" s="517">
        <f>+ROUND(U3203*T3207,$AA$5)</f>
        <v>5889.65</v>
      </c>
      <c r="V3207" s="518"/>
      <c r="Y3207" s="390"/>
      <c r="Z3207" s="438">
        <f>+Z3203*T3207</f>
        <v>1601985.4165000003</v>
      </c>
      <c r="AA3207" s="86"/>
      <c r="AB3207" s="94"/>
      <c r="AC3207" s="94"/>
      <c r="AD3207" s="94"/>
      <c r="AE3207" s="386" t="s">
        <v>133</v>
      </c>
    </row>
    <row r="3208" spans="3:31" s="260" customFormat="1" x14ac:dyDescent="0.25">
      <c r="M3208" s="515" t="s">
        <v>20</v>
      </c>
      <c r="N3208" s="516"/>
      <c r="O3208" s="516"/>
      <c r="P3208" s="516"/>
      <c r="Q3208" s="516"/>
      <c r="R3208" s="516"/>
      <c r="S3208" s="516"/>
      <c r="T3208" s="437">
        <v>0</v>
      </c>
      <c r="U3208" s="517">
        <f>+ROUND(U3203*T3208,$AA$5)</f>
        <v>0</v>
      </c>
      <c r="V3208" s="518"/>
      <c r="Y3208" s="390"/>
      <c r="Z3208" s="438">
        <f>+Z3203*T3208</f>
        <v>0</v>
      </c>
      <c r="AA3208" s="86"/>
      <c r="AB3208" s="94"/>
      <c r="AC3208" s="94"/>
      <c r="AD3208" s="94"/>
      <c r="AE3208" s="386" t="s">
        <v>133</v>
      </c>
    </row>
    <row r="3209" spans="3:31" s="260" customFormat="1" x14ac:dyDescent="0.25">
      <c r="M3209" s="515" t="s">
        <v>21</v>
      </c>
      <c r="N3209" s="516"/>
      <c r="O3209" s="516"/>
      <c r="P3209" s="516"/>
      <c r="Q3209" s="516"/>
      <c r="R3209" s="516"/>
      <c r="S3209" s="516"/>
      <c r="T3209" s="437">
        <f>$AA$9</f>
        <v>0</v>
      </c>
      <c r="U3209" s="517">
        <f>+ROUND(U3203*T3209,$AA$5)</f>
        <v>0</v>
      </c>
      <c r="V3209" s="518"/>
      <c r="Y3209" s="390"/>
      <c r="Z3209" s="438">
        <f>+Z3208*T3209</f>
        <v>0</v>
      </c>
      <c r="AA3209" s="86"/>
      <c r="AB3209" s="94"/>
      <c r="AC3209" s="94"/>
      <c r="AD3209" s="94"/>
      <c r="AE3209" s="386" t="s">
        <v>133</v>
      </c>
    </row>
    <row r="3210" spans="3:31" s="260" customFormat="1" ht="15.75" thickBot="1" x14ac:dyDescent="0.3">
      <c r="M3210" s="519" t="s">
        <v>349</v>
      </c>
      <c r="N3210" s="520"/>
      <c r="O3210" s="520"/>
      <c r="P3210" s="520"/>
      <c r="Q3210" s="520"/>
      <c r="R3210" s="520"/>
      <c r="S3210" s="520"/>
      <c r="T3210" s="520"/>
      <c r="U3210" s="521">
        <f>+SUM(U3206:V3209)</f>
        <v>5889.65</v>
      </c>
      <c r="V3210" s="522"/>
      <c r="Y3210" s="390"/>
      <c r="Z3210" s="439">
        <f>+SUM(Z3206:Z3209)</f>
        <v>1601985.4165000003</v>
      </c>
      <c r="AA3210" s="86"/>
      <c r="AB3210" s="94"/>
      <c r="AC3210" s="94"/>
      <c r="AD3210" s="94"/>
      <c r="AE3210" s="386" t="s">
        <v>133</v>
      </c>
    </row>
    <row r="3211" spans="3:31" s="260" customFormat="1" ht="15.75" thickBot="1" x14ac:dyDescent="0.3">
      <c r="D3211" s="375" t="s">
        <v>128</v>
      </c>
      <c r="E3211" s="376" t="s">
        <v>129</v>
      </c>
      <c r="F3211" s="376" t="s">
        <v>130</v>
      </c>
      <c r="G3211" s="376" t="s">
        <v>131</v>
      </c>
      <c r="H3211" s="376" t="s">
        <v>132</v>
      </c>
      <c r="I3211" s="376" t="s">
        <v>133</v>
      </c>
      <c r="J3211" s="377" t="s">
        <v>134</v>
      </c>
      <c r="M3211" s="86"/>
      <c r="N3211" s="94"/>
      <c r="O3211" s="94"/>
      <c r="P3211" s="94"/>
      <c r="Q3211" s="86"/>
      <c r="R3211" s="86"/>
      <c r="S3211" s="86"/>
      <c r="T3211" s="440"/>
      <c r="U3211" s="523"/>
      <c r="V3211" s="523"/>
      <c r="Y3211" s="390"/>
      <c r="Z3211" s="385"/>
      <c r="AA3211" s="86"/>
      <c r="AB3211" s="94"/>
      <c r="AC3211" s="94"/>
      <c r="AD3211" s="94"/>
      <c r="AE3211" s="386" t="s">
        <v>133</v>
      </c>
    </row>
    <row r="3212" spans="3:31" s="260" customFormat="1" ht="15.75" thickBot="1" x14ac:dyDescent="0.3">
      <c r="D3212" s="355"/>
      <c r="E3212" s="367"/>
      <c r="F3212" s="367"/>
      <c r="G3212" s="367"/>
      <c r="H3212" s="412"/>
      <c r="I3212" s="412">
        <f>H3203</f>
        <v>3.16</v>
      </c>
      <c r="J3212" s="422"/>
      <c r="M3212" s="524" t="s">
        <v>11</v>
      </c>
      <c r="N3212" s="525"/>
      <c r="O3212" s="525"/>
      <c r="P3212" s="525"/>
      <c r="Q3212" s="525"/>
      <c r="R3212" s="525"/>
      <c r="S3212" s="525"/>
      <c r="T3212" s="526"/>
      <c r="U3212" s="527">
        <f>+U3210+U3203</f>
        <v>123682.7</v>
      </c>
      <c r="V3212" s="528"/>
      <c r="Y3212" s="429"/>
      <c r="Z3212" s="441">
        <f>+Z3210+Z3203</f>
        <v>33641693.746500008</v>
      </c>
      <c r="AA3212" s="86"/>
      <c r="AB3212" s="94"/>
      <c r="AC3212" s="94"/>
      <c r="AD3212" s="94"/>
      <c r="AE3212" s="405" t="s">
        <v>133</v>
      </c>
    </row>
    <row r="3213" spans="3:31" s="260" customFormat="1" x14ac:dyDescent="0.25"/>
    <row r="3214" spans="3:31" s="260" customFormat="1" ht="15.75" thickBot="1" x14ac:dyDescent="0.3"/>
    <row r="3215" spans="3:31" s="260" customFormat="1" ht="15.75" thickBot="1" x14ac:dyDescent="0.3">
      <c r="M3215" s="363" t="s">
        <v>88</v>
      </c>
      <c r="N3215" s="436" t="str">
        <f>+N3165</f>
        <v>CAP.3</v>
      </c>
      <c r="O3215" s="550" t="str">
        <f>IFERROR(VLOOKUP(N3215,PPTO!C:H,2,0),"----")</f>
        <v>RED CONTRAINCENDIOS</v>
      </c>
      <c r="P3215" s="551"/>
      <c r="Q3215" s="551"/>
      <c r="R3215" s="551"/>
      <c r="S3215" s="551"/>
      <c r="T3215" s="551"/>
      <c r="U3215" s="552"/>
      <c r="V3215" s="74" t="s">
        <v>91</v>
      </c>
      <c r="Y3215" s="365" t="s">
        <v>104</v>
      </c>
      <c r="Z3215" s="94"/>
      <c r="AA3215" s="188"/>
      <c r="AB3215" s="553"/>
      <c r="AC3215" s="553"/>
      <c r="AD3215" s="553"/>
      <c r="AE3215" s="94"/>
    </row>
    <row r="3216" spans="3:31" s="260" customFormat="1" ht="15.75" thickBot="1" x14ac:dyDescent="0.3">
      <c r="C3216" s="369">
        <f>+N3216</f>
        <v>3.17</v>
      </c>
      <c r="D3216" s="86"/>
      <c r="E3216" s="86"/>
      <c r="F3216" s="86"/>
      <c r="G3216" s="86"/>
      <c r="H3216" s="86"/>
      <c r="I3216" s="86"/>
      <c r="J3216" s="86"/>
      <c r="K3216" s="370"/>
      <c r="M3216" s="75" t="s">
        <v>92</v>
      </c>
      <c r="N3216" s="371">
        <f>+ROUNDUP(N3166+0.01,2)</f>
        <v>3.17</v>
      </c>
      <c r="O3216" s="554" t="str">
        <f>IFERROR(VLOOKUP(N3216,PPTO!C:H,2,0),"----")</f>
        <v>Cabezal de prueba Ø4"xØ3"xØ3"</v>
      </c>
      <c r="P3216" s="555"/>
      <c r="Q3216" s="555"/>
      <c r="R3216" s="555"/>
      <c r="S3216" s="555"/>
      <c r="T3216" s="555"/>
      <c r="U3216" s="556"/>
      <c r="V3216" s="76" t="str">
        <f>IFERROR(VLOOKUP(N3216,PPTO!C:H,3,0),"----")</f>
        <v>UND</v>
      </c>
      <c r="Y3216" s="373">
        <f>SUMIFS(PPTO!F:F,PPTO!C:C,APUS!N3216)</f>
        <v>1</v>
      </c>
      <c r="Z3216" s="94"/>
      <c r="AA3216" s="86"/>
      <c r="AB3216" s="94"/>
      <c r="AC3216" s="94"/>
      <c r="AD3216" s="94"/>
      <c r="AE3216" s="94"/>
    </row>
    <row r="3217" spans="3:31" s="260" customFormat="1" ht="15.75" thickBot="1" x14ac:dyDescent="0.3">
      <c r="C3217" s="84"/>
      <c r="D3217" s="86"/>
      <c r="E3217" s="86"/>
      <c r="F3217" s="86"/>
      <c r="G3217" s="86"/>
      <c r="H3217" s="86"/>
      <c r="I3217" s="86"/>
      <c r="J3217" s="86"/>
      <c r="K3217" s="88"/>
      <c r="M3217" s="557"/>
      <c r="N3217" s="557"/>
      <c r="O3217" s="557"/>
      <c r="P3217" s="557"/>
      <c r="Q3217" s="557"/>
      <c r="R3217" s="557"/>
      <c r="S3217" s="557"/>
      <c r="T3217" s="557"/>
      <c r="U3217" s="557"/>
      <c r="V3217" s="557"/>
      <c r="Y3217" s="374"/>
      <c r="Z3217" s="94"/>
      <c r="AA3217" s="86"/>
      <c r="AB3217" s="94"/>
      <c r="AC3217" s="94"/>
      <c r="AD3217" s="94"/>
      <c r="AE3217" s="94"/>
    </row>
    <row r="3218" spans="3:31" s="260" customFormat="1" ht="15.75" thickBot="1" x14ac:dyDescent="0.3">
      <c r="C3218" s="84"/>
      <c r="D3218" s="375" t="s">
        <v>128</v>
      </c>
      <c r="E3218" s="376" t="s">
        <v>129</v>
      </c>
      <c r="F3218" s="376" t="s">
        <v>130</v>
      </c>
      <c r="G3218" s="376" t="s">
        <v>131</v>
      </c>
      <c r="H3218" s="376" t="s">
        <v>132</v>
      </c>
      <c r="I3218" s="376" t="s">
        <v>133</v>
      </c>
      <c r="J3218" s="377" t="s">
        <v>134</v>
      </c>
      <c r="K3218" s="88"/>
      <c r="M3218" s="558" t="s">
        <v>93</v>
      </c>
      <c r="N3218" s="559"/>
      <c r="O3218" s="559"/>
      <c r="P3218" s="559"/>
      <c r="Q3218" s="559"/>
      <c r="R3218" s="559"/>
      <c r="S3218" s="559"/>
      <c r="T3218" s="559"/>
      <c r="U3218" s="559"/>
      <c r="V3218" s="560"/>
      <c r="Y3218" s="378"/>
      <c r="Z3218" s="121"/>
      <c r="AA3218" s="86"/>
      <c r="AB3218" s="513"/>
      <c r="AC3218" s="514"/>
      <c r="AD3218" s="94"/>
      <c r="AE3218" s="379"/>
    </row>
    <row r="3219" spans="3:31" s="260" customFormat="1" x14ac:dyDescent="0.25">
      <c r="C3219" s="84"/>
      <c r="D3219" s="380"/>
      <c r="E3219" s="381"/>
      <c r="F3219" s="381"/>
      <c r="G3219" s="381"/>
      <c r="H3219" s="381"/>
      <c r="I3219" s="381"/>
      <c r="J3219" s="382"/>
      <c r="K3219" s="88"/>
      <c r="M3219" s="99" t="s">
        <v>94</v>
      </c>
      <c r="N3219" s="561" t="s">
        <v>95</v>
      </c>
      <c r="O3219" s="561"/>
      <c r="P3219" s="561"/>
      <c r="Q3219" s="561"/>
      <c r="R3219" s="95" t="s">
        <v>96</v>
      </c>
      <c r="S3219" s="95" t="s">
        <v>97</v>
      </c>
      <c r="T3219" s="562" t="s">
        <v>8</v>
      </c>
      <c r="U3219" s="562"/>
      <c r="V3219" s="100" t="s">
        <v>98</v>
      </c>
      <c r="Y3219" s="383" t="s">
        <v>104</v>
      </c>
      <c r="Z3219" s="119" t="s">
        <v>9</v>
      </c>
      <c r="AA3219" s="86"/>
      <c r="AB3219" s="384"/>
      <c r="AC3219" s="385"/>
      <c r="AD3219" s="94"/>
      <c r="AE3219" s="386"/>
    </row>
    <row r="3220" spans="3:31" s="260" customFormat="1" x14ac:dyDescent="0.25">
      <c r="C3220" s="84"/>
      <c r="D3220" s="85"/>
      <c r="E3220" s="86"/>
      <c r="F3220" s="86"/>
      <c r="G3220" s="86"/>
      <c r="H3220" s="86"/>
      <c r="I3220" s="86"/>
      <c r="J3220" s="87"/>
      <c r="K3220" s="88"/>
      <c r="M3220" s="102"/>
      <c r="N3220" s="533" t="s">
        <v>99</v>
      </c>
      <c r="O3220" s="533"/>
      <c r="P3220" s="533"/>
      <c r="Q3220" s="533"/>
      <c r="R3220" s="78" t="s">
        <v>100</v>
      </c>
      <c r="S3220" s="387">
        <f>+$AA$10</f>
        <v>0.05</v>
      </c>
      <c r="T3220" s="563">
        <f>V3249</f>
        <v>72969.5</v>
      </c>
      <c r="U3220" s="563"/>
      <c r="V3220" s="389">
        <f>+IFERROR(T3220*S3220,0)</f>
        <v>3648.4750000000004</v>
      </c>
      <c r="Y3220" s="390"/>
      <c r="Z3220" s="391">
        <f>Y3216*V3220</f>
        <v>3648.4750000000004</v>
      </c>
      <c r="AA3220" s="86"/>
      <c r="AB3220" s="384"/>
      <c r="AC3220" s="385"/>
      <c r="AD3220" s="94"/>
      <c r="AE3220" s="386" t="str">
        <f>+IF(V3220=0,"CERO","NO")</f>
        <v>NO</v>
      </c>
    </row>
    <row r="3221" spans="3:31" s="260" customFormat="1" x14ac:dyDescent="0.25">
      <c r="C3221" s="84"/>
      <c r="D3221" s="85"/>
      <c r="E3221" s="86"/>
      <c r="F3221" s="86"/>
      <c r="G3221" s="86"/>
      <c r="H3221" s="86"/>
      <c r="I3221" s="86"/>
      <c r="J3221" s="87"/>
      <c r="K3221" s="88"/>
      <c r="M3221" s="106"/>
      <c r="N3221" s="533" t="str">
        <f>IFERROR(VLOOKUP(M3221,INSUMOS!$C$8:$K$928,2,0),"-----")</f>
        <v>-----</v>
      </c>
      <c r="O3221" s="533"/>
      <c r="P3221" s="533"/>
      <c r="Q3221" s="533"/>
      <c r="R3221" s="78" t="str">
        <f>IFERROR(VLOOKUP(M3221,INSUMOS!$C$8:$K$928,6,0),"-----")</f>
        <v>-----</v>
      </c>
      <c r="S3221" s="392"/>
      <c r="T3221" s="529" t="str">
        <f>IFERROR(VLOOKUP(M3221,INSUMOS!$C$8:$K$928,7,0),"0")</f>
        <v>0</v>
      </c>
      <c r="U3221" s="529"/>
      <c r="V3221" s="389">
        <f>+IFERROR(T3221*S3221,0)</f>
        <v>0</v>
      </c>
      <c r="Y3221" s="393">
        <f>+IFERROR(Y3216*S3221,0)</f>
        <v>0</v>
      </c>
      <c r="Z3221" s="391">
        <f>Y3216*V3221</f>
        <v>0</v>
      </c>
      <c r="AA3221" s="394"/>
      <c r="AB3221" s="395">
        <f>+Y3221*T3221</f>
        <v>0</v>
      </c>
      <c r="AC3221" s="93">
        <f>+AB3221-Z3221</f>
        <v>0</v>
      </c>
      <c r="AD3221" s="94"/>
      <c r="AE3221" s="386" t="str">
        <f>+IF(V3221=0,"CERO","NO")</f>
        <v>CERO</v>
      </c>
    </row>
    <row r="3222" spans="3:31" s="260" customFormat="1" x14ac:dyDescent="0.25">
      <c r="C3222" s="84"/>
      <c r="D3222" s="85"/>
      <c r="E3222" s="86"/>
      <c r="F3222" s="86"/>
      <c r="G3222" s="86"/>
      <c r="H3222" s="86"/>
      <c r="I3222" s="86"/>
      <c r="J3222" s="87"/>
      <c r="K3222" s="88"/>
      <c r="M3222" s="102">
        <v>0</v>
      </c>
      <c r="N3222" s="533"/>
      <c r="O3222" s="533"/>
      <c r="P3222" s="533"/>
      <c r="Q3222" s="533"/>
      <c r="R3222" s="78"/>
      <c r="S3222" s="396"/>
      <c r="T3222" s="529"/>
      <c r="U3222" s="529"/>
      <c r="V3222" s="397"/>
      <c r="Y3222" s="393">
        <f>+IFERROR(Y3216*S3222,0)</f>
        <v>0</v>
      </c>
      <c r="Z3222" s="391">
        <f>Y3216*V3222</f>
        <v>0</v>
      </c>
      <c r="AA3222" s="394"/>
      <c r="AB3222" s="395">
        <f>+Y3222*T3222</f>
        <v>0</v>
      </c>
      <c r="AC3222" s="93">
        <f>+AB3222-Z3222</f>
        <v>0</v>
      </c>
      <c r="AD3222" s="94"/>
      <c r="AE3222" s="386" t="str">
        <f>+IF(V3222=0,"CERO","NO")</f>
        <v>CERO</v>
      </c>
    </row>
    <row r="3223" spans="3:31" s="260" customFormat="1" ht="15.75" thickBot="1" x14ac:dyDescent="0.3">
      <c r="C3223" s="84"/>
      <c r="D3223" s="85"/>
      <c r="E3223" s="86"/>
      <c r="F3223" s="86"/>
      <c r="G3223" s="86"/>
      <c r="H3223" s="86"/>
      <c r="I3223" s="86"/>
      <c r="J3223" s="87"/>
      <c r="K3223" s="88"/>
      <c r="M3223" s="102">
        <v>0</v>
      </c>
      <c r="N3223" s="564"/>
      <c r="O3223" s="564"/>
      <c r="P3223" s="564"/>
      <c r="Q3223" s="564"/>
      <c r="R3223" s="96"/>
      <c r="S3223" s="96"/>
      <c r="T3223" s="565"/>
      <c r="U3223" s="565"/>
      <c r="V3223" s="101"/>
      <c r="Y3223" s="393">
        <f>+IFERROR(Y3216*S3223,0)</f>
        <v>0</v>
      </c>
      <c r="Z3223" s="391">
        <f>Y3216*V3223</f>
        <v>0</v>
      </c>
      <c r="AA3223" s="394"/>
      <c r="AB3223" s="395">
        <f>+Y3223*T3223</f>
        <v>0</v>
      </c>
      <c r="AC3223" s="93">
        <f>+AB3223-Z3223</f>
        <v>0</v>
      </c>
      <c r="AD3223" s="94"/>
      <c r="AE3223" s="386" t="str">
        <f>+IF(V3223=0,"CERO","NO")</f>
        <v>CERO</v>
      </c>
    </row>
    <row r="3224" spans="3:31" s="260" customFormat="1" ht="15.75" thickBot="1" x14ac:dyDescent="0.3">
      <c r="C3224" s="84"/>
      <c r="D3224" s="375" t="s">
        <v>128</v>
      </c>
      <c r="E3224" s="376" t="s">
        <v>129</v>
      </c>
      <c r="F3224" s="376" t="s">
        <v>130</v>
      </c>
      <c r="G3224" s="376" t="s">
        <v>131</v>
      </c>
      <c r="H3224" s="376" t="s">
        <v>132</v>
      </c>
      <c r="I3224" s="376" t="s">
        <v>133</v>
      </c>
      <c r="J3224" s="377" t="s">
        <v>134</v>
      </c>
      <c r="K3224" s="88"/>
      <c r="M3224" s="534"/>
      <c r="N3224" s="536" t="s">
        <v>101</v>
      </c>
      <c r="O3224" s="536"/>
      <c r="P3224" s="536"/>
      <c r="Q3224" s="536"/>
      <c r="R3224" s="536"/>
      <c r="S3224" s="536"/>
      <c r="T3224" s="536"/>
      <c r="U3224" s="536"/>
      <c r="V3224" s="389">
        <f>+SUM(V3220:V3223)</f>
        <v>3648.4750000000004</v>
      </c>
      <c r="Y3224" s="398" t="s">
        <v>135</v>
      </c>
      <c r="Z3224" s="397">
        <f>+SUM(Z3220:Z3223)</f>
        <v>3648.4750000000004</v>
      </c>
      <c r="AA3224" s="86"/>
      <c r="AB3224" s="384"/>
      <c r="AC3224" s="385"/>
      <c r="AD3224" s="94"/>
      <c r="AE3224" s="399"/>
    </row>
    <row r="3225" spans="3:31" s="260" customFormat="1" ht="15.75" thickBot="1" x14ac:dyDescent="0.3">
      <c r="C3225" s="84"/>
      <c r="D3225" s="375">
        <f>C3216</f>
        <v>3.17</v>
      </c>
      <c r="E3225" s="376"/>
      <c r="F3225" s="376"/>
      <c r="G3225" s="376"/>
      <c r="H3225" s="376"/>
      <c r="I3225" s="376"/>
      <c r="J3225" s="377"/>
      <c r="K3225" s="88"/>
      <c r="M3225" s="566"/>
      <c r="N3225" s="567" t="s">
        <v>102</v>
      </c>
      <c r="O3225" s="567"/>
      <c r="P3225" s="567"/>
      <c r="Q3225" s="567"/>
      <c r="R3225" s="567"/>
      <c r="S3225" s="567"/>
      <c r="T3225" s="567"/>
      <c r="U3225" s="567"/>
      <c r="V3225" s="400">
        <f>+ROUND(V3224,$AA$5)</f>
        <v>3648.48</v>
      </c>
      <c r="Y3225" s="401" t="s">
        <v>136</v>
      </c>
      <c r="Z3225" s="402">
        <f>+ROUND(Z3224,$AA$5)</f>
        <v>3648.48</v>
      </c>
      <c r="AA3225" s="86"/>
      <c r="AB3225" s="403">
        <f>+V3225*Y3216</f>
        <v>3648.48</v>
      </c>
      <c r="AC3225" s="404">
        <f>+AB3225-Z3225</f>
        <v>0</v>
      </c>
      <c r="AD3225" s="94"/>
      <c r="AE3225" s="405"/>
    </row>
    <row r="3226" spans="3:31" s="260" customFormat="1" x14ac:dyDescent="0.25">
      <c r="C3226" s="84"/>
      <c r="D3226" s="380"/>
      <c r="E3226" s="381"/>
      <c r="F3226" s="381"/>
      <c r="G3226" s="381"/>
      <c r="H3226" s="381"/>
      <c r="I3226" s="381"/>
      <c r="J3226" s="382"/>
      <c r="K3226" s="88"/>
      <c r="M3226" s="510" t="s">
        <v>103</v>
      </c>
      <c r="N3226" s="511"/>
      <c r="O3226" s="511"/>
      <c r="P3226" s="511"/>
      <c r="Q3226" s="511"/>
      <c r="R3226" s="511"/>
      <c r="S3226" s="511"/>
      <c r="T3226" s="511"/>
      <c r="U3226" s="511"/>
      <c r="V3226" s="512"/>
      <c r="Y3226" s="378"/>
      <c r="Z3226" s="121"/>
      <c r="AA3226" s="86"/>
      <c r="AB3226" s="513"/>
      <c r="AC3226" s="514"/>
      <c r="AD3226" s="94"/>
      <c r="AE3226" s="126"/>
    </row>
    <row r="3227" spans="3:31" s="260" customFormat="1" x14ac:dyDescent="0.25">
      <c r="C3227" s="84"/>
      <c r="D3227" s="85"/>
      <c r="E3227" s="86"/>
      <c r="F3227" s="86"/>
      <c r="G3227" s="86"/>
      <c r="H3227" s="86"/>
      <c r="I3227" s="86"/>
      <c r="J3227" s="87"/>
      <c r="K3227" s="88"/>
      <c r="M3227" s="99" t="s">
        <v>94</v>
      </c>
      <c r="N3227" s="561" t="s">
        <v>95</v>
      </c>
      <c r="O3227" s="561"/>
      <c r="P3227" s="561"/>
      <c r="Q3227" s="561"/>
      <c r="R3227" s="95" t="s">
        <v>96</v>
      </c>
      <c r="S3227" s="95" t="s">
        <v>104</v>
      </c>
      <c r="T3227" s="356" t="s">
        <v>105</v>
      </c>
      <c r="U3227" s="356" t="s">
        <v>8</v>
      </c>
      <c r="V3227" s="100" t="s">
        <v>98</v>
      </c>
      <c r="Y3227" s="383" t="s">
        <v>104</v>
      </c>
      <c r="Z3227" s="119" t="s">
        <v>9</v>
      </c>
      <c r="AA3227" s="86"/>
      <c r="AB3227" s="384"/>
      <c r="AC3227" s="385"/>
      <c r="AD3227" s="94"/>
      <c r="AE3227" s="406"/>
    </row>
    <row r="3228" spans="3:31" s="260" customFormat="1" x14ac:dyDescent="0.25">
      <c r="C3228" s="84"/>
      <c r="D3228" s="85"/>
      <c r="E3228" s="86"/>
      <c r="F3228" s="86"/>
      <c r="G3228" s="86"/>
      <c r="H3228" s="86"/>
      <c r="I3228" s="86"/>
      <c r="J3228" s="87"/>
      <c r="K3228" s="88"/>
      <c r="M3228" s="102">
        <v>887</v>
      </c>
      <c r="N3228" s="533" t="str">
        <f>IFERROR(VLOOKUP(M3228,INSUMOS!$C$8:$K$928,2,0),"-----")</f>
        <v>CABEZAL DE PRUEBA Ø4"XØ3"XØ3" MAS VALVULAS</v>
      </c>
      <c r="O3228" s="533"/>
      <c r="P3228" s="533"/>
      <c r="Q3228" s="533"/>
      <c r="R3228" s="78" t="str">
        <f>IFERROR(VLOOKUP(M3228,INSUMOS!$C$8:$K$928,6,0),"-----")</f>
        <v>und</v>
      </c>
      <c r="S3228" s="396">
        <v>1</v>
      </c>
      <c r="T3228" s="387">
        <v>0</v>
      </c>
      <c r="U3228" s="388">
        <f>IFERROR(VLOOKUP(M3228,INSUMOS!$C$8:$K$928,7,0),"0")</f>
        <v>1401141.7</v>
      </c>
      <c r="V3228" s="389">
        <f>+IFERROR(U3228*(S3228*(1+T3228)),0)</f>
        <v>1401141.7</v>
      </c>
      <c r="Y3228" s="393">
        <f>+IFERROR($Y$3216*(S3228*(1+T3228)),0)</f>
        <v>1</v>
      </c>
      <c r="Z3228" s="391">
        <f>$Y$3216*V3228</f>
        <v>1401141.7</v>
      </c>
      <c r="AA3228" s="394"/>
      <c r="AB3228" s="395">
        <f>+Y3228*U3228</f>
        <v>1401141.7</v>
      </c>
      <c r="AC3228" s="93">
        <f>+AB3228-Z3228</f>
        <v>0</v>
      </c>
      <c r="AD3228" s="94"/>
      <c r="AE3228" s="406" t="str">
        <f>+IF(V3228=0,"CERO","NO")</f>
        <v>NO</v>
      </c>
    </row>
    <row r="3229" spans="3:31" s="260" customFormat="1" x14ac:dyDescent="0.25">
      <c r="C3229" s="84"/>
      <c r="D3229" s="85"/>
      <c r="E3229" s="86"/>
      <c r="F3229" s="86"/>
      <c r="G3229" s="86"/>
      <c r="H3229" s="86"/>
      <c r="I3229" s="86"/>
      <c r="J3229" s="87"/>
      <c r="K3229" s="88"/>
      <c r="M3229" s="102"/>
      <c r="N3229" s="533" t="str">
        <f>IFERROR(VLOOKUP(M3229,INSUMOS!$C$8:$K$928,2,0),"-----")</f>
        <v>-----</v>
      </c>
      <c r="O3229" s="533"/>
      <c r="P3229" s="533"/>
      <c r="Q3229" s="533"/>
      <c r="R3229" s="78" t="str">
        <f>IFERROR(VLOOKUP(M3229,INSUMOS!$C$8:$K$928,6,0),"-----")</f>
        <v>-----</v>
      </c>
      <c r="S3229" s="396"/>
      <c r="T3229" s="387"/>
      <c r="U3229" s="388" t="str">
        <f>IFERROR(VLOOKUP(M3229,INSUMOS!$C$8:$K$928,7,0),"0")</f>
        <v>0</v>
      </c>
      <c r="V3229" s="389">
        <f>+IFERROR(U3229*(S3229*(1+T3229)),0)</f>
        <v>0</v>
      </c>
      <c r="Y3229" s="393">
        <f t="shared" ref="Y3229:Y3233" si="26">+IFERROR($Y$3216*(S3229*(1+T3229)),0)</f>
        <v>0</v>
      </c>
      <c r="Z3229" s="391">
        <f t="shared" ref="Z3229:Z3233" si="27">$Y$3216*V3229</f>
        <v>0</v>
      </c>
      <c r="AA3229" s="394"/>
      <c r="AB3229" s="395">
        <f>+Y3229*U3229</f>
        <v>0</v>
      </c>
      <c r="AC3229" s="93">
        <f>+AB3229-Z3229</f>
        <v>0</v>
      </c>
      <c r="AD3229" s="94"/>
      <c r="AE3229" s="406" t="str">
        <f>+IF(V3229=0,"CERO","NO")</f>
        <v>CERO</v>
      </c>
    </row>
    <row r="3230" spans="3:31" s="260" customFormat="1" x14ac:dyDescent="0.25">
      <c r="C3230" s="84"/>
      <c r="D3230" s="85"/>
      <c r="E3230" s="86"/>
      <c r="F3230" s="86"/>
      <c r="G3230" s="86"/>
      <c r="H3230" s="86"/>
      <c r="I3230" s="86"/>
      <c r="J3230" s="87"/>
      <c r="K3230" s="88"/>
      <c r="M3230" s="102"/>
      <c r="N3230" s="533" t="str">
        <f>IFERROR(VLOOKUP(M3230,INSUMOS!$C$8:$K$928,2,0),"-----")</f>
        <v>-----</v>
      </c>
      <c r="O3230" s="533"/>
      <c r="P3230" s="533"/>
      <c r="Q3230" s="533"/>
      <c r="R3230" s="78" t="str">
        <f>IFERROR(VLOOKUP(M3230,INSUMOS!$C$8:$K$928,6,0),"-----")</f>
        <v>-----</v>
      </c>
      <c r="S3230" s="396"/>
      <c r="T3230" s="387"/>
      <c r="U3230" s="388" t="str">
        <f>IFERROR(VLOOKUP(M3230,INSUMOS!$C$8:$K$928,7,0),"0")</f>
        <v>0</v>
      </c>
      <c r="V3230" s="389">
        <f>+IFERROR(U3230*(S3230*(1+T3230)),0)</f>
        <v>0</v>
      </c>
      <c r="Y3230" s="393">
        <f t="shared" si="26"/>
        <v>0</v>
      </c>
      <c r="Z3230" s="391">
        <f t="shared" si="27"/>
        <v>0</v>
      </c>
      <c r="AA3230" s="394"/>
      <c r="AB3230" s="395">
        <f>+Y3230*U3230</f>
        <v>0</v>
      </c>
      <c r="AC3230" s="93">
        <f>+AB3230-Z3230</f>
        <v>0</v>
      </c>
      <c r="AD3230" s="94"/>
      <c r="AE3230" s="406" t="str">
        <f>+IF(V3230=0,"CERO","NO")</f>
        <v>CERO</v>
      </c>
    </row>
    <row r="3231" spans="3:31" s="260" customFormat="1" x14ac:dyDescent="0.25">
      <c r="C3231" s="84"/>
      <c r="D3231" s="85"/>
      <c r="E3231" s="86"/>
      <c r="F3231" s="86"/>
      <c r="G3231" s="86"/>
      <c r="H3231" s="86"/>
      <c r="I3231" s="86"/>
      <c r="J3231" s="87"/>
      <c r="K3231" s="88"/>
      <c r="M3231" s="102"/>
      <c r="N3231" s="533" t="str">
        <f>IFERROR(VLOOKUP(M3231,INSUMOS!$C$8:$K$928,2,0),"-----")</f>
        <v>-----</v>
      </c>
      <c r="O3231" s="533"/>
      <c r="P3231" s="533"/>
      <c r="Q3231" s="533"/>
      <c r="R3231" s="78" t="str">
        <f>IFERROR(VLOOKUP(M3231,INSUMOS!$C$8:$K$928,6,0),"-----")</f>
        <v>-----</v>
      </c>
      <c r="S3231" s="396"/>
      <c r="T3231" s="387"/>
      <c r="U3231" s="388" t="str">
        <f>IFERROR(VLOOKUP(M3231,INSUMOS!$C$8:$K$928,7,0),"0")</f>
        <v>0</v>
      </c>
      <c r="V3231" s="389">
        <f>+IFERROR(U3231*(S3231*(1+T3231)),0)</f>
        <v>0</v>
      </c>
      <c r="Y3231" s="393">
        <f t="shared" si="26"/>
        <v>0</v>
      </c>
      <c r="Z3231" s="391">
        <f t="shared" si="27"/>
        <v>0</v>
      </c>
      <c r="AA3231" s="394"/>
      <c r="AB3231" s="395">
        <f>+Y3231*U3231</f>
        <v>0</v>
      </c>
      <c r="AC3231" s="93">
        <f>+AB3231-Z3231</f>
        <v>0</v>
      </c>
      <c r="AD3231" s="94"/>
      <c r="AE3231" s="406" t="str">
        <f>+IF(V3231=0,"CERO","NO")</f>
        <v>CERO</v>
      </c>
    </row>
    <row r="3232" spans="3:31" s="260" customFormat="1" x14ac:dyDescent="0.25">
      <c r="C3232" s="84"/>
      <c r="D3232" s="85"/>
      <c r="E3232" s="86"/>
      <c r="F3232" s="86"/>
      <c r="G3232" s="86"/>
      <c r="H3232" s="86"/>
      <c r="I3232" s="86"/>
      <c r="J3232" s="87"/>
      <c r="K3232" s="88"/>
      <c r="M3232" s="102"/>
      <c r="N3232" s="533" t="str">
        <f>IFERROR(VLOOKUP(M3232,INSUMOS!$C$8:$K$928,2,0),"-----")</f>
        <v>-----</v>
      </c>
      <c r="O3232" s="533"/>
      <c r="P3232" s="533"/>
      <c r="Q3232" s="533"/>
      <c r="R3232" s="78" t="str">
        <f>IFERROR(VLOOKUP(M3232,INSUMOS!$C$8:$K$928,6,0),"-----")</f>
        <v>-----</v>
      </c>
      <c r="S3232" s="396"/>
      <c r="T3232" s="387"/>
      <c r="U3232" s="388" t="str">
        <f>IFERROR(VLOOKUP(M3232,INSUMOS!$C$8:$K$928,7,0),"0")</f>
        <v>0</v>
      </c>
      <c r="V3232" s="389">
        <f t="shared" ref="V3232:V3233" si="28">+IFERROR(U3232*(S3232*(1+T3232)),0)</f>
        <v>0</v>
      </c>
      <c r="Y3232" s="393">
        <f t="shared" si="26"/>
        <v>0</v>
      </c>
      <c r="Z3232" s="391">
        <f t="shared" si="27"/>
        <v>0</v>
      </c>
      <c r="AA3232" s="394"/>
      <c r="AB3232" s="395">
        <f t="shared" ref="AB3232" si="29">+Y3232*U3232</f>
        <v>0</v>
      </c>
      <c r="AC3232" s="93">
        <f t="shared" ref="AC3232" si="30">+AB3232-Z3232</f>
        <v>0</v>
      </c>
      <c r="AD3232" s="94"/>
      <c r="AE3232" s="406" t="str">
        <f t="shared" ref="AE3232" si="31">+IF(V3232=0,"CERO","NO")</f>
        <v>CERO</v>
      </c>
    </row>
    <row r="3233" spans="3:31" s="260" customFormat="1" ht="15.75" thickBot="1" x14ac:dyDescent="0.3">
      <c r="C3233" s="84"/>
      <c r="D3233" s="85"/>
      <c r="E3233" s="86"/>
      <c r="F3233" s="86"/>
      <c r="G3233" s="86"/>
      <c r="H3233" s="86"/>
      <c r="I3233" s="86"/>
      <c r="J3233" s="87"/>
      <c r="K3233" s="88"/>
      <c r="M3233" s="102"/>
      <c r="N3233" s="533" t="str">
        <f>IFERROR(VLOOKUP(M3233,INSUMOS!$C$8:$K$928,2,0),"-----")</f>
        <v>-----</v>
      </c>
      <c r="O3233" s="533"/>
      <c r="P3233" s="533"/>
      <c r="Q3233" s="533"/>
      <c r="R3233" s="78" t="str">
        <f>IFERROR(VLOOKUP(M3233,INSUMOS!$C$8:$K$928,6,0),"-----")</f>
        <v>-----</v>
      </c>
      <c r="S3233" s="396"/>
      <c r="T3233" s="387"/>
      <c r="U3233" s="388" t="str">
        <f>IFERROR(VLOOKUP(M3233,INSUMOS!$C$8:$K$928,7,0),"0")</f>
        <v>0</v>
      </c>
      <c r="V3233" s="389">
        <f t="shared" si="28"/>
        <v>0</v>
      </c>
      <c r="Y3233" s="393">
        <f t="shared" si="26"/>
        <v>0</v>
      </c>
      <c r="Z3233" s="391">
        <f t="shared" si="27"/>
        <v>0</v>
      </c>
      <c r="AA3233" s="394"/>
      <c r="AB3233" s="395">
        <f>+Y3233*U3233</f>
        <v>0</v>
      </c>
      <c r="AC3233" s="93">
        <f>+AB3233-Z3233</f>
        <v>0</v>
      </c>
      <c r="AD3233" s="94"/>
      <c r="AE3233" s="406" t="str">
        <f>+IF(V3233=0,"CERO","NO")</f>
        <v>CERO</v>
      </c>
    </row>
    <row r="3234" spans="3:31" s="260" customFormat="1" ht="15.75" thickBot="1" x14ac:dyDescent="0.3">
      <c r="C3234" s="84"/>
      <c r="D3234" s="375" t="s">
        <v>128</v>
      </c>
      <c r="E3234" s="376" t="s">
        <v>129</v>
      </c>
      <c r="F3234" s="376" t="s">
        <v>130</v>
      </c>
      <c r="G3234" s="376" t="s">
        <v>131</v>
      </c>
      <c r="H3234" s="376" t="s">
        <v>132</v>
      </c>
      <c r="I3234" s="376" t="s">
        <v>133</v>
      </c>
      <c r="J3234" s="377" t="s">
        <v>134</v>
      </c>
      <c r="K3234" s="88"/>
      <c r="M3234" s="534"/>
      <c r="N3234" s="536" t="s">
        <v>106</v>
      </c>
      <c r="O3234" s="536"/>
      <c r="P3234" s="536"/>
      <c r="Q3234" s="536"/>
      <c r="R3234" s="536"/>
      <c r="S3234" s="536"/>
      <c r="T3234" s="536"/>
      <c r="U3234" s="536"/>
      <c r="V3234" s="389">
        <f>+SUM(V3228:V3233)</f>
        <v>1401141.7</v>
      </c>
      <c r="Y3234" s="398" t="s">
        <v>135</v>
      </c>
      <c r="Z3234" s="397">
        <f>+SUM(Z3228:Z3233)</f>
        <v>1401141.7</v>
      </c>
      <c r="AA3234" s="86"/>
      <c r="AB3234" s="384"/>
      <c r="AC3234" s="385"/>
      <c r="AD3234" s="94"/>
      <c r="AE3234" s="399"/>
    </row>
    <row r="3235" spans="3:31" s="260" customFormat="1" ht="15.75" thickBot="1" x14ac:dyDescent="0.3">
      <c r="C3235" s="84"/>
      <c r="D3235" s="375"/>
      <c r="E3235" s="407">
        <f>+D3225</f>
        <v>3.17</v>
      </c>
      <c r="F3235" s="376"/>
      <c r="G3235" s="376"/>
      <c r="H3235" s="376"/>
      <c r="I3235" s="376"/>
      <c r="J3235" s="377"/>
      <c r="K3235" s="88"/>
      <c r="M3235" s="535"/>
      <c r="N3235" s="537" t="s">
        <v>107</v>
      </c>
      <c r="O3235" s="537"/>
      <c r="P3235" s="537"/>
      <c r="Q3235" s="537"/>
      <c r="R3235" s="537"/>
      <c r="S3235" s="537"/>
      <c r="T3235" s="537"/>
      <c r="U3235" s="537"/>
      <c r="V3235" s="408">
        <f>+ROUND(V3234,$AA$5)</f>
        <v>1401141.7</v>
      </c>
      <c r="Y3235" s="401" t="s">
        <v>136</v>
      </c>
      <c r="Z3235" s="402">
        <f>+ROUND(Z3234,$AA$5)</f>
        <v>1401141.7</v>
      </c>
      <c r="AA3235" s="86"/>
      <c r="AB3235" s="403">
        <f>+V3235*Y3216</f>
        <v>1401141.7</v>
      </c>
      <c r="AC3235" s="404">
        <f>+AB3235-Z3235</f>
        <v>0</v>
      </c>
      <c r="AD3235" s="94"/>
      <c r="AE3235" s="405"/>
    </row>
    <row r="3236" spans="3:31" s="260" customFormat="1" x14ac:dyDescent="0.25">
      <c r="C3236" s="84"/>
      <c r="D3236" s="380"/>
      <c r="E3236" s="381"/>
      <c r="F3236" s="381"/>
      <c r="G3236" s="381"/>
      <c r="H3236" s="381"/>
      <c r="I3236" s="381"/>
      <c r="J3236" s="382"/>
      <c r="K3236" s="88"/>
      <c r="M3236" s="568" t="s">
        <v>108</v>
      </c>
      <c r="N3236" s="569"/>
      <c r="O3236" s="569"/>
      <c r="P3236" s="569"/>
      <c r="Q3236" s="569"/>
      <c r="R3236" s="569"/>
      <c r="S3236" s="569"/>
      <c r="T3236" s="569"/>
      <c r="U3236" s="569"/>
      <c r="V3236" s="570"/>
      <c r="Y3236" s="378"/>
      <c r="Z3236" s="121"/>
      <c r="AA3236" s="86"/>
      <c r="AB3236" s="409"/>
      <c r="AC3236" s="121"/>
      <c r="AD3236" s="94"/>
      <c r="AE3236" s="126"/>
    </row>
    <row r="3237" spans="3:31" s="260" customFormat="1" ht="25.5" x14ac:dyDescent="0.25">
      <c r="C3237" s="84"/>
      <c r="D3237" s="85"/>
      <c r="E3237" s="86"/>
      <c r="F3237" s="86"/>
      <c r="G3237" s="86"/>
      <c r="H3237" s="86"/>
      <c r="I3237" s="86"/>
      <c r="J3237" s="87"/>
      <c r="K3237" s="88"/>
      <c r="M3237" s="99" t="s">
        <v>94</v>
      </c>
      <c r="N3237" s="561" t="s">
        <v>95</v>
      </c>
      <c r="O3237" s="561"/>
      <c r="P3237" s="561"/>
      <c r="Q3237" s="95" t="s">
        <v>109</v>
      </c>
      <c r="R3237" s="95" t="s">
        <v>110</v>
      </c>
      <c r="S3237" s="95" t="s">
        <v>111</v>
      </c>
      <c r="T3237" s="562" t="s">
        <v>112</v>
      </c>
      <c r="U3237" s="562"/>
      <c r="V3237" s="100" t="s">
        <v>98</v>
      </c>
      <c r="Y3237" s="383" t="s">
        <v>104</v>
      </c>
      <c r="Z3237" s="119" t="s">
        <v>9</v>
      </c>
      <c r="AA3237" s="86"/>
      <c r="AB3237" s="384"/>
      <c r="AC3237" s="385"/>
      <c r="AD3237" s="94"/>
      <c r="AE3237" s="410"/>
    </row>
    <row r="3238" spans="3:31" s="260" customFormat="1" x14ac:dyDescent="0.25">
      <c r="C3238" s="84"/>
      <c r="D3238" s="85"/>
      <c r="E3238" s="86"/>
      <c r="F3238" s="86"/>
      <c r="G3238" s="86"/>
      <c r="H3238" s="86"/>
      <c r="I3238" s="86"/>
      <c r="J3238" s="87"/>
      <c r="K3238" s="88"/>
      <c r="M3238" s="102">
        <v>129</v>
      </c>
      <c r="N3238" s="530" t="str">
        <f>IFERROR(VLOOKUP(M3238,INSUMOS!$C$8:$K$928,2,0),"-----")</f>
        <v>transporte materiales en general</v>
      </c>
      <c r="O3238" s="531"/>
      <c r="P3238" s="532"/>
      <c r="Q3238" s="78" t="str">
        <f>IFERROR(VLOOKUP(M3238,INSUMOS!$C$8:$K$928,5,0),"-----")</f>
        <v>Km</v>
      </c>
      <c r="R3238" s="80">
        <v>1</v>
      </c>
      <c r="S3238" s="80">
        <f>IFERROR(VLOOKUP(M3238,INSUMOS!$C$8:$K$928,6,0),"0")</f>
        <v>348</v>
      </c>
      <c r="T3238" s="529">
        <f>IFERROR(VLOOKUP(M3238,INSUMOS!$C$8:$K$928,7,0),"0")</f>
        <v>0.99776362060288992</v>
      </c>
      <c r="U3238" s="529"/>
      <c r="V3238" s="82">
        <f>+T3238*S3238*R3238</f>
        <v>347.2217399698057</v>
      </c>
      <c r="Y3238" s="393">
        <f>+IFERROR((R3238*S3238)*Y3216,0)</f>
        <v>348</v>
      </c>
      <c r="Z3238" s="391">
        <f>Y3216*V3238</f>
        <v>347.2217399698057</v>
      </c>
      <c r="AA3238" s="86"/>
      <c r="AB3238" s="92">
        <f>+Y3238*T3238</f>
        <v>347.2217399698057</v>
      </c>
      <c r="AC3238" s="93">
        <f>+AB3238-Z3238</f>
        <v>0</v>
      </c>
      <c r="AD3238" s="94"/>
      <c r="AE3238" s="406" t="str">
        <f>+IF(V3238=0,"CERO","NO")</f>
        <v>NO</v>
      </c>
    </row>
    <row r="3239" spans="3:31" s="260" customFormat="1" x14ac:dyDescent="0.25">
      <c r="C3239" s="84"/>
      <c r="D3239" s="85"/>
      <c r="E3239" s="86"/>
      <c r="F3239" s="86"/>
      <c r="G3239" s="86"/>
      <c r="H3239" s="86"/>
      <c r="I3239" s="86"/>
      <c r="J3239" s="87"/>
      <c r="K3239" s="88"/>
      <c r="M3239" s="102">
        <v>0</v>
      </c>
      <c r="N3239" s="530" t="str">
        <f>IFERROR(VLOOKUP(M3239,INSUMOS!$C$8:$K$928,2,0),"-----")</f>
        <v>-----</v>
      </c>
      <c r="O3239" s="531"/>
      <c r="P3239" s="532"/>
      <c r="Q3239" s="78" t="str">
        <f>IFERROR(VLOOKUP(M3239,INSUMOS!$C$8:$K$928,5,0),"-----")</f>
        <v>-----</v>
      </c>
      <c r="R3239" s="80"/>
      <c r="S3239" s="80" t="str">
        <f>IFERROR(VLOOKUP(M3239,INSUMOS!$C$8:$K$928,6,0),"0")</f>
        <v>0</v>
      </c>
      <c r="T3239" s="529" t="str">
        <f>IFERROR(VLOOKUP(M3239,INSUMOS!$C$8:$K$928,7,0),"0")</f>
        <v>0</v>
      </c>
      <c r="U3239" s="529"/>
      <c r="V3239" s="82">
        <f>+T3239*S3239*R3239</f>
        <v>0</v>
      </c>
      <c r="Y3239" s="393">
        <f>+IFERROR((R3239*S3239)*Y3216,0)</f>
        <v>0</v>
      </c>
      <c r="Z3239" s="391">
        <f>Y3216*V3239</f>
        <v>0</v>
      </c>
      <c r="AA3239" s="86"/>
      <c r="AB3239" s="92">
        <f>+Y3239*T3239</f>
        <v>0</v>
      </c>
      <c r="AC3239" s="93">
        <f>+AB3239-Z3239</f>
        <v>0</v>
      </c>
      <c r="AD3239" s="94"/>
      <c r="AE3239" s="406" t="str">
        <f>+IF(V3239=0,"CERO","NO")</f>
        <v>CERO</v>
      </c>
    </row>
    <row r="3240" spans="3:31" s="260" customFormat="1" ht="15.75" thickBot="1" x14ac:dyDescent="0.3">
      <c r="C3240" s="84"/>
      <c r="D3240" s="85"/>
      <c r="E3240" s="86"/>
      <c r="F3240" s="86"/>
      <c r="G3240" s="86"/>
      <c r="H3240" s="86"/>
      <c r="I3240" s="86"/>
      <c r="J3240" s="87"/>
      <c r="K3240" s="88"/>
      <c r="M3240" s="102">
        <v>0</v>
      </c>
      <c r="N3240" s="530" t="str">
        <f>IFERROR(VLOOKUP(M3240,INSUMOS!$C$8:$K$928,2,0),"-----")</f>
        <v>-----</v>
      </c>
      <c r="O3240" s="531"/>
      <c r="P3240" s="532"/>
      <c r="Q3240" s="78" t="str">
        <f>IFERROR(VLOOKUP(M3240,INSUMOS!$C$8:$K$928,5,0),"-----")</f>
        <v>-----</v>
      </c>
      <c r="R3240" s="80"/>
      <c r="S3240" s="80" t="str">
        <f>IFERROR(VLOOKUP(M3240,INSUMOS!$C$8:$K$928,6,0),"0")</f>
        <v>0</v>
      </c>
      <c r="T3240" s="529" t="str">
        <f>IFERROR(VLOOKUP(M3240,INSUMOS!$C$8:$K$928,7,0),"0")</f>
        <v>0</v>
      </c>
      <c r="U3240" s="529"/>
      <c r="V3240" s="82">
        <f>+T3240*S3240*R3240</f>
        <v>0</v>
      </c>
      <c r="Y3240" s="393">
        <f>+IFERROR((R3240*S3240)*Y3216,0)</f>
        <v>0</v>
      </c>
      <c r="Z3240" s="391">
        <f>Y3216*V3240</f>
        <v>0</v>
      </c>
      <c r="AA3240" s="86"/>
      <c r="AB3240" s="92">
        <f>+Y3240*T3240</f>
        <v>0</v>
      </c>
      <c r="AC3240" s="93">
        <f>+AB3240-Z3240</f>
        <v>0</v>
      </c>
      <c r="AD3240" s="94"/>
      <c r="AE3240" s="406" t="str">
        <f>+IF(V3240=0,"CERO","NO")</f>
        <v>CERO</v>
      </c>
    </row>
    <row r="3241" spans="3:31" s="260" customFormat="1" ht="15.75" thickBot="1" x14ac:dyDescent="0.3">
      <c r="C3241" s="84"/>
      <c r="D3241" s="375" t="s">
        <v>128</v>
      </c>
      <c r="E3241" s="376" t="s">
        <v>129</v>
      </c>
      <c r="F3241" s="376" t="s">
        <v>130</v>
      </c>
      <c r="G3241" s="376" t="s">
        <v>131</v>
      </c>
      <c r="H3241" s="376" t="s">
        <v>132</v>
      </c>
      <c r="I3241" s="376" t="s">
        <v>133</v>
      </c>
      <c r="J3241" s="377" t="s">
        <v>134</v>
      </c>
      <c r="K3241" s="88"/>
      <c r="M3241" s="534"/>
      <c r="N3241" s="536" t="s">
        <v>113</v>
      </c>
      <c r="O3241" s="536"/>
      <c r="P3241" s="536"/>
      <c r="Q3241" s="536"/>
      <c r="R3241" s="536"/>
      <c r="S3241" s="536"/>
      <c r="T3241" s="536"/>
      <c r="U3241" s="536"/>
      <c r="V3241" s="411">
        <f>+SUM(V3238:V3240)</f>
        <v>347.2217399698057</v>
      </c>
      <c r="Y3241" s="398" t="s">
        <v>135</v>
      </c>
      <c r="Z3241" s="397">
        <f>+SUM(Z3238:Z3240)</f>
        <v>347.2217399698057</v>
      </c>
      <c r="AA3241" s="86"/>
      <c r="AB3241" s="384"/>
      <c r="AC3241" s="385"/>
      <c r="AD3241" s="94"/>
      <c r="AE3241" s="399"/>
    </row>
    <row r="3242" spans="3:31" s="260" customFormat="1" ht="15.75" thickBot="1" x14ac:dyDescent="0.3">
      <c r="C3242" s="84"/>
      <c r="D3242" s="355"/>
      <c r="E3242" s="367"/>
      <c r="F3242" s="412">
        <f>+E3235</f>
        <v>3.17</v>
      </c>
      <c r="G3242" s="367"/>
      <c r="H3242" s="367"/>
      <c r="I3242" s="367"/>
      <c r="J3242" s="368"/>
      <c r="K3242" s="88"/>
      <c r="M3242" s="535"/>
      <c r="N3242" s="537" t="s">
        <v>114</v>
      </c>
      <c r="O3242" s="537"/>
      <c r="P3242" s="537"/>
      <c r="Q3242" s="537"/>
      <c r="R3242" s="537"/>
      <c r="S3242" s="537"/>
      <c r="T3242" s="537"/>
      <c r="U3242" s="537"/>
      <c r="V3242" s="413">
        <f>+ROUND(V3241,$AA$5)</f>
        <v>347.22</v>
      </c>
      <c r="Y3242" s="401" t="s">
        <v>136</v>
      </c>
      <c r="Z3242" s="402">
        <f>+ROUND(Z3241,$AA$5)</f>
        <v>347.22</v>
      </c>
      <c r="AA3242" s="86"/>
      <c r="AB3242" s="403">
        <f>+V3242*Y3216</f>
        <v>347.22</v>
      </c>
      <c r="AC3242" s="414"/>
      <c r="AD3242" s="94"/>
      <c r="AE3242" s="405"/>
    </row>
    <row r="3243" spans="3:31" s="260" customFormat="1" ht="15.75" thickBot="1" x14ac:dyDescent="0.3">
      <c r="C3243" s="84"/>
      <c r="D3243" s="415"/>
      <c r="E3243" s="416"/>
      <c r="F3243" s="416"/>
      <c r="G3243" s="416"/>
      <c r="H3243" s="416"/>
      <c r="I3243" s="416"/>
      <c r="J3243" s="417"/>
      <c r="K3243" s="88"/>
      <c r="M3243" s="538" t="s">
        <v>115</v>
      </c>
      <c r="N3243" s="539"/>
      <c r="O3243" s="539"/>
      <c r="P3243" s="539"/>
      <c r="Q3243" s="539"/>
      <c r="R3243" s="539"/>
      <c r="S3243" s="539"/>
      <c r="T3243" s="539"/>
      <c r="U3243" s="539"/>
      <c r="V3243" s="540"/>
      <c r="Y3243" s="378"/>
      <c r="Z3243" s="121"/>
      <c r="AA3243" s="86"/>
      <c r="AB3243" s="409"/>
      <c r="AC3243" s="121"/>
      <c r="AD3243" s="94"/>
      <c r="AE3243" s="126"/>
    </row>
    <row r="3244" spans="3:31" s="260" customFormat="1" ht="15.75" thickBot="1" x14ac:dyDescent="0.3">
      <c r="C3244" s="84"/>
      <c r="D3244" s="375" t="s">
        <v>128</v>
      </c>
      <c r="E3244" s="376" t="s">
        <v>129</v>
      </c>
      <c r="F3244" s="376" t="s">
        <v>130</v>
      </c>
      <c r="G3244" s="376" t="s">
        <v>131</v>
      </c>
      <c r="H3244" s="376" t="s">
        <v>132</v>
      </c>
      <c r="I3244" s="376" t="s">
        <v>133</v>
      </c>
      <c r="J3244" s="377" t="s">
        <v>134</v>
      </c>
      <c r="K3244" s="88"/>
      <c r="M3244" s="99" t="s">
        <v>94</v>
      </c>
      <c r="N3244" s="98" t="s">
        <v>95</v>
      </c>
      <c r="O3244" s="95" t="s">
        <v>96</v>
      </c>
      <c r="P3244" s="359" t="s">
        <v>104</v>
      </c>
      <c r="Q3244" s="95" t="s">
        <v>116</v>
      </c>
      <c r="R3244" s="418" t="s">
        <v>117</v>
      </c>
      <c r="S3244" s="95" t="s">
        <v>347</v>
      </c>
      <c r="T3244" s="419" t="s">
        <v>118</v>
      </c>
      <c r="U3244" s="189" t="s">
        <v>119</v>
      </c>
      <c r="V3244" s="100" t="s">
        <v>98</v>
      </c>
      <c r="Y3244" s="383" t="s">
        <v>104</v>
      </c>
      <c r="Z3244" s="119" t="s">
        <v>9</v>
      </c>
      <c r="AA3244" s="86"/>
      <c r="AB3244" s="384"/>
      <c r="AC3244" s="385"/>
      <c r="AD3244" s="94"/>
      <c r="AE3244" s="410"/>
    </row>
    <row r="3245" spans="3:31" s="260" customFormat="1" ht="26.25" thickBot="1" x14ac:dyDescent="0.3">
      <c r="C3245" s="84"/>
      <c r="D3245" s="354"/>
      <c r="E3245" s="96"/>
      <c r="F3245" s="96"/>
      <c r="G3245" s="96"/>
      <c r="H3245" s="96"/>
      <c r="I3245" s="96"/>
      <c r="J3245" s="420">
        <f>+F3242</f>
        <v>3.17</v>
      </c>
      <c r="K3245" s="88"/>
      <c r="M3245" s="102">
        <v>207</v>
      </c>
      <c r="N3245" s="347" t="str">
        <f>IFERROR(VLOOKUP(M3245,INSUMOS!$C$8:$K$928,2,0),"-----")</f>
        <v>Oficial Hidrosanitario</v>
      </c>
      <c r="O3245" s="78" t="str">
        <f>IFERROR(VLOOKUP(M3245,INSUMOS!$C$8:$K$928,3,0),"-----")</f>
        <v>JORNAL+PS</v>
      </c>
      <c r="P3245" s="80">
        <v>1</v>
      </c>
      <c r="Q3245" s="79">
        <v>4</v>
      </c>
      <c r="R3245" s="190">
        <f>IFERROR(VLOOKUP(M3245,INSUMOS!$C$8:$K$928,4,0),"-----")</f>
        <v>92983</v>
      </c>
      <c r="S3245" s="190">
        <f>IFERROR(VLOOKUP(M3245,INSUMOS!$C$8:$K$928,6,0),"-----")</f>
        <v>74386</v>
      </c>
      <c r="T3245" s="190">
        <f>IFERROR(VLOOKUP(M3245,INSUMOS!$C$8:$K$928,5,0),"-----")</f>
        <v>0</v>
      </c>
      <c r="U3245" s="388">
        <f>SUM(R3245:T3245)</f>
        <v>167369</v>
      </c>
      <c r="V3245" s="82">
        <f>+IFERROR((P3245/Q3245)*U3245,0)</f>
        <v>41842.25</v>
      </c>
      <c r="Y3245" s="393">
        <f>+IFERROR((Y3216/Q3245*P3245),0)</f>
        <v>0.25</v>
      </c>
      <c r="Z3245" s="391">
        <f>Y3216*V3245</f>
        <v>41842.25</v>
      </c>
      <c r="AA3245" s="86"/>
      <c r="AB3245" s="92">
        <f>+(U3245)*Y3245</f>
        <v>41842.25</v>
      </c>
      <c r="AC3245" s="93">
        <f>+AB3245-Z3245</f>
        <v>0</v>
      </c>
      <c r="AD3245" s="421"/>
      <c r="AE3245" s="410" t="str">
        <f>+IF(V3245=0,"CERO","NO")</f>
        <v>NO</v>
      </c>
    </row>
    <row r="3246" spans="3:31" s="260" customFormat="1" ht="26.25" thickBot="1" x14ac:dyDescent="0.3">
      <c r="C3246" s="84"/>
      <c r="D3246" s="355"/>
      <c r="E3246" s="367"/>
      <c r="F3246" s="367"/>
      <c r="G3246" s="367"/>
      <c r="H3246" s="367"/>
      <c r="I3246" s="367"/>
      <c r="J3246" s="422">
        <f>+J3245</f>
        <v>3.17</v>
      </c>
      <c r="K3246" s="88"/>
      <c r="M3246" s="102">
        <v>208</v>
      </c>
      <c r="N3246" s="347" t="str">
        <f>IFERROR(VLOOKUP(M3246,INSUMOS!$C$8:$K$928,2,0),"-----")</f>
        <v>Ayudante Hidrosanitario</v>
      </c>
      <c r="O3246" s="78" t="str">
        <f>IFERROR(VLOOKUP(M3246,INSUMOS!$C$8:$K$928,3,0),"-----")</f>
        <v>JORNAL+PS</v>
      </c>
      <c r="P3246" s="80">
        <v>1</v>
      </c>
      <c r="Q3246" s="79">
        <v>4</v>
      </c>
      <c r="R3246" s="190">
        <f>IFERROR(VLOOKUP(M3246,INSUMOS!$C$8:$K$928,4,0),"-----")</f>
        <v>69172</v>
      </c>
      <c r="S3246" s="190">
        <f>IFERROR(VLOOKUP(M3246,INSUMOS!$C$8:$K$928,6,0),"-----")</f>
        <v>55337</v>
      </c>
      <c r="T3246" s="190">
        <f>IFERROR(VLOOKUP(M3246,INSUMOS!$C$8:$K$928,5,0),"-----")</f>
        <v>0</v>
      </c>
      <c r="U3246" s="388">
        <f>SUM(R3246:T3246)</f>
        <v>124509</v>
      </c>
      <c r="V3246" s="82">
        <f>+IFERROR((P3246/Q3246)*U3246,0)</f>
        <v>31127.25</v>
      </c>
      <c r="Y3246" s="393">
        <f>+IFERROR((Y3216/Q3246*P3246),0)</f>
        <v>0.25</v>
      </c>
      <c r="Z3246" s="391">
        <f>Y3216*V3246</f>
        <v>31127.25</v>
      </c>
      <c r="AA3246" s="86"/>
      <c r="AB3246" s="92">
        <f>+U3246*Y3246</f>
        <v>31127.25</v>
      </c>
      <c r="AC3246" s="93">
        <f>+AB3246-Z3246</f>
        <v>0</v>
      </c>
      <c r="AD3246" s="94"/>
      <c r="AE3246" s="410" t="str">
        <f>+IF(V3246=0,"CERO","NO")</f>
        <v>NO</v>
      </c>
    </row>
    <row r="3247" spans="3:31" s="260" customFormat="1" ht="15.75" thickBot="1" x14ac:dyDescent="0.3">
      <c r="C3247" s="84"/>
      <c r="D3247" s="380"/>
      <c r="E3247" s="381"/>
      <c r="F3247" s="381"/>
      <c r="G3247" s="381"/>
      <c r="H3247" s="381"/>
      <c r="I3247" s="381"/>
      <c r="J3247" s="382"/>
      <c r="K3247" s="88"/>
      <c r="M3247" s="102">
        <v>0</v>
      </c>
      <c r="N3247" s="347"/>
      <c r="O3247" s="79"/>
      <c r="P3247" s="423"/>
      <c r="Q3247" s="81"/>
      <c r="R3247" s="111"/>
      <c r="S3247" s="357"/>
      <c r="T3247" s="111"/>
      <c r="U3247" s="388"/>
      <c r="V3247" s="426"/>
      <c r="Y3247" s="393">
        <f>+IFERROR((Y3216/Q3247*P3247),0)</f>
        <v>0</v>
      </c>
      <c r="Z3247" s="391">
        <f>Y3216*V3247</f>
        <v>0</v>
      </c>
      <c r="AA3247" s="86"/>
      <c r="AB3247" s="92">
        <f>+(U3247)*Y3247*P3247</f>
        <v>0</v>
      </c>
      <c r="AC3247" s="93">
        <f>+AB3247-Z3247</f>
        <v>0</v>
      </c>
      <c r="AD3247" s="94"/>
      <c r="AE3247" s="410" t="str">
        <f>+IF(V3247=0,"CERO","NO")</f>
        <v>CERO</v>
      </c>
    </row>
    <row r="3248" spans="3:31" s="260" customFormat="1" ht="15.75" thickBot="1" x14ac:dyDescent="0.3">
      <c r="C3248" s="84"/>
      <c r="D3248" s="375" t="s">
        <v>128</v>
      </c>
      <c r="E3248" s="376" t="s">
        <v>129</v>
      </c>
      <c r="F3248" s="376" t="s">
        <v>130</v>
      </c>
      <c r="G3248" s="376" t="s">
        <v>131</v>
      </c>
      <c r="H3248" s="376" t="s">
        <v>132</v>
      </c>
      <c r="I3248" s="376" t="s">
        <v>133</v>
      </c>
      <c r="J3248" s="377" t="s">
        <v>134</v>
      </c>
      <c r="K3248" s="88"/>
      <c r="M3248" s="534"/>
      <c r="N3248" s="536" t="s">
        <v>120</v>
      </c>
      <c r="O3248" s="536"/>
      <c r="P3248" s="536"/>
      <c r="Q3248" s="536"/>
      <c r="R3248" s="536"/>
      <c r="S3248" s="536"/>
      <c r="T3248" s="536"/>
      <c r="U3248" s="536"/>
      <c r="V3248" s="82">
        <f>+SUM(V3245:V3247)</f>
        <v>72969.5</v>
      </c>
      <c r="Y3248" s="398" t="s">
        <v>135</v>
      </c>
      <c r="Z3248" s="397">
        <f>+SUM(Z3245:Z3247)</f>
        <v>72969.5</v>
      </c>
      <c r="AA3248" s="86"/>
      <c r="AB3248" s="384"/>
      <c r="AC3248" s="385"/>
      <c r="AD3248" s="94"/>
      <c r="AE3248" s="399"/>
    </row>
    <row r="3249" spans="3:31" s="260" customFormat="1" ht="15.75" thickBot="1" x14ac:dyDescent="0.3">
      <c r="C3249" s="84"/>
      <c r="D3249" s="354"/>
      <c r="E3249" s="96"/>
      <c r="F3249" s="96"/>
      <c r="G3249" s="107">
        <f>+F3242</f>
        <v>3.17</v>
      </c>
      <c r="H3249" s="96"/>
      <c r="I3249" s="96"/>
      <c r="J3249" s="427"/>
      <c r="K3249" s="88"/>
      <c r="M3249" s="535"/>
      <c r="N3249" s="537" t="s">
        <v>121</v>
      </c>
      <c r="O3249" s="537"/>
      <c r="P3249" s="537"/>
      <c r="Q3249" s="537"/>
      <c r="R3249" s="537"/>
      <c r="S3249" s="537"/>
      <c r="T3249" s="537"/>
      <c r="U3249" s="537"/>
      <c r="V3249" s="413">
        <f>+ROUND(V3248,$AA$5)</f>
        <v>72969.5</v>
      </c>
      <c r="Y3249" s="401" t="s">
        <v>136</v>
      </c>
      <c r="Z3249" s="402">
        <f>+ROUND(Z3248,$AA$5)</f>
        <v>72969.5</v>
      </c>
      <c r="AA3249" s="86"/>
      <c r="AB3249" s="403">
        <f>+V3249*Y3216</f>
        <v>72969.5</v>
      </c>
      <c r="AC3249" s="404">
        <f>+AB3249-Z3249</f>
        <v>0</v>
      </c>
      <c r="AD3249" s="94"/>
      <c r="AE3249" s="405"/>
    </row>
    <row r="3250" spans="3:31" s="260" customFormat="1" ht="15.75" thickBot="1" x14ac:dyDescent="0.3">
      <c r="C3250" s="84"/>
      <c r="D3250" s="375" t="s">
        <v>128</v>
      </c>
      <c r="E3250" s="376" t="s">
        <v>129</v>
      </c>
      <c r="F3250" s="376" t="s">
        <v>130</v>
      </c>
      <c r="G3250" s="376" t="s">
        <v>131</v>
      </c>
      <c r="H3250" s="376" t="s">
        <v>132</v>
      </c>
      <c r="I3250" s="376" t="s">
        <v>133</v>
      </c>
      <c r="J3250" s="377" t="s">
        <v>134</v>
      </c>
      <c r="K3250" s="88"/>
      <c r="M3250" s="541"/>
      <c r="N3250" s="542"/>
      <c r="O3250" s="542"/>
      <c r="P3250" s="542"/>
      <c r="Q3250" s="542"/>
      <c r="R3250" s="542"/>
      <c r="S3250" s="542"/>
      <c r="T3250" s="542"/>
      <c r="U3250" s="542"/>
      <c r="V3250" s="543"/>
      <c r="Y3250" s="378"/>
      <c r="Z3250" s="121"/>
      <c r="AA3250" s="86"/>
      <c r="AB3250" s="409"/>
      <c r="AC3250" s="121"/>
      <c r="AD3250" s="94"/>
      <c r="AE3250" s="428"/>
    </row>
    <row r="3251" spans="3:31" s="260" customFormat="1" ht="15.75" thickBot="1" x14ac:dyDescent="0.3">
      <c r="C3251" s="84"/>
      <c r="D3251" s="355"/>
      <c r="E3251" s="367"/>
      <c r="F3251" s="367"/>
      <c r="G3251" s="367"/>
      <c r="H3251" s="412">
        <f>G3249</f>
        <v>3.17</v>
      </c>
      <c r="I3251" s="412"/>
      <c r="J3251" s="422"/>
      <c r="K3251" s="88"/>
      <c r="M3251" s="544" t="s">
        <v>122</v>
      </c>
      <c r="N3251" s="537"/>
      <c r="O3251" s="537"/>
      <c r="P3251" s="537"/>
      <c r="Q3251" s="537"/>
      <c r="R3251" s="537"/>
      <c r="S3251" s="537"/>
      <c r="T3251" s="537"/>
      <c r="U3251" s="545">
        <f>+V3249+V3242+V3235+V3225</f>
        <v>1478106.9</v>
      </c>
      <c r="V3251" s="546"/>
      <c r="Y3251" s="429"/>
      <c r="Z3251" s="430">
        <f>+Z3249+Z3242+Z3235+Z3225</f>
        <v>1478106.9</v>
      </c>
      <c r="AA3251" s="86"/>
      <c r="AB3251" s="431">
        <f>+AB3249+AB3242+AB3235+AB3225</f>
        <v>1478106.9</v>
      </c>
      <c r="AC3251" s="404">
        <f>+AB3251-Z3251</f>
        <v>0</v>
      </c>
      <c r="AD3251" s="94"/>
      <c r="AE3251" s="432"/>
    </row>
    <row r="3252" spans="3:31" s="260" customFormat="1" ht="15.75" thickBot="1" x14ac:dyDescent="0.3"/>
    <row r="3253" spans="3:31" s="260" customFormat="1" x14ac:dyDescent="0.25">
      <c r="M3253" s="547" t="s">
        <v>348</v>
      </c>
      <c r="N3253" s="548"/>
      <c r="O3253" s="548"/>
      <c r="P3253" s="548"/>
      <c r="Q3253" s="548"/>
      <c r="R3253" s="548"/>
      <c r="S3253" s="548"/>
      <c r="T3253" s="548"/>
      <c r="U3253" s="548"/>
      <c r="V3253" s="549"/>
      <c r="Y3253" s="378"/>
      <c r="Z3253" s="121"/>
      <c r="AA3253" s="86"/>
      <c r="AB3253" s="94"/>
      <c r="AC3253" s="94"/>
      <c r="AD3253" s="94"/>
      <c r="AE3253" s="126" t="s">
        <v>133</v>
      </c>
    </row>
    <row r="3254" spans="3:31" s="260" customFormat="1" x14ac:dyDescent="0.25">
      <c r="M3254" s="515" t="s">
        <v>138</v>
      </c>
      <c r="N3254" s="516"/>
      <c r="O3254" s="516"/>
      <c r="P3254" s="516"/>
      <c r="Q3254" s="516"/>
      <c r="R3254" s="516"/>
      <c r="S3254" s="516"/>
      <c r="T3254" s="437">
        <v>0</v>
      </c>
      <c r="U3254" s="517">
        <f>+ROUND(U3251*T3254,$AA$5)</f>
        <v>0</v>
      </c>
      <c r="V3254" s="518"/>
      <c r="Y3254" s="390"/>
      <c r="Z3254" s="438">
        <f>+Z3251*T3254</f>
        <v>0</v>
      </c>
      <c r="AA3254" s="86"/>
      <c r="AB3254" s="94"/>
      <c r="AC3254" s="94"/>
      <c r="AD3254" s="94"/>
      <c r="AE3254" s="386" t="s">
        <v>133</v>
      </c>
    </row>
    <row r="3255" spans="3:31" s="260" customFormat="1" x14ac:dyDescent="0.25">
      <c r="M3255" s="515" t="s">
        <v>19</v>
      </c>
      <c r="N3255" s="516"/>
      <c r="O3255" s="516"/>
      <c r="P3255" s="516"/>
      <c r="Q3255" s="516"/>
      <c r="R3255" s="516"/>
      <c r="S3255" s="516"/>
      <c r="T3255" s="437">
        <v>0.05</v>
      </c>
      <c r="U3255" s="517">
        <f>+ROUND(U3251*T3255,$AA$5)</f>
        <v>73905.350000000006</v>
      </c>
      <c r="V3255" s="518"/>
      <c r="Y3255" s="390"/>
      <c r="Z3255" s="438">
        <f>+Z3251*T3255</f>
        <v>73905.345000000001</v>
      </c>
      <c r="AA3255" s="86"/>
      <c r="AB3255" s="94"/>
      <c r="AC3255" s="94"/>
      <c r="AD3255" s="94"/>
      <c r="AE3255" s="386" t="s">
        <v>133</v>
      </c>
    </row>
    <row r="3256" spans="3:31" s="260" customFormat="1" x14ac:dyDescent="0.25">
      <c r="M3256" s="515" t="s">
        <v>20</v>
      </c>
      <c r="N3256" s="516"/>
      <c r="O3256" s="516"/>
      <c r="P3256" s="516"/>
      <c r="Q3256" s="516"/>
      <c r="R3256" s="516"/>
      <c r="S3256" s="516"/>
      <c r="T3256" s="437">
        <v>0</v>
      </c>
      <c r="U3256" s="517">
        <f>+ROUND(U3251*T3256,$AA$5)</f>
        <v>0</v>
      </c>
      <c r="V3256" s="518"/>
      <c r="Y3256" s="390"/>
      <c r="Z3256" s="438">
        <f>+Z3251*T3256</f>
        <v>0</v>
      </c>
      <c r="AA3256" s="86"/>
      <c r="AB3256" s="94"/>
      <c r="AC3256" s="94"/>
      <c r="AD3256" s="94"/>
      <c r="AE3256" s="386" t="s">
        <v>133</v>
      </c>
    </row>
    <row r="3257" spans="3:31" s="260" customFormat="1" x14ac:dyDescent="0.25">
      <c r="M3257" s="515" t="s">
        <v>21</v>
      </c>
      <c r="N3257" s="516"/>
      <c r="O3257" s="516"/>
      <c r="P3257" s="516"/>
      <c r="Q3257" s="516"/>
      <c r="R3257" s="516"/>
      <c r="S3257" s="516"/>
      <c r="T3257" s="437">
        <f>$AA$9</f>
        <v>0</v>
      </c>
      <c r="U3257" s="517">
        <f>+ROUND(U3251*T3257,$AA$5)</f>
        <v>0</v>
      </c>
      <c r="V3257" s="518"/>
      <c r="Y3257" s="390"/>
      <c r="Z3257" s="438">
        <f>+Z3256*T3257</f>
        <v>0</v>
      </c>
      <c r="AA3257" s="86"/>
      <c r="AB3257" s="94"/>
      <c r="AC3257" s="94"/>
      <c r="AD3257" s="94"/>
      <c r="AE3257" s="386" t="s">
        <v>133</v>
      </c>
    </row>
    <row r="3258" spans="3:31" s="260" customFormat="1" ht="15.75" thickBot="1" x14ac:dyDescent="0.3">
      <c r="M3258" s="519" t="s">
        <v>349</v>
      </c>
      <c r="N3258" s="520"/>
      <c r="O3258" s="520"/>
      <c r="P3258" s="520"/>
      <c r="Q3258" s="520"/>
      <c r="R3258" s="520"/>
      <c r="S3258" s="520"/>
      <c r="T3258" s="520"/>
      <c r="U3258" s="521">
        <f>+SUM(U3254:V3257)</f>
        <v>73905.350000000006</v>
      </c>
      <c r="V3258" s="522"/>
      <c r="Y3258" s="390"/>
      <c r="Z3258" s="439">
        <f>+SUM(Z3254:Z3257)</f>
        <v>73905.345000000001</v>
      </c>
      <c r="AA3258" s="86"/>
      <c r="AB3258" s="94"/>
      <c r="AC3258" s="94"/>
      <c r="AD3258" s="94"/>
      <c r="AE3258" s="386" t="s">
        <v>133</v>
      </c>
    </row>
    <row r="3259" spans="3:31" s="260" customFormat="1" ht="15.75" thickBot="1" x14ac:dyDescent="0.3">
      <c r="D3259" s="375" t="s">
        <v>128</v>
      </c>
      <c r="E3259" s="376" t="s">
        <v>129</v>
      </c>
      <c r="F3259" s="376" t="s">
        <v>130</v>
      </c>
      <c r="G3259" s="376" t="s">
        <v>131</v>
      </c>
      <c r="H3259" s="376" t="s">
        <v>132</v>
      </c>
      <c r="I3259" s="376" t="s">
        <v>133</v>
      </c>
      <c r="J3259" s="377" t="s">
        <v>134</v>
      </c>
      <c r="M3259" s="86"/>
      <c r="N3259" s="94"/>
      <c r="O3259" s="94"/>
      <c r="P3259" s="94"/>
      <c r="Q3259" s="86"/>
      <c r="R3259" s="86"/>
      <c r="S3259" s="86"/>
      <c r="T3259" s="440"/>
      <c r="U3259" s="523"/>
      <c r="V3259" s="523"/>
      <c r="Y3259" s="390"/>
      <c r="Z3259" s="385"/>
      <c r="AA3259" s="86"/>
      <c r="AB3259" s="94"/>
      <c r="AC3259" s="94"/>
      <c r="AD3259" s="94"/>
      <c r="AE3259" s="386" t="s">
        <v>133</v>
      </c>
    </row>
    <row r="3260" spans="3:31" s="260" customFormat="1" ht="15.75" thickBot="1" x14ac:dyDescent="0.3">
      <c r="D3260" s="355"/>
      <c r="E3260" s="367"/>
      <c r="F3260" s="367"/>
      <c r="G3260" s="367"/>
      <c r="H3260" s="412"/>
      <c r="I3260" s="412">
        <f>H3251</f>
        <v>3.17</v>
      </c>
      <c r="J3260" s="422"/>
      <c r="M3260" s="524" t="s">
        <v>11</v>
      </c>
      <c r="N3260" s="525"/>
      <c r="O3260" s="525"/>
      <c r="P3260" s="525"/>
      <c r="Q3260" s="525"/>
      <c r="R3260" s="525"/>
      <c r="S3260" s="525"/>
      <c r="T3260" s="526"/>
      <c r="U3260" s="527">
        <f>+U3258+U3251</f>
        <v>1552012.25</v>
      </c>
      <c r="V3260" s="528"/>
      <c r="Y3260" s="429"/>
      <c r="Z3260" s="441">
        <f>+Z3258+Z3251</f>
        <v>1552012.2449999999</v>
      </c>
      <c r="AA3260" s="86"/>
      <c r="AB3260" s="94"/>
      <c r="AC3260" s="94"/>
      <c r="AD3260" s="94"/>
      <c r="AE3260" s="405" t="s">
        <v>133</v>
      </c>
    </row>
    <row r="3261" spans="3:31" s="260" customFormat="1" x14ac:dyDescent="0.25"/>
    <row r="3262" spans="3:31" s="260" customFormat="1" ht="15.75" thickBot="1" x14ac:dyDescent="0.3"/>
    <row r="3263" spans="3:31" s="260" customFormat="1" ht="15.75" thickBot="1" x14ac:dyDescent="0.3">
      <c r="M3263" s="363" t="s">
        <v>88</v>
      </c>
      <c r="N3263" s="436" t="str">
        <f>+N3215</f>
        <v>CAP.3</v>
      </c>
      <c r="O3263" s="550" t="str">
        <f>IFERROR(VLOOKUP(N3263,PPTO!C:H,2,0),"----")</f>
        <v>RED CONTRAINCENDIOS</v>
      </c>
      <c r="P3263" s="551"/>
      <c r="Q3263" s="551"/>
      <c r="R3263" s="551"/>
      <c r="S3263" s="551"/>
      <c r="T3263" s="551"/>
      <c r="U3263" s="552"/>
      <c r="V3263" s="74" t="s">
        <v>91</v>
      </c>
      <c r="Y3263" s="365" t="s">
        <v>104</v>
      </c>
      <c r="Z3263" s="94"/>
      <c r="AA3263" s="188"/>
      <c r="AB3263" s="553"/>
      <c r="AC3263" s="553"/>
      <c r="AD3263" s="553"/>
      <c r="AE3263" s="94"/>
    </row>
    <row r="3264" spans="3:31" s="260" customFormat="1" ht="15.75" thickBot="1" x14ac:dyDescent="0.3">
      <c r="C3264" s="369">
        <f>+N3264</f>
        <v>3.18</v>
      </c>
      <c r="D3264" s="86"/>
      <c r="E3264" s="86"/>
      <c r="F3264" s="86"/>
      <c r="G3264" s="86"/>
      <c r="H3264" s="86"/>
      <c r="I3264" s="86"/>
      <c r="J3264" s="86"/>
      <c r="K3264" s="370"/>
      <c r="M3264" s="75" t="s">
        <v>92</v>
      </c>
      <c r="N3264" s="371">
        <f>+ROUNDUP(N3216+0.01,2)</f>
        <v>3.18</v>
      </c>
      <c r="O3264" s="554" t="str">
        <f>IFERROR(VLOOKUP(N3264,PPTO!C:H,2,0),"----")</f>
        <v>Extintor manual clase A</v>
      </c>
      <c r="P3264" s="555"/>
      <c r="Q3264" s="555"/>
      <c r="R3264" s="555"/>
      <c r="S3264" s="555"/>
      <c r="T3264" s="555"/>
      <c r="U3264" s="556"/>
      <c r="V3264" s="76" t="str">
        <f>IFERROR(VLOOKUP(N3264,PPTO!C:H,3,0),"----")</f>
        <v>UND</v>
      </c>
      <c r="Y3264" s="373">
        <f>SUMIFS(PPTO!F:F,PPTO!C:C,APUS!N3264)</f>
        <v>37</v>
      </c>
      <c r="Z3264" s="94"/>
      <c r="AA3264" s="86"/>
      <c r="AB3264" s="94"/>
      <c r="AC3264" s="94"/>
      <c r="AD3264" s="94"/>
      <c r="AE3264" s="94"/>
    </row>
    <row r="3265" spans="3:31" s="260" customFormat="1" ht="15.75" thickBot="1" x14ac:dyDescent="0.3">
      <c r="C3265" s="84"/>
      <c r="D3265" s="86"/>
      <c r="E3265" s="86"/>
      <c r="F3265" s="86"/>
      <c r="G3265" s="86"/>
      <c r="H3265" s="86"/>
      <c r="I3265" s="86"/>
      <c r="J3265" s="86"/>
      <c r="K3265" s="88"/>
      <c r="M3265" s="557"/>
      <c r="N3265" s="557"/>
      <c r="O3265" s="557"/>
      <c r="P3265" s="557"/>
      <c r="Q3265" s="557"/>
      <c r="R3265" s="557"/>
      <c r="S3265" s="557"/>
      <c r="T3265" s="557"/>
      <c r="U3265" s="557"/>
      <c r="V3265" s="557"/>
      <c r="Y3265" s="374"/>
      <c r="Z3265" s="94"/>
      <c r="AA3265" s="86"/>
      <c r="AB3265" s="94"/>
      <c r="AC3265" s="94"/>
      <c r="AD3265" s="94"/>
      <c r="AE3265" s="94"/>
    </row>
    <row r="3266" spans="3:31" s="260" customFormat="1" ht="15.75" thickBot="1" x14ac:dyDescent="0.3">
      <c r="C3266" s="84"/>
      <c r="D3266" s="375" t="s">
        <v>128</v>
      </c>
      <c r="E3266" s="376" t="s">
        <v>129</v>
      </c>
      <c r="F3266" s="376" t="s">
        <v>130</v>
      </c>
      <c r="G3266" s="376" t="s">
        <v>131</v>
      </c>
      <c r="H3266" s="376" t="s">
        <v>132</v>
      </c>
      <c r="I3266" s="376" t="s">
        <v>133</v>
      </c>
      <c r="J3266" s="377" t="s">
        <v>134</v>
      </c>
      <c r="K3266" s="88"/>
      <c r="M3266" s="558" t="s">
        <v>93</v>
      </c>
      <c r="N3266" s="559"/>
      <c r="O3266" s="559"/>
      <c r="P3266" s="559"/>
      <c r="Q3266" s="559"/>
      <c r="R3266" s="559"/>
      <c r="S3266" s="559"/>
      <c r="T3266" s="559"/>
      <c r="U3266" s="559"/>
      <c r="V3266" s="560"/>
      <c r="Y3266" s="378"/>
      <c r="Z3266" s="121"/>
      <c r="AA3266" s="86"/>
      <c r="AB3266" s="513"/>
      <c r="AC3266" s="514"/>
      <c r="AD3266" s="94"/>
      <c r="AE3266" s="379"/>
    </row>
    <row r="3267" spans="3:31" s="260" customFormat="1" x14ac:dyDescent="0.25">
      <c r="C3267" s="84"/>
      <c r="D3267" s="380"/>
      <c r="E3267" s="381"/>
      <c r="F3267" s="381"/>
      <c r="G3267" s="381"/>
      <c r="H3267" s="381"/>
      <c r="I3267" s="381"/>
      <c r="J3267" s="382"/>
      <c r="K3267" s="88"/>
      <c r="M3267" s="99" t="s">
        <v>94</v>
      </c>
      <c r="N3267" s="561" t="s">
        <v>95</v>
      </c>
      <c r="O3267" s="561"/>
      <c r="P3267" s="561"/>
      <c r="Q3267" s="561"/>
      <c r="R3267" s="95" t="s">
        <v>96</v>
      </c>
      <c r="S3267" s="95" t="s">
        <v>97</v>
      </c>
      <c r="T3267" s="562" t="s">
        <v>8</v>
      </c>
      <c r="U3267" s="562"/>
      <c r="V3267" s="100" t="s">
        <v>98</v>
      </c>
      <c r="Y3267" s="383" t="s">
        <v>104</v>
      </c>
      <c r="Z3267" s="119" t="s">
        <v>9</v>
      </c>
      <c r="AA3267" s="86"/>
      <c r="AB3267" s="384"/>
      <c r="AC3267" s="385"/>
      <c r="AD3267" s="94"/>
      <c r="AE3267" s="386"/>
    </row>
    <row r="3268" spans="3:31" s="260" customFormat="1" x14ac:dyDescent="0.25">
      <c r="C3268" s="84"/>
      <c r="D3268" s="85"/>
      <c r="E3268" s="86"/>
      <c r="F3268" s="86"/>
      <c r="G3268" s="86"/>
      <c r="H3268" s="86"/>
      <c r="I3268" s="86"/>
      <c r="J3268" s="87"/>
      <c r="K3268" s="88"/>
      <c r="M3268" s="102"/>
      <c r="N3268" s="533" t="s">
        <v>99</v>
      </c>
      <c r="O3268" s="533"/>
      <c r="P3268" s="533"/>
      <c r="Q3268" s="533"/>
      <c r="R3268" s="78" t="s">
        <v>100</v>
      </c>
      <c r="S3268" s="387">
        <f>+$AA$10</f>
        <v>0.05</v>
      </c>
      <c r="T3268" s="563">
        <f>V3298</f>
        <v>6225.45</v>
      </c>
      <c r="U3268" s="563"/>
      <c r="V3268" s="389">
        <f>+IFERROR(T3268*S3268,0)</f>
        <v>311.27250000000004</v>
      </c>
      <c r="Y3268" s="390"/>
      <c r="Z3268" s="391">
        <f>Y3264*V3268</f>
        <v>11517.0825</v>
      </c>
      <c r="AA3268" s="86"/>
      <c r="AB3268" s="384"/>
      <c r="AC3268" s="385"/>
      <c r="AD3268" s="94"/>
      <c r="AE3268" s="386" t="str">
        <f>+IF(V3268=0,"CERO","NO")</f>
        <v>NO</v>
      </c>
    </row>
    <row r="3269" spans="3:31" s="260" customFormat="1" x14ac:dyDescent="0.25">
      <c r="C3269" s="84"/>
      <c r="D3269" s="85"/>
      <c r="E3269" s="86"/>
      <c r="F3269" s="86"/>
      <c r="G3269" s="86"/>
      <c r="H3269" s="86"/>
      <c r="I3269" s="86"/>
      <c r="J3269" s="87"/>
      <c r="K3269" s="88"/>
      <c r="M3269" s="106"/>
      <c r="N3269" s="533" t="str">
        <f>IFERROR(VLOOKUP(M3269,INSUMOS!$C$8:$K$928,2,0),"-----")</f>
        <v>-----</v>
      </c>
      <c r="O3269" s="533"/>
      <c r="P3269" s="533"/>
      <c r="Q3269" s="533"/>
      <c r="R3269" s="78" t="str">
        <f>IFERROR(VLOOKUP(M3269,INSUMOS!$C$8:$K$928,6,0),"-----")</f>
        <v>-----</v>
      </c>
      <c r="S3269" s="392"/>
      <c r="T3269" s="529" t="str">
        <f>IFERROR(VLOOKUP(M3269,INSUMOS!$C$8:$K$928,7,0),"0")</f>
        <v>0</v>
      </c>
      <c r="U3269" s="529"/>
      <c r="V3269" s="389">
        <f>+IFERROR(T3269*S3269,0)</f>
        <v>0</v>
      </c>
      <c r="Y3269" s="393">
        <f>+IFERROR(Y3264*S3269,0)</f>
        <v>0</v>
      </c>
      <c r="Z3269" s="391">
        <f>Y3264*V3269</f>
        <v>0</v>
      </c>
      <c r="AA3269" s="394"/>
      <c r="AB3269" s="395">
        <f>+Y3269*T3269</f>
        <v>0</v>
      </c>
      <c r="AC3269" s="93">
        <f>+AB3269-Z3269</f>
        <v>0</v>
      </c>
      <c r="AD3269" s="94"/>
      <c r="AE3269" s="386" t="str">
        <f>+IF(V3269=0,"CERO","NO")</f>
        <v>CERO</v>
      </c>
    </row>
    <row r="3270" spans="3:31" s="260" customFormat="1" x14ac:dyDescent="0.25">
      <c r="C3270" s="84"/>
      <c r="D3270" s="85"/>
      <c r="E3270" s="86"/>
      <c r="F3270" s="86"/>
      <c r="G3270" s="86"/>
      <c r="H3270" s="86"/>
      <c r="I3270" s="86"/>
      <c r="J3270" s="87"/>
      <c r="K3270" s="88"/>
      <c r="M3270" s="102">
        <v>0</v>
      </c>
      <c r="N3270" s="533"/>
      <c r="O3270" s="533"/>
      <c r="P3270" s="533"/>
      <c r="Q3270" s="533"/>
      <c r="R3270" s="78"/>
      <c r="S3270" s="396"/>
      <c r="T3270" s="529"/>
      <c r="U3270" s="529"/>
      <c r="V3270" s="397"/>
      <c r="Y3270" s="393">
        <f>+IFERROR(Y3264*S3270,0)</f>
        <v>0</v>
      </c>
      <c r="Z3270" s="391">
        <f>Y3264*V3270</f>
        <v>0</v>
      </c>
      <c r="AA3270" s="394"/>
      <c r="AB3270" s="395">
        <f>+Y3270*T3270</f>
        <v>0</v>
      </c>
      <c r="AC3270" s="93">
        <f>+AB3270-Z3270</f>
        <v>0</v>
      </c>
      <c r="AD3270" s="94"/>
      <c r="AE3270" s="386" t="str">
        <f>+IF(V3270=0,"CERO","NO")</f>
        <v>CERO</v>
      </c>
    </row>
    <row r="3271" spans="3:31" s="260" customFormat="1" x14ac:dyDescent="0.25">
      <c r="C3271" s="84"/>
      <c r="D3271" s="85"/>
      <c r="E3271" s="86"/>
      <c r="F3271" s="86"/>
      <c r="G3271" s="86"/>
      <c r="H3271" s="86"/>
      <c r="I3271" s="86"/>
      <c r="J3271" s="87"/>
      <c r="K3271" s="88"/>
      <c r="M3271" s="102">
        <v>0</v>
      </c>
      <c r="N3271" s="533"/>
      <c r="O3271" s="533"/>
      <c r="P3271" s="533"/>
      <c r="Q3271" s="533"/>
      <c r="R3271" s="78"/>
      <c r="S3271" s="396"/>
      <c r="T3271" s="529"/>
      <c r="U3271" s="529"/>
      <c r="V3271" s="397"/>
      <c r="Y3271" s="393">
        <f>+IFERROR(Y3264*S3271,0)</f>
        <v>0</v>
      </c>
      <c r="Z3271" s="391">
        <f>Y3264*V3271</f>
        <v>0</v>
      </c>
      <c r="AA3271" s="394"/>
      <c r="AB3271" s="395">
        <f>+Y3271*T3271</f>
        <v>0</v>
      </c>
      <c r="AC3271" s="93">
        <f>+AB3271-Z3271</f>
        <v>0</v>
      </c>
      <c r="AD3271" s="94"/>
      <c r="AE3271" s="386" t="str">
        <f>+IF(V3271=0,"CERO","NO")</f>
        <v>CERO</v>
      </c>
    </row>
    <row r="3272" spans="3:31" s="260" customFormat="1" ht="15.75" thickBot="1" x14ac:dyDescent="0.3">
      <c r="C3272" s="84"/>
      <c r="D3272" s="85"/>
      <c r="E3272" s="86"/>
      <c r="F3272" s="86"/>
      <c r="G3272" s="86"/>
      <c r="H3272" s="86"/>
      <c r="I3272" s="86"/>
      <c r="J3272" s="87"/>
      <c r="K3272" s="88"/>
      <c r="M3272" s="102">
        <v>0</v>
      </c>
      <c r="N3272" s="564"/>
      <c r="O3272" s="564"/>
      <c r="P3272" s="564"/>
      <c r="Q3272" s="564"/>
      <c r="R3272" s="96"/>
      <c r="S3272" s="96"/>
      <c r="T3272" s="565"/>
      <c r="U3272" s="565"/>
      <c r="V3272" s="101"/>
      <c r="Y3272" s="393">
        <f>+IFERROR(Y3264*S3272,0)</f>
        <v>0</v>
      </c>
      <c r="Z3272" s="391">
        <f>Y3264*V3272</f>
        <v>0</v>
      </c>
      <c r="AA3272" s="394"/>
      <c r="AB3272" s="395">
        <f>+Y3272*T3272</f>
        <v>0</v>
      </c>
      <c r="AC3272" s="93">
        <f>+AB3272-Z3272</f>
        <v>0</v>
      </c>
      <c r="AD3272" s="94"/>
      <c r="AE3272" s="386" t="str">
        <f>+IF(V3272=0,"CERO","NO")</f>
        <v>CERO</v>
      </c>
    </row>
    <row r="3273" spans="3:31" s="260" customFormat="1" ht="15.75" thickBot="1" x14ac:dyDescent="0.3">
      <c r="C3273" s="84"/>
      <c r="D3273" s="375" t="s">
        <v>128</v>
      </c>
      <c r="E3273" s="376" t="s">
        <v>129</v>
      </c>
      <c r="F3273" s="376" t="s">
        <v>130</v>
      </c>
      <c r="G3273" s="376" t="s">
        <v>131</v>
      </c>
      <c r="H3273" s="376" t="s">
        <v>132</v>
      </c>
      <c r="I3273" s="376" t="s">
        <v>133</v>
      </c>
      <c r="J3273" s="377" t="s">
        <v>134</v>
      </c>
      <c r="K3273" s="88"/>
      <c r="M3273" s="534"/>
      <c r="N3273" s="536" t="s">
        <v>101</v>
      </c>
      <c r="O3273" s="536"/>
      <c r="P3273" s="536"/>
      <c r="Q3273" s="536"/>
      <c r="R3273" s="536"/>
      <c r="S3273" s="536"/>
      <c r="T3273" s="536"/>
      <c r="U3273" s="536"/>
      <c r="V3273" s="389">
        <f>+SUM(V3268:V3272)</f>
        <v>311.27250000000004</v>
      </c>
      <c r="Y3273" s="398" t="s">
        <v>135</v>
      </c>
      <c r="Z3273" s="397">
        <f>+SUM(Z3268:Z3272)</f>
        <v>11517.0825</v>
      </c>
      <c r="AA3273" s="86"/>
      <c r="AB3273" s="384"/>
      <c r="AC3273" s="385"/>
      <c r="AD3273" s="94"/>
      <c r="AE3273" s="399"/>
    </row>
    <row r="3274" spans="3:31" s="260" customFormat="1" ht="15.75" thickBot="1" x14ac:dyDescent="0.3">
      <c r="C3274" s="84"/>
      <c r="D3274" s="375">
        <f>C3264</f>
        <v>3.18</v>
      </c>
      <c r="E3274" s="376"/>
      <c r="F3274" s="376"/>
      <c r="G3274" s="376"/>
      <c r="H3274" s="376"/>
      <c r="I3274" s="376"/>
      <c r="J3274" s="377"/>
      <c r="K3274" s="88"/>
      <c r="M3274" s="566"/>
      <c r="N3274" s="567" t="s">
        <v>102</v>
      </c>
      <c r="O3274" s="567"/>
      <c r="P3274" s="567"/>
      <c r="Q3274" s="567"/>
      <c r="R3274" s="567"/>
      <c r="S3274" s="567"/>
      <c r="T3274" s="567"/>
      <c r="U3274" s="567"/>
      <c r="V3274" s="400">
        <f>+ROUND(V3273,$AA$5)</f>
        <v>311.27</v>
      </c>
      <c r="Y3274" s="401" t="s">
        <v>136</v>
      </c>
      <c r="Z3274" s="402">
        <f>+ROUND(Z3273,$AA$5)</f>
        <v>11517.08</v>
      </c>
      <c r="AA3274" s="86"/>
      <c r="AB3274" s="403">
        <f>+V3274*Y3264</f>
        <v>11516.99</v>
      </c>
      <c r="AC3274" s="404">
        <f>+AB3274-Z3274</f>
        <v>-9.0000000000145519E-2</v>
      </c>
      <c r="AD3274" s="94"/>
      <c r="AE3274" s="405"/>
    </row>
    <row r="3275" spans="3:31" s="260" customFormat="1" x14ac:dyDescent="0.25">
      <c r="C3275" s="84"/>
      <c r="D3275" s="380"/>
      <c r="E3275" s="381"/>
      <c r="F3275" s="381"/>
      <c r="G3275" s="381"/>
      <c r="H3275" s="381"/>
      <c r="I3275" s="381"/>
      <c r="J3275" s="382"/>
      <c r="K3275" s="88"/>
      <c r="M3275" s="510" t="s">
        <v>103</v>
      </c>
      <c r="N3275" s="511"/>
      <c r="O3275" s="511"/>
      <c r="P3275" s="511"/>
      <c r="Q3275" s="511"/>
      <c r="R3275" s="511"/>
      <c r="S3275" s="511"/>
      <c r="T3275" s="511"/>
      <c r="U3275" s="511"/>
      <c r="V3275" s="512"/>
      <c r="Y3275" s="378"/>
      <c r="Z3275" s="121"/>
      <c r="AA3275" s="86"/>
      <c r="AB3275" s="513"/>
      <c r="AC3275" s="514"/>
      <c r="AD3275" s="94"/>
      <c r="AE3275" s="126"/>
    </row>
    <row r="3276" spans="3:31" s="260" customFormat="1" x14ac:dyDescent="0.25">
      <c r="C3276" s="84"/>
      <c r="D3276" s="85"/>
      <c r="E3276" s="86"/>
      <c r="F3276" s="86"/>
      <c r="G3276" s="86"/>
      <c r="H3276" s="86"/>
      <c r="I3276" s="86"/>
      <c r="J3276" s="87"/>
      <c r="K3276" s="88"/>
      <c r="M3276" s="99" t="s">
        <v>94</v>
      </c>
      <c r="N3276" s="561" t="s">
        <v>95</v>
      </c>
      <c r="O3276" s="561"/>
      <c r="P3276" s="561"/>
      <c r="Q3276" s="561"/>
      <c r="R3276" s="95" t="s">
        <v>96</v>
      </c>
      <c r="S3276" s="95" t="s">
        <v>104</v>
      </c>
      <c r="T3276" s="356" t="s">
        <v>105</v>
      </c>
      <c r="U3276" s="356" t="s">
        <v>8</v>
      </c>
      <c r="V3276" s="100" t="s">
        <v>98</v>
      </c>
      <c r="Y3276" s="383" t="s">
        <v>104</v>
      </c>
      <c r="Z3276" s="119" t="s">
        <v>9</v>
      </c>
      <c r="AA3276" s="86"/>
      <c r="AB3276" s="384"/>
      <c r="AC3276" s="385"/>
      <c r="AD3276" s="94"/>
      <c r="AE3276" s="406"/>
    </row>
    <row r="3277" spans="3:31" s="260" customFormat="1" x14ac:dyDescent="0.25">
      <c r="C3277" s="84"/>
      <c r="D3277" s="85"/>
      <c r="E3277" s="86"/>
      <c r="F3277" s="86"/>
      <c r="G3277" s="86"/>
      <c r="H3277" s="86"/>
      <c r="I3277" s="86"/>
      <c r="J3277" s="87"/>
      <c r="K3277" s="88"/>
      <c r="M3277" s="102">
        <v>653</v>
      </c>
      <c r="N3277" s="533" t="str">
        <f>IFERROR(VLOOKUP(M3277,INSUMOS!$C$8:$K$928,2,0),"-----")</f>
        <v>EXTINTOR TIPO A (INCLUYE SOPORTE Y SEÑALIZACION)</v>
      </c>
      <c r="O3277" s="533"/>
      <c r="P3277" s="533"/>
      <c r="Q3277" s="533"/>
      <c r="R3277" s="78" t="str">
        <f>IFERROR(VLOOKUP(M3277,INSUMOS!$C$8:$K$928,6,0),"-----")</f>
        <v>und</v>
      </c>
      <c r="S3277" s="396">
        <v>1</v>
      </c>
      <c r="T3277" s="387">
        <v>0</v>
      </c>
      <c r="U3277" s="388">
        <f>IFERROR(VLOOKUP(M3277,INSUMOS!$C$8:$K$928,7,0),"0")</f>
        <v>90000</v>
      </c>
      <c r="V3277" s="389">
        <f>+IFERROR(U3277*(S3277*(1+T3277)),0)</f>
        <v>90000</v>
      </c>
      <c r="Y3277" s="393">
        <f>+IFERROR(Y3264*(S3277*(1+T3277)),0)</f>
        <v>37</v>
      </c>
      <c r="Z3277" s="391">
        <f>Y3264*V3277</f>
        <v>3330000</v>
      </c>
      <c r="AA3277" s="394"/>
      <c r="AB3277" s="395">
        <f>+Y3277*U3277</f>
        <v>3330000</v>
      </c>
      <c r="AC3277" s="93">
        <f>+AB3277-Z3277</f>
        <v>0</v>
      </c>
      <c r="AD3277" s="94"/>
      <c r="AE3277" s="406" t="str">
        <f>+IF(V3277=0,"CERO","NO")</f>
        <v>NO</v>
      </c>
    </row>
    <row r="3278" spans="3:31" s="260" customFormat="1" x14ac:dyDescent="0.25">
      <c r="C3278" s="84"/>
      <c r="D3278" s="85"/>
      <c r="E3278" s="86"/>
      <c r="F3278" s="86"/>
      <c r="G3278" s="86"/>
      <c r="H3278" s="86"/>
      <c r="I3278" s="86"/>
      <c r="J3278" s="87"/>
      <c r="K3278" s="88"/>
      <c r="M3278" s="102"/>
      <c r="N3278" s="533" t="str">
        <f>IFERROR(VLOOKUP(M3278,INSUMOS!$C$8:$K$928,2,0),"-----")</f>
        <v>-----</v>
      </c>
      <c r="O3278" s="533"/>
      <c r="P3278" s="533"/>
      <c r="Q3278" s="533"/>
      <c r="R3278" s="78" t="str">
        <f>IFERROR(VLOOKUP(M3278,INSUMOS!$C$8:$K$928,6,0),"-----")</f>
        <v>-----</v>
      </c>
      <c r="S3278" s="392"/>
      <c r="T3278" s="387">
        <v>0</v>
      </c>
      <c r="U3278" s="388" t="str">
        <f>IFERROR(VLOOKUP(M3278,INSUMOS!$C$8:$K$928,7,0),"0")</f>
        <v>0</v>
      </c>
      <c r="V3278" s="389">
        <f>+IFERROR(U3278*(S3278*(1+T3278)),0)</f>
        <v>0</v>
      </c>
      <c r="Y3278" s="393">
        <f>+IFERROR(Y3264*(S3278*(1+T3278)),0)</f>
        <v>0</v>
      </c>
      <c r="Z3278" s="391">
        <f>Y3264*V3278</f>
        <v>0</v>
      </c>
      <c r="AA3278" s="394"/>
      <c r="AB3278" s="395">
        <f>+Y3278*U3278</f>
        <v>0</v>
      </c>
      <c r="AC3278" s="93">
        <f>+AB3278-Z3278</f>
        <v>0</v>
      </c>
      <c r="AD3278" s="94"/>
      <c r="AE3278" s="406" t="str">
        <f>+IF(V3278=0,"CERO","NO")</f>
        <v>CERO</v>
      </c>
    </row>
    <row r="3279" spans="3:31" s="260" customFormat="1" x14ac:dyDescent="0.25">
      <c r="C3279" s="84"/>
      <c r="D3279" s="85"/>
      <c r="E3279" s="86"/>
      <c r="F3279" s="86"/>
      <c r="G3279" s="86"/>
      <c r="H3279" s="86"/>
      <c r="I3279" s="86"/>
      <c r="J3279" s="87"/>
      <c r="K3279" s="88"/>
      <c r="M3279" s="102"/>
      <c r="N3279" s="533" t="str">
        <f>IFERROR(VLOOKUP(M3279,INSUMOS!$C$8:$K$928,2,0),"-----")</f>
        <v>-----</v>
      </c>
      <c r="O3279" s="533"/>
      <c r="P3279" s="533"/>
      <c r="Q3279" s="533"/>
      <c r="R3279" s="78" t="str">
        <f>IFERROR(VLOOKUP(M3279,INSUMOS!$C$8:$K$928,6,0),"-----")</f>
        <v>-----</v>
      </c>
      <c r="S3279" s="396"/>
      <c r="T3279" s="387">
        <v>0</v>
      </c>
      <c r="U3279" s="388" t="str">
        <f>IFERROR(VLOOKUP(M3279,INSUMOS!$C$8:$K$928,7,0),"0")</f>
        <v>0</v>
      </c>
      <c r="V3279" s="389">
        <f>+IFERROR(U3279*(S3279*(1+T3279)),0)</f>
        <v>0</v>
      </c>
      <c r="Y3279" s="393">
        <f>+IFERROR(Y3264*(S3279*(1+T3279)),0)</f>
        <v>0</v>
      </c>
      <c r="Z3279" s="391">
        <f>Y3264*V3279</f>
        <v>0</v>
      </c>
      <c r="AA3279" s="394"/>
      <c r="AB3279" s="395">
        <f>+Y3279*U3279</f>
        <v>0</v>
      </c>
      <c r="AC3279" s="93">
        <f>+AB3279-Z3279</f>
        <v>0</v>
      </c>
      <c r="AD3279" s="94"/>
      <c r="AE3279" s="406" t="str">
        <f>+IF(V3279=0,"CERO","NO")</f>
        <v>CERO</v>
      </c>
    </row>
    <row r="3280" spans="3:31" s="260" customFormat="1" x14ac:dyDescent="0.25">
      <c r="C3280" s="84"/>
      <c r="D3280" s="85"/>
      <c r="E3280" s="86"/>
      <c r="F3280" s="86"/>
      <c r="G3280" s="86"/>
      <c r="H3280" s="86"/>
      <c r="I3280" s="86"/>
      <c r="J3280" s="87"/>
      <c r="K3280" s="88"/>
      <c r="M3280" s="102">
        <v>0</v>
      </c>
      <c r="N3280" s="533" t="str">
        <f>IFERROR(VLOOKUP(M3280,INSUMOS!$C$8:$K$928,2,0),"-----")</f>
        <v>-----</v>
      </c>
      <c r="O3280" s="533"/>
      <c r="P3280" s="533"/>
      <c r="Q3280" s="533"/>
      <c r="R3280" s="78" t="str">
        <f>IFERROR(VLOOKUP(M3280,INSUMOS!$C$8:$K$928,6,0),"-----")</f>
        <v>-----</v>
      </c>
      <c r="S3280" s="396"/>
      <c r="T3280" s="387"/>
      <c r="U3280" s="388" t="str">
        <f>IFERROR(VLOOKUP(M3280,INSUMOS!$C$8:$K$928,7,0),"0")</f>
        <v>0</v>
      </c>
      <c r="V3280" s="389">
        <f>+IFERROR(U3280*(S3280*(1+T3280)),0)</f>
        <v>0</v>
      </c>
      <c r="Y3280" s="393">
        <f>+IFERROR(Y3264*(S3280*(1+T3280)),0)</f>
        <v>0</v>
      </c>
      <c r="Z3280" s="391">
        <f>Y3264*V3280</f>
        <v>0</v>
      </c>
      <c r="AA3280" s="394"/>
      <c r="AB3280" s="395">
        <f>+Y3280*U3280</f>
        <v>0</v>
      </c>
      <c r="AC3280" s="93">
        <f>+AB3280-Z3280</f>
        <v>0</v>
      </c>
      <c r="AD3280" s="94"/>
      <c r="AE3280" s="406" t="str">
        <f>+IF(V3280=0,"CERO","NO")</f>
        <v>CERO</v>
      </c>
    </row>
    <row r="3281" spans="3:31" s="260" customFormat="1" ht="15.75" thickBot="1" x14ac:dyDescent="0.3">
      <c r="C3281" s="84"/>
      <c r="D3281" s="85"/>
      <c r="E3281" s="86"/>
      <c r="F3281" s="86"/>
      <c r="G3281" s="86"/>
      <c r="H3281" s="86"/>
      <c r="I3281" s="86"/>
      <c r="J3281" s="87"/>
      <c r="K3281" s="88"/>
      <c r="M3281" s="102">
        <v>0</v>
      </c>
      <c r="N3281" s="564"/>
      <c r="O3281" s="564"/>
      <c r="P3281" s="564"/>
      <c r="Q3281" s="564"/>
      <c r="R3281" s="96"/>
      <c r="S3281" s="79"/>
      <c r="T3281" s="97"/>
      <c r="U3281" s="358"/>
      <c r="V3281" s="397"/>
      <c r="Y3281" s="393">
        <f>+IFERROR(Y3264*(S3281*(1+T3281)),0)</f>
        <v>0</v>
      </c>
      <c r="Z3281" s="391">
        <f>Y3264*V3281</f>
        <v>0</v>
      </c>
      <c r="AA3281" s="394"/>
      <c r="AB3281" s="395">
        <f>+Y3281*U3281</f>
        <v>0</v>
      </c>
      <c r="AC3281" s="93">
        <f>+AB3281-Z3281</f>
        <v>0</v>
      </c>
      <c r="AD3281" s="94"/>
      <c r="AE3281" s="406" t="str">
        <f>+IF(V3281=0,"CERO","NO")</f>
        <v>CERO</v>
      </c>
    </row>
    <row r="3282" spans="3:31" s="260" customFormat="1" ht="15.75" thickBot="1" x14ac:dyDescent="0.3">
      <c r="C3282" s="84"/>
      <c r="D3282" s="375" t="s">
        <v>128</v>
      </c>
      <c r="E3282" s="376" t="s">
        <v>129</v>
      </c>
      <c r="F3282" s="376" t="s">
        <v>130</v>
      </c>
      <c r="G3282" s="376" t="s">
        <v>131</v>
      </c>
      <c r="H3282" s="376" t="s">
        <v>132</v>
      </c>
      <c r="I3282" s="376" t="s">
        <v>133</v>
      </c>
      <c r="J3282" s="377" t="s">
        <v>134</v>
      </c>
      <c r="K3282" s="88"/>
      <c r="M3282" s="534"/>
      <c r="N3282" s="536" t="s">
        <v>106</v>
      </c>
      <c r="O3282" s="536"/>
      <c r="P3282" s="536"/>
      <c r="Q3282" s="536"/>
      <c r="R3282" s="536"/>
      <c r="S3282" s="536"/>
      <c r="T3282" s="536"/>
      <c r="U3282" s="536"/>
      <c r="V3282" s="389">
        <f>+SUM(V3277:V3281)</f>
        <v>90000</v>
      </c>
      <c r="Y3282" s="398" t="s">
        <v>135</v>
      </c>
      <c r="Z3282" s="397">
        <f>+SUM(Z3277:Z3281)</f>
        <v>3330000</v>
      </c>
      <c r="AA3282" s="86"/>
      <c r="AB3282" s="384"/>
      <c r="AC3282" s="385"/>
      <c r="AD3282" s="94"/>
      <c r="AE3282" s="399"/>
    </row>
    <row r="3283" spans="3:31" s="260" customFormat="1" ht="15.75" thickBot="1" x14ac:dyDescent="0.3">
      <c r="C3283" s="84"/>
      <c r="D3283" s="375"/>
      <c r="E3283" s="407">
        <f>+D3274</f>
        <v>3.18</v>
      </c>
      <c r="F3283" s="376"/>
      <c r="G3283" s="376"/>
      <c r="H3283" s="376"/>
      <c r="I3283" s="376"/>
      <c r="J3283" s="377"/>
      <c r="K3283" s="88"/>
      <c r="M3283" s="535"/>
      <c r="N3283" s="537" t="s">
        <v>107</v>
      </c>
      <c r="O3283" s="537"/>
      <c r="P3283" s="537"/>
      <c r="Q3283" s="537"/>
      <c r="R3283" s="537"/>
      <c r="S3283" s="537"/>
      <c r="T3283" s="537"/>
      <c r="U3283" s="537"/>
      <c r="V3283" s="408">
        <f>+ROUND(V3282,$AA$5)</f>
        <v>90000</v>
      </c>
      <c r="Y3283" s="401" t="s">
        <v>136</v>
      </c>
      <c r="Z3283" s="402">
        <f>+ROUND(Z3282,$AA$5)</f>
        <v>3330000</v>
      </c>
      <c r="AA3283" s="86"/>
      <c r="AB3283" s="403">
        <f>+V3283*Y3264</f>
        <v>3330000</v>
      </c>
      <c r="AC3283" s="404">
        <f>+AB3283-Z3283</f>
        <v>0</v>
      </c>
      <c r="AD3283" s="94"/>
      <c r="AE3283" s="405"/>
    </row>
    <row r="3284" spans="3:31" s="260" customFormat="1" x14ac:dyDescent="0.25">
      <c r="C3284" s="84"/>
      <c r="D3284" s="380"/>
      <c r="E3284" s="381"/>
      <c r="F3284" s="381"/>
      <c r="G3284" s="381"/>
      <c r="H3284" s="381"/>
      <c r="I3284" s="381"/>
      <c r="J3284" s="382"/>
      <c r="K3284" s="88"/>
      <c r="M3284" s="568" t="s">
        <v>108</v>
      </c>
      <c r="N3284" s="569"/>
      <c r="O3284" s="569"/>
      <c r="P3284" s="569"/>
      <c r="Q3284" s="569"/>
      <c r="R3284" s="569"/>
      <c r="S3284" s="569"/>
      <c r="T3284" s="569"/>
      <c r="U3284" s="569"/>
      <c r="V3284" s="570"/>
      <c r="Y3284" s="378"/>
      <c r="Z3284" s="121"/>
      <c r="AA3284" s="86"/>
      <c r="AB3284" s="409"/>
      <c r="AC3284" s="121"/>
      <c r="AD3284" s="94"/>
      <c r="AE3284" s="126"/>
    </row>
    <row r="3285" spans="3:31" s="260" customFormat="1" ht="25.5" x14ac:dyDescent="0.25">
      <c r="C3285" s="84"/>
      <c r="D3285" s="85"/>
      <c r="E3285" s="86"/>
      <c r="F3285" s="86"/>
      <c r="G3285" s="86"/>
      <c r="H3285" s="86"/>
      <c r="I3285" s="86"/>
      <c r="J3285" s="87"/>
      <c r="K3285" s="88"/>
      <c r="M3285" s="99" t="s">
        <v>94</v>
      </c>
      <c r="N3285" s="561" t="s">
        <v>95</v>
      </c>
      <c r="O3285" s="561"/>
      <c r="P3285" s="561"/>
      <c r="Q3285" s="95" t="s">
        <v>109</v>
      </c>
      <c r="R3285" s="95" t="s">
        <v>110</v>
      </c>
      <c r="S3285" s="95" t="s">
        <v>111</v>
      </c>
      <c r="T3285" s="562" t="s">
        <v>112</v>
      </c>
      <c r="U3285" s="562"/>
      <c r="V3285" s="100" t="s">
        <v>98</v>
      </c>
      <c r="Y3285" s="383" t="s">
        <v>104</v>
      </c>
      <c r="Z3285" s="119" t="s">
        <v>9</v>
      </c>
      <c r="AA3285" s="86"/>
      <c r="AB3285" s="384"/>
      <c r="AC3285" s="385"/>
      <c r="AD3285" s="94"/>
      <c r="AE3285" s="410"/>
    </row>
    <row r="3286" spans="3:31" s="260" customFormat="1" x14ac:dyDescent="0.25">
      <c r="C3286" s="84"/>
      <c r="D3286" s="85"/>
      <c r="E3286" s="86"/>
      <c r="F3286" s="86"/>
      <c r="G3286" s="86"/>
      <c r="H3286" s="86"/>
      <c r="I3286" s="86"/>
      <c r="J3286" s="87"/>
      <c r="K3286" s="88"/>
      <c r="M3286" s="102">
        <v>129</v>
      </c>
      <c r="N3286" s="530" t="str">
        <f>IFERROR(VLOOKUP(M3286,INSUMOS!$C$8:$K$928,2,0),"-----")</f>
        <v>transporte materiales en general</v>
      </c>
      <c r="O3286" s="531"/>
      <c r="P3286" s="532"/>
      <c r="Q3286" s="78" t="str">
        <f>IFERROR(VLOOKUP(M3286,INSUMOS!$C$8:$K$928,5,0),"-----")</f>
        <v>Km</v>
      </c>
      <c r="R3286" s="80">
        <v>1</v>
      </c>
      <c r="S3286" s="80">
        <f>IFERROR(VLOOKUP(M3286,INSUMOS!$C$8:$K$928,6,0),"0")</f>
        <v>348</v>
      </c>
      <c r="T3286" s="529">
        <f>IFERROR(VLOOKUP(M3286,INSUMOS!$C$8:$K$928,7,0),"0")</f>
        <v>0.99776362060288992</v>
      </c>
      <c r="U3286" s="529"/>
      <c r="V3286" s="82">
        <f>+T3286*S3286*R3286</f>
        <v>347.2217399698057</v>
      </c>
      <c r="Y3286" s="393">
        <f>+IFERROR((R3286*S3286)*Y3264,0)</f>
        <v>12876</v>
      </c>
      <c r="Z3286" s="391">
        <f>Y3264*V3286</f>
        <v>12847.20437888281</v>
      </c>
      <c r="AA3286" s="86"/>
      <c r="AB3286" s="92">
        <f>+Y3286*T3286</f>
        <v>12847.20437888281</v>
      </c>
      <c r="AC3286" s="93">
        <f>+AB3286-Z3286</f>
        <v>0</v>
      </c>
      <c r="AD3286" s="94"/>
      <c r="AE3286" s="406" t="str">
        <f>+IF(V3286=0,"CERO","NO")</f>
        <v>NO</v>
      </c>
    </row>
    <row r="3287" spans="3:31" s="260" customFormat="1" x14ac:dyDescent="0.25">
      <c r="C3287" s="84"/>
      <c r="D3287" s="85"/>
      <c r="E3287" s="86"/>
      <c r="F3287" s="86"/>
      <c r="G3287" s="86"/>
      <c r="H3287" s="86"/>
      <c r="I3287" s="86"/>
      <c r="J3287" s="87"/>
      <c r="K3287" s="88"/>
      <c r="M3287" s="102">
        <v>0</v>
      </c>
      <c r="N3287" s="530" t="str">
        <f>IFERROR(VLOOKUP(M3287,INSUMOS!$C$8:$K$928,2,0),"-----")</f>
        <v>-----</v>
      </c>
      <c r="O3287" s="531"/>
      <c r="P3287" s="532"/>
      <c r="Q3287" s="78" t="str">
        <f>IFERROR(VLOOKUP(M3287,INSUMOS!$C$8:$K$928,5,0),"-----")</f>
        <v>-----</v>
      </c>
      <c r="R3287" s="80"/>
      <c r="S3287" s="80" t="str">
        <f>IFERROR(VLOOKUP(M3287,INSUMOS!$C$8:$K$928,6,0),"0")</f>
        <v>0</v>
      </c>
      <c r="T3287" s="529" t="str">
        <f>IFERROR(VLOOKUP(M3287,INSUMOS!$C$8:$K$928,7,0),"0")</f>
        <v>0</v>
      </c>
      <c r="U3287" s="529"/>
      <c r="V3287" s="82">
        <f>+T3287*S3287*R3287</f>
        <v>0</v>
      </c>
      <c r="Y3287" s="393">
        <f>+IFERROR((R3287*S3287)*Y3264,0)</f>
        <v>0</v>
      </c>
      <c r="Z3287" s="391">
        <f>Y3264*V3287</f>
        <v>0</v>
      </c>
      <c r="AA3287" s="86"/>
      <c r="AB3287" s="92">
        <f>+Y3287*T3287</f>
        <v>0</v>
      </c>
      <c r="AC3287" s="93">
        <f>+AB3287-Z3287</f>
        <v>0</v>
      </c>
      <c r="AD3287" s="94"/>
      <c r="AE3287" s="406" t="str">
        <f>+IF(V3287=0,"CERO","NO")</f>
        <v>CERO</v>
      </c>
    </row>
    <row r="3288" spans="3:31" s="260" customFormat="1" x14ac:dyDescent="0.25">
      <c r="C3288" s="84"/>
      <c r="D3288" s="85"/>
      <c r="E3288" s="86"/>
      <c r="F3288" s="86"/>
      <c r="G3288" s="86"/>
      <c r="H3288" s="86"/>
      <c r="I3288" s="86"/>
      <c r="J3288" s="87"/>
      <c r="K3288" s="88"/>
      <c r="M3288" s="102">
        <v>0</v>
      </c>
      <c r="N3288" s="530" t="str">
        <f>IFERROR(VLOOKUP(M3288,INSUMOS!$C$8:$K$928,2,0),"-----")</f>
        <v>-----</v>
      </c>
      <c r="O3288" s="531"/>
      <c r="P3288" s="532"/>
      <c r="Q3288" s="78" t="str">
        <f>IFERROR(VLOOKUP(M3288,INSUMOS!$C$8:$K$928,5,0),"-----")</f>
        <v>-----</v>
      </c>
      <c r="R3288" s="80"/>
      <c r="S3288" s="80" t="str">
        <f>IFERROR(VLOOKUP(M3288,INSUMOS!$C$8:$K$928,6,0),"0")</f>
        <v>0</v>
      </c>
      <c r="T3288" s="529" t="str">
        <f>IFERROR(VLOOKUP(M3288,INSUMOS!$C$8:$K$928,7,0),"0")</f>
        <v>0</v>
      </c>
      <c r="U3288" s="529"/>
      <c r="V3288" s="82">
        <f>+T3288*S3288*R3288</f>
        <v>0</v>
      </c>
      <c r="Y3288" s="393">
        <f>+IFERROR((R3288*S3288)*Y3264,0)</f>
        <v>0</v>
      </c>
      <c r="Z3288" s="391">
        <f>Y3264*V3288</f>
        <v>0</v>
      </c>
      <c r="AA3288" s="86"/>
      <c r="AB3288" s="92">
        <f>+Y3288*T3288</f>
        <v>0</v>
      </c>
      <c r="AC3288" s="93">
        <f>+AB3288-Z3288</f>
        <v>0</v>
      </c>
      <c r="AD3288" s="94"/>
      <c r="AE3288" s="406" t="str">
        <f>+IF(V3288=0,"CERO","NO")</f>
        <v>CERO</v>
      </c>
    </row>
    <row r="3289" spans="3:31" s="260" customFormat="1" ht="15.75" thickBot="1" x14ac:dyDescent="0.3">
      <c r="C3289" s="84"/>
      <c r="D3289" s="89"/>
      <c r="E3289" s="90"/>
      <c r="F3289" s="90"/>
      <c r="G3289" s="90"/>
      <c r="H3289" s="90"/>
      <c r="I3289" s="90"/>
      <c r="J3289" s="91"/>
      <c r="K3289" s="88"/>
      <c r="M3289" s="102">
        <v>0</v>
      </c>
      <c r="N3289" s="533"/>
      <c r="O3289" s="533"/>
      <c r="P3289" s="533"/>
      <c r="Q3289" s="79"/>
      <c r="R3289" s="78"/>
      <c r="S3289" s="81"/>
      <c r="T3289" s="529"/>
      <c r="U3289" s="529"/>
      <c r="V3289" s="82"/>
      <c r="Y3289" s="393">
        <f>+IFERROR((R3289*S3289)*Y3264,0)</f>
        <v>0</v>
      </c>
      <c r="Z3289" s="391">
        <f>Y3264*V3289</f>
        <v>0</v>
      </c>
      <c r="AA3289" s="86"/>
      <c r="AB3289" s="92">
        <f>+Y3289*T3289</f>
        <v>0</v>
      </c>
      <c r="AC3289" s="93">
        <f>+AB3289-Z3289</f>
        <v>0</v>
      </c>
      <c r="AD3289" s="94"/>
      <c r="AE3289" s="406" t="str">
        <f>+IF(V3289=0,"CERO","NO")</f>
        <v>CERO</v>
      </c>
    </row>
    <row r="3290" spans="3:31" s="260" customFormat="1" ht="15.75" thickBot="1" x14ac:dyDescent="0.3">
      <c r="C3290" s="84"/>
      <c r="D3290" s="375" t="s">
        <v>128</v>
      </c>
      <c r="E3290" s="376" t="s">
        <v>129</v>
      </c>
      <c r="F3290" s="376" t="s">
        <v>130</v>
      </c>
      <c r="G3290" s="376" t="s">
        <v>131</v>
      </c>
      <c r="H3290" s="376" t="s">
        <v>132</v>
      </c>
      <c r="I3290" s="376" t="s">
        <v>133</v>
      </c>
      <c r="J3290" s="377" t="s">
        <v>134</v>
      </c>
      <c r="K3290" s="88"/>
      <c r="M3290" s="534"/>
      <c r="N3290" s="536" t="s">
        <v>113</v>
      </c>
      <c r="O3290" s="536"/>
      <c r="P3290" s="536"/>
      <c r="Q3290" s="536"/>
      <c r="R3290" s="536"/>
      <c r="S3290" s="536"/>
      <c r="T3290" s="536"/>
      <c r="U3290" s="536"/>
      <c r="V3290" s="411">
        <f>+SUM(V3286:V3289)</f>
        <v>347.2217399698057</v>
      </c>
      <c r="Y3290" s="398" t="s">
        <v>135</v>
      </c>
      <c r="Z3290" s="397">
        <f>+SUM(Z3286:Z3289)</f>
        <v>12847.20437888281</v>
      </c>
      <c r="AA3290" s="86"/>
      <c r="AB3290" s="384"/>
      <c r="AC3290" s="385"/>
      <c r="AD3290" s="94"/>
      <c r="AE3290" s="399"/>
    </row>
    <row r="3291" spans="3:31" s="260" customFormat="1" ht="15.75" thickBot="1" x14ac:dyDescent="0.3">
      <c r="C3291" s="84"/>
      <c r="D3291" s="355"/>
      <c r="E3291" s="367"/>
      <c r="F3291" s="412">
        <f>+E3283</f>
        <v>3.18</v>
      </c>
      <c r="G3291" s="367"/>
      <c r="H3291" s="367"/>
      <c r="I3291" s="367"/>
      <c r="J3291" s="368"/>
      <c r="K3291" s="88"/>
      <c r="M3291" s="535"/>
      <c r="N3291" s="537" t="s">
        <v>114</v>
      </c>
      <c r="O3291" s="537"/>
      <c r="P3291" s="537"/>
      <c r="Q3291" s="537"/>
      <c r="R3291" s="537"/>
      <c r="S3291" s="537"/>
      <c r="T3291" s="537"/>
      <c r="U3291" s="537"/>
      <c r="V3291" s="413">
        <f>+ROUND(V3290,$AA$5)</f>
        <v>347.22</v>
      </c>
      <c r="Y3291" s="401" t="s">
        <v>136</v>
      </c>
      <c r="Z3291" s="402">
        <f>+ROUND(Z3290,$AA$5)</f>
        <v>12847.2</v>
      </c>
      <c r="AA3291" s="86"/>
      <c r="AB3291" s="403">
        <f>+V3291*Y3264</f>
        <v>12847.140000000001</v>
      </c>
      <c r="AC3291" s="414"/>
      <c r="AD3291" s="94"/>
      <c r="AE3291" s="405"/>
    </row>
    <row r="3292" spans="3:31" s="260" customFormat="1" ht="15.75" thickBot="1" x14ac:dyDescent="0.3">
      <c r="C3292" s="84"/>
      <c r="D3292" s="415"/>
      <c r="E3292" s="416"/>
      <c r="F3292" s="416"/>
      <c r="G3292" s="416"/>
      <c r="H3292" s="416"/>
      <c r="I3292" s="416"/>
      <c r="J3292" s="417"/>
      <c r="K3292" s="88"/>
      <c r="M3292" s="538" t="s">
        <v>115</v>
      </c>
      <c r="N3292" s="539"/>
      <c r="O3292" s="539"/>
      <c r="P3292" s="539"/>
      <c r="Q3292" s="539"/>
      <c r="R3292" s="539"/>
      <c r="S3292" s="539"/>
      <c r="T3292" s="539"/>
      <c r="U3292" s="539"/>
      <c r="V3292" s="540"/>
      <c r="Y3292" s="378"/>
      <c r="Z3292" s="121"/>
      <c r="AA3292" s="86"/>
      <c r="AB3292" s="409"/>
      <c r="AC3292" s="121"/>
      <c r="AD3292" s="94"/>
      <c r="AE3292" s="126"/>
    </row>
    <row r="3293" spans="3:31" s="260" customFormat="1" ht="15.75" thickBot="1" x14ac:dyDescent="0.3">
      <c r="C3293" s="84"/>
      <c r="D3293" s="375" t="s">
        <v>128</v>
      </c>
      <c r="E3293" s="376" t="s">
        <v>129</v>
      </c>
      <c r="F3293" s="376" t="s">
        <v>130</v>
      </c>
      <c r="G3293" s="376" t="s">
        <v>131</v>
      </c>
      <c r="H3293" s="376" t="s">
        <v>132</v>
      </c>
      <c r="I3293" s="376" t="s">
        <v>133</v>
      </c>
      <c r="J3293" s="377" t="s">
        <v>134</v>
      </c>
      <c r="K3293" s="88"/>
      <c r="M3293" s="99" t="s">
        <v>94</v>
      </c>
      <c r="N3293" s="98" t="s">
        <v>95</v>
      </c>
      <c r="O3293" s="95" t="s">
        <v>96</v>
      </c>
      <c r="P3293" s="359" t="s">
        <v>104</v>
      </c>
      <c r="Q3293" s="95" t="s">
        <v>116</v>
      </c>
      <c r="R3293" s="418" t="s">
        <v>117</v>
      </c>
      <c r="S3293" s="95" t="s">
        <v>347</v>
      </c>
      <c r="T3293" s="419" t="s">
        <v>118</v>
      </c>
      <c r="U3293" s="189" t="s">
        <v>119</v>
      </c>
      <c r="V3293" s="100" t="s">
        <v>98</v>
      </c>
      <c r="Y3293" s="383" t="s">
        <v>104</v>
      </c>
      <c r="Z3293" s="119" t="s">
        <v>9</v>
      </c>
      <c r="AA3293" s="86"/>
      <c r="AB3293" s="384"/>
      <c r="AC3293" s="385"/>
      <c r="AD3293" s="94"/>
      <c r="AE3293" s="410"/>
    </row>
    <row r="3294" spans="3:31" s="260" customFormat="1" ht="25.5" x14ac:dyDescent="0.25">
      <c r="C3294" s="84"/>
      <c r="D3294" s="354"/>
      <c r="E3294" s="96"/>
      <c r="F3294" s="96"/>
      <c r="G3294" s="96"/>
      <c r="H3294" s="96"/>
      <c r="I3294" s="96"/>
      <c r="J3294" s="420">
        <f>+F3291</f>
        <v>3.18</v>
      </c>
      <c r="K3294" s="88"/>
      <c r="M3294" s="102">
        <v>208</v>
      </c>
      <c r="N3294" s="347" t="str">
        <f>IFERROR(VLOOKUP(M3294,INSUMOS!$C$8:$K$928,2,0),"-----")</f>
        <v>Ayudante Hidrosanitario</v>
      </c>
      <c r="O3294" s="78" t="str">
        <f>IFERROR(VLOOKUP(M3294,INSUMOS!$C$8:$K$928,3,0),"-----")</f>
        <v>JORNAL+PS</v>
      </c>
      <c r="P3294" s="80">
        <v>1</v>
      </c>
      <c r="Q3294" s="79">
        <v>20</v>
      </c>
      <c r="R3294" s="190">
        <f>IFERROR(VLOOKUP(M3294,INSUMOS!$C$8:$K$928,4,0),"-----")</f>
        <v>69172</v>
      </c>
      <c r="S3294" s="190">
        <f>IFERROR(VLOOKUP(M3294,INSUMOS!$C$8:$K$928,6,0),"-----")</f>
        <v>55337</v>
      </c>
      <c r="T3294" s="190">
        <f>IFERROR(VLOOKUP(M3294,INSUMOS!$C$8:$K$928,5,0),"-----")</f>
        <v>0</v>
      </c>
      <c r="U3294" s="388">
        <f>SUM(R3294:T3294)</f>
        <v>124509</v>
      </c>
      <c r="V3294" s="82">
        <f>+IFERROR((P3294/Q3294)*U3294,0)</f>
        <v>6225.4500000000007</v>
      </c>
      <c r="Y3294" s="393">
        <f>+IFERROR((Y3264/Q3294*P3294),0)</f>
        <v>1.85</v>
      </c>
      <c r="Z3294" s="391">
        <f>Y3264*V3294</f>
        <v>230341.65000000002</v>
      </c>
      <c r="AA3294" s="86"/>
      <c r="AB3294" s="92">
        <f>+(U3294)*Y3294</f>
        <v>230341.65000000002</v>
      </c>
      <c r="AC3294" s="93">
        <f>+AB3294-Z3294</f>
        <v>0</v>
      </c>
      <c r="AD3294" s="421"/>
      <c r="AE3294" s="410" t="str">
        <f>+IF(V3294=0,"CERO","NO")</f>
        <v>NO</v>
      </c>
    </row>
    <row r="3295" spans="3:31" s="260" customFormat="1" ht="15.75" thickBot="1" x14ac:dyDescent="0.3">
      <c r="C3295" s="84"/>
      <c r="D3295" s="355"/>
      <c r="E3295" s="367"/>
      <c r="F3295" s="367"/>
      <c r="G3295" s="367"/>
      <c r="H3295" s="367"/>
      <c r="I3295" s="367"/>
      <c r="J3295" s="422">
        <f>+J3294</f>
        <v>3.18</v>
      </c>
      <c r="K3295" s="88"/>
      <c r="M3295" s="102"/>
      <c r="N3295" s="347" t="str">
        <f>IFERROR(VLOOKUP(M3295,INSUMOS!$C$8:$K$928,2,0),"-----")</f>
        <v>-----</v>
      </c>
      <c r="O3295" s="78" t="str">
        <f>IFERROR(VLOOKUP(M3295,INSUMOS!$C$8:$K$928,3,0),"-----")</f>
        <v>-----</v>
      </c>
      <c r="P3295" s="80"/>
      <c r="Q3295" s="79"/>
      <c r="R3295" s="190" t="str">
        <f>IFERROR(VLOOKUP(M3295,INSUMOS!$C$8:$K$928,4,0),"-----")</f>
        <v>-----</v>
      </c>
      <c r="S3295" s="190" t="str">
        <f>IFERROR(VLOOKUP(M3295,INSUMOS!$C$8:$K$928,6,0),"-----")</f>
        <v>-----</v>
      </c>
      <c r="T3295" s="190" t="str">
        <f>IFERROR(VLOOKUP(M3295,INSUMOS!$C$8:$K$928,5,0),"-----")</f>
        <v>-----</v>
      </c>
      <c r="U3295" s="388">
        <f>SUM(R3295:T3295)</f>
        <v>0</v>
      </c>
      <c r="V3295" s="82">
        <f>+IFERROR((P3295/Q3295)*U3295,0)</f>
        <v>0</v>
      </c>
      <c r="Y3295" s="393">
        <f>+IFERROR((Y3264/Q3295*P3295),0)</f>
        <v>0</v>
      </c>
      <c r="Z3295" s="391">
        <f>Y3264*V3295</f>
        <v>0</v>
      </c>
      <c r="AA3295" s="86"/>
      <c r="AB3295" s="92">
        <f>+U3295*Y3295</f>
        <v>0</v>
      </c>
      <c r="AC3295" s="93">
        <f>+AB3295-Z3295</f>
        <v>0</v>
      </c>
      <c r="AD3295" s="94"/>
      <c r="AE3295" s="410" t="str">
        <f>+IF(V3295=0,"CERO","NO")</f>
        <v>CERO</v>
      </c>
    </row>
    <row r="3296" spans="3:31" s="260" customFormat="1" ht="15.75" thickBot="1" x14ac:dyDescent="0.3">
      <c r="C3296" s="84"/>
      <c r="D3296" s="380"/>
      <c r="E3296" s="381"/>
      <c r="F3296" s="381"/>
      <c r="G3296" s="381"/>
      <c r="H3296" s="381"/>
      <c r="I3296" s="381"/>
      <c r="J3296" s="382"/>
      <c r="K3296" s="88"/>
      <c r="M3296" s="102">
        <v>0</v>
      </c>
      <c r="N3296" s="347"/>
      <c r="O3296" s="79"/>
      <c r="P3296" s="423"/>
      <c r="Q3296" s="81"/>
      <c r="R3296" s="111"/>
      <c r="S3296" s="357"/>
      <c r="T3296" s="111"/>
      <c r="U3296" s="388"/>
      <c r="V3296" s="426"/>
      <c r="Y3296" s="393">
        <f>+IFERROR((Y3264/Q3296*P3296),0)</f>
        <v>0</v>
      </c>
      <c r="Z3296" s="391">
        <f>Y3264*V3296</f>
        <v>0</v>
      </c>
      <c r="AA3296" s="86"/>
      <c r="AB3296" s="92">
        <f>+(U3296)*Y3296*P3296</f>
        <v>0</v>
      </c>
      <c r="AC3296" s="93">
        <f>+AB3296-Z3296</f>
        <v>0</v>
      </c>
      <c r="AD3296" s="94"/>
      <c r="AE3296" s="410" t="str">
        <f>+IF(V3296=0,"CERO","NO")</f>
        <v>CERO</v>
      </c>
    </row>
    <row r="3297" spans="3:31" s="260" customFormat="1" ht="15.75" thickBot="1" x14ac:dyDescent="0.3">
      <c r="C3297" s="84"/>
      <c r="D3297" s="375" t="s">
        <v>128</v>
      </c>
      <c r="E3297" s="376" t="s">
        <v>129</v>
      </c>
      <c r="F3297" s="376" t="s">
        <v>130</v>
      </c>
      <c r="G3297" s="376" t="s">
        <v>131</v>
      </c>
      <c r="H3297" s="376" t="s">
        <v>132</v>
      </c>
      <c r="I3297" s="376" t="s">
        <v>133</v>
      </c>
      <c r="J3297" s="377" t="s">
        <v>134</v>
      </c>
      <c r="K3297" s="88"/>
      <c r="M3297" s="534"/>
      <c r="N3297" s="536" t="s">
        <v>120</v>
      </c>
      <c r="O3297" s="536"/>
      <c r="P3297" s="536"/>
      <c r="Q3297" s="536"/>
      <c r="R3297" s="536"/>
      <c r="S3297" s="536"/>
      <c r="T3297" s="536"/>
      <c r="U3297" s="536"/>
      <c r="V3297" s="82">
        <f>+SUM(V3294:V3296)</f>
        <v>6225.4500000000007</v>
      </c>
      <c r="Y3297" s="398" t="s">
        <v>135</v>
      </c>
      <c r="Z3297" s="397">
        <f>+SUM(Z3294:Z3296)</f>
        <v>230341.65000000002</v>
      </c>
      <c r="AA3297" s="86"/>
      <c r="AB3297" s="384"/>
      <c r="AC3297" s="385"/>
      <c r="AD3297" s="94"/>
      <c r="AE3297" s="399"/>
    </row>
    <row r="3298" spans="3:31" s="260" customFormat="1" ht="15.75" thickBot="1" x14ac:dyDescent="0.3">
      <c r="C3298" s="84"/>
      <c r="D3298" s="354"/>
      <c r="E3298" s="96"/>
      <c r="F3298" s="96"/>
      <c r="G3298" s="107">
        <f>+F3291</f>
        <v>3.18</v>
      </c>
      <c r="H3298" s="96"/>
      <c r="I3298" s="96"/>
      <c r="J3298" s="427"/>
      <c r="K3298" s="88"/>
      <c r="M3298" s="535"/>
      <c r="N3298" s="537" t="s">
        <v>121</v>
      </c>
      <c r="O3298" s="537"/>
      <c r="P3298" s="537"/>
      <c r="Q3298" s="537"/>
      <c r="R3298" s="537"/>
      <c r="S3298" s="537"/>
      <c r="T3298" s="537"/>
      <c r="U3298" s="537"/>
      <c r="V3298" s="413">
        <f>+ROUND(V3297,$AA$5)</f>
        <v>6225.45</v>
      </c>
      <c r="Y3298" s="401" t="s">
        <v>136</v>
      </c>
      <c r="Z3298" s="402">
        <f>+ROUND(Z3297,$AA$5)</f>
        <v>230341.65</v>
      </c>
      <c r="AA3298" s="86"/>
      <c r="AB3298" s="403">
        <f>+V3298*Y3264</f>
        <v>230341.65</v>
      </c>
      <c r="AC3298" s="404">
        <f>+AB3298-Z3298</f>
        <v>0</v>
      </c>
      <c r="AD3298" s="94"/>
      <c r="AE3298" s="405"/>
    </row>
    <row r="3299" spans="3:31" s="260" customFormat="1" ht="15.75" thickBot="1" x14ac:dyDescent="0.3">
      <c r="C3299" s="84"/>
      <c r="D3299" s="375" t="s">
        <v>128</v>
      </c>
      <c r="E3299" s="376" t="s">
        <v>129</v>
      </c>
      <c r="F3299" s="376" t="s">
        <v>130</v>
      </c>
      <c r="G3299" s="376" t="s">
        <v>131</v>
      </c>
      <c r="H3299" s="376" t="s">
        <v>132</v>
      </c>
      <c r="I3299" s="376" t="s">
        <v>133</v>
      </c>
      <c r="J3299" s="377" t="s">
        <v>134</v>
      </c>
      <c r="K3299" s="88"/>
      <c r="M3299" s="541"/>
      <c r="N3299" s="542"/>
      <c r="O3299" s="542"/>
      <c r="P3299" s="542"/>
      <c r="Q3299" s="542"/>
      <c r="R3299" s="542"/>
      <c r="S3299" s="542"/>
      <c r="T3299" s="542"/>
      <c r="U3299" s="542"/>
      <c r="V3299" s="543"/>
      <c r="Y3299" s="378"/>
      <c r="Z3299" s="121"/>
      <c r="AA3299" s="86"/>
      <c r="AB3299" s="409"/>
      <c r="AC3299" s="121"/>
      <c r="AD3299" s="94"/>
      <c r="AE3299" s="428"/>
    </row>
    <row r="3300" spans="3:31" s="260" customFormat="1" ht="15.75" thickBot="1" x14ac:dyDescent="0.3">
      <c r="C3300" s="84"/>
      <c r="D3300" s="355"/>
      <c r="E3300" s="367"/>
      <c r="F3300" s="367"/>
      <c r="G3300" s="367"/>
      <c r="H3300" s="412">
        <f>G3298</f>
        <v>3.18</v>
      </c>
      <c r="I3300" s="412"/>
      <c r="J3300" s="422"/>
      <c r="K3300" s="88"/>
      <c r="M3300" s="544" t="s">
        <v>122</v>
      </c>
      <c r="N3300" s="537"/>
      <c r="O3300" s="537"/>
      <c r="P3300" s="537"/>
      <c r="Q3300" s="537"/>
      <c r="R3300" s="537"/>
      <c r="S3300" s="537"/>
      <c r="T3300" s="537"/>
      <c r="U3300" s="545">
        <f>+V3298+V3291+V3283+V3274</f>
        <v>96883.94</v>
      </c>
      <c r="V3300" s="546"/>
      <c r="Y3300" s="429"/>
      <c r="Z3300" s="430">
        <f>+Z3298+Z3291+Z3283+Z3274</f>
        <v>3584705.93</v>
      </c>
      <c r="AA3300" s="86"/>
      <c r="AB3300" s="431">
        <f>+AB3298+AB3291+AB3283+AB3274</f>
        <v>3584705.7800000003</v>
      </c>
      <c r="AC3300" s="404">
        <f>+AB3300-Z3300</f>
        <v>-0.14999999990686774</v>
      </c>
      <c r="AD3300" s="94"/>
      <c r="AE3300" s="432"/>
    </row>
    <row r="3301" spans="3:31" s="260" customFormat="1" ht="15.75" thickBot="1" x14ac:dyDescent="0.3"/>
    <row r="3302" spans="3:31" s="260" customFormat="1" x14ac:dyDescent="0.25">
      <c r="M3302" s="547" t="s">
        <v>348</v>
      </c>
      <c r="N3302" s="548"/>
      <c r="O3302" s="548"/>
      <c r="P3302" s="548"/>
      <c r="Q3302" s="548"/>
      <c r="R3302" s="548"/>
      <c r="S3302" s="548"/>
      <c r="T3302" s="548"/>
      <c r="U3302" s="548"/>
      <c r="V3302" s="549"/>
      <c r="Y3302" s="378"/>
      <c r="Z3302" s="121"/>
      <c r="AA3302" s="86"/>
      <c r="AB3302" s="94"/>
      <c r="AC3302" s="94"/>
      <c r="AD3302" s="94"/>
      <c r="AE3302" s="126" t="s">
        <v>133</v>
      </c>
    </row>
    <row r="3303" spans="3:31" s="260" customFormat="1" x14ac:dyDescent="0.25">
      <c r="M3303" s="515" t="s">
        <v>138</v>
      </c>
      <c r="N3303" s="516"/>
      <c r="O3303" s="516"/>
      <c r="P3303" s="516"/>
      <c r="Q3303" s="516"/>
      <c r="R3303" s="516"/>
      <c r="S3303" s="516"/>
      <c r="T3303" s="437">
        <v>0</v>
      </c>
      <c r="U3303" s="517">
        <f>+ROUND(U3300*T3303,$AA$5)</f>
        <v>0</v>
      </c>
      <c r="V3303" s="518"/>
      <c r="Y3303" s="390"/>
      <c r="Z3303" s="438">
        <f>+Z3300*T3303</f>
        <v>0</v>
      </c>
      <c r="AA3303" s="86"/>
      <c r="AB3303" s="94"/>
      <c r="AC3303" s="94"/>
      <c r="AD3303" s="94"/>
      <c r="AE3303" s="386" t="s">
        <v>133</v>
      </c>
    </row>
    <row r="3304" spans="3:31" s="260" customFormat="1" x14ac:dyDescent="0.25">
      <c r="M3304" s="515" t="s">
        <v>19</v>
      </c>
      <c r="N3304" s="516"/>
      <c r="O3304" s="516"/>
      <c r="P3304" s="516"/>
      <c r="Q3304" s="516"/>
      <c r="R3304" s="516"/>
      <c r="S3304" s="516"/>
      <c r="T3304" s="437">
        <v>0.05</v>
      </c>
      <c r="U3304" s="517">
        <f>+ROUND(U3300*T3304,$AA$5)</f>
        <v>4844.2</v>
      </c>
      <c r="V3304" s="518"/>
      <c r="Y3304" s="390"/>
      <c r="Z3304" s="438">
        <f>+Z3300*T3304</f>
        <v>179235.29650000003</v>
      </c>
      <c r="AA3304" s="86"/>
      <c r="AB3304" s="94"/>
      <c r="AC3304" s="94"/>
      <c r="AD3304" s="94"/>
      <c r="AE3304" s="386" t="s">
        <v>133</v>
      </c>
    </row>
    <row r="3305" spans="3:31" s="260" customFormat="1" x14ac:dyDescent="0.25">
      <c r="M3305" s="515" t="s">
        <v>20</v>
      </c>
      <c r="N3305" s="516"/>
      <c r="O3305" s="516"/>
      <c r="P3305" s="516"/>
      <c r="Q3305" s="516"/>
      <c r="R3305" s="516"/>
      <c r="S3305" s="516"/>
      <c r="T3305" s="437">
        <v>0</v>
      </c>
      <c r="U3305" s="517">
        <f>+ROUND(U3300*T3305,$AA$5)</f>
        <v>0</v>
      </c>
      <c r="V3305" s="518"/>
      <c r="Y3305" s="390"/>
      <c r="Z3305" s="438">
        <f>+Z3300*T3305</f>
        <v>0</v>
      </c>
      <c r="AA3305" s="86"/>
      <c r="AB3305" s="94"/>
      <c r="AC3305" s="94"/>
      <c r="AD3305" s="94"/>
      <c r="AE3305" s="386" t="s">
        <v>133</v>
      </c>
    </row>
    <row r="3306" spans="3:31" s="260" customFormat="1" x14ac:dyDescent="0.25">
      <c r="M3306" s="515" t="s">
        <v>21</v>
      </c>
      <c r="N3306" s="516"/>
      <c r="O3306" s="516"/>
      <c r="P3306" s="516"/>
      <c r="Q3306" s="516"/>
      <c r="R3306" s="516"/>
      <c r="S3306" s="516"/>
      <c r="T3306" s="437">
        <f>$AA$9</f>
        <v>0</v>
      </c>
      <c r="U3306" s="517">
        <f>+ROUND(U3300*T3306,$AA$5)</f>
        <v>0</v>
      </c>
      <c r="V3306" s="518"/>
      <c r="Y3306" s="390"/>
      <c r="Z3306" s="438">
        <f>+Z3305*T3306</f>
        <v>0</v>
      </c>
      <c r="AA3306" s="86"/>
      <c r="AB3306" s="94"/>
      <c r="AC3306" s="94"/>
      <c r="AD3306" s="94"/>
      <c r="AE3306" s="386" t="s">
        <v>133</v>
      </c>
    </row>
    <row r="3307" spans="3:31" s="260" customFormat="1" ht="15.75" thickBot="1" x14ac:dyDescent="0.3">
      <c r="M3307" s="519" t="s">
        <v>349</v>
      </c>
      <c r="N3307" s="520"/>
      <c r="O3307" s="520"/>
      <c r="P3307" s="520"/>
      <c r="Q3307" s="520"/>
      <c r="R3307" s="520"/>
      <c r="S3307" s="520"/>
      <c r="T3307" s="520"/>
      <c r="U3307" s="521">
        <f>+SUM(U3303:V3306)</f>
        <v>4844.2</v>
      </c>
      <c r="V3307" s="522"/>
      <c r="Y3307" s="390"/>
      <c r="Z3307" s="439">
        <f>+SUM(Z3303:Z3306)</f>
        <v>179235.29650000003</v>
      </c>
      <c r="AA3307" s="86"/>
      <c r="AB3307" s="94"/>
      <c r="AC3307" s="94"/>
      <c r="AD3307" s="94"/>
      <c r="AE3307" s="386" t="s">
        <v>133</v>
      </c>
    </row>
    <row r="3308" spans="3:31" s="260" customFormat="1" ht="15.75" thickBot="1" x14ac:dyDescent="0.3">
      <c r="D3308" s="375" t="s">
        <v>128</v>
      </c>
      <c r="E3308" s="376" t="s">
        <v>129</v>
      </c>
      <c r="F3308" s="376" t="s">
        <v>130</v>
      </c>
      <c r="G3308" s="376" t="s">
        <v>131</v>
      </c>
      <c r="H3308" s="376" t="s">
        <v>132</v>
      </c>
      <c r="I3308" s="376" t="s">
        <v>133</v>
      </c>
      <c r="J3308" s="377" t="s">
        <v>134</v>
      </c>
      <c r="M3308" s="86"/>
      <c r="N3308" s="94"/>
      <c r="O3308" s="94"/>
      <c r="P3308" s="94"/>
      <c r="Q3308" s="86"/>
      <c r="R3308" s="86"/>
      <c r="S3308" s="86"/>
      <c r="T3308" s="440"/>
      <c r="U3308" s="523"/>
      <c r="V3308" s="523"/>
      <c r="Y3308" s="390"/>
      <c r="Z3308" s="385"/>
      <c r="AA3308" s="86"/>
      <c r="AB3308" s="94"/>
      <c r="AC3308" s="94"/>
      <c r="AD3308" s="94"/>
      <c r="AE3308" s="386" t="s">
        <v>133</v>
      </c>
    </row>
    <row r="3309" spans="3:31" s="260" customFormat="1" ht="15.75" thickBot="1" x14ac:dyDescent="0.3">
      <c r="D3309" s="355"/>
      <c r="E3309" s="367"/>
      <c r="F3309" s="367"/>
      <c r="G3309" s="367"/>
      <c r="H3309" s="412"/>
      <c r="I3309" s="412">
        <f>H3300</f>
        <v>3.18</v>
      </c>
      <c r="J3309" s="422"/>
      <c r="M3309" s="524" t="s">
        <v>11</v>
      </c>
      <c r="N3309" s="525"/>
      <c r="O3309" s="525"/>
      <c r="P3309" s="525"/>
      <c r="Q3309" s="525"/>
      <c r="R3309" s="525"/>
      <c r="S3309" s="525"/>
      <c r="T3309" s="526"/>
      <c r="U3309" s="527">
        <f>+U3307+U3300</f>
        <v>101728.14</v>
      </c>
      <c r="V3309" s="528"/>
      <c r="Y3309" s="429"/>
      <c r="Z3309" s="441">
        <f>+Z3307+Z3300</f>
        <v>3763941.2265000003</v>
      </c>
      <c r="AA3309" s="86"/>
      <c r="AB3309" s="94"/>
      <c r="AC3309" s="94"/>
      <c r="AD3309" s="94"/>
      <c r="AE3309" s="405" t="s">
        <v>133</v>
      </c>
    </row>
    <row r="3310" spans="3:31" s="260" customFormat="1" x14ac:dyDescent="0.25"/>
    <row r="3311" spans="3:31" s="260" customFormat="1" ht="15.75" thickBot="1" x14ac:dyDescent="0.3"/>
    <row r="3312" spans="3:31" s="260" customFormat="1" ht="15.75" thickBot="1" x14ac:dyDescent="0.3">
      <c r="M3312" s="363" t="s">
        <v>88</v>
      </c>
      <c r="N3312" s="436" t="str">
        <f>+N3263</f>
        <v>CAP.3</v>
      </c>
      <c r="O3312" s="550" t="str">
        <f>IFERROR(VLOOKUP(N3312,PPTO!C:H,2,0),"----")</f>
        <v>RED CONTRAINCENDIOS</v>
      </c>
      <c r="P3312" s="551"/>
      <c r="Q3312" s="551"/>
      <c r="R3312" s="551"/>
      <c r="S3312" s="551"/>
      <c r="T3312" s="551"/>
      <c r="U3312" s="552"/>
      <c r="V3312" s="74" t="s">
        <v>91</v>
      </c>
      <c r="Y3312" s="365" t="s">
        <v>104</v>
      </c>
      <c r="Z3312" s="94"/>
      <c r="AA3312" s="188"/>
      <c r="AB3312" s="553"/>
      <c r="AC3312" s="553"/>
      <c r="AD3312" s="553"/>
      <c r="AE3312" s="94"/>
    </row>
    <row r="3313" spans="3:31" s="260" customFormat="1" ht="15.75" thickBot="1" x14ac:dyDescent="0.3">
      <c r="C3313" s="369">
        <f>+N3313</f>
        <v>3.19</v>
      </c>
      <c r="D3313" s="86"/>
      <c r="E3313" s="86"/>
      <c r="F3313" s="86"/>
      <c r="G3313" s="86"/>
      <c r="H3313" s="86"/>
      <c r="I3313" s="86"/>
      <c r="J3313" s="86"/>
      <c r="K3313" s="370"/>
      <c r="M3313" s="75" t="s">
        <v>92</v>
      </c>
      <c r="N3313" s="371">
        <f>+ROUNDUP(N3264+0.01,2)</f>
        <v>3.19</v>
      </c>
      <c r="O3313" s="554" t="str">
        <f>IFERROR(VLOOKUP(N3313,PPTO!C:H,2,0),"----")</f>
        <v>Extintor manual clase C</v>
      </c>
      <c r="P3313" s="555"/>
      <c r="Q3313" s="555"/>
      <c r="R3313" s="555"/>
      <c r="S3313" s="555"/>
      <c r="T3313" s="555"/>
      <c r="U3313" s="556"/>
      <c r="V3313" s="76" t="str">
        <f>IFERROR(VLOOKUP(N3313,PPTO!C:H,3,0),"----")</f>
        <v>UND</v>
      </c>
      <c r="Y3313" s="373">
        <f>SUMIFS(PPTO!F:F,PPTO!C:C,APUS!N3313)</f>
        <v>5</v>
      </c>
      <c r="Z3313" s="94"/>
      <c r="AA3313" s="86"/>
      <c r="AB3313" s="94"/>
      <c r="AC3313" s="94"/>
      <c r="AD3313" s="94"/>
      <c r="AE3313" s="94"/>
    </row>
    <row r="3314" spans="3:31" s="260" customFormat="1" ht="15.75" thickBot="1" x14ac:dyDescent="0.3">
      <c r="C3314" s="84"/>
      <c r="D3314" s="86"/>
      <c r="E3314" s="86"/>
      <c r="F3314" s="86"/>
      <c r="G3314" s="86"/>
      <c r="H3314" s="86"/>
      <c r="I3314" s="86"/>
      <c r="J3314" s="86"/>
      <c r="K3314" s="88"/>
      <c r="M3314" s="557"/>
      <c r="N3314" s="557"/>
      <c r="O3314" s="557"/>
      <c r="P3314" s="557"/>
      <c r="Q3314" s="557"/>
      <c r="R3314" s="557"/>
      <c r="S3314" s="557"/>
      <c r="T3314" s="557"/>
      <c r="U3314" s="557"/>
      <c r="V3314" s="557"/>
      <c r="Y3314" s="374"/>
      <c r="Z3314" s="94"/>
      <c r="AA3314" s="86"/>
      <c r="AB3314" s="94"/>
      <c r="AC3314" s="94"/>
      <c r="AD3314" s="94"/>
      <c r="AE3314" s="94"/>
    </row>
    <row r="3315" spans="3:31" s="260" customFormat="1" ht="15.75" thickBot="1" x14ac:dyDescent="0.3">
      <c r="C3315" s="84"/>
      <c r="D3315" s="375" t="s">
        <v>128</v>
      </c>
      <c r="E3315" s="376" t="s">
        <v>129</v>
      </c>
      <c r="F3315" s="376" t="s">
        <v>130</v>
      </c>
      <c r="G3315" s="376" t="s">
        <v>131</v>
      </c>
      <c r="H3315" s="376" t="s">
        <v>132</v>
      </c>
      <c r="I3315" s="376" t="s">
        <v>133</v>
      </c>
      <c r="J3315" s="377" t="s">
        <v>134</v>
      </c>
      <c r="K3315" s="88"/>
      <c r="M3315" s="558" t="s">
        <v>93</v>
      </c>
      <c r="N3315" s="559"/>
      <c r="O3315" s="559"/>
      <c r="P3315" s="559"/>
      <c r="Q3315" s="559"/>
      <c r="R3315" s="559"/>
      <c r="S3315" s="559"/>
      <c r="T3315" s="559"/>
      <c r="U3315" s="559"/>
      <c r="V3315" s="560"/>
      <c r="Y3315" s="378"/>
      <c r="Z3315" s="121"/>
      <c r="AA3315" s="86"/>
      <c r="AB3315" s="513"/>
      <c r="AC3315" s="514"/>
      <c r="AD3315" s="94"/>
      <c r="AE3315" s="379"/>
    </row>
    <row r="3316" spans="3:31" s="260" customFormat="1" x14ac:dyDescent="0.25">
      <c r="C3316" s="84"/>
      <c r="D3316" s="380"/>
      <c r="E3316" s="381"/>
      <c r="F3316" s="381"/>
      <c r="G3316" s="381"/>
      <c r="H3316" s="381"/>
      <c r="I3316" s="381"/>
      <c r="J3316" s="382"/>
      <c r="K3316" s="88"/>
      <c r="M3316" s="99" t="s">
        <v>94</v>
      </c>
      <c r="N3316" s="561" t="s">
        <v>95</v>
      </c>
      <c r="O3316" s="561"/>
      <c r="P3316" s="561"/>
      <c r="Q3316" s="561"/>
      <c r="R3316" s="95" t="s">
        <v>96</v>
      </c>
      <c r="S3316" s="95" t="s">
        <v>97</v>
      </c>
      <c r="T3316" s="562" t="s">
        <v>8</v>
      </c>
      <c r="U3316" s="562"/>
      <c r="V3316" s="100" t="s">
        <v>98</v>
      </c>
      <c r="Y3316" s="383" t="s">
        <v>104</v>
      </c>
      <c r="Z3316" s="119" t="s">
        <v>9</v>
      </c>
      <c r="AA3316" s="86"/>
      <c r="AB3316" s="384"/>
      <c r="AC3316" s="385"/>
      <c r="AD3316" s="94"/>
      <c r="AE3316" s="386"/>
    </row>
    <row r="3317" spans="3:31" s="260" customFormat="1" x14ac:dyDescent="0.25">
      <c r="C3317" s="84"/>
      <c r="D3317" s="85"/>
      <c r="E3317" s="86"/>
      <c r="F3317" s="86"/>
      <c r="G3317" s="86"/>
      <c r="H3317" s="86"/>
      <c r="I3317" s="86"/>
      <c r="J3317" s="87"/>
      <c r="K3317" s="88"/>
      <c r="M3317" s="102"/>
      <c r="N3317" s="533" t="s">
        <v>99</v>
      </c>
      <c r="O3317" s="533"/>
      <c r="P3317" s="533"/>
      <c r="Q3317" s="533"/>
      <c r="R3317" s="78" t="s">
        <v>100</v>
      </c>
      <c r="S3317" s="387">
        <f>+$AA$10</f>
        <v>0.05</v>
      </c>
      <c r="T3317" s="563">
        <f>V3347</f>
        <v>6225.45</v>
      </c>
      <c r="U3317" s="563"/>
      <c r="V3317" s="389">
        <f>+IFERROR(T3317*S3317,0)</f>
        <v>311.27250000000004</v>
      </c>
      <c r="Y3317" s="390"/>
      <c r="Z3317" s="391">
        <f>Y3313*V3317</f>
        <v>1556.3625000000002</v>
      </c>
      <c r="AA3317" s="86"/>
      <c r="AB3317" s="384"/>
      <c r="AC3317" s="385"/>
      <c r="AD3317" s="94"/>
      <c r="AE3317" s="386" t="str">
        <f>+IF(V3317=0,"CERO","NO")</f>
        <v>NO</v>
      </c>
    </row>
    <row r="3318" spans="3:31" s="260" customFormat="1" x14ac:dyDescent="0.25">
      <c r="C3318" s="84"/>
      <c r="D3318" s="85"/>
      <c r="E3318" s="86"/>
      <c r="F3318" s="86"/>
      <c r="G3318" s="86"/>
      <c r="H3318" s="86"/>
      <c r="I3318" s="86"/>
      <c r="J3318" s="87"/>
      <c r="K3318" s="88"/>
      <c r="M3318" s="106"/>
      <c r="N3318" s="533" t="str">
        <f>IFERROR(VLOOKUP(M3318,INSUMOS!$C$8:$K$928,2,0),"-----")</f>
        <v>-----</v>
      </c>
      <c r="O3318" s="533"/>
      <c r="P3318" s="533"/>
      <c r="Q3318" s="533"/>
      <c r="R3318" s="78" t="str">
        <f>IFERROR(VLOOKUP(M3318,INSUMOS!$C$8:$K$928,6,0),"-----")</f>
        <v>-----</v>
      </c>
      <c r="S3318" s="392"/>
      <c r="T3318" s="529" t="str">
        <f>IFERROR(VLOOKUP(M3318,INSUMOS!$C$8:$K$928,7,0),"0")</f>
        <v>0</v>
      </c>
      <c r="U3318" s="529"/>
      <c r="V3318" s="389">
        <f>+IFERROR(T3318*S3318,0)</f>
        <v>0</v>
      </c>
      <c r="Y3318" s="393">
        <f>+IFERROR(Y3313*S3318,0)</f>
        <v>0</v>
      </c>
      <c r="Z3318" s="391">
        <f>Y3313*V3318</f>
        <v>0</v>
      </c>
      <c r="AA3318" s="394"/>
      <c r="AB3318" s="395">
        <f>+Y3318*T3318</f>
        <v>0</v>
      </c>
      <c r="AC3318" s="93">
        <f>+AB3318-Z3318</f>
        <v>0</v>
      </c>
      <c r="AD3318" s="94"/>
      <c r="AE3318" s="386" t="str">
        <f>+IF(V3318=0,"CERO","NO")</f>
        <v>CERO</v>
      </c>
    </row>
    <row r="3319" spans="3:31" s="260" customFormat="1" x14ac:dyDescent="0.25">
      <c r="C3319" s="84"/>
      <c r="D3319" s="85"/>
      <c r="E3319" s="86"/>
      <c r="F3319" s="86"/>
      <c r="G3319" s="86"/>
      <c r="H3319" s="86"/>
      <c r="I3319" s="86"/>
      <c r="J3319" s="87"/>
      <c r="K3319" s="88"/>
      <c r="M3319" s="102">
        <v>0</v>
      </c>
      <c r="N3319" s="533"/>
      <c r="O3319" s="533"/>
      <c r="P3319" s="533"/>
      <c r="Q3319" s="533"/>
      <c r="R3319" s="78"/>
      <c r="S3319" s="396"/>
      <c r="T3319" s="529"/>
      <c r="U3319" s="529"/>
      <c r="V3319" s="397"/>
      <c r="Y3319" s="393">
        <f>+IFERROR(Y3313*S3319,0)</f>
        <v>0</v>
      </c>
      <c r="Z3319" s="391">
        <f>Y3313*V3319</f>
        <v>0</v>
      </c>
      <c r="AA3319" s="394"/>
      <c r="AB3319" s="395">
        <f>+Y3319*T3319</f>
        <v>0</v>
      </c>
      <c r="AC3319" s="93">
        <f>+AB3319-Z3319</f>
        <v>0</v>
      </c>
      <c r="AD3319" s="94"/>
      <c r="AE3319" s="386" t="str">
        <f>+IF(V3319=0,"CERO","NO")</f>
        <v>CERO</v>
      </c>
    </row>
    <row r="3320" spans="3:31" s="260" customFormat="1" x14ac:dyDescent="0.25">
      <c r="C3320" s="84"/>
      <c r="D3320" s="85"/>
      <c r="E3320" s="86"/>
      <c r="F3320" s="86"/>
      <c r="G3320" s="86"/>
      <c r="H3320" s="86"/>
      <c r="I3320" s="86"/>
      <c r="J3320" s="87"/>
      <c r="K3320" s="88"/>
      <c r="M3320" s="102">
        <v>0</v>
      </c>
      <c r="N3320" s="533"/>
      <c r="O3320" s="533"/>
      <c r="P3320" s="533"/>
      <c r="Q3320" s="533"/>
      <c r="R3320" s="78"/>
      <c r="S3320" s="396"/>
      <c r="T3320" s="529"/>
      <c r="U3320" s="529"/>
      <c r="V3320" s="397"/>
      <c r="Y3320" s="393">
        <f>+IFERROR(Y3313*S3320,0)</f>
        <v>0</v>
      </c>
      <c r="Z3320" s="391">
        <f>Y3313*V3320</f>
        <v>0</v>
      </c>
      <c r="AA3320" s="394"/>
      <c r="AB3320" s="395">
        <f>+Y3320*T3320</f>
        <v>0</v>
      </c>
      <c r="AC3320" s="93">
        <f>+AB3320-Z3320</f>
        <v>0</v>
      </c>
      <c r="AD3320" s="94"/>
      <c r="AE3320" s="386" t="str">
        <f>+IF(V3320=0,"CERO","NO")</f>
        <v>CERO</v>
      </c>
    </row>
    <row r="3321" spans="3:31" s="260" customFormat="1" ht="15.75" thickBot="1" x14ac:dyDescent="0.3">
      <c r="C3321" s="84"/>
      <c r="D3321" s="85"/>
      <c r="E3321" s="86"/>
      <c r="F3321" s="86"/>
      <c r="G3321" s="86"/>
      <c r="H3321" s="86"/>
      <c r="I3321" s="86"/>
      <c r="J3321" s="87"/>
      <c r="K3321" s="88"/>
      <c r="M3321" s="102">
        <v>0</v>
      </c>
      <c r="N3321" s="564"/>
      <c r="O3321" s="564"/>
      <c r="P3321" s="564"/>
      <c r="Q3321" s="564"/>
      <c r="R3321" s="96"/>
      <c r="S3321" s="96"/>
      <c r="T3321" s="565"/>
      <c r="U3321" s="565"/>
      <c r="V3321" s="101"/>
      <c r="Y3321" s="393">
        <f>+IFERROR(Y3313*S3321,0)</f>
        <v>0</v>
      </c>
      <c r="Z3321" s="391">
        <f>Y3313*V3321</f>
        <v>0</v>
      </c>
      <c r="AA3321" s="394"/>
      <c r="AB3321" s="395">
        <f>+Y3321*T3321</f>
        <v>0</v>
      </c>
      <c r="AC3321" s="93">
        <f>+AB3321-Z3321</f>
        <v>0</v>
      </c>
      <c r="AD3321" s="94"/>
      <c r="AE3321" s="386" t="str">
        <f>+IF(V3321=0,"CERO","NO")</f>
        <v>CERO</v>
      </c>
    </row>
    <row r="3322" spans="3:31" s="260" customFormat="1" ht="15.75" thickBot="1" x14ac:dyDescent="0.3">
      <c r="C3322" s="84"/>
      <c r="D3322" s="375" t="s">
        <v>128</v>
      </c>
      <c r="E3322" s="376" t="s">
        <v>129</v>
      </c>
      <c r="F3322" s="376" t="s">
        <v>130</v>
      </c>
      <c r="G3322" s="376" t="s">
        <v>131</v>
      </c>
      <c r="H3322" s="376" t="s">
        <v>132</v>
      </c>
      <c r="I3322" s="376" t="s">
        <v>133</v>
      </c>
      <c r="J3322" s="377" t="s">
        <v>134</v>
      </c>
      <c r="K3322" s="88"/>
      <c r="M3322" s="534"/>
      <c r="N3322" s="536" t="s">
        <v>101</v>
      </c>
      <c r="O3322" s="536"/>
      <c r="P3322" s="536"/>
      <c r="Q3322" s="536"/>
      <c r="R3322" s="536"/>
      <c r="S3322" s="536"/>
      <c r="T3322" s="536"/>
      <c r="U3322" s="536"/>
      <c r="V3322" s="389">
        <f>+SUM(V3317:V3321)</f>
        <v>311.27250000000004</v>
      </c>
      <c r="Y3322" s="398" t="s">
        <v>135</v>
      </c>
      <c r="Z3322" s="397">
        <f>+SUM(Z3317:Z3321)</f>
        <v>1556.3625000000002</v>
      </c>
      <c r="AA3322" s="86"/>
      <c r="AB3322" s="384"/>
      <c r="AC3322" s="385"/>
      <c r="AD3322" s="94"/>
      <c r="AE3322" s="399"/>
    </row>
    <row r="3323" spans="3:31" s="260" customFormat="1" ht="15.75" thickBot="1" x14ac:dyDescent="0.3">
      <c r="C3323" s="84"/>
      <c r="D3323" s="375">
        <f>C3313</f>
        <v>3.19</v>
      </c>
      <c r="E3323" s="376"/>
      <c r="F3323" s="376"/>
      <c r="G3323" s="376"/>
      <c r="H3323" s="376"/>
      <c r="I3323" s="376"/>
      <c r="J3323" s="377"/>
      <c r="K3323" s="88"/>
      <c r="M3323" s="566"/>
      <c r="N3323" s="567" t="s">
        <v>102</v>
      </c>
      <c r="O3323" s="567"/>
      <c r="P3323" s="567"/>
      <c r="Q3323" s="567"/>
      <c r="R3323" s="567"/>
      <c r="S3323" s="567"/>
      <c r="T3323" s="567"/>
      <c r="U3323" s="567"/>
      <c r="V3323" s="400">
        <f>+ROUND(V3322,$AA$5)</f>
        <v>311.27</v>
      </c>
      <c r="Y3323" s="401" t="s">
        <v>136</v>
      </c>
      <c r="Z3323" s="402">
        <f>+ROUND(Z3322,$AA$5)</f>
        <v>1556.36</v>
      </c>
      <c r="AA3323" s="86"/>
      <c r="AB3323" s="403">
        <f>+V3323*Y3313</f>
        <v>1556.35</v>
      </c>
      <c r="AC3323" s="404">
        <f>+AB3323-Z3323</f>
        <v>-9.9999999999909051E-3</v>
      </c>
      <c r="AD3323" s="94"/>
      <c r="AE3323" s="405"/>
    </row>
    <row r="3324" spans="3:31" s="260" customFormat="1" x14ac:dyDescent="0.25">
      <c r="C3324" s="84"/>
      <c r="D3324" s="380"/>
      <c r="E3324" s="381"/>
      <c r="F3324" s="381"/>
      <c r="G3324" s="381"/>
      <c r="H3324" s="381"/>
      <c r="I3324" s="381"/>
      <c r="J3324" s="382"/>
      <c r="K3324" s="88"/>
      <c r="M3324" s="510" t="s">
        <v>103</v>
      </c>
      <c r="N3324" s="511"/>
      <c r="O3324" s="511"/>
      <c r="P3324" s="511"/>
      <c r="Q3324" s="511"/>
      <c r="R3324" s="511"/>
      <c r="S3324" s="511"/>
      <c r="T3324" s="511"/>
      <c r="U3324" s="511"/>
      <c r="V3324" s="512"/>
      <c r="Y3324" s="378"/>
      <c r="Z3324" s="121"/>
      <c r="AA3324" s="86"/>
      <c r="AB3324" s="513"/>
      <c r="AC3324" s="514"/>
      <c r="AD3324" s="94"/>
      <c r="AE3324" s="126"/>
    </row>
    <row r="3325" spans="3:31" s="260" customFormat="1" x14ac:dyDescent="0.25">
      <c r="C3325" s="84"/>
      <c r="D3325" s="85"/>
      <c r="E3325" s="86"/>
      <c r="F3325" s="86"/>
      <c r="G3325" s="86"/>
      <c r="H3325" s="86"/>
      <c r="I3325" s="86"/>
      <c r="J3325" s="87"/>
      <c r="K3325" s="88"/>
      <c r="M3325" s="99" t="s">
        <v>94</v>
      </c>
      <c r="N3325" s="561" t="s">
        <v>95</v>
      </c>
      <c r="O3325" s="561"/>
      <c r="P3325" s="561"/>
      <c r="Q3325" s="561"/>
      <c r="R3325" s="95" t="s">
        <v>96</v>
      </c>
      <c r="S3325" s="95" t="s">
        <v>104</v>
      </c>
      <c r="T3325" s="356" t="s">
        <v>105</v>
      </c>
      <c r="U3325" s="356" t="s">
        <v>8</v>
      </c>
      <c r="V3325" s="100" t="s">
        <v>98</v>
      </c>
      <c r="Y3325" s="383" t="s">
        <v>104</v>
      </c>
      <c r="Z3325" s="119" t="s">
        <v>9</v>
      </c>
      <c r="AA3325" s="86"/>
      <c r="AB3325" s="384"/>
      <c r="AC3325" s="385"/>
      <c r="AD3325" s="94"/>
      <c r="AE3325" s="406"/>
    </row>
    <row r="3326" spans="3:31" s="260" customFormat="1" x14ac:dyDescent="0.25">
      <c r="C3326" s="84"/>
      <c r="D3326" s="85"/>
      <c r="E3326" s="86"/>
      <c r="F3326" s="86"/>
      <c r="G3326" s="86"/>
      <c r="H3326" s="86"/>
      <c r="I3326" s="86"/>
      <c r="J3326" s="87"/>
      <c r="K3326" s="88"/>
      <c r="M3326" s="102">
        <v>654</v>
      </c>
      <c r="N3326" s="533" t="str">
        <f>IFERROR(VLOOKUP(M3326,INSUMOS!$C$8:$K$928,2,0),"-----")</f>
        <v>EXTINTOR TIPO C (INCLUYE SOPORTE Y SEÑALIZACION)</v>
      </c>
      <c r="O3326" s="533"/>
      <c r="P3326" s="533"/>
      <c r="Q3326" s="533"/>
      <c r="R3326" s="78" t="str">
        <f>IFERROR(VLOOKUP(M3326,INSUMOS!$C$8:$K$928,6,0),"-----")</f>
        <v>und</v>
      </c>
      <c r="S3326" s="396">
        <v>1</v>
      </c>
      <c r="T3326" s="387">
        <v>0</v>
      </c>
      <c r="U3326" s="388">
        <f>IFERROR(VLOOKUP(M3326,INSUMOS!$C$8:$K$928,7,0),"0")</f>
        <v>335000</v>
      </c>
      <c r="V3326" s="389">
        <f>+IFERROR(U3326*(S3326*(1+T3326)),0)</f>
        <v>335000</v>
      </c>
      <c r="Y3326" s="393">
        <f>+IFERROR(Y3313*(S3326*(1+T3326)),0)</f>
        <v>5</v>
      </c>
      <c r="Z3326" s="391">
        <f>Y3313*V3326</f>
        <v>1675000</v>
      </c>
      <c r="AA3326" s="394"/>
      <c r="AB3326" s="395">
        <f>+Y3326*U3326</f>
        <v>1675000</v>
      </c>
      <c r="AC3326" s="93">
        <f>+AB3326-Z3326</f>
        <v>0</v>
      </c>
      <c r="AD3326" s="94"/>
      <c r="AE3326" s="406" t="str">
        <f>+IF(V3326=0,"CERO","NO")</f>
        <v>NO</v>
      </c>
    </row>
    <row r="3327" spans="3:31" s="260" customFormat="1" x14ac:dyDescent="0.25">
      <c r="C3327" s="84"/>
      <c r="D3327" s="85"/>
      <c r="E3327" s="86"/>
      <c r="F3327" s="86"/>
      <c r="G3327" s="86"/>
      <c r="H3327" s="86"/>
      <c r="I3327" s="86"/>
      <c r="J3327" s="87"/>
      <c r="K3327" s="88"/>
      <c r="M3327" s="102"/>
      <c r="N3327" s="533" t="str">
        <f>IFERROR(VLOOKUP(M3327,INSUMOS!$C$8:$K$928,2,0),"-----")</f>
        <v>-----</v>
      </c>
      <c r="O3327" s="533"/>
      <c r="P3327" s="533"/>
      <c r="Q3327" s="533"/>
      <c r="R3327" s="78" t="str">
        <f>IFERROR(VLOOKUP(M3327,INSUMOS!$C$8:$K$928,6,0),"-----")</f>
        <v>-----</v>
      </c>
      <c r="S3327" s="392"/>
      <c r="T3327" s="387">
        <v>0</v>
      </c>
      <c r="U3327" s="388" t="str">
        <f>IFERROR(VLOOKUP(M3327,INSUMOS!$C$8:$K$928,7,0),"0")</f>
        <v>0</v>
      </c>
      <c r="V3327" s="389">
        <f>+IFERROR(U3327*(S3327*(1+T3327)),0)</f>
        <v>0</v>
      </c>
      <c r="Y3327" s="393">
        <f>+IFERROR(Y3313*(S3327*(1+T3327)),0)</f>
        <v>0</v>
      </c>
      <c r="Z3327" s="391">
        <f>Y3313*V3327</f>
        <v>0</v>
      </c>
      <c r="AA3327" s="394"/>
      <c r="AB3327" s="395">
        <f>+Y3327*U3327</f>
        <v>0</v>
      </c>
      <c r="AC3327" s="93">
        <f>+AB3327-Z3327</f>
        <v>0</v>
      </c>
      <c r="AD3327" s="94"/>
      <c r="AE3327" s="406" t="str">
        <f>+IF(V3327=0,"CERO","NO")</f>
        <v>CERO</v>
      </c>
    </row>
    <row r="3328" spans="3:31" s="260" customFormat="1" x14ac:dyDescent="0.25">
      <c r="C3328" s="84"/>
      <c r="D3328" s="85"/>
      <c r="E3328" s="86"/>
      <c r="F3328" s="86"/>
      <c r="G3328" s="86"/>
      <c r="H3328" s="86"/>
      <c r="I3328" s="86"/>
      <c r="J3328" s="87"/>
      <c r="K3328" s="88"/>
      <c r="M3328" s="102"/>
      <c r="N3328" s="533" t="str">
        <f>IFERROR(VLOOKUP(M3328,INSUMOS!$C$8:$K$928,2,0),"-----")</f>
        <v>-----</v>
      </c>
      <c r="O3328" s="533"/>
      <c r="P3328" s="533"/>
      <c r="Q3328" s="533"/>
      <c r="R3328" s="78" t="str">
        <f>IFERROR(VLOOKUP(M3328,INSUMOS!$C$8:$K$928,6,0),"-----")</f>
        <v>-----</v>
      </c>
      <c r="S3328" s="396"/>
      <c r="T3328" s="387">
        <v>0</v>
      </c>
      <c r="U3328" s="388" t="str">
        <f>IFERROR(VLOOKUP(M3328,INSUMOS!$C$8:$K$928,7,0),"0")</f>
        <v>0</v>
      </c>
      <c r="V3328" s="389">
        <f>+IFERROR(U3328*(S3328*(1+T3328)),0)</f>
        <v>0</v>
      </c>
      <c r="Y3328" s="393">
        <f>+IFERROR(Y3313*(S3328*(1+T3328)),0)</f>
        <v>0</v>
      </c>
      <c r="Z3328" s="391">
        <f>Y3313*V3328</f>
        <v>0</v>
      </c>
      <c r="AA3328" s="394"/>
      <c r="AB3328" s="395">
        <f>+Y3328*U3328</f>
        <v>0</v>
      </c>
      <c r="AC3328" s="93">
        <f>+AB3328-Z3328</f>
        <v>0</v>
      </c>
      <c r="AD3328" s="94"/>
      <c r="AE3328" s="406" t="str">
        <f>+IF(V3328=0,"CERO","NO")</f>
        <v>CERO</v>
      </c>
    </row>
    <row r="3329" spans="3:31" s="260" customFormat="1" x14ac:dyDescent="0.25">
      <c r="C3329" s="84"/>
      <c r="D3329" s="85"/>
      <c r="E3329" s="86"/>
      <c r="F3329" s="86"/>
      <c r="G3329" s="86"/>
      <c r="H3329" s="86"/>
      <c r="I3329" s="86"/>
      <c r="J3329" s="87"/>
      <c r="K3329" s="88"/>
      <c r="M3329" s="102">
        <v>0</v>
      </c>
      <c r="N3329" s="533" t="str">
        <f>IFERROR(VLOOKUP(M3329,INSUMOS!$C$8:$K$928,2,0),"-----")</f>
        <v>-----</v>
      </c>
      <c r="O3329" s="533"/>
      <c r="P3329" s="533"/>
      <c r="Q3329" s="533"/>
      <c r="R3329" s="78" t="str">
        <f>IFERROR(VLOOKUP(M3329,INSUMOS!$C$8:$K$928,6,0),"-----")</f>
        <v>-----</v>
      </c>
      <c r="S3329" s="396"/>
      <c r="T3329" s="387"/>
      <c r="U3329" s="388" t="str">
        <f>IFERROR(VLOOKUP(M3329,INSUMOS!$C$8:$K$928,7,0),"0")</f>
        <v>0</v>
      </c>
      <c r="V3329" s="389">
        <f>+IFERROR(U3329*(S3329*(1+T3329)),0)</f>
        <v>0</v>
      </c>
      <c r="Y3329" s="393">
        <f>+IFERROR(Y3313*(S3329*(1+T3329)),0)</f>
        <v>0</v>
      </c>
      <c r="Z3329" s="391">
        <f>Y3313*V3329</f>
        <v>0</v>
      </c>
      <c r="AA3329" s="394"/>
      <c r="AB3329" s="395">
        <f>+Y3329*U3329</f>
        <v>0</v>
      </c>
      <c r="AC3329" s="93">
        <f>+AB3329-Z3329</f>
        <v>0</v>
      </c>
      <c r="AD3329" s="94"/>
      <c r="AE3329" s="406" t="str">
        <f>+IF(V3329=0,"CERO","NO")</f>
        <v>CERO</v>
      </c>
    </row>
    <row r="3330" spans="3:31" s="260" customFormat="1" ht="15.75" thickBot="1" x14ac:dyDescent="0.3">
      <c r="C3330" s="84"/>
      <c r="D3330" s="85"/>
      <c r="E3330" s="86"/>
      <c r="F3330" s="86"/>
      <c r="G3330" s="86"/>
      <c r="H3330" s="86"/>
      <c r="I3330" s="86"/>
      <c r="J3330" s="87"/>
      <c r="K3330" s="88"/>
      <c r="M3330" s="102">
        <v>0</v>
      </c>
      <c r="N3330" s="564"/>
      <c r="O3330" s="564"/>
      <c r="P3330" s="564"/>
      <c r="Q3330" s="564"/>
      <c r="R3330" s="96"/>
      <c r="S3330" s="79"/>
      <c r="T3330" s="97"/>
      <c r="U3330" s="358"/>
      <c r="V3330" s="397"/>
      <c r="Y3330" s="393">
        <f>+IFERROR(Y3313*(S3330*(1+T3330)),0)</f>
        <v>0</v>
      </c>
      <c r="Z3330" s="391">
        <f>Y3313*V3330</f>
        <v>0</v>
      </c>
      <c r="AA3330" s="394"/>
      <c r="AB3330" s="395">
        <f>+Y3330*U3330</f>
        <v>0</v>
      </c>
      <c r="AC3330" s="93">
        <f>+AB3330-Z3330</f>
        <v>0</v>
      </c>
      <c r="AD3330" s="94"/>
      <c r="AE3330" s="406" t="str">
        <f>+IF(V3330=0,"CERO","NO")</f>
        <v>CERO</v>
      </c>
    </row>
    <row r="3331" spans="3:31" s="260" customFormat="1" ht="15.75" thickBot="1" x14ac:dyDescent="0.3">
      <c r="C3331" s="84"/>
      <c r="D3331" s="375" t="s">
        <v>128</v>
      </c>
      <c r="E3331" s="376" t="s">
        <v>129</v>
      </c>
      <c r="F3331" s="376" t="s">
        <v>130</v>
      </c>
      <c r="G3331" s="376" t="s">
        <v>131</v>
      </c>
      <c r="H3331" s="376" t="s">
        <v>132</v>
      </c>
      <c r="I3331" s="376" t="s">
        <v>133</v>
      </c>
      <c r="J3331" s="377" t="s">
        <v>134</v>
      </c>
      <c r="K3331" s="88"/>
      <c r="M3331" s="534"/>
      <c r="N3331" s="536" t="s">
        <v>106</v>
      </c>
      <c r="O3331" s="536"/>
      <c r="P3331" s="536"/>
      <c r="Q3331" s="536"/>
      <c r="R3331" s="536"/>
      <c r="S3331" s="536"/>
      <c r="T3331" s="536"/>
      <c r="U3331" s="536"/>
      <c r="V3331" s="389">
        <f>+SUM(V3326:V3330)</f>
        <v>335000</v>
      </c>
      <c r="Y3331" s="398" t="s">
        <v>135</v>
      </c>
      <c r="Z3331" s="397">
        <f>+SUM(Z3326:Z3330)</f>
        <v>1675000</v>
      </c>
      <c r="AA3331" s="86"/>
      <c r="AB3331" s="384"/>
      <c r="AC3331" s="385"/>
      <c r="AD3331" s="94"/>
      <c r="AE3331" s="399"/>
    </row>
    <row r="3332" spans="3:31" s="260" customFormat="1" ht="15.75" thickBot="1" x14ac:dyDescent="0.3">
      <c r="C3332" s="84"/>
      <c r="D3332" s="375"/>
      <c r="E3332" s="407">
        <f>+D3323</f>
        <v>3.19</v>
      </c>
      <c r="F3332" s="376"/>
      <c r="G3332" s="376"/>
      <c r="H3332" s="376"/>
      <c r="I3332" s="376"/>
      <c r="J3332" s="377"/>
      <c r="K3332" s="88"/>
      <c r="M3332" s="535"/>
      <c r="N3332" s="537" t="s">
        <v>107</v>
      </c>
      <c r="O3332" s="537"/>
      <c r="P3332" s="537"/>
      <c r="Q3332" s="537"/>
      <c r="R3332" s="537"/>
      <c r="S3332" s="537"/>
      <c r="T3332" s="537"/>
      <c r="U3332" s="537"/>
      <c r="V3332" s="408">
        <f>+ROUND(V3331,$AA$5)</f>
        <v>335000</v>
      </c>
      <c r="Y3332" s="401" t="s">
        <v>136</v>
      </c>
      <c r="Z3332" s="402">
        <f>+ROUND(Z3331,$AA$5)</f>
        <v>1675000</v>
      </c>
      <c r="AA3332" s="86"/>
      <c r="AB3332" s="403">
        <f>+V3332*Y3313</f>
        <v>1675000</v>
      </c>
      <c r="AC3332" s="404">
        <f>+AB3332-Z3332</f>
        <v>0</v>
      </c>
      <c r="AD3332" s="94"/>
      <c r="AE3332" s="405"/>
    </row>
    <row r="3333" spans="3:31" s="260" customFormat="1" x14ac:dyDescent="0.25">
      <c r="C3333" s="84"/>
      <c r="D3333" s="380"/>
      <c r="E3333" s="381"/>
      <c r="F3333" s="381"/>
      <c r="G3333" s="381"/>
      <c r="H3333" s="381"/>
      <c r="I3333" s="381"/>
      <c r="J3333" s="382"/>
      <c r="K3333" s="88"/>
      <c r="M3333" s="568" t="s">
        <v>108</v>
      </c>
      <c r="N3333" s="569"/>
      <c r="O3333" s="569"/>
      <c r="P3333" s="569"/>
      <c r="Q3333" s="569"/>
      <c r="R3333" s="569"/>
      <c r="S3333" s="569"/>
      <c r="T3333" s="569"/>
      <c r="U3333" s="569"/>
      <c r="V3333" s="570"/>
      <c r="Y3333" s="378"/>
      <c r="Z3333" s="121"/>
      <c r="AA3333" s="86"/>
      <c r="AB3333" s="409"/>
      <c r="AC3333" s="121"/>
      <c r="AD3333" s="94"/>
      <c r="AE3333" s="126"/>
    </row>
    <row r="3334" spans="3:31" s="260" customFormat="1" ht="25.5" x14ac:dyDescent="0.25">
      <c r="C3334" s="84"/>
      <c r="D3334" s="85"/>
      <c r="E3334" s="86"/>
      <c r="F3334" s="86"/>
      <c r="G3334" s="86"/>
      <c r="H3334" s="86"/>
      <c r="I3334" s="86"/>
      <c r="J3334" s="87"/>
      <c r="K3334" s="88"/>
      <c r="M3334" s="99" t="s">
        <v>94</v>
      </c>
      <c r="N3334" s="561" t="s">
        <v>95</v>
      </c>
      <c r="O3334" s="561"/>
      <c r="P3334" s="561"/>
      <c r="Q3334" s="95" t="s">
        <v>109</v>
      </c>
      <c r="R3334" s="95" t="s">
        <v>110</v>
      </c>
      <c r="S3334" s="95" t="s">
        <v>111</v>
      </c>
      <c r="T3334" s="562" t="s">
        <v>112</v>
      </c>
      <c r="U3334" s="562"/>
      <c r="V3334" s="100" t="s">
        <v>98</v>
      </c>
      <c r="Y3334" s="383" t="s">
        <v>104</v>
      </c>
      <c r="Z3334" s="119" t="s">
        <v>9</v>
      </c>
      <c r="AA3334" s="86"/>
      <c r="AB3334" s="384"/>
      <c r="AC3334" s="385"/>
      <c r="AD3334" s="94"/>
      <c r="AE3334" s="410"/>
    </row>
    <row r="3335" spans="3:31" s="260" customFormat="1" x14ac:dyDescent="0.25">
      <c r="C3335" s="84"/>
      <c r="D3335" s="85"/>
      <c r="E3335" s="86"/>
      <c r="F3335" s="86"/>
      <c r="G3335" s="86"/>
      <c r="H3335" s="86"/>
      <c r="I3335" s="86"/>
      <c r="J3335" s="87"/>
      <c r="K3335" s="88"/>
      <c r="M3335" s="102">
        <v>129</v>
      </c>
      <c r="N3335" s="530" t="str">
        <f>IFERROR(VLOOKUP(M3335,INSUMOS!$C$8:$K$928,2,0),"-----")</f>
        <v>transporte materiales en general</v>
      </c>
      <c r="O3335" s="531"/>
      <c r="P3335" s="532"/>
      <c r="Q3335" s="78" t="str">
        <f>IFERROR(VLOOKUP(M3335,INSUMOS!$C$8:$K$928,5,0),"-----")</f>
        <v>Km</v>
      </c>
      <c r="R3335" s="80">
        <v>1</v>
      </c>
      <c r="S3335" s="80">
        <f>IFERROR(VLOOKUP(M3335,INSUMOS!$C$8:$K$928,6,0),"0")</f>
        <v>348</v>
      </c>
      <c r="T3335" s="529">
        <f>IFERROR(VLOOKUP(M3335,INSUMOS!$C$8:$K$928,7,0),"0")</f>
        <v>0.99776362060288992</v>
      </c>
      <c r="U3335" s="529"/>
      <c r="V3335" s="82">
        <f>+T3335*S3335*R3335</f>
        <v>347.2217399698057</v>
      </c>
      <c r="Y3335" s="393">
        <f>+IFERROR((R3335*S3335)*Y3313,0)</f>
        <v>1740</v>
      </c>
      <c r="Z3335" s="391">
        <f>Y3313*V3335</f>
        <v>1736.1086998490284</v>
      </c>
      <c r="AA3335" s="86"/>
      <c r="AB3335" s="92">
        <f>+Y3335*T3335</f>
        <v>1736.1086998490284</v>
      </c>
      <c r="AC3335" s="93">
        <f>+AB3335-Z3335</f>
        <v>0</v>
      </c>
      <c r="AD3335" s="94"/>
      <c r="AE3335" s="406" t="str">
        <f>+IF(V3335=0,"CERO","NO")</f>
        <v>NO</v>
      </c>
    </row>
    <row r="3336" spans="3:31" s="260" customFormat="1" x14ac:dyDescent="0.25">
      <c r="C3336" s="84"/>
      <c r="D3336" s="85"/>
      <c r="E3336" s="86"/>
      <c r="F3336" s="86"/>
      <c r="G3336" s="86"/>
      <c r="H3336" s="86"/>
      <c r="I3336" s="86"/>
      <c r="J3336" s="87"/>
      <c r="K3336" s="88"/>
      <c r="M3336" s="102">
        <v>0</v>
      </c>
      <c r="N3336" s="530" t="str">
        <f>IFERROR(VLOOKUP(M3336,INSUMOS!$C$8:$K$928,2,0),"-----")</f>
        <v>-----</v>
      </c>
      <c r="O3336" s="531"/>
      <c r="P3336" s="532"/>
      <c r="Q3336" s="78" t="str">
        <f>IFERROR(VLOOKUP(M3336,INSUMOS!$C$8:$K$928,5,0),"-----")</f>
        <v>-----</v>
      </c>
      <c r="R3336" s="80"/>
      <c r="S3336" s="80" t="str">
        <f>IFERROR(VLOOKUP(M3336,INSUMOS!$C$8:$K$928,6,0),"0")</f>
        <v>0</v>
      </c>
      <c r="T3336" s="529" t="str">
        <f>IFERROR(VLOOKUP(M3336,INSUMOS!$C$8:$K$928,7,0),"0")</f>
        <v>0</v>
      </c>
      <c r="U3336" s="529"/>
      <c r="V3336" s="82">
        <f>+T3336*S3336*R3336</f>
        <v>0</v>
      </c>
      <c r="Y3336" s="393">
        <f>+IFERROR((R3336*S3336)*Y3313,0)</f>
        <v>0</v>
      </c>
      <c r="Z3336" s="391">
        <f>Y3313*V3336</f>
        <v>0</v>
      </c>
      <c r="AA3336" s="86"/>
      <c r="AB3336" s="92">
        <f>+Y3336*T3336</f>
        <v>0</v>
      </c>
      <c r="AC3336" s="93">
        <f>+AB3336-Z3336</f>
        <v>0</v>
      </c>
      <c r="AD3336" s="94"/>
      <c r="AE3336" s="406" t="str">
        <f>+IF(V3336=0,"CERO","NO")</f>
        <v>CERO</v>
      </c>
    </row>
    <row r="3337" spans="3:31" s="260" customFormat="1" x14ac:dyDescent="0.25">
      <c r="C3337" s="84"/>
      <c r="D3337" s="85"/>
      <c r="E3337" s="86"/>
      <c r="F3337" s="86"/>
      <c r="G3337" s="86"/>
      <c r="H3337" s="86"/>
      <c r="I3337" s="86"/>
      <c r="J3337" s="87"/>
      <c r="K3337" s="88"/>
      <c r="M3337" s="102">
        <v>0</v>
      </c>
      <c r="N3337" s="530" t="str">
        <f>IFERROR(VLOOKUP(M3337,INSUMOS!$C$8:$K$928,2,0),"-----")</f>
        <v>-----</v>
      </c>
      <c r="O3337" s="531"/>
      <c r="P3337" s="532"/>
      <c r="Q3337" s="78" t="str">
        <f>IFERROR(VLOOKUP(M3337,INSUMOS!$C$8:$K$928,5,0),"-----")</f>
        <v>-----</v>
      </c>
      <c r="R3337" s="80"/>
      <c r="S3337" s="80" t="str">
        <f>IFERROR(VLOOKUP(M3337,INSUMOS!$C$8:$K$928,6,0),"0")</f>
        <v>0</v>
      </c>
      <c r="T3337" s="529" t="str">
        <f>IFERROR(VLOOKUP(M3337,INSUMOS!$C$8:$K$928,7,0),"0")</f>
        <v>0</v>
      </c>
      <c r="U3337" s="529"/>
      <c r="V3337" s="82">
        <f>+T3337*S3337*R3337</f>
        <v>0</v>
      </c>
      <c r="Y3337" s="393">
        <f>+IFERROR((R3337*S3337)*Y3313,0)</f>
        <v>0</v>
      </c>
      <c r="Z3337" s="391">
        <f>Y3313*V3337</f>
        <v>0</v>
      </c>
      <c r="AA3337" s="86"/>
      <c r="AB3337" s="92">
        <f>+Y3337*T3337</f>
        <v>0</v>
      </c>
      <c r="AC3337" s="93">
        <f>+AB3337-Z3337</f>
        <v>0</v>
      </c>
      <c r="AD3337" s="94"/>
      <c r="AE3337" s="406" t="str">
        <f>+IF(V3337=0,"CERO","NO")</f>
        <v>CERO</v>
      </c>
    </row>
    <row r="3338" spans="3:31" s="260" customFormat="1" ht="15.75" thickBot="1" x14ac:dyDescent="0.3">
      <c r="C3338" s="84"/>
      <c r="D3338" s="89"/>
      <c r="E3338" s="90"/>
      <c r="F3338" s="90"/>
      <c r="G3338" s="90"/>
      <c r="H3338" s="90"/>
      <c r="I3338" s="90"/>
      <c r="J3338" s="91"/>
      <c r="K3338" s="88"/>
      <c r="M3338" s="102">
        <v>0</v>
      </c>
      <c r="N3338" s="533"/>
      <c r="O3338" s="533"/>
      <c r="P3338" s="533"/>
      <c r="Q3338" s="79"/>
      <c r="R3338" s="78"/>
      <c r="S3338" s="81"/>
      <c r="T3338" s="529"/>
      <c r="U3338" s="529"/>
      <c r="V3338" s="82"/>
      <c r="Y3338" s="393">
        <f>+IFERROR((R3338*S3338)*Y3313,0)</f>
        <v>0</v>
      </c>
      <c r="Z3338" s="391">
        <f>Y3313*V3338</f>
        <v>0</v>
      </c>
      <c r="AA3338" s="86"/>
      <c r="AB3338" s="92">
        <f>+Y3338*T3338</f>
        <v>0</v>
      </c>
      <c r="AC3338" s="93">
        <f>+AB3338-Z3338</f>
        <v>0</v>
      </c>
      <c r="AD3338" s="94"/>
      <c r="AE3338" s="406" t="str">
        <f>+IF(V3338=0,"CERO","NO")</f>
        <v>CERO</v>
      </c>
    </row>
    <row r="3339" spans="3:31" s="260" customFormat="1" ht="15.75" thickBot="1" x14ac:dyDescent="0.3">
      <c r="C3339" s="84"/>
      <c r="D3339" s="375" t="s">
        <v>128</v>
      </c>
      <c r="E3339" s="376" t="s">
        <v>129</v>
      </c>
      <c r="F3339" s="376" t="s">
        <v>130</v>
      </c>
      <c r="G3339" s="376" t="s">
        <v>131</v>
      </c>
      <c r="H3339" s="376" t="s">
        <v>132</v>
      </c>
      <c r="I3339" s="376" t="s">
        <v>133</v>
      </c>
      <c r="J3339" s="377" t="s">
        <v>134</v>
      </c>
      <c r="K3339" s="88"/>
      <c r="M3339" s="534"/>
      <c r="N3339" s="536" t="s">
        <v>113</v>
      </c>
      <c r="O3339" s="536"/>
      <c r="P3339" s="536"/>
      <c r="Q3339" s="536"/>
      <c r="R3339" s="536"/>
      <c r="S3339" s="536"/>
      <c r="T3339" s="536"/>
      <c r="U3339" s="536"/>
      <c r="V3339" s="411">
        <f>+SUM(V3335:V3338)</f>
        <v>347.2217399698057</v>
      </c>
      <c r="Y3339" s="398" t="s">
        <v>135</v>
      </c>
      <c r="Z3339" s="397">
        <f>+SUM(Z3335:Z3338)</f>
        <v>1736.1086998490284</v>
      </c>
      <c r="AA3339" s="86"/>
      <c r="AB3339" s="384"/>
      <c r="AC3339" s="385"/>
      <c r="AD3339" s="94"/>
      <c r="AE3339" s="399"/>
    </row>
    <row r="3340" spans="3:31" s="260" customFormat="1" ht="15.75" thickBot="1" x14ac:dyDescent="0.3">
      <c r="C3340" s="84"/>
      <c r="D3340" s="355"/>
      <c r="E3340" s="367"/>
      <c r="F3340" s="412">
        <f>+E3332</f>
        <v>3.19</v>
      </c>
      <c r="G3340" s="367"/>
      <c r="H3340" s="367"/>
      <c r="I3340" s="367"/>
      <c r="J3340" s="368"/>
      <c r="K3340" s="88"/>
      <c r="M3340" s="535"/>
      <c r="N3340" s="537" t="s">
        <v>114</v>
      </c>
      <c r="O3340" s="537"/>
      <c r="P3340" s="537"/>
      <c r="Q3340" s="537"/>
      <c r="R3340" s="537"/>
      <c r="S3340" s="537"/>
      <c r="T3340" s="537"/>
      <c r="U3340" s="537"/>
      <c r="V3340" s="413">
        <f>+ROUND(V3339,$AA$5)</f>
        <v>347.22</v>
      </c>
      <c r="Y3340" s="401" t="s">
        <v>136</v>
      </c>
      <c r="Z3340" s="402">
        <f>+ROUND(Z3339,$AA$5)</f>
        <v>1736.11</v>
      </c>
      <c r="AA3340" s="86"/>
      <c r="AB3340" s="403">
        <f>+V3340*Y3313</f>
        <v>1736.1000000000001</v>
      </c>
      <c r="AC3340" s="414"/>
      <c r="AD3340" s="94"/>
      <c r="AE3340" s="405"/>
    </row>
    <row r="3341" spans="3:31" s="260" customFormat="1" ht="15.75" thickBot="1" x14ac:dyDescent="0.3">
      <c r="C3341" s="84"/>
      <c r="D3341" s="415"/>
      <c r="E3341" s="416"/>
      <c r="F3341" s="416"/>
      <c r="G3341" s="416"/>
      <c r="H3341" s="416"/>
      <c r="I3341" s="416"/>
      <c r="J3341" s="417"/>
      <c r="K3341" s="88"/>
      <c r="M3341" s="538" t="s">
        <v>115</v>
      </c>
      <c r="N3341" s="539"/>
      <c r="O3341" s="539"/>
      <c r="P3341" s="539"/>
      <c r="Q3341" s="539"/>
      <c r="R3341" s="539"/>
      <c r="S3341" s="539"/>
      <c r="T3341" s="539"/>
      <c r="U3341" s="539"/>
      <c r="V3341" s="540"/>
      <c r="Y3341" s="378"/>
      <c r="Z3341" s="121"/>
      <c r="AA3341" s="86"/>
      <c r="AB3341" s="409"/>
      <c r="AC3341" s="121"/>
      <c r="AD3341" s="94"/>
      <c r="AE3341" s="126"/>
    </row>
    <row r="3342" spans="3:31" s="260" customFormat="1" ht="15.75" thickBot="1" x14ac:dyDescent="0.3">
      <c r="C3342" s="84"/>
      <c r="D3342" s="375" t="s">
        <v>128</v>
      </c>
      <c r="E3342" s="376" t="s">
        <v>129</v>
      </c>
      <c r="F3342" s="376" t="s">
        <v>130</v>
      </c>
      <c r="G3342" s="376" t="s">
        <v>131</v>
      </c>
      <c r="H3342" s="376" t="s">
        <v>132</v>
      </c>
      <c r="I3342" s="376" t="s">
        <v>133</v>
      </c>
      <c r="J3342" s="377" t="s">
        <v>134</v>
      </c>
      <c r="K3342" s="88"/>
      <c r="M3342" s="99" t="s">
        <v>94</v>
      </c>
      <c r="N3342" s="98" t="s">
        <v>95</v>
      </c>
      <c r="O3342" s="95" t="s">
        <v>96</v>
      </c>
      <c r="P3342" s="359" t="s">
        <v>104</v>
      </c>
      <c r="Q3342" s="95" t="s">
        <v>116</v>
      </c>
      <c r="R3342" s="418" t="s">
        <v>117</v>
      </c>
      <c r="S3342" s="95" t="s">
        <v>347</v>
      </c>
      <c r="T3342" s="419" t="s">
        <v>118</v>
      </c>
      <c r="U3342" s="189" t="s">
        <v>119</v>
      </c>
      <c r="V3342" s="100" t="s">
        <v>98</v>
      </c>
      <c r="Y3342" s="383" t="s">
        <v>104</v>
      </c>
      <c r="Z3342" s="119" t="s">
        <v>9</v>
      </c>
      <c r="AA3342" s="86"/>
      <c r="AB3342" s="384"/>
      <c r="AC3342" s="385"/>
      <c r="AD3342" s="94"/>
      <c r="AE3342" s="410"/>
    </row>
    <row r="3343" spans="3:31" s="260" customFormat="1" ht="25.5" x14ac:dyDescent="0.25">
      <c r="C3343" s="84"/>
      <c r="D3343" s="354"/>
      <c r="E3343" s="96"/>
      <c r="F3343" s="96"/>
      <c r="G3343" s="96"/>
      <c r="H3343" s="96"/>
      <c r="I3343" s="96"/>
      <c r="J3343" s="420">
        <f>+F3340</f>
        <v>3.19</v>
      </c>
      <c r="K3343" s="88"/>
      <c r="M3343" s="102">
        <v>208</v>
      </c>
      <c r="N3343" s="347" t="str">
        <f>IFERROR(VLOOKUP(M3343,INSUMOS!$C$8:$K$928,2,0),"-----")</f>
        <v>Ayudante Hidrosanitario</v>
      </c>
      <c r="O3343" s="78" t="str">
        <f>IFERROR(VLOOKUP(M3343,INSUMOS!$C$8:$K$928,3,0),"-----")</f>
        <v>JORNAL+PS</v>
      </c>
      <c r="P3343" s="80">
        <v>1</v>
      </c>
      <c r="Q3343" s="79">
        <v>20</v>
      </c>
      <c r="R3343" s="190">
        <f>IFERROR(VLOOKUP(M3343,INSUMOS!$C$8:$K$928,4,0),"-----")</f>
        <v>69172</v>
      </c>
      <c r="S3343" s="190">
        <f>IFERROR(VLOOKUP(M3343,INSUMOS!$C$8:$K$928,6,0),"-----")</f>
        <v>55337</v>
      </c>
      <c r="T3343" s="190">
        <f>IFERROR(VLOOKUP(M3343,INSUMOS!$C$8:$K$928,5,0),"-----")</f>
        <v>0</v>
      </c>
      <c r="U3343" s="388">
        <f>SUM(R3343:T3343)</f>
        <v>124509</v>
      </c>
      <c r="V3343" s="82">
        <f>+IFERROR((P3343/Q3343)*U3343,0)</f>
        <v>6225.4500000000007</v>
      </c>
      <c r="Y3343" s="393">
        <f>+IFERROR((Y3313/Q3343*P3343),0)</f>
        <v>0.25</v>
      </c>
      <c r="Z3343" s="391">
        <f>Y3313*V3343</f>
        <v>31127.250000000004</v>
      </c>
      <c r="AA3343" s="86"/>
      <c r="AB3343" s="92">
        <f>+(U3343)*Y3343</f>
        <v>31127.25</v>
      </c>
      <c r="AC3343" s="93">
        <f>+AB3343-Z3343</f>
        <v>0</v>
      </c>
      <c r="AD3343" s="421"/>
      <c r="AE3343" s="410" t="str">
        <f>+IF(V3343=0,"CERO","NO")</f>
        <v>NO</v>
      </c>
    </row>
    <row r="3344" spans="3:31" s="260" customFormat="1" ht="15.75" thickBot="1" x14ac:dyDescent="0.3">
      <c r="C3344" s="84"/>
      <c r="D3344" s="355"/>
      <c r="E3344" s="367"/>
      <c r="F3344" s="367"/>
      <c r="G3344" s="367"/>
      <c r="H3344" s="367"/>
      <c r="I3344" s="367"/>
      <c r="J3344" s="422">
        <f>+J3343</f>
        <v>3.19</v>
      </c>
      <c r="K3344" s="88"/>
      <c r="M3344" s="102"/>
      <c r="N3344" s="347" t="str">
        <f>IFERROR(VLOOKUP(M3344,INSUMOS!$C$8:$K$928,2,0),"-----")</f>
        <v>-----</v>
      </c>
      <c r="O3344" s="78" t="str">
        <f>IFERROR(VLOOKUP(M3344,INSUMOS!$C$8:$K$928,3,0),"-----")</f>
        <v>-----</v>
      </c>
      <c r="P3344" s="80"/>
      <c r="Q3344" s="79"/>
      <c r="R3344" s="190" t="str">
        <f>IFERROR(VLOOKUP(M3344,INSUMOS!$C$8:$K$928,4,0),"-----")</f>
        <v>-----</v>
      </c>
      <c r="S3344" s="190" t="str">
        <f>IFERROR(VLOOKUP(M3344,INSUMOS!$C$8:$K$928,6,0),"-----")</f>
        <v>-----</v>
      </c>
      <c r="T3344" s="190" t="str">
        <f>IFERROR(VLOOKUP(M3344,INSUMOS!$C$8:$K$928,5,0),"-----")</f>
        <v>-----</v>
      </c>
      <c r="U3344" s="388">
        <f>SUM(R3344:T3344)</f>
        <v>0</v>
      </c>
      <c r="V3344" s="82">
        <f>+IFERROR((P3344/Q3344)*U3344,0)</f>
        <v>0</v>
      </c>
      <c r="Y3344" s="393">
        <f>+IFERROR((Y3313/Q3344*P3344),0)</f>
        <v>0</v>
      </c>
      <c r="Z3344" s="391">
        <f>Y3313*V3344</f>
        <v>0</v>
      </c>
      <c r="AA3344" s="86"/>
      <c r="AB3344" s="92">
        <f>+U3344*Y3344</f>
        <v>0</v>
      </c>
      <c r="AC3344" s="93">
        <f>+AB3344-Z3344</f>
        <v>0</v>
      </c>
      <c r="AD3344" s="94"/>
      <c r="AE3344" s="410" t="str">
        <f>+IF(V3344=0,"CERO","NO")</f>
        <v>CERO</v>
      </c>
    </row>
    <row r="3345" spans="3:31" s="260" customFormat="1" ht="15.75" thickBot="1" x14ac:dyDescent="0.3">
      <c r="C3345" s="84"/>
      <c r="D3345" s="380"/>
      <c r="E3345" s="381"/>
      <c r="F3345" s="381"/>
      <c r="G3345" s="381"/>
      <c r="H3345" s="381"/>
      <c r="I3345" s="381"/>
      <c r="J3345" s="382"/>
      <c r="K3345" s="88"/>
      <c r="M3345" s="102">
        <v>0</v>
      </c>
      <c r="N3345" s="347"/>
      <c r="O3345" s="79"/>
      <c r="P3345" s="423"/>
      <c r="Q3345" s="81"/>
      <c r="R3345" s="111"/>
      <c r="S3345" s="357"/>
      <c r="T3345" s="111"/>
      <c r="U3345" s="388"/>
      <c r="V3345" s="426"/>
      <c r="Y3345" s="393">
        <f>+IFERROR((Y3313/Q3345*P3345),0)</f>
        <v>0</v>
      </c>
      <c r="Z3345" s="391">
        <f>Y3313*V3345</f>
        <v>0</v>
      </c>
      <c r="AA3345" s="86"/>
      <c r="AB3345" s="92">
        <f>+(U3345)*Y3345*P3345</f>
        <v>0</v>
      </c>
      <c r="AC3345" s="93">
        <f>+AB3345-Z3345</f>
        <v>0</v>
      </c>
      <c r="AD3345" s="94"/>
      <c r="AE3345" s="410" t="str">
        <f>+IF(V3345=0,"CERO","NO")</f>
        <v>CERO</v>
      </c>
    </row>
    <row r="3346" spans="3:31" s="260" customFormat="1" ht="15.75" thickBot="1" x14ac:dyDescent="0.3">
      <c r="C3346" s="84"/>
      <c r="D3346" s="375" t="s">
        <v>128</v>
      </c>
      <c r="E3346" s="376" t="s">
        <v>129</v>
      </c>
      <c r="F3346" s="376" t="s">
        <v>130</v>
      </c>
      <c r="G3346" s="376" t="s">
        <v>131</v>
      </c>
      <c r="H3346" s="376" t="s">
        <v>132</v>
      </c>
      <c r="I3346" s="376" t="s">
        <v>133</v>
      </c>
      <c r="J3346" s="377" t="s">
        <v>134</v>
      </c>
      <c r="K3346" s="88"/>
      <c r="M3346" s="534"/>
      <c r="N3346" s="536" t="s">
        <v>120</v>
      </c>
      <c r="O3346" s="536"/>
      <c r="P3346" s="536"/>
      <c r="Q3346" s="536"/>
      <c r="R3346" s="536"/>
      <c r="S3346" s="536"/>
      <c r="T3346" s="536"/>
      <c r="U3346" s="536"/>
      <c r="V3346" s="82">
        <f>+SUM(V3343:V3345)</f>
        <v>6225.4500000000007</v>
      </c>
      <c r="Y3346" s="398" t="s">
        <v>135</v>
      </c>
      <c r="Z3346" s="397">
        <f>+SUM(Z3343:Z3345)</f>
        <v>31127.250000000004</v>
      </c>
      <c r="AA3346" s="86"/>
      <c r="AB3346" s="384"/>
      <c r="AC3346" s="385"/>
      <c r="AD3346" s="94"/>
      <c r="AE3346" s="399"/>
    </row>
    <row r="3347" spans="3:31" s="260" customFormat="1" ht="15.75" thickBot="1" x14ac:dyDescent="0.3">
      <c r="C3347" s="84"/>
      <c r="D3347" s="354"/>
      <c r="E3347" s="96"/>
      <c r="F3347" s="96"/>
      <c r="G3347" s="107">
        <f>+F3340</f>
        <v>3.19</v>
      </c>
      <c r="H3347" s="96"/>
      <c r="I3347" s="96"/>
      <c r="J3347" s="427"/>
      <c r="K3347" s="88"/>
      <c r="M3347" s="535"/>
      <c r="N3347" s="537" t="s">
        <v>121</v>
      </c>
      <c r="O3347" s="537"/>
      <c r="P3347" s="537"/>
      <c r="Q3347" s="537"/>
      <c r="R3347" s="537"/>
      <c r="S3347" s="537"/>
      <c r="T3347" s="537"/>
      <c r="U3347" s="537"/>
      <c r="V3347" s="413">
        <f>+ROUND(V3346,$AA$5)</f>
        <v>6225.45</v>
      </c>
      <c r="Y3347" s="401" t="s">
        <v>136</v>
      </c>
      <c r="Z3347" s="402">
        <f>+ROUND(Z3346,$AA$5)</f>
        <v>31127.25</v>
      </c>
      <c r="AA3347" s="86"/>
      <c r="AB3347" s="403">
        <f>+V3347*Y3313</f>
        <v>31127.25</v>
      </c>
      <c r="AC3347" s="404">
        <f>+AB3347-Z3347</f>
        <v>0</v>
      </c>
      <c r="AD3347" s="94"/>
      <c r="AE3347" s="405"/>
    </row>
    <row r="3348" spans="3:31" s="260" customFormat="1" ht="15.75" thickBot="1" x14ac:dyDescent="0.3">
      <c r="C3348" s="84"/>
      <c r="D3348" s="375" t="s">
        <v>128</v>
      </c>
      <c r="E3348" s="376" t="s">
        <v>129</v>
      </c>
      <c r="F3348" s="376" t="s">
        <v>130</v>
      </c>
      <c r="G3348" s="376" t="s">
        <v>131</v>
      </c>
      <c r="H3348" s="376" t="s">
        <v>132</v>
      </c>
      <c r="I3348" s="376" t="s">
        <v>133</v>
      </c>
      <c r="J3348" s="377" t="s">
        <v>134</v>
      </c>
      <c r="K3348" s="88"/>
      <c r="M3348" s="541"/>
      <c r="N3348" s="542"/>
      <c r="O3348" s="542"/>
      <c r="P3348" s="542"/>
      <c r="Q3348" s="542"/>
      <c r="R3348" s="542"/>
      <c r="S3348" s="542"/>
      <c r="T3348" s="542"/>
      <c r="U3348" s="542"/>
      <c r="V3348" s="543"/>
      <c r="Y3348" s="378"/>
      <c r="Z3348" s="121"/>
      <c r="AA3348" s="86"/>
      <c r="AB3348" s="409"/>
      <c r="AC3348" s="121"/>
      <c r="AD3348" s="94"/>
      <c r="AE3348" s="428"/>
    </row>
    <row r="3349" spans="3:31" s="260" customFormat="1" ht="15.75" thickBot="1" x14ac:dyDescent="0.3">
      <c r="C3349" s="84"/>
      <c r="D3349" s="355"/>
      <c r="E3349" s="367"/>
      <c r="F3349" s="367"/>
      <c r="G3349" s="367"/>
      <c r="H3349" s="412">
        <f>G3347</f>
        <v>3.19</v>
      </c>
      <c r="I3349" s="412"/>
      <c r="J3349" s="422"/>
      <c r="K3349" s="88"/>
      <c r="M3349" s="544" t="s">
        <v>122</v>
      </c>
      <c r="N3349" s="537"/>
      <c r="O3349" s="537"/>
      <c r="P3349" s="537"/>
      <c r="Q3349" s="537"/>
      <c r="R3349" s="537"/>
      <c r="S3349" s="537"/>
      <c r="T3349" s="537"/>
      <c r="U3349" s="545">
        <f>+V3347+V3340+V3332+V3323</f>
        <v>341883.94</v>
      </c>
      <c r="V3349" s="546"/>
      <c r="Y3349" s="429"/>
      <c r="Z3349" s="430">
        <f>+Z3347+Z3340+Z3332+Z3323</f>
        <v>1709419.7200000002</v>
      </c>
      <c r="AA3349" s="86"/>
      <c r="AB3349" s="431">
        <f>+AB3347+AB3340+AB3332+AB3323</f>
        <v>1709419.7000000002</v>
      </c>
      <c r="AC3349" s="404">
        <f>+AB3349-Z3349</f>
        <v>-2.0000000018626451E-2</v>
      </c>
      <c r="AD3349" s="94"/>
      <c r="AE3349" s="432"/>
    </row>
    <row r="3350" spans="3:31" s="260" customFormat="1" ht="15.75" thickBot="1" x14ac:dyDescent="0.3"/>
    <row r="3351" spans="3:31" s="260" customFormat="1" x14ac:dyDescent="0.25">
      <c r="M3351" s="547" t="s">
        <v>348</v>
      </c>
      <c r="N3351" s="548"/>
      <c r="O3351" s="548"/>
      <c r="P3351" s="548"/>
      <c r="Q3351" s="548"/>
      <c r="R3351" s="548"/>
      <c r="S3351" s="548"/>
      <c r="T3351" s="548"/>
      <c r="U3351" s="548"/>
      <c r="V3351" s="549"/>
      <c r="Y3351" s="378"/>
      <c r="Z3351" s="121"/>
      <c r="AA3351" s="86"/>
      <c r="AB3351" s="94"/>
      <c r="AC3351" s="94"/>
      <c r="AD3351" s="94"/>
      <c r="AE3351" s="126" t="s">
        <v>133</v>
      </c>
    </row>
    <row r="3352" spans="3:31" s="260" customFormat="1" x14ac:dyDescent="0.25">
      <c r="M3352" s="515" t="s">
        <v>138</v>
      </c>
      <c r="N3352" s="516"/>
      <c r="O3352" s="516"/>
      <c r="P3352" s="516"/>
      <c r="Q3352" s="516"/>
      <c r="R3352" s="516"/>
      <c r="S3352" s="516"/>
      <c r="T3352" s="437">
        <v>0</v>
      </c>
      <c r="U3352" s="517">
        <f>+ROUND(U3349*T3352,$AA$5)</f>
        <v>0</v>
      </c>
      <c r="V3352" s="518"/>
      <c r="Y3352" s="390"/>
      <c r="Z3352" s="438">
        <f>+Z3349*T3352</f>
        <v>0</v>
      </c>
      <c r="AA3352" s="86"/>
      <c r="AB3352" s="94"/>
      <c r="AC3352" s="94"/>
      <c r="AD3352" s="94"/>
      <c r="AE3352" s="386" t="s">
        <v>133</v>
      </c>
    </row>
    <row r="3353" spans="3:31" s="260" customFormat="1" x14ac:dyDescent="0.25">
      <c r="M3353" s="515" t="s">
        <v>19</v>
      </c>
      <c r="N3353" s="516"/>
      <c r="O3353" s="516"/>
      <c r="P3353" s="516"/>
      <c r="Q3353" s="516"/>
      <c r="R3353" s="516"/>
      <c r="S3353" s="516"/>
      <c r="T3353" s="437">
        <v>0.05</v>
      </c>
      <c r="U3353" s="517">
        <f>+ROUND(U3349*T3353,$AA$5)</f>
        <v>17094.2</v>
      </c>
      <c r="V3353" s="518"/>
      <c r="Y3353" s="390"/>
      <c r="Z3353" s="438">
        <f>+Z3349*T3353</f>
        <v>85470.986000000019</v>
      </c>
      <c r="AA3353" s="86"/>
      <c r="AB3353" s="94"/>
      <c r="AC3353" s="94"/>
      <c r="AD3353" s="94"/>
      <c r="AE3353" s="386" t="s">
        <v>133</v>
      </c>
    </row>
    <row r="3354" spans="3:31" s="260" customFormat="1" x14ac:dyDescent="0.25">
      <c r="M3354" s="515" t="s">
        <v>20</v>
      </c>
      <c r="N3354" s="516"/>
      <c r="O3354" s="516"/>
      <c r="P3354" s="516"/>
      <c r="Q3354" s="516"/>
      <c r="R3354" s="516"/>
      <c r="S3354" s="516"/>
      <c r="T3354" s="437">
        <v>0</v>
      </c>
      <c r="U3354" s="517">
        <f>+ROUND(U3349*T3354,$AA$5)</f>
        <v>0</v>
      </c>
      <c r="V3354" s="518"/>
      <c r="Y3354" s="390"/>
      <c r="Z3354" s="438">
        <f>+Z3349*T3354</f>
        <v>0</v>
      </c>
      <c r="AA3354" s="86"/>
      <c r="AB3354" s="94"/>
      <c r="AC3354" s="94"/>
      <c r="AD3354" s="94"/>
      <c r="AE3354" s="386" t="s">
        <v>133</v>
      </c>
    </row>
    <row r="3355" spans="3:31" s="260" customFormat="1" x14ac:dyDescent="0.25">
      <c r="M3355" s="515" t="s">
        <v>21</v>
      </c>
      <c r="N3355" s="516"/>
      <c r="O3355" s="516"/>
      <c r="P3355" s="516"/>
      <c r="Q3355" s="516"/>
      <c r="R3355" s="516"/>
      <c r="S3355" s="516"/>
      <c r="T3355" s="437">
        <f>$AA$9</f>
        <v>0</v>
      </c>
      <c r="U3355" s="517">
        <f>+ROUND(U3349*T3355,$AA$5)</f>
        <v>0</v>
      </c>
      <c r="V3355" s="518"/>
      <c r="Y3355" s="390"/>
      <c r="Z3355" s="438">
        <f>+Z3354*T3355</f>
        <v>0</v>
      </c>
      <c r="AA3355" s="86"/>
      <c r="AB3355" s="94"/>
      <c r="AC3355" s="94"/>
      <c r="AD3355" s="94"/>
      <c r="AE3355" s="386" t="s">
        <v>133</v>
      </c>
    </row>
    <row r="3356" spans="3:31" s="260" customFormat="1" ht="15.75" thickBot="1" x14ac:dyDescent="0.3">
      <c r="M3356" s="519" t="s">
        <v>349</v>
      </c>
      <c r="N3356" s="520"/>
      <c r="O3356" s="520"/>
      <c r="P3356" s="520"/>
      <c r="Q3356" s="520"/>
      <c r="R3356" s="520"/>
      <c r="S3356" s="520"/>
      <c r="T3356" s="520"/>
      <c r="U3356" s="521">
        <f>+SUM(U3352:V3355)</f>
        <v>17094.2</v>
      </c>
      <c r="V3356" s="522"/>
      <c r="Y3356" s="390"/>
      <c r="Z3356" s="439">
        <f>+SUM(Z3352:Z3355)</f>
        <v>85470.986000000019</v>
      </c>
      <c r="AA3356" s="86"/>
      <c r="AB3356" s="94"/>
      <c r="AC3356" s="94"/>
      <c r="AD3356" s="94"/>
      <c r="AE3356" s="386" t="s">
        <v>133</v>
      </c>
    </row>
    <row r="3357" spans="3:31" s="260" customFormat="1" ht="15.75" thickBot="1" x14ac:dyDescent="0.3">
      <c r="D3357" s="375" t="s">
        <v>128</v>
      </c>
      <c r="E3357" s="376" t="s">
        <v>129</v>
      </c>
      <c r="F3357" s="376" t="s">
        <v>130</v>
      </c>
      <c r="G3357" s="376" t="s">
        <v>131</v>
      </c>
      <c r="H3357" s="376" t="s">
        <v>132</v>
      </c>
      <c r="I3357" s="376" t="s">
        <v>133</v>
      </c>
      <c r="J3357" s="377" t="s">
        <v>134</v>
      </c>
      <c r="M3357" s="86"/>
      <c r="N3357" s="94"/>
      <c r="O3357" s="94"/>
      <c r="P3357" s="94"/>
      <c r="Q3357" s="86"/>
      <c r="R3357" s="86"/>
      <c r="S3357" s="86"/>
      <c r="T3357" s="440"/>
      <c r="U3357" s="523"/>
      <c r="V3357" s="523"/>
      <c r="Y3357" s="390"/>
      <c r="Z3357" s="385"/>
      <c r="AA3357" s="86"/>
      <c r="AB3357" s="94"/>
      <c r="AC3357" s="94"/>
      <c r="AD3357" s="94"/>
      <c r="AE3357" s="386" t="s">
        <v>133</v>
      </c>
    </row>
    <row r="3358" spans="3:31" s="260" customFormat="1" ht="15.75" thickBot="1" x14ac:dyDescent="0.3">
      <c r="D3358" s="355"/>
      <c r="E3358" s="367"/>
      <c r="F3358" s="367"/>
      <c r="G3358" s="367"/>
      <c r="H3358" s="412"/>
      <c r="I3358" s="412">
        <f>H3349</f>
        <v>3.19</v>
      </c>
      <c r="J3358" s="422"/>
      <c r="M3358" s="524" t="s">
        <v>11</v>
      </c>
      <c r="N3358" s="525"/>
      <c r="O3358" s="525"/>
      <c r="P3358" s="525"/>
      <c r="Q3358" s="525"/>
      <c r="R3358" s="525"/>
      <c r="S3358" s="525"/>
      <c r="T3358" s="526"/>
      <c r="U3358" s="527">
        <f>+U3356+U3349</f>
        <v>358978.14</v>
      </c>
      <c r="V3358" s="528"/>
      <c r="Y3358" s="429"/>
      <c r="Z3358" s="441">
        <f>+Z3356+Z3349</f>
        <v>1794890.7060000002</v>
      </c>
      <c r="AA3358" s="86"/>
      <c r="AB3358" s="94"/>
      <c r="AC3358" s="94"/>
      <c r="AD3358" s="94"/>
      <c r="AE3358" s="405" t="s">
        <v>133</v>
      </c>
    </row>
    <row r="3359" spans="3:31" s="260" customFormat="1" x14ac:dyDescent="0.25"/>
    <row r="3360" spans="3:31" s="260" customFormat="1" ht="15.75" thickBot="1" x14ac:dyDescent="0.3"/>
    <row r="3361" spans="3:31" s="260" customFormat="1" ht="15.75" thickBot="1" x14ac:dyDescent="0.3">
      <c r="M3361" s="363" t="s">
        <v>88</v>
      </c>
      <c r="N3361" s="436" t="str">
        <f>+N3312</f>
        <v>CAP.3</v>
      </c>
      <c r="O3361" s="550" t="str">
        <f>IFERROR(VLOOKUP(N3361,PPTO!C:H,2,0),"----")</f>
        <v>RED CONTRAINCENDIOS</v>
      </c>
      <c r="P3361" s="551"/>
      <c r="Q3361" s="551"/>
      <c r="R3361" s="551"/>
      <c r="S3361" s="551"/>
      <c r="T3361" s="551"/>
      <c r="U3361" s="552"/>
      <c r="V3361" s="74" t="s">
        <v>91</v>
      </c>
      <c r="Y3361" s="365" t="s">
        <v>104</v>
      </c>
      <c r="Z3361" s="94"/>
      <c r="AA3361" s="188"/>
      <c r="AB3361" s="553"/>
      <c r="AC3361" s="553"/>
      <c r="AD3361" s="553"/>
      <c r="AE3361" s="94"/>
    </row>
    <row r="3362" spans="3:31" s="260" customFormat="1" ht="15.75" thickBot="1" x14ac:dyDescent="0.3">
      <c r="C3362" s="369">
        <f>+N3362</f>
        <v>3.2</v>
      </c>
      <c r="D3362" s="86"/>
      <c r="E3362" s="86"/>
      <c r="F3362" s="86"/>
      <c r="G3362" s="86"/>
      <c r="H3362" s="86"/>
      <c r="I3362" s="86"/>
      <c r="J3362" s="86"/>
      <c r="K3362" s="370"/>
      <c r="M3362" s="75" t="s">
        <v>92</v>
      </c>
      <c r="N3362" s="371">
        <f>+ROUNDUP(N3313+0.01,2)</f>
        <v>3.2</v>
      </c>
      <c r="O3362" s="554" t="str">
        <f>IFERROR(VLOOKUP(N3362,PPTO!C:H,2,0),"----")</f>
        <v>Estacion de control (incluye accesorios)</v>
      </c>
      <c r="P3362" s="555"/>
      <c r="Q3362" s="555"/>
      <c r="R3362" s="555"/>
      <c r="S3362" s="555"/>
      <c r="T3362" s="555"/>
      <c r="U3362" s="556"/>
      <c r="V3362" s="76" t="str">
        <f>IFERROR(VLOOKUP(N3362,PPTO!C:H,3,0),"----")</f>
        <v>UND</v>
      </c>
      <c r="Y3362" s="373">
        <f>SUMIFS(PPTO!F:F,PPTO!C:C,APUS!N3362)</f>
        <v>5</v>
      </c>
      <c r="Z3362" s="94"/>
      <c r="AA3362" s="86"/>
      <c r="AB3362" s="94"/>
      <c r="AC3362" s="94"/>
      <c r="AD3362" s="94"/>
      <c r="AE3362" s="94"/>
    </row>
    <row r="3363" spans="3:31" s="260" customFormat="1" ht="15.75" thickBot="1" x14ac:dyDescent="0.3">
      <c r="C3363" s="84"/>
      <c r="D3363" s="86"/>
      <c r="E3363" s="86"/>
      <c r="F3363" s="86"/>
      <c r="G3363" s="86"/>
      <c r="H3363" s="86"/>
      <c r="I3363" s="86"/>
      <c r="J3363" s="86"/>
      <c r="K3363" s="88"/>
      <c r="M3363" s="557"/>
      <c r="N3363" s="557"/>
      <c r="O3363" s="557"/>
      <c r="P3363" s="557"/>
      <c r="Q3363" s="557"/>
      <c r="R3363" s="557"/>
      <c r="S3363" s="557"/>
      <c r="T3363" s="557"/>
      <c r="U3363" s="557"/>
      <c r="V3363" s="557"/>
      <c r="Y3363" s="374"/>
      <c r="Z3363" s="94"/>
      <c r="AA3363" s="86"/>
      <c r="AB3363" s="94"/>
      <c r="AC3363" s="94"/>
      <c r="AD3363" s="94"/>
      <c r="AE3363" s="94"/>
    </row>
    <row r="3364" spans="3:31" s="260" customFormat="1" ht="15.75" thickBot="1" x14ac:dyDescent="0.3">
      <c r="C3364" s="84"/>
      <c r="D3364" s="375" t="s">
        <v>128</v>
      </c>
      <c r="E3364" s="376" t="s">
        <v>129</v>
      </c>
      <c r="F3364" s="376" t="s">
        <v>130</v>
      </c>
      <c r="G3364" s="376" t="s">
        <v>131</v>
      </c>
      <c r="H3364" s="376" t="s">
        <v>132</v>
      </c>
      <c r="I3364" s="376" t="s">
        <v>133</v>
      </c>
      <c r="J3364" s="377" t="s">
        <v>134</v>
      </c>
      <c r="K3364" s="88"/>
      <c r="M3364" s="558" t="s">
        <v>93</v>
      </c>
      <c r="N3364" s="559"/>
      <c r="O3364" s="559"/>
      <c r="P3364" s="559"/>
      <c r="Q3364" s="559"/>
      <c r="R3364" s="559"/>
      <c r="S3364" s="559"/>
      <c r="T3364" s="559"/>
      <c r="U3364" s="559"/>
      <c r="V3364" s="560"/>
      <c r="Y3364" s="378"/>
      <c r="Z3364" s="121"/>
      <c r="AA3364" s="86"/>
      <c r="AB3364" s="513"/>
      <c r="AC3364" s="514"/>
      <c r="AD3364" s="94"/>
      <c r="AE3364" s="379"/>
    </row>
    <row r="3365" spans="3:31" s="260" customFormat="1" x14ac:dyDescent="0.25">
      <c r="C3365" s="84"/>
      <c r="D3365" s="380"/>
      <c r="E3365" s="381"/>
      <c r="F3365" s="381"/>
      <c r="G3365" s="381"/>
      <c r="H3365" s="381"/>
      <c r="I3365" s="381"/>
      <c r="J3365" s="382"/>
      <c r="K3365" s="88"/>
      <c r="M3365" s="99" t="s">
        <v>94</v>
      </c>
      <c r="N3365" s="561" t="s">
        <v>95</v>
      </c>
      <c r="O3365" s="561"/>
      <c r="P3365" s="561"/>
      <c r="Q3365" s="561"/>
      <c r="R3365" s="95" t="s">
        <v>96</v>
      </c>
      <c r="S3365" s="95" t="s">
        <v>97</v>
      </c>
      <c r="T3365" s="562" t="s">
        <v>8</v>
      </c>
      <c r="U3365" s="562"/>
      <c r="V3365" s="100" t="s">
        <v>98</v>
      </c>
      <c r="Y3365" s="383" t="s">
        <v>104</v>
      </c>
      <c r="Z3365" s="119" t="s">
        <v>9</v>
      </c>
      <c r="AA3365" s="86"/>
      <c r="AB3365" s="384"/>
      <c r="AC3365" s="385"/>
      <c r="AD3365" s="94"/>
      <c r="AE3365" s="386"/>
    </row>
    <row r="3366" spans="3:31" s="260" customFormat="1" x14ac:dyDescent="0.25">
      <c r="C3366" s="84"/>
      <c r="D3366" s="85"/>
      <c r="E3366" s="86"/>
      <c r="F3366" s="86"/>
      <c r="G3366" s="86"/>
      <c r="H3366" s="86"/>
      <c r="I3366" s="86"/>
      <c r="J3366" s="87"/>
      <c r="K3366" s="88"/>
      <c r="M3366" s="102"/>
      <c r="N3366" s="533" t="s">
        <v>99</v>
      </c>
      <c r="O3366" s="533"/>
      <c r="P3366" s="533"/>
      <c r="Q3366" s="533"/>
      <c r="R3366" s="78" t="s">
        <v>100</v>
      </c>
      <c r="S3366" s="387">
        <f>+$AA$10</f>
        <v>0.05</v>
      </c>
      <c r="T3366" s="563">
        <f>V3396</f>
        <v>14593.9</v>
      </c>
      <c r="U3366" s="563"/>
      <c r="V3366" s="389">
        <f>+IFERROR(T3366*S3366,0)</f>
        <v>729.69500000000005</v>
      </c>
      <c r="Y3366" s="390"/>
      <c r="Z3366" s="391">
        <f>Y3362*V3366</f>
        <v>3648.4750000000004</v>
      </c>
      <c r="AA3366" s="86"/>
      <c r="AB3366" s="384"/>
      <c r="AC3366" s="385"/>
      <c r="AD3366" s="94"/>
      <c r="AE3366" s="386" t="str">
        <f>+IF(V3366=0,"CERO","NO")</f>
        <v>NO</v>
      </c>
    </row>
    <row r="3367" spans="3:31" s="260" customFormat="1" x14ac:dyDescent="0.25">
      <c r="C3367" s="84"/>
      <c r="D3367" s="85"/>
      <c r="E3367" s="86"/>
      <c r="F3367" s="86"/>
      <c r="G3367" s="86"/>
      <c r="H3367" s="86"/>
      <c r="I3367" s="86"/>
      <c r="J3367" s="87"/>
      <c r="K3367" s="88"/>
      <c r="M3367" s="106"/>
      <c r="N3367" s="533" t="str">
        <f>IFERROR(VLOOKUP(M3367,INSUMOS!$C$8:$K$928,2,0),"-----")</f>
        <v>-----</v>
      </c>
      <c r="O3367" s="533"/>
      <c r="P3367" s="533"/>
      <c r="Q3367" s="533"/>
      <c r="R3367" s="78" t="str">
        <f>IFERROR(VLOOKUP(M3367,INSUMOS!$C$8:$K$928,6,0),"-----")</f>
        <v>-----</v>
      </c>
      <c r="S3367" s="392"/>
      <c r="T3367" s="529" t="str">
        <f>IFERROR(VLOOKUP(M3367,INSUMOS!$C$8:$K$928,7,0),"0")</f>
        <v>0</v>
      </c>
      <c r="U3367" s="529"/>
      <c r="V3367" s="389">
        <f>+IFERROR(T3367*S3367,0)</f>
        <v>0</v>
      </c>
      <c r="Y3367" s="393">
        <f>+IFERROR(Y3362*S3367,0)</f>
        <v>0</v>
      </c>
      <c r="Z3367" s="391">
        <f>Y3362*V3367</f>
        <v>0</v>
      </c>
      <c r="AA3367" s="394"/>
      <c r="AB3367" s="395">
        <f>+Y3367*T3367</f>
        <v>0</v>
      </c>
      <c r="AC3367" s="93">
        <f>+AB3367-Z3367</f>
        <v>0</v>
      </c>
      <c r="AD3367" s="94"/>
      <c r="AE3367" s="386" t="str">
        <f>+IF(V3367=0,"CERO","NO")</f>
        <v>CERO</v>
      </c>
    </row>
    <row r="3368" spans="3:31" s="260" customFormat="1" x14ac:dyDescent="0.25">
      <c r="C3368" s="84"/>
      <c r="D3368" s="85"/>
      <c r="E3368" s="86"/>
      <c r="F3368" s="86"/>
      <c r="G3368" s="86"/>
      <c r="H3368" s="86"/>
      <c r="I3368" s="86"/>
      <c r="J3368" s="87"/>
      <c r="K3368" s="88"/>
      <c r="M3368" s="102">
        <v>0</v>
      </c>
      <c r="N3368" s="533"/>
      <c r="O3368" s="533"/>
      <c r="P3368" s="533"/>
      <c r="Q3368" s="533"/>
      <c r="R3368" s="78"/>
      <c r="S3368" s="396"/>
      <c r="T3368" s="529"/>
      <c r="U3368" s="529"/>
      <c r="V3368" s="397"/>
      <c r="Y3368" s="393">
        <f>+IFERROR(Y3362*S3368,0)</f>
        <v>0</v>
      </c>
      <c r="Z3368" s="391">
        <f>Y3362*V3368</f>
        <v>0</v>
      </c>
      <c r="AA3368" s="394"/>
      <c r="AB3368" s="395">
        <f>+Y3368*T3368</f>
        <v>0</v>
      </c>
      <c r="AC3368" s="93">
        <f>+AB3368-Z3368</f>
        <v>0</v>
      </c>
      <c r="AD3368" s="94"/>
      <c r="AE3368" s="386" t="str">
        <f>+IF(V3368=0,"CERO","NO")</f>
        <v>CERO</v>
      </c>
    </row>
    <row r="3369" spans="3:31" s="260" customFormat="1" x14ac:dyDescent="0.25">
      <c r="C3369" s="84"/>
      <c r="D3369" s="85"/>
      <c r="E3369" s="86"/>
      <c r="F3369" s="86"/>
      <c r="G3369" s="86"/>
      <c r="H3369" s="86"/>
      <c r="I3369" s="86"/>
      <c r="J3369" s="87"/>
      <c r="K3369" s="88"/>
      <c r="M3369" s="102">
        <v>0</v>
      </c>
      <c r="N3369" s="533"/>
      <c r="O3369" s="533"/>
      <c r="P3369" s="533"/>
      <c r="Q3369" s="533"/>
      <c r="R3369" s="78"/>
      <c r="S3369" s="396"/>
      <c r="T3369" s="529"/>
      <c r="U3369" s="529"/>
      <c r="V3369" s="397"/>
      <c r="Y3369" s="393">
        <f>+IFERROR(Y3362*S3369,0)</f>
        <v>0</v>
      </c>
      <c r="Z3369" s="391">
        <f>Y3362*V3369</f>
        <v>0</v>
      </c>
      <c r="AA3369" s="394"/>
      <c r="AB3369" s="395">
        <f>+Y3369*T3369</f>
        <v>0</v>
      </c>
      <c r="AC3369" s="93">
        <f>+AB3369-Z3369</f>
        <v>0</v>
      </c>
      <c r="AD3369" s="94"/>
      <c r="AE3369" s="386" t="str">
        <f>+IF(V3369=0,"CERO","NO")</f>
        <v>CERO</v>
      </c>
    </row>
    <row r="3370" spans="3:31" s="260" customFormat="1" ht="15.75" thickBot="1" x14ac:dyDescent="0.3">
      <c r="C3370" s="84"/>
      <c r="D3370" s="85"/>
      <c r="E3370" s="86"/>
      <c r="F3370" s="86"/>
      <c r="G3370" s="86"/>
      <c r="H3370" s="86"/>
      <c r="I3370" s="86"/>
      <c r="J3370" s="87"/>
      <c r="K3370" s="88"/>
      <c r="M3370" s="102">
        <v>0</v>
      </c>
      <c r="N3370" s="564"/>
      <c r="O3370" s="564"/>
      <c r="P3370" s="564"/>
      <c r="Q3370" s="564"/>
      <c r="R3370" s="96"/>
      <c r="S3370" s="96"/>
      <c r="T3370" s="565"/>
      <c r="U3370" s="565"/>
      <c r="V3370" s="101"/>
      <c r="Y3370" s="393">
        <f>+IFERROR(Y3362*S3370,0)</f>
        <v>0</v>
      </c>
      <c r="Z3370" s="391">
        <f>Y3362*V3370</f>
        <v>0</v>
      </c>
      <c r="AA3370" s="394"/>
      <c r="AB3370" s="395">
        <f>+Y3370*T3370</f>
        <v>0</v>
      </c>
      <c r="AC3370" s="93">
        <f>+AB3370-Z3370</f>
        <v>0</v>
      </c>
      <c r="AD3370" s="94"/>
      <c r="AE3370" s="386" t="str">
        <f>+IF(V3370=0,"CERO","NO")</f>
        <v>CERO</v>
      </c>
    </row>
    <row r="3371" spans="3:31" s="260" customFormat="1" ht="15.75" thickBot="1" x14ac:dyDescent="0.3">
      <c r="C3371" s="84"/>
      <c r="D3371" s="375" t="s">
        <v>128</v>
      </c>
      <c r="E3371" s="376" t="s">
        <v>129</v>
      </c>
      <c r="F3371" s="376" t="s">
        <v>130</v>
      </c>
      <c r="G3371" s="376" t="s">
        <v>131</v>
      </c>
      <c r="H3371" s="376" t="s">
        <v>132</v>
      </c>
      <c r="I3371" s="376" t="s">
        <v>133</v>
      </c>
      <c r="J3371" s="377" t="s">
        <v>134</v>
      </c>
      <c r="K3371" s="88"/>
      <c r="M3371" s="534"/>
      <c r="N3371" s="536" t="s">
        <v>101</v>
      </c>
      <c r="O3371" s="536"/>
      <c r="P3371" s="536"/>
      <c r="Q3371" s="536"/>
      <c r="R3371" s="536"/>
      <c r="S3371" s="536"/>
      <c r="T3371" s="536"/>
      <c r="U3371" s="536"/>
      <c r="V3371" s="389">
        <f>+SUM(V3366:V3370)</f>
        <v>729.69500000000005</v>
      </c>
      <c r="Y3371" s="398" t="s">
        <v>135</v>
      </c>
      <c r="Z3371" s="397">
        <f>+SUM(Z3366:Z3370)</f>
        <v>3648.4750000000004</v>
      </c>
      <c r="AA3371" s="86"/>
      <c r="AB3371" s="384"/>
      <c r="AC3371" s="385"/>
      <c r="AD3371" s="94"/>
      <c r="AE3371" s="399"/>
    </row>
    <row r="3372" spans="3:31" s="260" customFormat="1" ht="15.75" thickBot="1" x14ac:dyDescent="0.3">
      <c r="C3372" s="84"/>
      <c r="D3372" s="375">
        <f>C3362</f>
        <v>3.2</v>
      </c>
      <c r="E3372" s="376"/>
      <c r="F3372" s="376"/>
      <c r="G3372" s="376"/>
      <c r="H3372" s="376"/>
      <c r="I3372" s="376"/>
      <c r="J3372" s="377"/>
      <c r="K3372" s="88"/>
      <c r="M3372" s="566"/>
      <c r="N3372" s="567" t="s">
        <v>102</v>
      </c>
      <c r="O3372" s="567"/>
      <c r="P3372" s="567"/>
      <c r="Q3372" s="567"/>
      <c r="R3372" s="567"/>
      <c r="S3372" s="567"/>
      <c r="T3372" s="567"/>
      <c r="U3372" s="567"/>
      <c r="V3372" s="400">
        <f>+ROUND(V3371,$AA$5)</f>
        <v>729.7</v>
      </c>
      <c r="Y3372" s="401" t="s">
        <v>136</v>
      </c>
      <c r="Z3372" s="402">
        <f>+ROUND(Z3371,$AA$5)</f>
        <v>3648.48</v>
      </c>
      <c r="AA3372" s="86"/>
      <c r="AB3372" s="403">
        <f>+V3372*Y3362</f>
        <v>3648.5</v>
      </c>
      <c r="AC3372" s="404">
        <f>+AB3372-Z3372</f>
        <v>1.999999999998181E-2</v>
      </c>
      <c r="AD3372" s="94"/>
      <c r="AE3372" s="405"/>
    </row>
    <row r="3373" spans="3:31" s="260" customFormat="1" x14ac:dyDescent="0.25">
      <c r="C3373" s="84"/>
      <c r="D3373" s="380"/>
      <c r="E3373" s="381"/>
      <c r="F3373" s="381"/>
      <c r="G3373" s="381"/>
      <c r="H3373" s="381"/>
      <c r="I3373" s="381"/>
      <c r="J3373" s="382"/>
      <c r="K3373" s="88"/>
      <c r="M3373" s="510" t="s">
        <v>103</v>
      </c>
      <c r="N3373" s="511"/>
      <c r="O3373" s="511"/>
      <c r="P3373" s="511"/>
      <c r="Q3373" s="511"/>
      <c r="R3373" s="511"/>
      <c r="S3373" s="511"/>
      <c r="T3373" s="511"/>
      <c r="U3373" s="511"/>
      <c r="V3373" s="512"/>
      <c r="Y3373" s="378"/>
      <c r="Z3373" s="121"/>
      <c r="AA3373" s="86"/>
      <c r="AB3373" s="513"/>
      <c r="AC3373" s="514"/>
      <c r="AD3373" s="94"/>
      <c r="AE3373" s="126"/>
    </row>
    <row r="3374" spans="3:31" s="260" customFormat="1" x14ac:dyDescent="0.25">
      <c r="C3374" s="84"/>
      <c r="D3374" s="85"/>
      <c r="E3374" s="86"/>
      <c r="F3374" s="86"/>
      <c r="G3374" s="86"/>
      <c r="H3374" s="86"/>
      <c r="I3374" s="86"/>
      <c r="J3374" s="87"/>
      <c r="K3374" s="88"/>
      <c r="M3374" s="99" t="s">
        <v>94</v>
      </c>
      <c r="N3374" s="561" t="s">
        <v>95</v>
      </c>
      <c r="O3374" s="561"/>
      <c r="P3374" s="561"/>
      <c r="Q3374" s="561"/>
      <c r="R3374" s="95" t="s">
        <v>96</v>
      </c>
      <c r="S3374" s="95" t="s">
        <v>104</v>
      </c>
      <c r="T3374" s="356" t="s">
        <v>105</v>
      </c>
      <c r="U3374" s="356" t="s">
        <v>8</v>
      </c>
      <c r="V3374" s="100" t="s">
        <v>98</v>
      </c>
      <c r="Y3374" s="383" t="s">
        <v>104</v>
      </c>
      <c r="Z3374" s="119" t="s">
        <v>9</v>
      </c>
      <c r="AA3374" s="86"/>
      <c r="AB3374" s="384"/>
      <c r="AC3374" s="385"/>
      <c r="AD3374" s="94"/>
      <c r="AE3374" s="406"/>
    </row>
    <row r="3375" spans="3:31" s="260" customFormat="1" x14ac:dyDescent="0.25">
      <c r="C3375" s="84"/>
      <c r="D3375" s="85"/>
      <c r="E3375" s="86"/>
      <c r="F3375" s="86"/>
      <c r="G3375" s="86"/>
      <c r="H3375" s="86"/>
      <c r="I3375" s="86"/>
      <c r="J3375" s="87"/>
      <c r="K3375" s="88"/>
      <c r="M3375" s="102">
        <v>889</v>
      </c>
      <c r="N3375" s="533" t="str">
        <f>IFERROR(VLOOKUP(M3375,INSUMOS!$C$8:$K$928,2,0),"-----")</f>
        <v>ESTACION DE CONTROL</v>
      </c>
      <c r="O3375" s="533"/>
      <c r="P3375" s="533"/>
      <c r="Q3375" s="533"/>
      <c r="R3375" s="78" t="str">
        <f>IFERROR(VLOOKUP(M3375,INSUMOS!$C$8:$K$928,6,0),"-----")</f>
        <v>und</v>
      </c>
      <c r="S3375" s="396">
        <v>1</v>
      </c>
      <c r="T3375" s="387">
        <v>0</v>
      </c>
      <c r="U3375" s="388">
        <f>IFERROR(VLOOKUP(M3375,INSUMOS!$C$8:$K$928,7,0),"0")</f>
        <v>1550000</v>
      </c>
      <c r="V3375" s="389">
        <f>+IFERROR(U3375*(S3375*(1+T3375)),0)</f>
        <v>1550000</v>
      </c>
      <c r="Y3375" s="393">
        <f>+IFERROR(Y3362*(S3375*(1+T3375)),0)</f>
        <v>5</v>
      </c>
      <c r="Z3375" s="391">
        <f>Y3362*V3375</f>
        <v>7750000</v>
      </c>
      <c r="AA3375" s="394"/>
      <c r="AB3375" s="395">
        <f>+Y3375*U3375</f>
        <v>7750000</v>
      </c>
      <c r="AC3375" s="93">
        <f>+AB3375-Z3375</f>
        <v>0</v>
      </c>
      <c r="AD3375" s="94"/>
      <c r="AE3375" s="406" t="str">
        <f>+IF(V3375=0,"CERO","NO")</f>
        <v>NO</v>
      </c>
    </row>
    <row r="3376" spans="3:31" s="260" customFormat="1" x14ac:dyDescent="0.25">
      <c r="C3376" s="84"/>
      <c r="D3376" s="85"/>
      <c r="E3376" s="86"/>
      <c r="F3376" s="86"/>
      <c r="G3376" s="86"/>
      <c r="H3376" s="86"/>
      <c r="I3376" s="86"/>
      <c r="J3376" s="87"/>
      <c r="K3376" s="88"/>
      <c r="M3376" s="102"/>
      <c r="N3376" s="533" t="str">
        <f>IFERROR(VLOOKUP(M3376,INSUMOS!$C$8:$K$928,2,0),"-----")</f>
        <v>-----</v>
      </c>
      <c r="O3376" s="533"/>
      <c r="P3376" s="533"/>
      <c r="Q3376" s="533"/>
      <c r="R3376" s="78" t="str">
        <f>IFERROR(VLOOKUP(M3376,INSUMOS!$C$8:$K$928,6,0),"-----")</f>
        <v>-----</v>
      </c>
      <c r="S3376" s="392"/>
      <c r="T3376" s="387">
        <v>0</v>
      </c>
      <c r="U3376" s="388" t="str">
        <f>IFERROR(VLOOKUP(M3376,INSUMOS!$C$8:$K$928,7,0),"0")</f>
        <v>0</v>
      </c>
      <c r="V3376" s="389">
        <f>+IFERROR(U3376*(S3376*(1+T3376)),0)</f>
        <v>0</v>
      </c>
      <c r="Y3376" s="393">
        <f>+IFERROR(Y3362*(S3376*(1+T3376)),0)</f>
        <v>0</v>
      </c>
      <c r="Z3376" s="391">
        <f>Y3362*V3376</f>
        <v>0</v>
      </c>
      <c r="AA3376" s="394"/>
      <c r="AB3376" s="395">
        <f>+Y3376*U3376</f>
        <v>0</v>
      </c>
      <c r="AC3376" s="93">
        <f>+AB3376-Z3376</f>
        <v>0</v>
      </c>
      <c r="AD3376" s="94"/>
      <c r="AE3376" s="406" t="str">
        <f>+IF(V3376=0,"CERO","NO")</f>
        <v>CERO</v>
      </c>
    </row>
    <row r="3377" spans="3:31" s="260" customFormat="1" x14ac:dyDescent="0.25">
      <c r="C3377" s="84"/>
      <c r="D3377" s="85"/>
      <c r="E3377" s="86"/>
      <c r="F3377" s="86"/>
      <c r="G3377" s="86"/>
      <c r="H3377" s="86"/>
      <c r="I3377" s="86"/>
      <c r="J3377" s="87"/>
      <c r="K3377" s="88"/>
      <c r="M3377" s="102"/>
      <c r="N3377" s="533" t="str">
        <f>IFERROR(VLOOKUP(M3377,INSUMOS!$C$8:$K$928,2,0),"-----")</f>
        <v>-----</v>
      </c>
      <c r="O3377" s="533"/>
      <c r="P3377" s="533"/>
      <c r="Q3377" s="533"/>
      <c r="R3377" s="78" t="str">
        <f>IFERROR(VLOOKUP(M3377,INSUMOS!$C$8:$K$928,6,0),"-----")</f>
        <v>-----</v>
      </c>
      <c r="S3377" s="396"/>
      <c r="T3377" s="387">
        <v>0</v>
      </c>
      <c r="U3377" s="388" t="str">
        <f>IFERROR(VLOOKUP(M3377,INSUMOS!$C$8:$K$928,7,0),"0")</f>
        <v>0</v>
      </c>
      <c r="V3377" s="389">
        <f>+IFERROR(U3377*(S3377*(1+T3377)),0)</f>
        <v>0</v>
      </c>
      <c r="Y3377" s="393">
        <f>+IFERROR(Y3362*(S3377*(1+T3377)),0)</f>
        <v>0</v>
      </c>
      <c r="Z3377" s="391">
        <f>Y3362*V3377</f>
        <v>0</v>
      </c>
      <c r="AA3377" s="394"/>
      <c r="AB3377" s="395">
        <f>+Y3377*U3377</f>
        <v>0</v>
      </c>
      <c r="AC3377" s="93">
        <f>+AB3377-Z3377</f>
        <v>0</v>
      </c>
      <c r="AD3377" s="94"/>
      <c r="AE3377" s="406" t="str">
        <f>+IF(V3377=0,"CERO","NO")</f>
        <v>CERO</v>
      </c>
    </row>
    <row r="3378" spans="3:31" s="260" customFormat="1" x14ac:dyDescent="0.25">
      <c r="C3378" s="84"/>
      <c r="D3378" s="85"/>
      <c r="E3378" s="86"/>
      <c r="F3378" s="86"/>
      <c r="G3378" s="86"/>
      <c r="H3378" s="86"/>
      <c r="I3378" s="86"/>
      <c r="J3378" s="87"/>
      <c r="K3378" s="88"/>
      <c r="M3378" s="102">
        <v>0</v>
      </c>
      <c r="N3378" s="533" t="str">
        <f>IFERROR(VLOOKUP(M3378,INSUMOS!$C$8:$K$928,2,0),"-----")</f>
        <v>-----</v>
      </c>
      <c r="O3378" s="533"/>
      <c r="P3378" s="533"/>
      <c r="Q3378" s="533"/>
      <c r="R3378" s="78" t="str">
        <f>IFERROR(VLOOKUP(M3378,INSUMOS!$C$8:$K$928,6,0),"-----")</f>
        <v>-----</v>
      </c>
      <c r="S3378" s="396"/>
      <c r="T3378" s="387"/>
      <c r="U3378" s="388" t="str">
        <f>IFERROR(VLOOKUP(M3378,INSUMOS!$C$8:$K$928,7,0),"0")</f>
        <v>0</v>
      </c>
      <c r="V3378" s="389">
        <f>+IFERROR(U3378*(S3378*(1+T3378)),0)</f>
        <v>0</v>
      </c>
      <c r="Y3378" s="393">
        <f>+IFERROR(Y3362*(S3378*(1+T3378)),0)</f>
        <v>0</v>
      </c>
      <c r="Z3378" s="391">
        <f>Y3362*V3378</f>
        <v>0</v>
      </c>
      <c r="AA3378" s="394"/>
      <c r="AB3378" s="395">
        <f>+Y3378*U3378</f>
        <v>0</v>
      </c>
      <c r="AC3378" s="93">
        <f>+AB3378-Z3378</f>
        <v>0</v>
      </c>
      <c r="AD3378" s="94"/>
      <c r="AE3378" s="406" t="str">
        <f>+IF(V3378=0,"CERO","NO")</f>
        <v>CERO</v>
      </c>
    </row>
    <row r="3379" spans="3:31" s="260" customFormat="1" ht="15.75" thickBot="1" x14ac:dyDescent="0.3">
      <c r="C3379" s="84"/>
      <c r="D3379" s="85"/>
      <c r="E3379" s="86"/>
      <c r="F3379" s="86"/>
      <c r="G3379" s="86"/>
      <c r="H3379" s="86"/>
      <c r="I3379" s="86"/>
      <c r="J3379" s="87"/>
      <c r="K3379" s="88"/>
      <c r="M3379" s="102">
        <v>0</v>
      </c>
      <c r="N3379" s="564"/>
      <c r="O3379" s="564"/>
      <c r="P3379" s="564"/>
      <c r="Q3379" s="564"/>
      <c r="R3379" s="96"/>
      <c r="S3379" s="79"/>
      <c r="T3379" s="97"/>
      <c r="U3379" s="358"/>
      <c r="V3379" s="397"/>
      <c r="Y3379" s="393">
        <f>+IFERROR(Y3362*(S3379*(1+T3379)),0)</f>
        <v>0</v>
      </c>
      <c r="Z3379" s="391">
        <f>Y3362*V3379</f>
        <v>0</v>
      </c>
      <c r="AA3379" s="394"/>
      <c r="AB3379" s="395">
        <f>+Y3379*U3379</f>
        <v>0</v>
      </c>
      <c r="AC3379" s="93">
        <f>+AB3379-Z3379</f>
        <v>0</v>
      </c>
      <c r="AD3379" s="94"/>
      <c r="AE3379" s="406" t="str">
        <f>+IF(V3379=0,"CERO","NO")</f>
        <v>CERO</v>
      </c>
    </row>
    <row r="3380" spans="3:31" s="260" customFormat="1" ht="15.75" thickBot="1" x14ac:dyDescent="0.3">
      <c r="C3380" s="84"/>
      <c r="D3380" s="375" t="s">
        <v>128</v>
      </c>
      <c r="E3380" s="376" t="s">
        <v>129</v>
      </c>
      <c r="F3380" s="376" t="s">
        <v>130</v>
      </c>
      <c r="G3380" s="376" t="s">
        <v>131</v>
      </c>
      <c r="H3380" s="376" t="s">
        <v>132</v>
      </c>
      <c r="I3380" s="376" t="s">
        <v>133</v>
      </c>
      <c r="J3380" s="377" t="s">
        <v>134</v>
      </c>
      <c r="K3380" s="88"/>
      <c r="M3380" s="534"/>
      <c r="N3380" s="536" t="s">
        <v>106</v>
      </c>
      <c r="O3380" s="536"/>
      <c r="P3380" s="536"/>
      <c r="Q3380" s="536"/>
      <c r="R3380" s="536"/>
      <c r="S3380" s="536"/>
      <c r="T3380" s="536"/>
      <c r="U3380" s="536"/>
      <c r="V3380" s="389">
        <f>+SUM(V3375:V3379)</f>
        <v>1550000</v>
      </c>
      <c r="Y3380" s="398" t="s">
        <v>135</v>
      </c>
      <c r="Z3380" s="397">
        <f>+SUM(Z3375:Z3379)</f>
        <v>7750000</v>
      </c>
      <c r="AA3380" s="86"/>
      <c r="AB3380" s="384"/>
      <c r="AC3380" s="385"/>
      <c r="AD3380" s="94"/>
      <c r="AE3380" s="399"/>
    </row>
    <row r="3381" spans="3:31" s="260" customFormat="1" ht="15.75" thickBot="1" x14ac:dyDescent="0.3">
      <c r="C3381" s="84"/>
      <c r="D3381" s="375"/>
      <c r="E3381" s="407">
        <f>+D3372</f>
        <v>3.2</v>
      </c>
      <c r="F3381" s="376"/>
      <c r="G3381" s="376"/>
      <c r="H3381" s="376"/>
      <c r="I3381" s="376"/>
      <c r="J3381" s="377"/>
      <c r="K3381" s="88"/>
      <c r="M3381" s="535"/>
      <c r="N3381" s="537" t="s">
        <v>107</v>
      </c>
      <c r="O3381" s="537"/>
      <c r="P3381" s="537"/>
      <c r="Q3381" s="537"/>
      <c r="R3381" s="537"/>
      <c r="S3381" s="537"/>
      <c r="T3381" s="537"/>
      <c r="U3381" s="537"/>
      <c r="V3381" s="408">
        <f>+ROUND(V3380,$AA$5)</f>
        <v>1550000</v>
      </c>
      <c r="Y3381" s="401" t="s">
        <v>136</v>
      </c>
      <c r="Z3381" s="402">
        <f>+ROUND(Z3380,$AA$5)</f>
        <v>7750000</v>
      </c>
      <c r="AA3381" s="86"/>
      <c r="AB3381" s="403">
        <f>+V3381*Y3362</f>
        <v>7750000</v>
      </c>
      <c r="AC3381" s="404">
        <f>+AB3381-Z3381</f>
        <v>0</v>
      </c>
      <c r="AD3381" s="94"/>
      <c r="AE3381" s="405"/>
    </row>
    <row r="3382" spans="3:31" s="260" customFormat="1" x14ac:dyDescent="0.25">
      <c r="C3382" s="84"/>
      <c r="D3382" s="380"/>
      <c r="E3382" s="381"/>
      <c r="F3382" s="381"/>
      <c r="G3382" s="381"/>
      <c r="H3382" s="381"/>
      <c r="I3382" s="381"/>
      <c r="J3382" s="382"/>
      <c r="K3382" s="88"/>
      <c r="M3382" s="568" t="s">
        <v>108</v>
      </c>
      <c r="N3382" s="569"/>
      <c r="O3382" s="569"/>
      <c r="P3382" s="569"/>
      <c r="Q3382" s="569"/>
      <c r="R3382" s="569"/>
      <c r="S3382" s="569"/>
      <c r="T3382" s="569"/>
      <c r="U3382" s="569"/>
      <c r="V3382" s="570"/>
      <c r="Y3382" s="378"/>
      <c r="Z3382" s="121"/>
      <c r="AA3382" s="86"/>
      <c r="AB3382" s="409"/>
      <c r="AC3382" s="121"/>
      <c r="AD3382" s="94"/>
      <c r="AE3382" s="126"/>
    </row>
    <row r="3383" spans="3:31" s="260" customFormat="1" ht="25.5" x14ac:dyDescent="0.25">
      <c r="C3383" s="84"/>
      <c r="D3383" s="85"/>
      <c r="E3383" s="86"/>
      <c r="F3383" s="86"/>
      <c r="G3383" s="86"/>
      <c r="H3383" s="86"/>
      <c r="I3383" s="86"/>
      <c r="J3383" s="87"/>
      <c r="K3383" s="88"/>
      <c r="M3383" s="99" t="s">
        <v>94</v>
      </c>
      <c r="N3383" s="561" t="s">
        <v>95</v>
      </c>
      <c r="O3383" s="561"/>
      <c r="P3383" s="561"/>
      <c r="Q3383" s="95" t="s">
        <v>109</v>
      </c>
      <c r="R3383" s="95" t="s">
        <v>110</v>
      </c>
      <c r="S3383" s="95" t="s">
        <v>111</v>
      </c>
      <c r="T3383" s="562" t="s">
        <v>112</v>
      </c>
      <c r="U3383" s="562"/>
      <c r="V3383" s="100" t="s">
        <v>98</v>
      </c>
      <c r="Y3383" s="383" t="s">
        <v>104</v>
      </c>
      <c r="Z3383" s="119" t="s">
        <v>9</v>
      </c>
      <c r="AA3383" s="86"/>
      <c r="AB3383" s="384"/>
      <c r="AC3383" s="385"/>
      <c r="AD3383" s="94"/>
      <c r="AE3383" s="410"/>
    </row>
    <row r="3384" spans="3:31" s="260" customFormat="1" x14ac:dyDescent="0.25">
      <c r="C3384" s="84"/>
      <c r="D3384" s="85"/>
      <c r="E3384" s="86"/>
      <c r="F3384" s="86"/>
      <c r="G3384" s="86"/>
      <c r="H3384" s="86"/>
      <c r="I3384" s="86"/>
      <c r="J3384" s="87"/>
      <c r="K3384" s="88"/>
      <c r="M3384" s="102">
        <v>129</v>
      </c>
      <c r="N3384" s="530" t="str">
        <f>IFERROR(VLOOKUP(M3384,INSUMOS!$C$8:$K$928,2,0),"-----")</f>
        <v>transporte materiales en general</v>
      </c>
      <c r="O3384" s="531"/>
      <c r="P3384" s="532"/>
      <c r="Q3384" s="78" t="str">
        <f>IFERROR(VLOOKUP(M3384,INSUMOS!$C$8:$K$928,5,0),"-----")</f>
        <v>Km</v>
      </c>
      <c r="R3384" s="80">
        <v>1</v>
      </c>
      <c r="S3384" s="80">
        <f>IFERROR(VLOOKUP(M3384,INSUMOS!$C$8:$K$928,6,0),"0")</f>
        <v>348</v>
      </c>
      <c r="T3384" s="529">
        <f>IFERROR(VLOOKUP(M3384,INSUMOS!$C$8:$K$928,7,0),"0")</f>
        <v>0.99776362060288992</v>
      </c>
      <c r="U3384" s="529"/>
      <c r="V3384" s="82">
        <f>+T3384*S3384*R3384</f>
        <v>347.2217399698057</v>
      </c>
      <c r="Y3384" s="393">
        <f>+IFERROR((R3384*S3384)*Y3362,0)</f>
        <v>1740</v>
      </c>
      <c r="Z3384" s="391">
        <f>Y3362*V3384</f>
        <v>1736.1086998490284</v>
      </c>
      <c r="AA3384" s="86"/>
      <c r="AB3384" s="92">
        <f>+Y3384*T3384</f>
        <v>1736.1086998490284</v>
      </c>
      <c r="AC3384" s="93">
        <f>+AB3384-Z3384</f>
        <v>0</v>
      </c>
      <c r="AD3384" s="94"/>
      <c r="AE3384" s="406" t="str">
        <f>+IF(V3384=0,"CERO","NO")</f>
        <v>NO</v>
      </c>
    </row>
    <row r="3385" spans="3:31" s="260" customFormat="1" x14ac:dyDescent="0.25">
      <c r="C3385" s="84"/>
      <c r="D3385" s="85"/>
      <c r="E3385" s="86"/>
      <c r="F3385" s="86"/>
      <c r="G3385" s="86"/>
      <c r="H3385" s="86"/>
      <c r="I3385" s="86"/>
      <c r="J3385" s="87"/>
      <c r="K3385" s="88"/>
      <c r="M3385" s="102">
        <v>0</v>
      </c>
      <c r="N3385" s="530" t="str">
        <f>IFERROR(VLOOKUP(M3385,INSUMOS!$C$8:$K$928,2,0),"-----")</f>
        <v>-----</v>
      </c>
      <c r="O3385" s="531"/>
      <c r="P3385" s="532"/>
      <c r="Q3385" s="78" t="str">
        <f>IFERROR(VLOOKUP(M3385,INSUMOS!$C$8:$K$928,5,0),"-----")</f>
        <v>-----</v>
      </c>
      <c r="R3385" s="80"/>
      <c r="S3385" s="80" t="str">
        <f>IFERROR(VLOOKUP(M3385,INSUMOS!$C$8:$K$928,6,0),"0")</f>
        <v>0</v>
      </c>
      <c r="T3385" s="529" t="str">
        <f>IFERROR(VLOOKUP(M3385,INSUMOS!$C$8:$K$928,7,0),"0")</f>
        <v>0</v>
      </c>
      <c r="U3385" s="529"/>
      <c r="V3385" s="82">
        <f>+T3385*S3385*R3385</f>
        <v>0</v>
      </c>
      <c r="Y3385" s="393">
        <f>+IFERROR((R3385*S3385)*Y3362,0)</f>
        <v>0</v>
      </c>
      <c r="Z3385" s="391">
        <f>Y3362*V3385</f>
        <v>0</v>
      </c>
      <c r="AA3385" s="86"/>
      <c r="AB3385" s="92">
        <f>+Y3385*T3385</f>
        <v>0</v>
      </c>
      <c r="AC3385" s="93">
        <f>+AB3385-Z3385</f>
        <v>0</v>
      </c>
      <c r="AD3385" s="94"/>
      <c r="AE3385" s="406" t="str">
        <f>+IF(V3385=0,"CERO","NO")</f>
        <v>CERO</v>
      </c>
    </row>
    <row r="3386" spans="3:31" s="260" customFormat="1" x14ac:dyDescent="0.25">
      <c r="C3386" s="84"/>
      <c r="D3386" s="85"/>
      <c r="E3386" s="86"/>
      <c r="F3386" s="86"/>
      <c r="G3386" s="86"/>
      <c r="H3386" s="86"/>
      <c r="I3386" s="86"/>
      <c r="J3386" s="87"/>
      <c r="K3386" s="88"/>
      <c r="M3386" s="102">
        <v>0</v>
      </c>
      <c r="N3386" s="530" t="str">
        <f>IFERROR(VLOOKUP(M3386,INSUMOS!$C$8:$K$928,2,0),"-----")</f>
        <v>-----</v>
      </c>
      <c r="O3386" s="531"/>
      <c r="P3386" s="532"/>
      <c r="Q3386" s="78" t="str">
        <f>IFERROR(VLOOKUP(M3386,INSUMOS!$C$8:$K$928,5,0),"-----")</f>
        <v>-----</v>
      </c>
      <c r="R3386" s="80"/>
      <c r="S3386" s="80" t="str">
        <f>IFERROR(VLOOKUP(M3386,INSUMOS!$C$8:$K$928,6,0),"0")</f>
        <v>0</v>
      </c>
      <c r="T3386" s="529" t="str">
        <f>IFERROR(VLOOKUP(M3386,INSUMOS!$C$8:$K$928,7,0),"0")</f>
        <v>0</v>
      </c>
      <c r="U3386" s="529"/>
      <c r="V3386" s="82">
        <f>+T3386*S3386*R3386</f>
        <v>0</v>
      </c>
      <c r="Y3386" s="393">
        <f>+IFERROR((R3386*S3386)*Y3362,0)</f>
        <v>0</v>
      </c>
      <c r="Z3386" s="391">
        <f>Y3362*V3386</f>
        <v>0</v>
      </c>
      <c r="AA3386" s="86"/>
      <c r="AB3386" s="92">
        <f>+Y3386*T3386</f>
        <v>0</v>
      </c>
      <c r="AC3386" s="93">
        <f>+AB3386-Z3386</f>
        <v>0</v>
      </c>
      <c r="AD3386" s="94"/>
      <c r="AE3386" s="406" t="str">
        <f>+IF(V3386=0,"CERO","NO")</f>
        <v>CERO</v>
      </c>
    </row>
    <row r="3387" spans="3:31" s="260" customFormat="1" ht="15.75" thickBot="1" x14ac:dyDescent="0.3">
      <c r="C3387" s="84"/>
      <c r="D3387" s="89"/>
      <c r="E3387" s="90"/>
      <c r="F3387" s="90"/>
      <c r="G3387" s="90"/>
      <c r="H3387" s="90"/>
      <c r="I3387" s="90"/>
      <c r="J3387" s="91"/>
      <c r="K3387" s="88"/>
      <c r="M3387" s="102">
        <v>0</v>
      </c>
      <c r="N3387" s="533"/>
      <c r="O3387" s="533"/>
      <c r="P3387" s="533"/>
      <c r="Q3387" s="79"/>
      <c r="R3387" s="78"/>
      <c r="S3387" s="81"/>
      <c r="T3387" s="529"/>
      <c r="U3387" s="529"/>
      <c r="V3387" s="82"/>
      <c r="Y3387" s="393">
        <f>+IFERROR((R3387*S3387)*Y3362,0)</f>
        <v>0</v>
      </c>
      <c r="Z3387" s="391">
        <f>Y3362*V3387</f>
        <v>0</v>
      </c>
      <c r="AA3387" s="86"/>
      <c r="AB3387" s="92">
        <f>+Y3387*T3387</f>
        <v>0</v>
      </c>
      <c r="AC3387" s="93">
        <f>+AB3387-Z3387</f>
        <v>0</v>
      </c>
      <c r="AD3387" s="94"/>
      <c r="AE3387" s="406" t="str">
        <f>+IF(V3387=0,"CERO","NO")</f>
        <v>CERO</v>
      </c>
    </row>
    <row r="3388" spans="3:31" s="260" customFormat="1" ht="15.75" thickBot="1" x14ac:dyDescent="0.3">
      <c r="C3388" s="84"/>
      <c r="D3388" s="375" t="s">
        <v>128</v>
      </c>
      <c r="E3388" s="376" t="s">
        <v>129</v>
      </c>
      <c r="F3388" s="376" t="s">
        <v>130</v>
      </c>
      <c r="G3388" s="376" t="s">
        <v>131</v>
      </c>
      <c r="H3388" s="376" t="s">
        <v>132</v>
      </c>
      <c r="I3388" s="376" t="s">
        <v>133</v>
      </c>
      <c r="J3388" s="377" t="s">
        <v>134</v>
      </c>
      <c r="K3388" s="88"/>
      <c r="M3388" s="534"/>
      <c r="N3388" s="536" t="s">
        <v>113</v>
      </c>
      <c r="O3388" s="536"/>
      <c r="P3388" s="536"/>
      <c r="Q3388" s="536"/>
      <c r="R3388" s="536"/>
      <c r="S3388" s="536"/>
      <c r="T3388" s="536"/>
      <c r="U3388" s="536"/>
      <c r="V3388" s="411">
        <f>+SUM(V3384:V3387)</f>
        <v>347.2217399698057</v>
      </c>
      <c r="Y3388" s="398" t="s">
        <v>135</v>
      </c>
      <c r="Z3388" s="397">
        <f>+SUM(Z3384:Z3387)</f>
        <v>1736.1086998490284</v>
      </c>
      <c r="AA3388" s="86"/>
      <c r="AB3388" s="384"/>
      <c r="AC3388" s="385"/>
      <c r="AD3388" s="94"/>
      <c r="AE3388" s="399"/>
    </row>
    <row r="3389" spans="3:31" s="260" customFormat="1" ht="15.75" thickBot="1" x14ac:dyDescent="0.3">
      <c r="C3389" s="84"/>
      <c r="D3389" s="355"/>
      <c r="E3389" s="367"/>
      <c r="F3389" s="412">
        <f>+E3381</f>
        <v>3.2</v>
      </c>
      <c r="G3389" s="367"/>
      <c r="H3389" s="367"/>
      <c r="I3389" s="367"/>
      <c r="J3389" s="368"/>
      <c r="K3389" s="88"/>
      <c r="M3389" s="535"/>
      <c r="N3389" s="537" t="s">
        <v>114</v>
      </c>
      <c r="O3389" s="537"/>
      <c r="P3389" s="537"/>
      <c r="Q3389" s="537"/>
      <c r="R3389" s="537"/>
      <c r="S3389" s="537"/>
      <c r="T3389" s="537"/>
      <c r="U3389" s="537"/>
      <c r="V3389" s="413">
        <f>+ROUND(V3388,$AA$5)</f>
        <v>347.22</v>
      </c>
      <c r="Y3389" s="401" t="s">
        <v>136</v>
      </c>
      <c r="Z3389" s="402">
        <f>+ROUND(Z3388,$AA$5)</f>
        <v>1736.11</v>
      </c>
      <c r="AA3389" s="86"/>
      <c r="AB3389" s="403">
        <f>+V3389*Y3362</f>
        <v>1736.1000000000001</v>
      </c>
      <c r="AC3389" s="414"/>
      <c r="AD3389" s="94"/>
      <c r="AE3389" s="405"/>
    </row>
    <row r="3390" spans="3:31" s="260" customFormat="1" ht="15.75" thickBot="1" x14ac:dyDescent="0.3">
      <c r="C3390" s="84"/>
      <c r="D3390" s="415"/>
      <c r="E3390" s="416"/>
      <c r="F3390" s="416"/>
      <c r="G3390" s="416"/>
      <c r="H3390" s="416"/>
      <c r="I3390" s="416"/>
      <c r="J3390" s="417"/>
      <c r="K3390" s="88"/>
      <c r="M3390" s="538" t="s">
        <v>115</v>
      </c>
      <c r="N3390" s="539"/>
      <c r="O3390" s="539"/>
      <c r="P3390" s="539"/>
      <c r="Q3390" s="539"/>
      <c r="R3390" s="539"/>
      <c r="S3390" s="539"/>
      <c r="T3390" s="539"/>
      <c r="U3390" s="539"/>
      <c r="V3390" s="540"/>
      <c r="Y3390" s="378"/>
      <c r="Z3390" s="121"/>
      <c r="AA3390" s="86"/>
      <c r="AB3390" s="409"/>
      <c r="AC3390" s="121"/>
      <c r="AD3390" s="94"/>
      <c r="AE3390" s="126"/>
    </row>
    <row r="3391" spans="3:31" s="260" customFormat="1" ht="15.75" thickBot="1" x14ac:dyDescent="0.3">
      <c r="C3391" s="84"/>
      <c r="D3391" s="375" t="s">
        <v>128</v>
      </c>
      <c r="E3391" s="376" t="s">
        <v>129</v>
      </c>
      <c r="F3391" s="376" t="s">
        <v>130</v>
      </c>
      <c r="G3391" s="376" t="s">
        <v>131</v>
      </c>
      <c r="H3391" s="376" t="s">
        <v>132</v>
      </c>
      <c r="I3391" s="376" t="s">
        <v>133</v>
      </c>
      <c r="J3391" s="377" t="s">
        <v>134</v>
      </c>
      <c r="K3391" s="88"/>
      <c r="M3391" s="99" t="s">
        <v>94</v>
      </c>
      <c r="N3391" s="98" t="s">
        <v>95</v>
      </c>
      <c r="O3391" s="95" t="s">
        <v>96</v>
      </c>
      <c r="P3391" s="359" t="s">
        <v>104</v>
      </c>
      <c r="Q3391" s="95" t="s">
        <v>116</v>
      </c>
      <c r="R3391" s="418" t="s">
        <v>117</v>
      </c>
      <c r="S3391" s="95" t="s">
        <v>347</v>
      </c>
      <c r="T3391" s="419" t="s">
        <v>118</v>
      </c>
      <c r="U3391" s="189" t="s">
        <v>119</v>
      </c>
      <c r="V3391" s="100" t="s">
        <v>98</v>
      </c>
      <c r="Y3391" s="383" t="s">
        <v>104</v>
      </c>
      <c r="Z3391" s="119" t="s">
        <v>9</v>
      </c>
      <c r="AA3391" s="86"/>
      <c r="AB3391" s="384"/>
      <c r="AC3391" s="385"/>
      <c r="AD3391" s="94"/>
      <c r="AE3391" s="410"/>
    </row>
    <row r="3392" spans="3:31" s="260" customFormat="1" ht="25.5" x14ac:dyDescent="0.25">
      <c r="C3392" s="84"/>
      <c r="D3392" s="354"/>
      <c r="E3392" s="96"/>
      <c r="F3392" s="96"/>
      <c r="G3392" s="96"/>
      <c r="H3392" s="96"/>
      <c r="I3392" s="96"/>
      <c r="J3392" s="420">
        <f>+F3389</f>
        <v>3.2</v>
      </c>
      <c r="K3392" s="88"/>
      <c r="M3392" s="102">
        <v>207</v>
      </c>
      <c r="N3392" s="347" t="str">
        <f>IFERROR(VLOOKUP(M3392,INSUMOS!$C$8:$K$928,2,0),"-----")</f>
        <v>Oficial Hidrosanitario</v>
      </c>
      <c r="O3392" s="78" t="str">
        <f>IFERROR(VLOOKUP(M3392,INSUMOS!$C$8:$K$928,3,0),"-----")</f>
        <v>JORNAL+PS</v>
      </c>
      <c r="P3392" s="80">
        <v>1</v>
      </c>
      <c r="Q3392" s="79">
        <v>20</v>
      </c>
      <c r="R3392" s="190">
        <f>IFERROR(VLOOKUP(M3392,INSUMOS!$C$8:$K$928,4,0),"-----")</f>
        <v>92983</v>
      </c>
      <c r="S3392" s="190">
        <f>IFERROR(VLOOKUP(M3392,INSUMOS!$C$8:$K$928,6,0),"-----")</f>
        <v>74386</v>
      </c>
      <c r="T3392" s="190">
        <f>IFERROR(VLOOKUP(M3392,INSUMOS!$C$8:$K$928,5,0),"-----")</f>
        <v>0</v>
      </c>
      <c r="U3392" s="388">
        <f>SUM(R3392:T3392)</f>
        <v>167369</v>
      </c>
      <c r="V3392" s="82">
        <f>+IFERROR((P3392/Q3392)*U3392,0)</f>
        <v>8368.4500000000007</v>
      </c>
      <c r="Y3392" s="393">
        <f>+IFERROR((Y3362/Q3392*P3392),0)</f>
        <v>0.25</v>
      </c>
      <c r="Z3392" s="391">
        <f>Y3362*V3392</f>
        <v>41842.25</v>
      </c>
      <c r="AA3392" s="86"/>
      <c r="AB3392" s="92">
        <f>+(U3392)*Y3392</f>
        <v>41842.25</v>
      </c>
      <c r="AC3392" s="93">
        <f>+AB3392-Z3392</f>
        <v>0</v>
      </c>
      <c r="AD3392" s="421"/>
      <c r="AE3392" s="410" t="str">
        <f>+IF(V3392=0,"CERO","NO")</f>
        <v>NO</v>
      </c>
    </row>
    <row r="3393" spans="3:31" s="260" customFormat="1" ht="26.25" thickBot="1" x14ac:dyDescent="0.3">
      <c r="C3393" s="84"/>
      <c r="D3393" s="355"/>
      <c r="E3393" s="367"/>
      <c r="F3393" s="367"/>
      <c r="G3393" s="367"/>
      <c r="H3393" s="367"/>
      <c r="I3393" s="367"/>
      <c r="J3393" s="422">
        <f>+J3392</f>
        <v>3.2</v>
      </c>
      <c r="K3393" s="88"/>
      <c r="M3393" s="102">
        <v>208</v>
      </c>
      <c r="N3393" s="347" t="str">
        <f>IFERROR(VLOOKUP(M3393,INSUMOS!$C$8:$K$928,2,0),"-----")</f>
        <v>Ayudante Hidrosanitario</v>
      </c>
      <c r="O3393" s="78" t="str">
        <f>IFERROR(VLOOKUP(M3393,INSUMOS!$C$8:$K$928,3,0),"-----")</f>
        <v>JORNAL+PS</v>
      </c>
      <c r="P3393" s="80">
        <v>1</v>
      </c>
      <c r="Q3393" s="79">
        <v>20</v>
      </c>
      <c r="R3393" s="190">
        <f>IFERROR(VLOOKUP(M3393,INSUMOS!$C$8:$K$928,4,0),"-----")</f>
        <v>69172</v>
      </c>
      <c r="S3393" s="190">
        <f>IFERROR(VLOOKUP(M3393,INSUMOS!$C$8:$K$928,6,0),"-----")</f>
        <v>55337</v>
      </c>
      <c r="T3393" s="190">
        <f>IFERROR(VLOOKUP(M3393,INSUMOS!$C$8:$K$928,5,0),"-----")</f>
        <v>0</v>
      </c>
      <c r="U3393" s="388">
        <f>SUM(R3393:T3393)</f>
        <v>124509</v>
      </c>
      <c r="V3393" s="82">
        <f>+IFERROR((P3393/Q3393)*U3393,0)</f>
        <v>6225.4500000000007</v>
      </c>
      <c r="Y3393" s="393">
        <f>+IFERROR((Y3362/Q3393*P3393),0)</f>
        <v>0.25</v>
      </c>
      <c r="Z3393" s="391">
        <f>Y3362*V3393</f>
        <v>31127.250000000004</v>
      </c>
      <c r="AA3393" s="86"/>
      <c r="AB3393" s="92">
        <f>+U3393*Y3393</f>
        <v>31127.25</v>
      </c>
      <c r="AC3393" s="93">
        <f>+AB3393-Z3393</f>
        <v>0</v>
      </c>
      <c r="AD3393" s="94"/>
      <c r="AE3393" s="410" t="str">
        <f>+IF(V3393=0,"CERO","NO")</f>
        <v>NO</v>
      </c>
    </row>
    <row r="3394" spans="3:31" s="260" customFormat="1" ht="15.75" thickBot="1" x14ac:dyDescent="0.3">
      <c r="C3394" s="84"/>
      <c r="D3394" s="380"/>
      <c r="E3394" s="381"/>
      <c r="F3394" s="381"/>
      <c r="G3394" s="381"/>
      <c r="H3394" s="381"/>
      <c r="I3394" s="381"/>
      <c r="J3394" s="382"/>
      <c r="K3394" s="88"/>
      <c r="M3394" s="102">
        <v>0</v>
      </c>
      <c r="N3394" s="347"/>
      <c r="O3394" s="79"/>
      <c r="P3394" s="423"/>
      <c r="Q3394" s="81"/>
      <c r="R3394" s="111"/>
      <c r="S3394" s="357"/>
      <c r="T3394" s="111"/>
      <c r="U3394" s="388"/>
      <c r="V3394" s="426"/>
      <c r="Y3394" s="393">
        <f>+IFERROR((Y3362/Q3394*P3394),0)</f>
        <v>0</v>
      </c>
      <c r="Z3394" s="391">
        <f>Y3362*V3394</f>
        <v>0</v>
      </c>
      <c r="AA3394" s="86"/>
      <c r="AB3394" s="92">
        <f>+(U3394)*Y3394*P3394</f>
        <v>0</v>
      </c>
      <c r="AC3394" s="93">
        <f>+AB3394-Z3394</f>
        <v>0</v>
      </c>
      <c r="AD3394" s="94"/>
      <c r="AE3394" s="410" t="str">
        <f>+IF(V3394=0,"CERO","NO")</f>
        <v>CERO</v>
      </c>
    </row>
    <row r="3395" spans="3:31" s="260" customFormat="1" ht="15.75" thickBot="1" x14ac:dyDescent="0.3">
      <c r="C3395" s="84"/>
      <c r="D3395" s="375" t="s">
        <v>128</v>
      </c>
      <c r="E3395" s="376" t="s">
        <v>129</v>
      </c>
      <c r="F3395" s="376" t="s">
        <v>130</v>
      </c>
      <c r="G3395" s="376" t="s">
        <v>131</v>
      </c>
      <c r="H3395" s="376" t="s">
        <v>132</v>
      </c>
      <c r="I3395" s="376" t="s">
        <v>133</v>
      </c>
      <c r="J3395" s="377" t="s">
        <v>134</v>
      </c>
      <c r="K3395" s="88"/>
      <c r="M3395" s="534"/>
      <c r="N3395" s="536" t="s">
        <v>120</v>
      </c>
      <c r="O3395" s="536"/>
      <c r="P3395" s="536"/>
      <c r="Q3395" s="536"/>
      <c r="R3395" s="536"/>
      <c r="S3395" s="536"/>
      <c r="T3395" s="536"/>
      <c r="U3395" s="536"/>
      <c r="V3395" s="82">
        <f>+SUM(V3392:V3394)</f>
        <v>14593.900000000001</v>
      </c>
      <c r="Y3395" s="398" t="s">
        <v>135</v>
      </c>
      <c r="Z3395" s="397">
        <f>+SUM(Z3392:Z3394)</f>
        <v>72969.5</v>
      </c>
      <c r="AA3395" s="86"/>
      <c r="AB3395" s="384"/>
      <c r="AC3395" s="385"/>
      <c r="AD3395" s="94"/>
      <c r="AE3395" s="399"/>
    </row>
    <row r="3396" spans="3:31" s="260" customFormat="1" ht="15.75" thickBot="1" x14ac:dyDescent="0.3">
      <c r="C3396" s="84"/>
      <c r="D3396" s="354"/>
      <c r="E3396" s="96"/>
      <c r="F3396" s="96"/>
      <c r="G3396" s="107">
        <f>+F3389</f>
        <v>3.2</v>
      </c>
      <c r="H3396" s="96"/>
      <c r="I3396" s="96"/>
      <c r="J3396" s="427"/>
      <c r="K3396" s="88"/>
      <c r="M3396" s="535"/>
      <c r="N3396" s="537" t="s">
        <v>121</v>
      </c>
      <c r="O3396" s="537"/>
      <c r="P3396" s="537"/>
      <c r="Q3396" s="537"/>
      <c r="R3396" s="537"/>
      <c r="S3396" s="537"/>
      <c r="T3396" s="537"/>
      <c r="U3396" s="537"/>
      <c r="V3396" s="413">
        <f>+ROUND(V3395,$AA$5)</f>
        <v>14593.9</v>
      </c>
      <c r="Y3396" s="401" t="s">
        <v>136</v>
      </c>
      <c r="Z3396" s="402">
        <f>+ROUND(Z3395,$AA$5)</f>
        <v>72969.5</v>
      </c>
      <c r="AA3396" s="86"/>
      <c r="AB3396" s="403">
        <f>+V3396*Y3362</f>
        <v>72969.5</v>
      </c>
      <c r="AC3396" s="404">
        <f>+AB3396-Z3396</f>
        <v>0</v>
      </c>
      <c r="AD3396" s="94"/>
      <c r="AE3396" s="405"/>
    </row>
    <row r="3397" spans="3:31" s="260" customFormat="1" ht="15.75" thickBot="1" x14ac:dyDescent="0.3">
      <c r="C3397" s="84"/>
      <c r="D3397" s="375" t="s">
        <v>128</v>
      </c>
      <c r="E3397" s="376" t="s">
        <v>129</v>
      </c>
      <c r="F3397" s="376" t="s">
        <v>130</v>
      </c>
      <c r="G3397" s="376" t="s">
        <v>131</v>
      </c>
      <c r="H3397" s="376" t="s">
        <v>132</v>
      </c>
      <c r="I3397" s="376" t="s">
        <v>133</v>
      </c>
      <c r="J3397" s="377" t="s">
        <v>134</v>
      </c>
      <c r="K3397" s="88"/>
      <c r="M3397" s="541"/>
      <c r="N3397" s="542"/>
      <c r="O3397" s="542"/>
      <c r="P3397" s="542"/>
      <c r="Q3397" s="542"/>
      <c r="R3397" s="542"/>
      <c r="S3397" s="542"/>
      <c r="T3397" s="542"/>
      <c r="U3397" s="542"/>
      <c r="V3397" s="543"/>
      <c r="Y3397" s="378"/>
      <c r="Z3397" s="121"/>
      <c r="AA3397" s="86"/>
      <c r="AB3397" s="409"/>
      <c r="AC3397" s="121"/>
      <c r="AD3397" s="94"/>
      <c r="AE3397" s="428"/>
    </row>
    <row r="3398" spans="3:31" s="260" customFormat="1" ht="15.75" thickBot="1" x14ac:dyDescent="0.3">
      <c r="C3398" s="84"/>
      <c r="D3398" s="355"/>
      <c r="E3398" s="367"/>
      <c r="F3398" s="367"/>
      <c r="G3398" s="367"/>
      <c r="H3398" s="412">
        <f>G3396</f>
        <v>3.2</v>
      </c>
      <c r="I3398" s="412"/>
      <c r="J3398" s="422"/>
      <c r="K3398" s="88"/>
      <c r="M3398" s="544" t="s">
        <v>122</v>
      </c>
      <c r="N3398" s="537"/>
      <c r="O3398" s="537"/>
      <c r="P3398" s="537"/>
      <c r="Q3398" s="537"/>
      <c r="R3398" s="537"/>
      <c r="S3398" s="537"/>
      <c r="T3398" s="537"/>
      <c r="U3398" s="545">
        <f>+V3396+V3389+V3381+V3372</f>
        <v>1565670.82</v>
      </c>
      <c r="V3398" s="546"/>
      <c r="Y3398" s="429"/>
      <c r="Z3398" s="430">
        <f>+Z3396+Z3389+Z3381+Z3372</f>
        <v>7828354.0900000008</v>
      </c>
      <c r="AA3398" s="86"/>
      <c r="AB3398" s="431">
        <f>+AB3396+AB3389+AB3381+AB3372</f>
        <v>7828354.0999999996</v>
      </c>
      <c r="AC3398" s="404">
        <f>+AB3398-Z3398</f>
        <v>9.9999988451600075E-3</v>
      </c>
      <c r="AD3398" s="94"/>
      <c r="AE3398" s="432"/>
    </row>
    <row r="3399" spans="3:31" s="260" customFormat="1" ht="15.75" thickBot="1" x14ac:dyDescent="0.3"/>
    <row r="3400" spans="3:31" s="260" customFormat="1" x14ac:dyDescent="0.25">
      <c r="M3400" s="547" t="s">
        <v>348</v>
      </c>
      <c r="N3400" s="548"/>
      <c r="O3400" s="548"/>
      <c r="P3400" s="548"/>
      <c r="Q3400" s="548"/>
      <c r="R3400" s="548"/>
      <c r="S3400" s="548"/>
      <c r="T3400" s="548"/>
      <c r="U3400" s="548"/>
      <c r="V3400" s="549"/>
      <c r="Y3400" s="378"/>
      <c r="Z3400" s="121"/>
      <c r="AA3400" s="86"/>
      <c r="AB3400" s="94"/>
      <c r="AC3400" s="94"/>
      <c r="AD3400" s="94"/>
      <c r="AE3400" s="126" t="s">
        <v>133</v>
      </c>
    </row>
    <row r="3401" spans="3:31" s="260" customFormat="1" x14ac:dyDescent="0.25">
      <c r="M3401" s="515" t="s">
        <v>138</v>
      </c>
      <c r="N3401" s="516"/>
      <c r="O3401" s="516"/>
      <c r="P3401" s="516"/>
      <c r="Q3401" s="516"/>
      <c r="R3401" s="516"/>
      <c r="S3401" s="516"/>
      <c r="T3401" s="437">
        <v>0</v>
      </c>
      <c r="U3401" s="517">
        <f>+ROUND(U3398*T3401,$AA$5)</f>
        <v>0</v>
      </c>
      <c r="V3401" s="518"/>
      <c r="Y3401" s="390"/>
      <c r="Z3401" s="438">
        <f>+Z3398*T3401</f>
        <v>0</v>
      </c>
      <c r="AA3401" s="86"/>
      <c r="AB3401" s="94"/>
      <c r="AC3401" s="94"/>
      <c r="AD3401" s="94"/>
      <c r="AE3401" s="386" t="s">
        <v>133</v>
      </c>
    </row>
    <row r="3402" spans="3:31" s="260" customFormat="1" x14ac:dyDescent="0.25">
      <c r="M3402" s="515" t="s">
        <v>19</v>
      </c>
      <c r="N3402" s="516"/>
      <c r="O3402" s="516"/>
      <c r="P3402" s="516"/>
      <c r="Q3402" s="516"/>
      <c r="R3402" s="516"/>
      <c r="S3402" s="516"/>
      <c r="T3402" s="437">
        <v>0.05</v>
      </c>
      <c r="U3402" s="517">
        <f>+ROUND(U3398*T3402,$AA$5)</f>
        <v>78283.539999999994</v>
      </c>
      <c r="V3402" s="518"/>
      <c r="Y3402" s="390"/>
      <c r="Z3402" s="438">
        <f>+Z3398*T3402</f>
        <v>391417.70450000005</v>
      </c>
      <c r="AA3402" s="86"/>
      <c r="AB3402" s="94"/>
      <c r="AC3402" s="94"/>
      <c r="AD3402" s="94"/>
      <c r="AE3402" s="386" t="s">
        <v>133</v>
      </c>
    </row>
    <row r="3403" spans="3:31" s="260" customFormat="1" x14ac:dyDescent="0.25">
      <c r="M3403" s="515" t="s">
        <v>20</v>
      </c>
      <c r="N3403" s="516"/>
      <c r="O3403" s="516"/>
      <c r="P3403" s="516"/>
      <c r="Q3403" s="516"/>
      <c r="R3403" s="516"/>
      <c r="S3403" s="516"/>
      <c r="T3403" s="437">
        <v>0</v>
      </c>
      <c r="U3403" s="517">
        <f>+ROUND(U3398*T3403,$AA$5)</f>
        <v>0</v>
      </c>
      <c r="V3403" s="518"/>
      <c r="Y3403" s="390"/>
      <c r="Z3403" s="438">
        <f>+Z3398*T3403</f>
        <v>0</v>
      </c>
      <c r="AA3403" s="86"/>
      <c r="AB3403" s="94"/>
      <c r="AC3403" s="94"/>
      <c r="AD3403" s="94"/>
      <c r="AE3403" s="386" t="s">
        <v>133</v>
      </c>
    </row>
    <row r="3404" spans="3:31" s="260" customFormat="1" x14ac:dyDescent="0.25">
      <c r="M3404" s="515" t="s">
        <v>21</v>
      </c>
      <c r="N3404" s="516"/>
      <c r="O3404" s="516"/>
      <c r="P3404" s="516"/>
      <c r="Q3404" s="516"/>
      <c r="R3404" s="516"/>
      <c r="S3404" s="516"/>
      <c r="T3404" s="437">
        <f>$AA$9</f>
        <v>0</v>
      </c>
      <c r="U3404" s="517">
        <f>+ROUND(U3398*T3404,$AA$5)</f>
        <v>0</v>
      </c>
      <c r="V3404" s="518"/>
      <c r="Y3404" s="390"/>
      <c r="Z3404" s="438">
        <f>+Z3403*T3404</f>
        <v>0</v>
      </c>
      <c r="AA3404" s="86"/>
      <c r="AB3404" s="94"/>
      <c r="AC3404" s="94"/>
      <c r="AD3404" s="94"/>
      <c r="AE3404" s="386" t="s">
        <v>133</v>
      </c>
    </row>
    <row r="3405" spans="3:31" s="260" customFormat="1" ht="15.75" thickBot="1" x14ac:dyDescent="0.3">
      <c r="M3405" s="519" t="s">
        <v>349</v>
      </c>
      <c r="N3405" s="520"/>
      <c r="O3405" s="520"/>
      <c r="P3405" s="520"/>
      <c r="Q3405" s="520"/>
      <c r="R3405" s="520"/>
      <c r="S3405" s="520"/>
      <c r="T3405" s="520"/>
      <c r="U3405" s="521">
        <f>+SUM(U3401:V3404)</f>
        <v>78283.539999999994</v>
      </c>
      <c r="V3405" s="522"/>
      <c r="Y3405" s="390"/>
      <c r="Z3405" s="439">
        <f>+SUM(Z3401:Z3404)</f>
        <v>391417.70450000005</v>
      </c>
      <c r="AA3405" s="86"/>
      <c r="AB3405" s="94"/>
      <c r="AC3405" s="94"/>
      <c r="AD3405" s="94"/>
      <c r="AE3405" s="386" t="s">
        <v>133</v>
      </c>
    </row>
    <row r="3406" spans="3:31" s="260" customFormat="1" ht="15.75" thickBot="1" x14ac:dyDescent="0.3">
      <c r="D3406" s="375" t="s">
        <v>128</v>
      </c>
      <c r="E3406" s="376" t="s">
        <v>129</v>
      </c>
      <c r="F3406" s="376" t="s">
        <v>130</v>
      </c>
      <c r="G3406" s="376" t="s">
        <v>131</v>
      </c>
      <c r="H3406" s="376" t="s">
        <v>132</v>
      </c>
      <c r="I3406" s="376" t="s">
        <v>133</v>
      </c>
      <c r="J3406" s="377" t="s">
        <v>134</v>
      </c>
      <c r="M3406" s="86"/>
      <c r="N3406" s="94"/>
      <c r="O3406" s="94"/>
      <c r="P3406" s="94"/>
      <c r="Q3406" s="86"/>
      <c r="R3406" s="86"/>
      <c r="S3406" s="86"/>
      <c r="T3406" s="440"/>
      <c r="U3406" s="523"/>
      <c r="V3406" s="523"/>
      <c r="Y3406" s="390"/>
      <c r="Z3406" s="385"/>
      <c r="AA3406" s="86"/>
      <c r="AB3406" s="94"/>
      <c r="AC3406" s="94"/>
      <c r="AD3406" s="94"/>
      <c r="AE3406" s="386" t="s">
        <v>133</v>
      </c>
    </row>
    <row r="3407" spans="3:31" s="260" customFormat="1" ht="15.75" thickBot="1" x14ac:dyDescent="0.3">
      <c r="D3407" s="355"/>
      <c r="E3407" s="367"/>
      <c r="F3407" s="367"/>
      <c r="G3407" s="367"/>
      <c r="H3407" s="412"/>
      <c r="I3407" s="412">
        <f>H3398</f>
        <v>3.2</v>
      </c>
      <c r="J3407" s="422"/>
      <c r="M3407" s="524" t="s">
        <v>11</v>
      </c>
      <c r="N3407" s="525"/>
      <c r="O3407" s="525"/>
      <c r="P3407" s="525"/>
      <c r="Q3407" s="525"/>
      <c r="R3407" s="525"/>
      <c r="S3407" s="525"/>
      <c r="T3407" s="526"/>
      <c r="U3407" s="527">
        <f>+U3405+U3398</f>
        <v>1643954.36</v>
      </c>
      <c r="V3407" s="528"/>
      <c r="Y3407" s="429"/>
      <c r="Z3407" s="441">
        <f>+Z3405+Z3398</f>
        <v>8219771.7945000008</v>
      </c>
      <c r="AA3407" s="86"/>
      <c r="AB3407" s="94"/>
      <c r="AC3407" s="94"/>
      <c r="AD3407" s="94"/>
      <c r="AE3407" s="405" t="s">
        <v>133</v>
      </c>
    </row>
    <row r="3408" spans="3:31" s="260" customFormat="1" x14ac:dyDescent="0.25"/>
    <row r="3409" spans="3:31" s="260" customFormat="1" ht="15.75" thickBot="1" x14ac:dyDescent="0.3"/>
    <row r="3410" spans="3:31" s="260" customFormat="1" ht="15.75" thickBot="1" x14ac:dyDescent="0.3">
      <c r="M3410" s="363" t="s">
        <v>88</v>
      </c>
      <c r="N3410" s="436" t="str">
        <f>+N3361</f>
        <v>CAP.3</v>
      </c>
      <c r="O3410" s="550" t="str">
        <f>IFERROR(VLOOKUP(N3410,PPTO!C:H,2,0),"----")</f>
        <v>RED CONTRAINCENDIOS</v>
      </c>
      <c r="P3410" s="551"/>
      <c r="Q3410" s="551"/>
      <c r="R3410" s="551"/>
      <c r="S3410" s="551"/>
      <c r="T3410" s="551"/>
      <c r="U3410" s="552"/>
      <c r="V3410" s="74" t="s">
        <v>91</v>
      </c>
      <c r="Y3410" s="365" t="s">
        <v>104</v>
      </c>
      <c r="Z3410" s="94"/>
      <c r="AA3410" s="188"/>
      <c r="AB3410" s="553"/>
      <c r="AC3410" s="553"/>
      <c r="AD3410" s="553"/>
      <c r="AE3410" s="94"/>
    </row>
    <row r="3411" spans="3:31" s="260" customFormat="1" ht="15.75" thickBot="1" x14ac:dyDescent="0.3">
      <c r="C3411" s="369">
        <f>+N3411</f>
        <v>3.21</v>
      </c>
      <c r="D3411" s="86"/>
      <c r="E3411" s="86"/>
      <c r="F3411" s="86"/>
      <c r="G3411" s="86"/>
      <c r="H3411" s="86"/>
      <c r="I3411" s="86"/>
      <c r="J3411" s="86"/>
      <c r="K3411" s="370"/>
      <c r="M3411" s="75" t="s">
        <v>92</v>
      </c>
      <c r="N3411" s="371">
        <f>+ROUNDUP(N3362+0.01,2)</f>
        <v>3.21</v>
      </c>
      <c r="O3411" s="554" t="str">
        <f>IFERROR(VLOOKUP(N3411,PPTO!C:H,2,0),"----")</f>
        <v>Suministro e instalacion de equipo de bombeo (bomba Centrifuga uso general "EUROLINEA" Eje libre 20.00 HP y bomba auxilia jockey 2.0 HP)</v>
      </c>
      <c r="P3411" s="555"/>
      <c r="Q3411" s="555"/>
      <c r="R3411" s="555"/>
      <c r="S3411" s="555"/>
      <c r="T3411" s="555"/>
      <c r="U3411" s="556"/>
      <c r="V3411" s="76" t="str">
        <f>IFERROR(VLOOKUP(N3411,PPTO!C:H,3,0),"----")</f>
        <v>UND</v>
      </c>
      <c r="Y3411" s="373">
        <f>SUMIFS(PPTO!F:F,PPTO!C:C,APUS!N3411)</f>
        <v>1</v>
      </c>
      <c r="Z3411" s="94"/>
      <c r="AA3411" s="86"/>
      <c r="AB3411" s="94"/>
      <c r="AC3411" s="94"/>
      <c r="AD3411" s="94"/>
      <c r="AE3411" s="94"/>
    </row>
    <row r="3412" spans="3:31" s="260" customFormat="1" ht="15.75" thickBot="1" x14ac:dyDescent="0.3">
      <c r="C3412" s="84"/>
      <c r="D3412" s="375" t="s">
        <v>128</v>
      </c>
      <c r="E3412" s="376" t="s">
        <v>129</v>
      </c>
      <c r="F3412" s="376" t="s">
        <v>130</v>
      </c>
      <c r="G3412" s="376" t="s">
        <v>131</v>
      </c>
      <c r="H3412" s="376" t="s">
        <v>132</v>
      </c>
      <c r="I3412" s="376" t="s">
        <v>133</v>
      </c>
      <c r="J3412" s="377" t="s">
        <v>134</v>
      </c>
      <c r="K3412" s="88"/>
      <c r="M3412" s="558" t="s">
        <v>93</v>
      </c>
      <c r="N3412" s="559"/>
      <c r="O3412" s="559"/>
      <c r="P3412" s="559"/>
      <c r="Q3412" s="559"/>
      <c r="R3412" s="559"/>
      <c r="S3412" s="559"/>
      <c r="T3412" s="559"/>
      <c r="U3412" s="559"/>
      <c r="V3412" s="560"/>
      <c r="Y3412" s="378"/>
      <c r="Z3412" s="121"/>
      <c r="AA3412" s="86"/>
      <c r="AB3412" s="513"/>
      <c r="AC3412" s="514"/>
      <c r="AD3412" s="94"/>
      <c r="AE3412" s="379"/>
    </row>
    <row r="3413" spans="3:31" s="260" customFormat="1" x14ac:dyDescent="0.25">
      <c r="C3413" s="84"/>
      <c r="D3413" s="380"/>
      <c r="E3413" s="381"/>
      <c r="F3413" s="381"/>
      <c r="G3413" s="381"/>
      <c r="H3413" s="381"/>
      <c r="I3413" s="381"/>
      <c r="J3413" s="382"/>
      <c r="K3413" s="88"/>
      <c r="M3413" s="99" t="s">
        <v>94</v>
      </c>
      <c r="N3413" s="561" t="s">
        <v>95</v>
      </c>
      <c r="O3413" s="561"/>
      <c r="P3413" s="561"/>
      <c r="Q3413" s="561"/>
      <c r="R3413" s="95" t="s">
        <v>96</v>
      </c>
      <c r="S3413" s="95" t="s">
        <v>97</v>
      </c>
      <c r="T3413" s="562" t="s">
        <v>8</v>
      </c>
      <c r="U3413" s="562"/>
      <c r="V3413" s="100" t="s">
        <v>98</v>
      </c>
      <c r="Y3413" s="383" t="s">
        <v>104</v>
      </c>
      <c r="Z3413" s="119" t="s">
        <v>9</v>
      </c>
      <c r="AA3413" s="86"/>
      <c r="AB3413" s="384"/>
      <c r="AC3413" s="385"/>
      <c r="AD3413" s="94"/>
      <c r="AE3413" s="386"/>
    </row>
    <row r="3414" spans="3:31" s="260" customFormat="1" x14ac:dyDescent="0.25">
      <c r="C3414" s="84"/>
      <c r="D3414" s="85"/>
      <c r="E3414" s="86"/>
      <c r="F3414" s="86"/>
      <c r="G3414" s="86"/>
      <c r="H3414" s="86"/>
      <c r="I3414" s="86"/>
      <c r="J3414" s="87"/>
      <c r="K3414" s="88"/>
      <c r="M3414" s="102"/>
      <c r="N3414" s="533" t="s">
        <v>99</v>
      </c>
      <c r="O3414" s="533"/>
      <c r="P3414" s="533"/>
      <c r="Q3414" s="533"/>
      <c r="R3414" s="78" t="s">
        <v>100</v>
      </c>
      <c r="S3414" s="387">
        <f>+$AA$10</f>
        <v>0.05</v>
      </c>
      <c r="T3414" s="563">
        <f>V3448</f>
        <v>1014357.58</v>
      </c>
      <c r="U3414" s="563"/>
      <c r="V3414" s="389">
        <f>+IFERROR(T3414*S3414,0)</f>
        <v>50717.879000000001</v>
      </c>
      <c r="Y3414" s="390"/>
      <c r="Z3414" s="391">
        <f>Y3411*V3414</f>
        <v>50717.879000000001</v>
      </c>
      <c r="AA3414" s="86"/>
      <c r="AB3414" s="384"/>
      <c r="AC3414" s="385"/>
      <c r="AD3414" s="94"/>
      <c r="AE3414" s="386" t="str">
        <f>+IF(V3414=0,"CERO","NO")</f>
        <v>NO</v>
      </c>
    </row>
    <row r="3415" spans="3:31" s="260" customFormat="1" ht="15.75" thickBot="1" x14ac:dyDescent="0.3">
      <c r="C3415" s="84"/>
      <c r="D3415" s="85"/>
      <c r="E3415" s="86"/>
      <c r="F3415" s="86"/>
      <c r="G3415" s="86"/>
      <c r="H3415" s="86"/>
      <c r="I3415" s="86"/>
      <c r="J3415" s="87"/>
      <c r="K3415" s="88"/>
      <c r="M3415" s="106"/>
      <c r="N3415" s="533" t="str">
        <f>IFERROR(VLOOKUP(M3415,INSUMOS!$C$8:$K$928,2,0),"-----")</f>
        <v>-----</v>
      </c>
      <c r="O3415" s="533"/>
      <c r="P3415" s="533"/>
      <c r="Q3415" s="533"/>
      <c r="R3415" s="78" t="str">
        <f>IFERROR(VLOOKUP(M3415,INSUMOS!$C$8:$K$928,6,0),"-----")</f>
        <v>-----</v>
      </c>
      <c r="S3415" s="392"/>
      <c r="T3415" s="529" t="str">
        <f>IFERROR(VLOOKUP(M3415,INSUMOS!$C$8:$K$928,7,0),"0")</f>
        <v>0</v>
      </c>
      <c r="U3415" s="529"/>
      <c r="V3415" s="389">
        <f>+IFERROR(T3415*S3415,0)</f>
        <v>0</v>
      </c>
      <c r="Y3415" s="393">
        <f>+IFERROR(Y3411*S3415,0)</f>
        <v>0</v>
      </c>
      <c r="Z3415" s="391">
        <f>Y3411*V3415</f>
        <v>0</v>
      </c>
      <c r="AA3415" s="394"/>
      <c r="AB3415" s="395">
        <f>+Y3415*T3415</f>
        <v>0</v>
      </c>
      <c r="AC3415" s="93">
        <f>+AB3415-Z3415</f>
        <v>0</v>
      </c>
      <c r="AD3415" s="94"/>
      <c r="AE3415" s="386" t="str">
        <f>+IF(V3415=0,"CERO","NO")</f>
        <v>CERO</v>
      </c>
    </row>
    <row r="3416" spans="3:31" s="260" customFormat="1" ht="15.75" thickBot="1" x14ac:dyDescent="0.3">
      <c r="C3416" s="84"/>
      <c r="D3416" s="375" t="s">
        <v>128</v>
      </c>
      <c r="E3416" s="376" t="s">
        <v>129</v>
      </c>
      <c r="F3416" s="376" t="s">
        <v>130</v>
      </c>
      <c r="G3416" s="376" t="s">
        <v>131</v>
      </c>
      <c r="H3416" s="376" t="s">
        <v>132</v>
      </c>
      <c r="I3416" s="376" t="s">
        <v>133</v>
      </c>
      <c r="J3416" s="377" t="s">
        <v>134</v>
      </c>
      <c r="K3416" s="88"/>
      <c r="M3416" s="534"/>
      <c r="N3416" s="536" t="s">
        <v>101</v>
      </c>
      <c r="O3416" s="536"/>
      <c r="P3416" s="536"/>
      <c r="Q3416" s="536"/>
      <c r="R3416" s="536"/>
      <c r="S3416" s="536"/>
      <c r="T3416" s="536"/>
      <c r="U3416" s="536"/>
      <c r="V3416" s="389">
        <f>+SUM(V3414:V3415)</f>
        <v>50717.879000000001</v>
      </c>
      <c r="Y3416" s="398" t="s">
        <v>135</v>
      </c>
      <c r="Z3416" s="397">
        <f>+SUM(Z3414:Z3415)</f>
        <v>50717.879000000001</v>
      </c>
      <c r="AA3416" s="86"/>
      <c r="AB3416" s="384"/>
      <c r="AC3416" s="385"/>
      <c r="AD3416" s="94"/>
      <c r="AE3416" s="399"/>
    </row>
    <row r="3417" spans="3:31" s="260" customFormat="1" ht="15.75" thickBot="1" x14ac:dyDescent="0.3">
      <c r="C3417" s="84"/>
      <c r="D3417" s="375">
        <f>C3411</f>
        <v>3.21</v>
      </c>
      <c r="E3417" s="376"/>
      <c r="F3417" s="376"/>
      <c r="G3417" s="376"/>
      <c r="H3417" s="376"/>
      <c r="I3417" s="376"/>
      <c r="J3417" s="377"/>
      <c r="K3417" s="88"/>
      <c r="M3417" s="566"/>
      <c r="N3417" s="567" t="s">
        <v>102</v>
      </c>
      <c r="O3417" s="567"/>
      <c r="P3417" s="567"/>
      <c r="Q3417" s="567"/>
      <c r="R3417" s="567"/>
      <c r="S3417" s="567"/>
      <c r="T3417" s="567"/>
      <c r="U3417" s="567"/>
      <c r="V3417" s="400">
        <f>+ROUND(V3416,$AA$5)</f>
        <v>50717.88</v>
      </c>
      <c r="Y3417" s="401" t="s">
        <v>136</v>
      </c>
      <c r="Z3417" s="402">
        <f>+ROUND(Z3416,$AA$5)</f>
        <v>50717.88</v>
      </c>
      <c r="AA3417" s="86"/>
      <c r="AB3417" s="403">
        <f>+V3417*Y3411</f>
        <v>50717.88</v>
      </c>
      <c r="AC3417" s="404">
        <f>+AB3417-Z3417</f>
        <v>0</v>
      </c>
      <c r="AD3417" s="94"/>
      <c r="AE3417" s="405"/>
    </row>
    <row r="3418" spans="3:31" s="260" customFormat="1" x14ac:dyDescent="0.25">
      <c r="C3418" s="84"/>
      <c r="D3418" s="380"/>
      <c r="E3418" s="381"/>
      <c r="F3418" s="381"/>
      <c r="G3418" s="381"/>
      <c r="H3418" s="381"/>
      <c r="I3418" s="381"/>
      <c r="J3418" s="382"/>
      <c r="K3418" s="88"/>
      <c r="M3418" s="510" t="s">
        <v>103</v>
      </c>
      <c r="N3418" s="511"/>
      <c r="O3418" s="511"/>
      <c r="P3418" s="511"/>
      <c r="Q3418" s="511"/>
      <c r="R3418" s="511"/>
      <c r="S3418" s="511"/>
      <c r="T3418" s="511"/>
      <c r="U3418" s="511"/>
      <c r="V3418" s="512"/>
      <c r="Y3418" s="378"/>
      <c r="Z3418" s="121"/>
      <c r="AA3418" s="86"/>
      <c r="AB3418" s="513"/>
      <c r="AC3418" s="514"/>
      <c r="AD3418" s="94"/>
      <c r="AE3418" s="126"/>
    </row>
    <row r="3419" spans="3:31" s="260" customFormat="1" x14ac:dyDescent="0.25">
      <c r="C3419" s="84"/>
      <c r="D3419" s="85"/>
      <c r="E3419" s="86"/>
      <c r="F3419" s="86"/>
      <c r="G3419" s="86"/>
      <c r="H3419" s="86"/>
      <c r="I3419" s="86"/>
      <c r="J3419" s="87"/>
      <c r="K3419" s="88"/>
      <c r="M3419" s="99" t="s">
        <v>94</v>
      </c>
      <c r="N3419" s="561" t="s">
        <v>95</v>
      </c>
      <c r="O3419" s="561"/>
      <c r="P3419" s="561"/>
      <c r="Q3419" s="561"/>
      <c r="R3419" s="95" t="s">
        <v>96</v>
      </c>
      <c r="S3419" s="95" t="s">
        <v>104</v>
      </c>
      <c r="T3419" s="356" t="s">
        <v>105</v>
      </c>
      <c r="U3419" s="356" t="s">
        <v>8</v>
      </c>
      <c r="V3419" s="100" t="s">
        <v>98</v>
      </c>
      <c r="Y3419" s="383" t="s">
        <v>104</v>
      </c>
      <c r="Z3419" s="119" t="s">
        <v>9</v>
      </c>
      <c r="AA3419" s="86"/>
      <c r="AB3419" s="384"/>
      <c r="AC3419" s="385"/>
      <c r="AD3419" s="94"/>
      <c r="AE3419" s="406"/>
    </row>
    <row r="3420" spans="3:31" s="260" customFormat="1" x14ac:dyDescent="0.25">
      <c r="C3420" s="84"/>
      <c r="D3420" s="85"/>
      <c r="E3420" s="86"/>
      <c r="F3420" s="86"/>
      <c r="G3420" s="86"/>
      <c r="H3420" s="86"/>
      <c r="I3420" s="86"/>
      <c r="J3420" s="87"/>
      <c r="K3420" s="88"/>
      <c r="M3420" s="102">
        <v>463</v>
      </c>
      <c r="N3420" s="533" t="str">
        <f>IFERROR(VLOOKUP(M3420,INSUMOS!$C$8:$K$928,2,0),"-----")</f>
        <v>SISTEMA DE BOMBA 20 HP (Bomba, Motor, Tablero de control, Accesorios estándar)</v>
      </c>
      <c r="O3420" s="533"/>
      <c r="P3420" s="533"/>
      <c r="Q3420" s="533"/>
      <c r="R3420" s="78" t="str">
        <f>IFERROR(VLOOKUP(M3420,INSUMOS!$C$8:$K$928,6,0),"-----")</f>
        <v>und</v>
      </c>
      <c r="S3420" s="396">
        <v>1</v>
      </c>
      <c r="T3420" s="387">
        <v>0</v>
      </c>
      <c r="U3420" s="388">
        <f>IFERROR(VLOOKUP(M3420,INSUMOS!$C$8:$K$928,7,0),"0")</f>
        <v>77503952.679999992</v>
      </c>
      <c r="V3420" s="389">
        <f>+IFERROR(U3420*(S3420*(1+T3420)),0)</f>
        <v>77503952.679999992</v>
      </c>
      <c r="Y3420" s="393">
        <f>+IFERROR($Y$3411*(S3420*(1+T3420)),0)</f>
        <v>1</v>
      </c>
      <c r="Z3420" s="391">
        <f>$Y$3411*V3420</f>
        <v>77503952.679999992</v>
      </c>
      <c r="AA3420" s="394"/>
      <c r="AB3420" s="395">
        <f>+Y3420*U3420</f>
        <v>77503952.679999992</v>
      </c>
      <c r="AC3420" s="93">
        <f>+AB3420-Z3420</f>
        <v>0</v>
      </c>
      <c r="AD3420" s="94"/>
      <c r="AE3420" s="406" t="str">
        <f>+IF(V3420=0,"CERO","NO")</f>
        <v>NO</v>
      </c>
    </row>
    <row r="3421" spans="3:31" s="260" customFormat="1" x14ac:dyDescent="0.25">
      <c r="C3421" s="84"/>
      <c r="D3421" s="85"/>
      <c r="E3421" s="86"/>
      <c r="F3421" s="86"/>
      <c r="G3421" s="86"/>
      <c r="H3421" s="86"/>
      <c r="I3421" s="86"/>
      <c r="J3421" s="87"/>
      <c r="K3421" s="88"/>
      <c r="M3421" s="102">
        <v>464</v>
      </c>
      <c r="N3421" s="533" t="str">
        <f>IFERROR(VLOOKUP(M3421,INSUMOS!$C$8:$K$928,2,0),"-----")</f>
        <v>SISTEMA DE BOMBA 2 HP (Bomba- Motor importados,Tablero de control- 230 Vol. Importado)</v>
      </c>
      <c r="O3421" s="533"/>
      <c r="P3421" s="533"/>
      <c r="Q3421" s="533"/>
      <c r="R3421" s="78" t="str">
        <f>IFERROR(VLOOKUP(M3421,INSUMOS!$C$8:$K$928,6,0),"-----")</f>
        <v>und</v>
      </c>
      <c r="S3421" s="396">
        <v>1</v>
      </c>
      <c r="T3421" s="387">
        <v>0</v>
      </c>
      <c r="U3421" s="388">
        <f>IFERROR(VLOOKUP(M3421,INSUMOS!$C$8:$K$928,7,0),"0")</f>
        <v>8975839.1799999997</v>
      </c>
      <c r="V3421" s="389">
        <f>+IFERROR(U3421*(S3421*(1+T3421)),0)</f>
        <v>8975839.1799999997</v>
      </c>
      <c r="Y3421" s="393">
        <f t="shared" ref="Y3421:Y3436" si="32">+IFERROR($Y$3411*(S3421*(1+T3421)),0)</f>
        <v>1</v>
      </c>
      <c r="Z3421" s="391">
        <f t="shared" ref="Z3421:Z3436" si="33">$Y$3411*V3421</f>
        <v>8975839.1799999997</v>
      </c>
      <c r="AA3421" s="394"/>
      <c r="AB3421" s="395">
        <f>+Y3421*U3421</f>
        <v>8975839.1799999997</v>
      </c>
      <c r="AC3421" s="93">
        <f>+AB3421-Z3421</f>
        <v>0</v>
      </c>
      <c r="AD3421" s="94"/>
      <c r="AE3421" s="406" t="str">
        <f>+IF(V3421=0,"CERO","NO")</f>
        <v>NO</v>
      </c>
    </row>
    <row r="3422" spans="3:31" s="260" customFormat="1" x14ac:dyDescent="0.25">
      <c r="C3422" s="84"/>
      <c r="D3422" s="85"/>
      <c r="E3422" s="86"/>
      <c r="F3422" s="86"/>
      <c r="G3422" s="86"/>
      <c r="H3422" s="86"/>
      <c r="I3422" s="86"/>
      <c r="J3422" s="87"/>
      <c r="K3422" s="88"/>
      <c r="M3422" s="102">
        <v>825</v>
      </c>
      <c r="N3422" s="533" t="str">
        <f>IFERROR(VLOOKUP(M3422,INSUMOS!$C$8:$K$928,2,0),"-----")</f>
        <v>ADAPTADOR 2" BRIDA x UNIVERSAL</v>
      </c>
      <c r="O3422" s="533"/>
      <c r="P3422" s="533"/>
      <c r="Q3422" s="533"/>
      <c r="R3422" s="78" t="str">
        <f>IFERROR(VLOOKUP(M3422,INSUMOS!$C$8:$K$928,6,0),"-----")</f>
        <v>und</v>
      </c>
      <c r="S3422" s="396">
        <v>2</v>
      </c>
      <c r="T3422" s="387">
        <v>0</v>
      </c>
      <c r="U3422" s="388">
        <f>IFERROR(VLOOKUP(M3422,INSUMOS!$C$8:$K$928,7,0),"0")</f>
        <v>145180</v>
      </c>
      <c r="V3422" s="389">
        <f>+IFERROR(U3422*(S3422*(1+T3422)),0)</f>
        <v>290360</v>
      </c>
      <c r="Y3422" s="393">
        <f t="shared" si="32"/>
        <v>2</v>
      </c>
      <c r="Z3422" s="391">
        <f t="shared" si="33"/>
        <v>290360</v>
      </c>
      <c r="AA3422" s="394"/>
      <c r="AB3422" s="395">
        <f>+Y3422*U3422</f>
        <v>290360</v>
      </c>
      <c r="AC3422" s="93">
        <f>+AB3422-Z3422</f>
        <v>0</v>
      </c>
      <c r="AD3422" s="94"/>
      <c r="AE3422" s="406" t="str">
        <f>+IF(V3422=0,"CERO","NO")</f>
        <v>NO</v>
      </c>
    </row>
    <row r="3423" spans="3:31" s="260" customFormat="1" x14ac:dyDescent="0.25">
      <c r="C3423" s="84"/>
      <c r="D3423" s="85"/>
      <c r="E3423" s="86"/>
      <c r="F3423" s="86"/>
      <c r="G3423" s="86"/>
      <c r="H3423" s="86"/>
      <c r="I3423" s="86"/>
      <c r="J3423" s="87"/>
      <c r="K3423" s="88"/>
      <c r="M3423" s="102">
        <v>841</v>
      </c>
      <c r="N3423" s="533" t="str">
        <f>IFERROR(VLOOKUP(M3423,INSUMOS!$C$8:$K$928,2,0),"-----")</f>
        <v>UNION BRIDA POR ACOPLE UNIVERSAL 2"</v>
      </c>
      <c r="O3423" s="533"/>
      <c r="P3423" s="533"/>
      <c r="Q3423" s="533"/>
      <c r="R3423" s="78" t="str">
        <f>IFERROR(VLOOKUP(M3423,INSUMOS!$C$8:$K$928,6,0),"-----")</f>
        <v>und</v>
      </c>
      <c r="S3423" s="396">
        <v>2</v>
      </c>
      <c r="T3423" s="387">
        <v>0</v>
      </c>
      <c r="U3423" s="388">
        <f>IFERROR(VLOOKUP(M3423,INSUMOS!$C$8:$K$928,7,0),"0")</f>
        <v>136850</v>
      </c>
      <c r="V3423" s="389">
        <f t="shared" ref="V3423:V3433" si="34">+IFERROR(U3423*(S3423*(1+T3423)),0)</f>
        <v>273700</v>
      </c>
      <c r="Y3423" s="393">
        <f t="shared" si="32"/>
        <v>2</v>
      </c>
      <c r="Z3423" s="391">
        <f t="shared" si="33"/>
        <v>273700</v>
      </c>
      <c r="AA3423" s="394"/>
      <c r="AB3423" s="395">
        <f t="shared" ref="AB3423:AB3436" si="35">+Y3423*U3423</f>
        <v>273700</v>
      </c>
      <c r="AC3423" s="93">
        <f t="shared" ref="AC3423:AC3436" si="36">+AB3423-Z3423</f>
        <v>0</v>
      </c>
      <c r="AD3423" s="94"/>
      <c r="AE3423" s="406" t="str">
        <f t="shared" ref="AE3423:AE3436" si="37">+IF(V3423=0,"CERO","NO")</f>
        <v>NO</v>
      </c>
    </row>
    <row r="3424" spans="3:31" s="260" customFormat="1" x14ac:dyDescent="0.25">
      <c r="C3424" s="84"/>
      <c r="D3424" s="85"/>
      <c r="E3424" s="86"/>
      <c r="F3424" s="86"/>
      <c r="G3424" s="86"/>
      <c r="H3424" s="86"/>
      <c r="I3424" s="86"/>
      <c r="J3424" s="87"/>
      <c r="K3424" s="88"/>
      <c r="M3424" s="102">
        <v>867</v>
      </c>
      <c r="N3424" s="533" t="str">
        <f>IFERROR(VLOOKUP(M3424,INSUMOS!$C$8:$K$928,2,0),"-----")</f>
        <v>REDUCCION 4" a 2" EXTREMOS BRIDADOS</v>
      </c>
      <c r="O3424" s="533"/>
      <c r="P3424" s="533"/>
      <c r="Q3424" s="533"/>
      <c r="R3424" s="78" t="str">
        <f>IFERROR(VLOOKUP(M3424,INSUMOS!$C$8:$K$928,6,0),"-----")</f>
        <v>und</v>
      </c>
      <c r="S3424" s="396">
        <v>4</v>
      </c>
      <c r="T3424" s="387">
        <v>0</v>
      </c>
      <c r="U3424" s="388">
        <f>IFERROR(VLOOKUP(M3424,INSUMOS!$C$8:$K$928,7,0),"0")</f>
        <v>339150</v>
      </c>
      <c r="V3424" s="389">
        <f t="shared" si="34"/>
        <v>1356600</v>
      </c>
      <c r="Y3424" s="393">
        <f t="shared" si="32"/>
        <v>4</v>
      </c>
      <c r="Z3424" s="391">
        <f t="shared" si="33"/>
        <v>1356600</v>
      </c>
      <c r="AA3424" s="394"/>
      <c r="AB3424" s="395">
        <f t="shared" si="35"/>
        <v>1356600</v>
      </c>
      <c r="AC3424" s="93">
        <f t="shared" si="36"/>
        <v>0</v>
      </c>
      <c r="AD3424" s="94"/>
      <c r="AE3424" s="406" t="str">
        <f t="shared" si="37"/>
        <v>NO</v>
      </c>
    </row>
    <row r="3425" spans="3:31" s="260" customFormat="1" x14ac:dyDescent="0.25">
      <c r="C3425" s="84"/>
      <c r="D3425" s="85"/>
      <c r="E3425" s="86"/>
      <c r="F3425" s="86"/>
      <c r="G3425" s="86"/>
      <c r="H3425" s="86"/>
      <c r="I3425" s="86"/>
      <c r="J3425" s="87"/>
      <c r="K3425" s="88"/>
      <c r="M3425" s="102">
        <v>789</v>
      </c>
      <c r="N3425" s="533" t="str">
        <f>IFERROR(VLOOKUP(M3425,INSUMOS!$C$8:$K$928,2,0),"-----")</f>
        <v>VALVULA DE COMPUERTA ELASTICA BRIDADA 3"</v>
      </c>
      <c r="O3425" s="533"/>
      <c r="P3425" s="533"/>
      <c r="Q3425" s="533"/>
      <c r="R3425" s="78" t="str">
        <f>IFERROR(VLOOKUP(M3425,INSUMOS!$C$8:$K$928,6,0),"-----")</f>
        <v>und</v>
      </c>
      <c r="S3425" s="396">
        <v>2</v>
      </c>
      <c r="T3425" s="387">
        <v>0</v>
      </c>
      <c r="U3425" s="388">
        <f>IFERROR(VLOOKUP(M3425,INSUMOS!$C$8:$K$928,7,0),"0")</f>
        <v>1054340</v>
      </c>
      <c r="V3425" s="389">
        <f t="shared" si="34"/>
        <v>2108680</v>
      </c>
      <c r="Y3425" s="393">
        <f t="shared" si="32"/>
        <v>2</v>
      </c>
      <c r="Z3425" s="391">
        <f t="shared" si="33"/>
        <v>2108680</v>
      </c>
      <c r="AA3425" s="394"/>
      <c r="AB3425" s="395">
        <f t="shared" si="35"/>
        <v>2108680</v>
      </c>
      <c r="AC3425" s="93">
        <f t="shared" si="36"/>
        <v>0</v>
      </c>
      <c r="AD3425" s="94"/>
      <c r="AE3425" s="406" t="str">
        <f t="shared" si="37"/>
        <v>NO</v>
      </c>
    </row>
    <row r="3426" spans="3:31" s="260" customFormat="1" x14ac:dyDescent="0.25">
      <c r="C3426" s="84"/>
      <c r="D3426" s="85"/>
      <c r="E3426" s="86"/>
      <c r="F3426" s="86"/>
      <c r="G3426" s="86"/>
      <c r="H3426" s="86"/>
      <c r="I3426" s="86"/>
      <c r="J3426" s="87"/>
      <c r="K3426" s="88"/>
      <c r="M3426" s="102">
        <v>837</v>
      </c>
      <c r="N3426" s="533" t="str">
        <f>IFERROR(VLOOKUP(M3426,INSUMOS!$C$8:$K$928,2,0),"-----")</f>
        <v>UNION BRIDA POR ACOPLE UNIVERSAL 3"</v>
      </c>
      <c r="O3426" s="533"/>
      <c r="P3426" s="533"/>
      <c r="Q3426" s="533"/>
      <c r="R3426" s="78" t="str">
        <f>IFERROR(VLOOKUP(M3426,INSUMOS!$C$8:$K$928,6,0),"-----")</f>
        <v>und</v>
      </c>
      <c r="S3426" s="396">
        <v>2</v>
      </c>
      <c r="T3426" s="387">
        <v>0</v>
      </c>
      <c r="U3426" s="388">
        <f>IFERROR(VLOOKUP(M3426,INSUMOS!$C$8:$K$928,7,0),"0")</f>
        <v>172550</v>
      </c>
      <c r="V3426" s="389">
        <f t="shared" si="34"/>
        <v>345100</v>
      </c>
      <c r="Y3426" s="393">
        <f t="shared" si="32"/>
        <v>2</v>
      </c>
      <c r="Z3426" s="391">
        <f t="shared" si="33"/>
        <v>345100</v>
      </c>
      <c r="AA3426" s="394"/>
      <c r="AB3426" s="395">
        <f t="shared" si="35"/>
        <v>345100</v>
      </c>
      <c r="AC3426" s="93">
        <f t="shared" si="36"/>
        <v>0</v>
      </c>
      <c r="AD3426" s="94"/>
      <c r="AE3426" s="406" t="str">
        <f t="shared" si="37"/>
        <v>NO</v>
      </c>
    </row>
    <row r="3427" spans="3:31" s="260" customFormat="1" x14ac:dyDescent="0.25">
      <c r="C3427" s="84"/>
      <c r="D3427" s="85"/>
      <c r="E3427" s="86"/>
      <c r="F3427" s="86"/>
      <c r="G3427" s="86"/>
      <c r="H3427" s="86"/>
      <c r="I3427" s="86"/>
      <c r="J3427" s="87"/>
      <c r="K3427" s="88"/>
      <c r="M3427" s="102">
        <v>840</v>
      </c>
      <c r="N3427" s="533" t="str">
        <f>IFERROR(VLOOKUP(M3427,INSUMOS!$C$8:$K$928,2,0),"-----")</f>
        <v>CODO 90 EXTREMOS BRIDADOS 3"</v>
      </c>
      <c r="O3427" s="533"/>
      <c r="P3427" s="533"/>
      <c r="Q3427" s="533"/>
      <c r="R3427" s="78" t="str">
        <f>IFERROR(VLOOKUP(M3427,INSUMOS!$C$8:$K$928,6,0),"-----")</f>
        <v>und</v>
      </c>
      <c r="S3427" s="396">
        <v>2</v>
      </c>
      <c r="T3427" s="387">
        <v>0</v>
      </c>
      <c r="U3427" s="388">
        <f>IFERROR(VLOOKUP(M3427,INSUMOS!$C$8:$K$928,7,0),"0")</f>
        <v>383180</v>
      </c>
      <c r="V3427" s="389">
        <f t="shared" si="34"/>
        <v>766360</v>
      </c>
      <c r="Y3427" s="393">
        <f t="shared" si="32"/>
        <v>2</v>
      </c>
      <c r="Z3427" s="391">
        <f t="shared" si="33"/>
        <v>766360</v>
      </c>
      <c r="AA3427" s="394"/>
      <c r="AB3427" s="395">
        <f t="shared" si="35"/>
        <v>766360</v>
      </c>
      <c r="AC3427" s="93">
        <f t="shared" si="36"/>
        <v>0</v>
      </c>
      <c r="AD3427" s="94"/>
      <c r="AE3427" s="406" t="str">
        <f t="shared" si="37"/>
        <v>NO</v>
      </c>
    </row>
    <row r="3428" spans="3:31" s="260" customFormat="1" x14ac:dyDescent="0.25">
      <c r="C3428" s="84"/>
      <c r="D3428" s="85"/>
      <c r="E3428" s="86"/>
      <c r="F3428" s="86"/>
      <c r="G3428" s="86"/>
      <c r="H3428" s="86"/>
      <c r="I3428" s="86"/>
      <c r="J3428" s="87"/>
      <c r="K3428" s="88"/>
      <c r="M3428" s="102" t="s">
        <v>633</v>
      </c>
      <c r="N3428" s="533" t="str">
        <f>IFERROR(VLOOKUP(M3428,INSUMOS!$C$8:$K$928,2,0),"-----")</f>
        <v>CONCRETO DE 3.000 PSI</v>
      </c>
      <c r="O3428" s="533"/>
      <c r="P3428" s="533"/>
      <c r="Q3428" s="533"/>
      <c r="R3428" s="78" t="str">
        <f>IFERROR(VLOOKUP(M3428,INSUMOS!$C$8:$K$928,6,0),"-----")</f>
        <v>m3</v>
      </c>
      <c r="S3428" s="396">
        <f>0.3*0.3*0.3*4</f>
        <v>0.108</v>
      </c>
      <c r="T3428" s="387">
        <v>0</v>
      </c>
      <c r="U3428" s="388">
        <f>IFERROR(VLOOKUP(M3428,INSUMOS!$C$8:$K$928,7,0),"0")</f>
        <v>789152.76</v>
      </c>
      <c r="V3428" s="389">
        <f t="shared" si="34"/>
        <v>85228.498080000005</v>
      </c>
      <c r="Y3428" s="393">
        <f t="shared" si="32"/>
        <v>0.108</v>
      </c>
      <c r="Z3428" s="391">
        <f t="shared" si="33"/>
        <v>85228.498080000005</v>
      </c>
      <c r="AA3428" s="394"/>
      <c r="AB3428" s="395">
        <f t="shared" si="35"/>
        <v>85228.498080000005</v>
      </c>
      <c r="AC3428" s="93">
        <f t="shared" si="36"/>
        <v>0</v>
      </c>
      <c r="AD3428" s="94"/>
      <c r="AE3428" s="406" t="str">
        <f t="shared" si="37"/>
        <v>NO</v>
      </c>
    </row>
    <row r="3429" spans="3:31" s="260" customFormat="1" x14ac:dyDescent="0.25">
      <c r="C3429" s="84"/>
      <c r="D3429" s="85"/>
      <c r="E3429" s="86"/>
      <c r="F3429" s="86"/>
      <c r="G3429" s="86"/>
      <c r="H3429" s="86"/>
      <c r="I3429" s="86"/>
      <c r="J3429" s="87"/>
      <c r="K3429" s="88"/>
      <c r="M3429" s="102">
        <v>934</v>
      </c>
      <c r="N3429" s="533" t="str">
        <f>IFERROR(VLOOKUP(M3429,INSUMOS!$C$8:$K$928,2,0),"-----")</f>
        <v>NIPLE PASAMURO EXTREMO LISO L=0,15m HD 3"</v>
      </c>
      <c r="O3429" s="533"/>
      <c r="P3429" s="533"/>
      <c r="Q3429" s="533"/>
      <c r="R3429" s="78" t="str">
        <f>IFERROR(VLOOKUP(M3429,INSUMOS!$C$8:$K$928,6,0),"-----")</f>
        <v>und</v>
      </c>
      <c r="S3429" s="396">
        <v>3</v>
      </c>
      <c r="T3429" s="387">
        <v>0</v>
      </c>
      <c r="U3429" s="388">
        <f>IFERROR(VLOOKUP(M3429,INSUMOS!$C$8:$K$928,7,0),"0")</f>
        <v>31773</v>
      </c>
      <c r="V3429" s="389">
        <f t="shared" si="34"/>
        <v>95319</v>
      </c>
      <c r="Y3429" s="393">
        <f t="shared" si="32"/>
        <v>3</v>
      </c>
      <c r="Z3429" s="391">
        <f t="shared" si="33"/>
        <v>95319</v>
      </c>
      <c r="AA3429" s="394"/>
      <c r="AB3429" s="395">
        <f t="shared" si="35"/>
        <v>95319</v>
      </c>
      <c r="AC3429" s="93">
        <f t="shared" si="36"/>
        <v>0</v>
      </c>
      <c r="AD3429" s="94"/>
      <c r="AE3429" s="406" t="str">
        <f t="shared" si="37"/>
        <v>NO</v>
      </c>
    </row>
    <row r="3430" spans="3:31" s="260" customFormat="1" x14ac:dyDescent="0.25">
      <c r="C3430" s="84"/>
      <c r="D3430" s="85"/>
      <c r="E3430" s="86"/>
      <c r="F3430" s="86"/>
      <c r="G3430" s="86"/>
      <c r="H3430" s="86"/>
      <c r="I3430" s="86"/>
      <c r="J3430" s="87"/>
      <c r="K3430" s="88"/>
      <c r="M3430" s="102">
        <v>469</v>
      </c>
      <c r="N3430" s="533" t="str">
        <f>IFERROR(VLOOKUP(M3430,INSUMOS!$C$8:$K$928,2,0),"-----")</f>
        <v>VALVULA DE PIE DE COLADERA BR 4"</v>
      </c>
      <c r="O3430" s="533"/>
      <c r="P3430" s="533"/>
      <c r="Q3430" s="533"/>
      <c r="R3430" s="78" t="str">
        <f>IFERROR(VLOOKUP(M3430,INSUMOS!$C$8:$K$928,6,0),"-----")</f>
        <v>und</v>
      </c>
      <c r="S3430" s="396">
        <v>2</v>
      </c>
      <c r="T3430" s="387">
        <v>0</v>
      </c>
      <c r="U3430" s="388">
        <f>IFERROR(VLOOKUP(M3430,INSUMOS!$C$8:$K$928,7,0),"0")</f>
        <v>1297062</v>
      </c>
      <c r="V3430" s="389">
        <f t="shared" ref="V3430:V3432" si="38">+IFERROR(U3430*(S3430*(1+T3430)),0)</f>
        <v>2594124</v>
      </c>
      <c r="Y3430" s="393">
        <f t="shared" si="32"/>
        <v>2</v>
      </c>
      <c r="Z3430" s="391">
        <f t="shared" si="33"/>
        <v>2594124</v>
      </c>
      <c r="AA3430" s="394"/>
      <c r="AB3430" s="395">
        <f t="shared" si="35"/>
        <v>2594124</v>
      </c>
      <c r="AC3430" s="93">
        <f t="shared" si="36"/>
        <v>0</v>
      </c>
      <c r="AD3430" s="94"/>
      <c r="AE3430" s="406" t="str">
        <f t="shared" si="37"/>
        <v>NO</v>
      </c>
    </row>
    <row r="3431" spans="3:31" s="260" customFormat="1" x14ac:dyDescent="0.25">
      <c r="C3431" s="84"/>
      <c r="D3431" s="85"/>
      <c r="E3431" s="86"/>
      <c r="F3431" s="86"/>
      <c r="G3431" s="86"/>
      <c r="H3431" s="86"/>
      <c r="I3431" s="86"/>
      <c r="J3431" s="87"/>
      <c r="K3431" s="88"/>
      <c r="M3431" s="102">
        <v>895</v>
      </c>
      <c r="N3431" s="533" t="str">
        <f>IFERROR(VLOOKUP(M3431,INSUMOS!$C$8:$K$928,2,0),"-----")</f>
        <v>VÁLVULA DE RETENCIÓN ESTREMO BRIDA HD 3"</v>
      </c>
      <c r="O3431" s="533"/>
      <c r="P3431" s="533"/>
      <c r="Q3431" s="533"/>
      <c r="R3431" s="78" t="str">
        <f>IFERROR(VLOOKUP(M3431,INSUMOS!$C$8:$K$928,6,0),"-----")</f>
        <v>und</v>
      </c>
      <c r="S3431" s="396">
        <v>2</v>
      </c>
      <c r="T3431" s="387">
        <v>0</v>
      </c>
      <c r="U3431" s="388">
        <f>IFERROR(VLOOKUP(M3431,INSUMOS!$C$8:$K$928,7,0),"0")</f>
        <v>1200234</v>
      </c>
      <c r="V3431" s="389">
        <f t="shared" si="38"/>
        <v>2400468</v>
      </c>
      <c r="Y3431" s="393">
        <f t="shared" si="32"/>
        <v>2</v>
      </c>
      <c r="Z3431" s="391">
        <f t="shared" si="33"/>
        <v>2400468</v>
      </c>
      <c r="AA3431" s="394"/>
      <c r="AB3431" s="395">
        <f t="shared" si="35"/>
        <v>2400468</v>
      </c>
      <c r="AC3431" s="93">
        <f t="shared" si="36"/>
        <v>0</v>
      </c>
      <c r="AD3431" s="94"/>
      <c r="AE3431" s="406" t="str">
        <f t="shared" si="37"/>
        <v>NO</v>
      </c>
    </row>
    <row r="3432" spans="3:31" s="260" customFormat="1" x14ac:dyDescent="0.25">
      <c r="C3432" s="84"/>
      <c r="D3432" s="85"/>
      <c r="E3432" s="86"/>
      <c r="F3432" s="86"/>
      <c r="G3432" s="86"/>
      <c r="H3432" s="86"/>
      <c r="I3432" s="86"/>
      <c r="J3432" s="87"/>
      <c r="K3432" s="88"/>
      <c r="M3432" s="102">
        <v>858</v>
      </c>
      <c r="N3432" s="533" t="str">
        <f>IFERROR(VLOOKUP(M3432,INSUMOS!$C$8:$K$928,2,0),"-----")</f>
        <v>TEE 3" HD EXTREMO BRIDADOS</v>
      </c>
      <c r="O3432" s="533"/>
      <c r="P3432" s="533"/>
      <c r="Q3432" s="533"/>
      <c r="R3432" s="78" t="str">
        <f>IFERROR(VLOOKUP(M3432,INSUMOS!$C$8:$K$928,6,0),"-----")</f>
        <v>und</v>
      </c>
      <c r="S3432" s="396">
        <v>2</v>
      </c>
      <c r="T3432" s="387">
        <v>0</v>
      </c>
      <c r="U3432" s="388">
        <f>IFERROR(VLOOKUP(M3432,INSUMOS!$C$8:$K$928,7,0),"0")</f>
        <v>498610</v>
      </c>
      <c r="V3432" s="389">
        <f t="shared" si="38"/>
        <v>997220</v>
      </c>
      <c r="Y3432" s="393">
        <f t="shared" si="32"/>
        <v>2</v>
      </c>
      <c r="Z3432" s="391">
        <f t="shared" si="33"/>
        <v>997220</v>
      </c>
      <c r="AA3432" s="394"/>
      <c r="AB3432" s="395">
        <f t="shared" si="35"/>
        <v>997220</v>
      </c>
      <c r="AC3432" s="93">
        <f t="shared" si="36"/>
        <v>0</v>
      </c>
      <c r="AD3432" s="94"/>
      <c r="AE3432" s="406" t="str">
        <f t="shared" si="37"/>
        <v>NO</v>
      </c>
    </row>
    <row r="3433" spans="3:31" s="260" customFormat="1" x14ac:dyDescent="0.25">
      <c r="C3433" s="84"/>
      <c r="D3433" s="85"/>
      <c r="E3433" s="86"/>
      <c r="F3433" s="86"/>
      <c r="G3433" s="86"/>
      <c r="H3433" s="86"/>
      <c r="I3433" s="86"/>
      <c r="J3433" s="87"/>
      <c r="K3433" s="88"/>
      <c r="M3433" s="102">
        <v>788</v>
      </c>
      <c r="N3433" s="533" t="str">
        <f>IFERROR(VLOOKUP(M3433,INSUMOS!$C$8:$K$928,2,0),"-----")</f>
        <v>VALVULA DE COMPUERTA ELASTICA BRIDADA 4"</v>
      </c>
      <c r="O3433" s="533"/>
      <c r="P3433" s="533"/>
      <c r="Q3433" s="533"/>
      <c r="R3433" s="78" t="str">
        <f>IFERROR(VLOOKUP(M3433,INSUMOS!$C$8:$K$928,6,0),"-----")</f>
        <v>und</v>
      </c>
      <c r="S3433" s="396">
        <v>2</v>
      </c>
      <c r="T3433" s="387">
        <v>0</v>
      </c>
      <c r="U3433" s="388">
        <f>IFERROR(VLOOKUP(M3433,INSUMOS!$C$8:$K$928,7,0),"0")</f>
        <v>1378020</v>
      </c>
      <c r="V3433" s="389">
        <f t="shared" si="34"/>
        <v>2756040</v>
      </c>
      <c r="Y3433" s="393">
        <f t="shared" si="32"/>
        <v>2</v>
      </c>
      <c r="Z3433" s="391">
        <f t="shared" si="33"/>
        <v>2756040</v>
      </c>
      <c r="AA3433" s="394"/>
      <c r="AB3433" s="395">
        <f t="shared" si="35"/>
        <v>2756040</v>
      </c>
      <c r="AC3433" s="93">
        <f t="shared" si="36"/>
        <v>0</v>
      </c>
      <c r="AD3433" s="94"/>
      <c r="AE3433" s="406" t="str">
        <f t="shared" si="37"/>
        <v>NO</v>
      </c>
    </row>
    <row r="3434" spans="3:31" s="260" customFormat="1" x14ac:dyDescent="0.25">
      <c r="C3434" s="84"/>
      <c r="D3434" s="85"/>
      <c r="E3434" s="86"/>
      <c r="F3434" s="86"/>
      <c r="G3434" s="86"/>
      <c r="H3434" s="86"/>
      <c r="I3434" s="86"/>
      <c r="J3434" s="87"/>
      <c r="K3434" s="88"/>
      <c r="M3434" s="102">
        <v>854</v>
      </c>
      <c r="N3434" s="533" t="str">
        <f>IFERROR(VLOOKUP(M3434,INSUMOS!$C$8:$K$928,2,0),"-----")</f>
        <v>UNION BRIDA POR ACOPLE UNIVERSAL 4"</v>
      </c>
      <c r="O3434" s="533"/>
      <c r="P3434" s="533"/>
      <c r="Q3434" s="533"/>
      <c r="R3434" s="78" t="str">
        <f>IFERROR(VLOOKUP(M3434,INSUMOS!$C$8:$K$928,6,0),"-----")</f>
        <v>und</v>
      </c>
      <c r="S3434" s="396">
        <v>2</v>
      </c>
      <c r="T3434" s="387">
        <v>0</v>
      </c>
      <c r="U3434" s="388">
        <f>IFERROR(VLOOKUP(M3434,INSUMOS!$C$8:$K$928,7,0),"0")</f>
        <v>191590</v>
      </c>
      <c r="V3434" s="389">
        <f t="shared" ref="V3434:V3436" si="39">+IFERROR(U3434*(S3434*(1+T3434)),0)</f>
        <v>383180</v>
      </c>
      <c r="Y3434" s="393">
        <f t="shared" si="32"/>
        <v>2</v>
      </c>
      <c r="Z3434" s="391">
        <f t="shared" si="33"/>
        <v>383180</v>
      </c>
      <c r="AA3434" s="394"/>
      <c r="AB3434" s="395">
        <f t="shared" si="35"/>
        <v>383180</v>
      </c>
      <c r="AC3434" s="93">
        <f t="shared" si="36"/>
        <v>0</v>
      </c>
      <c r="AD3434" s="94"/>
      <c r="AE3434" s="406" t="str">
        <f t="shared" si="37"/>
        <v>NO</v>
      </c>
    </row>
    <row r="3435" spans="3:31" s="260" customFormat="1" x14ac:dyDescent="0.25">
      <c r="C3435" s="84"/>
      <c r="D3435" s="85"/>
      <c r="E3435" s="86"/>
      <c r="F3435" s="86"/>
      <c r="G3435" s="86"/>
      <c r="H3435" s="86"/>
      <c r="I3435" s="86"/>
      <c r="J3435" s="87"/>
      <c r="K3435" s="88"/>
      <c r="M3435" s="102">
        <v>855</v>
      </c>
      <c r="N3435" s="533" t="str">
        <f>IFERROR(VLOOKUP(M3435,INSUMOS!$C$8:$K$928,2,0),"-----")</f>
        <v>CODO 90 EXTREMOS BRIDADOS 4"</v>
      </c>
      <c r="O3435" s="533"/>
      <c r="P3435" s="533"/>
      <c r="Q3435" s="533"/>
      <c r="R3435" s="78" t="str">
        <f>IFERROR(VLOOKUP(M3435,INSUMOS!$C$8:$K$928,6,0),"-----")</f>
        <v>und</v>
      </c>
      <c r="S3435" s="396">
        <v>2</v>
      </c>
      <c r="T3435" s="387">
        <v>0</v>
      </c>
      <c r="U3435" s="388">
        <f>IFERROR(VLOOKUP(M3435,INSUMOS!$C$8:$K$928,7,0),"0")</f>
        <v>498610</v>
      </c>
      <c r="V3435" s="389">
        <f t="shared" si="39"/>
        <v>997220</v>
      </c>
      <c r="Y3435" s="393">
        <f t="shared" si="32"/>
        <v>2</v>
      </c>
      <c r="Z3435" s="391">
        <f t="shared" si="33"/>
        <v>997220</v>
      </c>
      <c r="AA3435" s="394"/>
      <c r="AB3435" s="395">
        <f t="shared" si="35"/>
        <v>997220</v>
      </c>
      <c r="AC3435" s="93">
        <f t="shared" si="36"/>
        <v>0</v>
      </c>
      <c r="AD3435" s="94"/>
      <c r="AE3435" s="406" t="str">
        <f t="shared" si="37"/>
        <v>NO</v>
      </c>
    </row>
    <row r="3436" spans="3:31" s="260" customFormat="1" ht="15.75" thickBot="1" x14ac:dyDescent="0.3">
      <c r="C3436" s="84"/>
      <c r="D3436" s="85"/>
      <c r="E3436" s="86"/>
      <c r="F3436" s="86"/>
      <c r="G3436" s="86"/>
      <c r="H3436" s="86"/>
      <c r="I3436" s="86"/>
      <c r="J3436" s="87"/>
      <c r="K3436" s="88"/>
      <c r="M3436" s="102">
        <v>856</v>
      </c>
      <c r="N3436" s="533" t="str">
        <f>IFERROR(VLOOKUP(M3436,INSUMOS!$C$8:$K$928,2,0),"-----")</f>
        <v>VALVULA DE ALIVIO Y ANTICIPADORA DE GOLPE DE ARIETE 4"</v>
      </c>
      <c r="O3436" s="533"/>
      <c r="P3436" s="533"/>
      <c r="Q3436" s="533"/>
      <c r="R3436" s="78" t="str">
        <f>IFERROR(VLOOKUP(M3436,INSUMOS!$C$8:$K$928,6,0),"-----")</f>
        <v>und</v>
      </c>
      <c r="S3436" s="396">
        <v>1</v>
      </c>
      <c r="T3436" s="387">
        <v>0</v>
      </c>
      <c r="U3436" s="388">
        <f>IFERROR(VLOOKUP(M3436,INSUMOS!$C$8:$K$928,7,0),"0")</f>
        <v>5584000</v>
      </c>
      <c r="V3436" s="389">
        <f t="shared" si="39"/>
        <v>5584000</v>
      </c>
      <c r="Y3436" s="393">
        <f t="shared" si="32"/>
        <v>1</v>
      </c>
      <c r="Z3436" s="391">
        <f t="shared" si="33"/>
        <v>5584000</v>
      </c>
      <c r="AA3436" s="394"/>
      <c r="AB3436" s="395">
        <f t="shared" si="35"/>
        <v>5584000</v>
      </c>
      <c r="AC3436" s="93">
        <f t="shared" si="36"/>
        <v>0</v>
      </c>
      <c r="AD3436" s="94"/>
      <c r="AE3436" s="406" t="str">
        <f t="shared" si="37"/>
        <v>NO</v>
      </c>
    </row>
    <row r="3437" spans="3:31" s="260" customFormat="1" ht="15.75" thickBot="1" x14ac:dyDescent="0.3">
      <c r="C3437" s="84"/>
      <c r="D3437" s="375" t="s">
        <v>128</v>
      </c>
      <c r="E3437" s="376" t="s">
        <v>129</v>
      </c>
      <c r="F3437" s="376" t="s">
        <v>130</v>
      </c>
      <c r="G3437" s="376" t="s">
        <v>131</v>
      </c>
      <c r="H3437" s="376" t="s">
        <v>132</v>
      </c>
      <c r="I3437" s="376" t="s">
        <v>133</v>
      </c>
      <c r="J3437" s="377" t="s">
        <v>134</v>
      </c>
      <c r="K3437" s="88"/>
      <c r="M3437" s="534"/>
      <c r="N3437" s="536" t="s">
        <v>106</v>
      </c>
      <c r="O3437" s="536"/>
      <c r="P3437" s="536"/>
      <c r="Q3437" s="536"/>
      <c r="R3437" s="536"/>
      <c r="S3437" s="536"/>
      <c r="T3437" s="536"/>
      <c r="U3437" s="536"/>
      <c r="V3437" s="389">
        <f>+SUM(V3420:V3436)</f>
        <v>107513391.35807998</v>
      </c>
      <c r="Y3437" s="398" t="s">
        <v>135</v>
      </c>
      <c r="Z3437" s="397">
        <f>+SUM(Z3420:Z3436)</f>
        <v>107513391.35807998</v>
      </c>
      <c r="AA3437" s="86"/>
      <c r="AB3437" s="384"/>
      <c r="AC3437" s="385"/>
      <c r="AD3437" s="94"/>
      <c r="AE3437" s="399"/>
    </row>
    <row r="3438" spans="3:31" s="260" customFormat="1" ht="15.75" thickBot="1" x14ac:dyDescent="0.3">
      <c r="C3438" s="84"/>
      <c r="D3438" s="375"/>
      <c r="E3438" s="407">
        <f>+D3417</f>
        <v>3.21</v>
      </c>
      <c r="F3438" s="376"/>
      <c r="G3438" s="376"/>
      <c r="H3438" s="376"/>
      <c r="I3438" s="376"/>
      <c r="J3438" s="377"/>
      <c r="K3438" s="88"/>
      <c r="M3438" s="535"/>
      <c r="N3438" s="537" t="s">
        <v>107</v>
      </c>
      <c r="O3438" s="537"/>
      <c r="P3438" s="537"/>
      <c r="Q3438" s="537"/>
      <c r="R3438" s="537"/>
      <c r="S3438" s="537"/>
      <c r="T3438" s="537"/>
      <c r="U3438" s="537"/>
      <c r="V3438" s="408">
        <f>+ROUND(V3437,$AA$5)</f>
        <v>107513391.36</v>
      </c>
      <c r="Y3438" s="401" t="s">
        <v>136</v>
      </c>
      <c r="Z3438" s="402">
        <f>+ROUND(Z3437,$AA$5)</f>
        <v>107513391.36</v>
      </c>
      <c r="AA3438" s="86"/>
      <c r="AB3438" s="403">
        <f>+V3438*Y3411</f>
        <v>107513391.36</v>
      </c>
      <c r="AC3438" s="404">
        <f>+AB3438-Z3438</f>
        <v>0</v>
      </c>
      <c r="AD3438" s="94"/>
      <c r="AE3438" s="405"/>
    </row>
    <row r="3439" spans="3:31" s="260" customFormat="1" x14ac:dyDescent="0.25">
      <c r="C3439" s="84"/>
      <c r="D3439" s="380"/>
      <c r="E3439" s="381"/>
      <c r="F3439" s="381"/>
      <c r="G3439" s="381"/>
      <c r="H3439" s="381"/>
      <c r="I3439" s="381"/>
      <c r="J3439" s="382"/>
      <c r="K3439" s="88"/>
      <c r="M3439" s="568" t="s">
        <v>108</v>
      </c>
      <c r="N3439" s="569"/>
      <c r="O3439" s="569"/>
      <c r="P3439" s="569"/>
      <c r="Q3439" s="569"/>
      <c r="R3439" s="569"/>
      <c r="S3439" s="569"/>
      <c r="T3439" s="569"/>
      <c r="U3439" s="569"/>
      <c r="V3439" s="570"/>
      <c r="Y3439" s="378"/>
      <c r="Z3439" s="121"/>
      <c r="AA3439" s="86"/>
      <c r="AB3439" s="409"/>
      <c r="AC3439" s="121"/>
      <c r="AD3439" s="94"/>
      <c r="AE3439" s="126"/>
    </row>
    <row r="3440" spans="3:31" s="260" customFormat="1" ht="25.5" x14ac:dyDescent="0.25">
      <c r="C3440" s="84"/>
      <c r="D3440" s="85"/>
      <c r="E3440" s="86"/>
      <c r="F3440" s="86"/>
      <c r="G3440" s="86"/>
      <c r="H3440" s="86"/>
      <c r="I3440" s="86"/>
      <c r="J3440" s="87"/>
      <c r="K3440" s="88"/>
      <c r="M3440" s="99" t="s">
        <v>94</v>
      </c>
      <c r="N3440" s="561" t="s">
        <v>95</v>
      </c>
      <c r="O3440" s="561"/>
      <c r="P3440" s="561"/>
      <c r="Q3440" s="95" t="s">
        <v>109</v>
      </c>
      <c r="R3440" s="95" t="s">
        <v>110</v>
      </c>
      <c r="S3440" s="95" t="s">
        <v>111</v>
      </c>
      <c r="T3440" s="562" t="s">
        <v>112</v>
      </c>
      <c r="U3440" s="562"/>
      <c r="V3440" s="100" t="s">
        <v>98</v>
      </c>
      <c r="Y3440" s="383" t="s">
        <v>104</v>
      </c>
      <c r="Z3440" s="119" t="s">
        <v>9</v>
      </c>
      <c r="AA3440" s="86"/>
      <c r="AB3440" s="384"/>
      <c r="AC3440" s="385"/>
      <c r="AD3440" s="94"/>
      <c r="AE3440" s="410"/>
    </row>
    <row r="3441" spans="3:31" s="260" customFormat="1" ht="15.75" thickBot="1" x14ac:dyDescent="0.3">
      <c r="C3441" s="84"/>
      <c r="D3441" s="85"/>
      <c r="E3441" s="86"/>
      <c r="F3441" s="86"/>
      <c r="G3441" s="86"/>
      <c r="H3441" s="86"/>
      <c r="I3441" s="86"/>
      <c r="J3441" s="87"/>
      <c r="K3441" s="88"/>
      <c r="M3441" s="102">
        <v>129</v>
      </c>
      <c r="N3441" s="530" t="str">
        <f>IFERROR(VLOOKUP(M3441,INSUMOS!$C$8:$K$928,2,0),"-----")</f>
        <v>transporte materiales en general</v>
      </c>
      <c r="O3441" s="531"/>
      <c r="P3441" s="532"/>
      <c r="Q3441" s="78" t="str">
        <f>IFERROR(VLOOKUP(M3441,INSUMOS!$C$8:$K$928,5,0),"-----")</f>
        <v>Km</v>
      </c>
      <c r="R3441" s="80">
        <v>10</v>
      </c>
      <c r="S3441" s="80">
        <f>IFERROR(VLOOKUP(M3441,INSUMOS!$C$8:$K$928,6,0),"0")</f>
        <v>348</v>
      </c>
      <c r="T3441" s="529">
        <f>IFERROR(VLOOKUP(M3441,INSUMOS!$C$8:$K$928,7,0),"0")</f>
        <v>0.99776362060288992</v>
      </c>
      <c r="U3441" s="529"/>
      <c r="V3441" s="82">
        <f>+T3441*S3441*R3441</f>
        <v>3472.2173996980569</v>
      </c>
      <c r="Y3441" s="393">
        <f>+IFERROR((R3441*S3441)*Y3411,0)</f>
        <v>3480</v>
      </c>
      <c r="Z3441" s="391">
        <f>Y3411*V3441</f>
        <v>3472.2173996980569</v>
      </c>
      <c r="AA3441" s="86"/>
      <c r="AB3441" s="92">
        <f>+Y3441*T3441</f>
        <v>3472.2173996980569</v>
      </c>
      <c r="AC3441" s="93">
        <f>+AB3441-Z3441</f>
        <v>0</v>
      </c>
      <c r="AD3441" s="94"/>
      <c r="AE3441" s="406" t="str">
        <f>+IF(V3441=0,"CERO","NO")</f>
        <v>NO</v>
      </c>
    </row>
    <row r="3442" spans="3:31" s="260" customFormat="1" ht="15.75" thickBot="1" x14ac:dyDescent="0.3">
      <c r="C3442" s="84"/>
      <c r="D3442" s="375" t="s">
        <v>128</v>
      </c>
      <c r="E3442" s="376" t="s">
        <v>129</v>
      </c>
      <c r="F3442" s="376" t="s">
        <v>130</v>
      </c>
      <c r="G3442" s="376" t="s">
        <v>131</v>
      </c>
      <c r="H3442" s="376" t="s">
        <v>132</v>
      </c>
      <c r="I3442" s="376" t="s">
        <v>133</v>
      </c>
      <c r="J3442" s="377" t="s">
        <v>134</v>
      </c>
      <c r="K3442" s="88"/>
      <c r="M3442" s="534"/>
      <c r="N3442" s="536" t="s">
        <v>113</v>
      </c>
      <c r="O3442" s="536"/>
      <c r="P3442" s="536"/>
      <c r="Q3442" s="536"/>
      <c r="R3442" s="536"/>
      <c r="S3442" s="536"/>
      <c r="T3442" s="536"/>
      <c r="U3442" s="536"/>
      <c r="V3442" s="411">
        <f>+SUM(V3441:V3441)</f>
        <v>3472.2173996980569</v>
      </c>
      <c r="Y3442" s="398" t="s">
        <v>135</v>
      </c>
      <c r="Z3442" s="397">
        <f>+SUM(Z3441:Z3441)</f>
        <v>3472.2173996980569</v>
      </c>
      <c r="AA3442" s="86"/>
      <c r="AB3442" s="384"/>
      <c r="AC3442" s="385"/>
      <c r="AD3442" s="94"/>
      <c r="AE3442" s="399"/>
    </row>
    <row r="3443" spans="3:31" s="260" customFormat="1" ht="15.75" thickBot="1" x14ac:dyDescent="0.3">
      <c r="C3443" s="84"/>
      <c r="D3443" s="355"/>
      <c r="E3443" s="367"/>
      <c r="F3443" s="412">
        <f>+E3438</f>
        <v>3.21</v>
      </c>
      <c r="G3443" s="367"/>
      <c r="H3443" s="367"/>
      <c r="I3443" s="367"/>
      <c r="J3443" s="368"/>
      <c r="K3443" s="88"/>
      <c r="M3443" s="535"/>
      <c r="N3443" s="537" t="s">
        <v>114</v>
      </c>
      <c r="O3443" s="537"/>
      <c r="P3443" s="537"/>
      <c r="Q3443" s="537"/>
      <c r="R3443" s="537"/>
      <c r="S3443" s="537"/>
      <c r="T3443" s="537"/>
      <c r="U3443" s="537"/>
      <c r="V3443" s="413">
        <f>+ROUND(V3442,$AA$5)</f>
        <v>3472.22</v>
      </c>
      <c r="Y3443" s="401" t="s">
        <v>136</v>
      </c>
      <c r="Z3443" s="402">
        <f>+ROUND(Z3442,$AA$5)</f>
        <v>3472.22</v>
      </c>
      <c r="AA3443" s="86"/>
      <c r="AB3443" s="403">
        <f>+V3443*Y3411</f>
        <v>3472.22</v>
      </c>
      <c r="AC3443" s="414"/>
      <c r="AD3443" s="94"/>
      <c r="AE3443" s="405"/>
    </row>
    <row r="3444" spans="3:31" s="260" customFormat="1" ht="15.75" thickBot="1" x14ac:dyDescent="0.3">
      <c r="C3444" s="84"/>
      <c r="D3444" s="415"/>
      <c r="E3444" s="416"/>
      <c r="F3444" s="416"/>
      <c r="G3444" s="416"/>
      <c r="H3444" s="416"/>
      <c r="I3444" s="416"/>
      <c r="J3444" s="417"/>
      <c r="K3444" s="88"/>
      <c r="M3444" s="538" t="s">
        <v>115</v>
      </c>
      <c r="N3444" s="539"/>
      <c r="O3444" s="539"/>
      <c r="P3444" s="539"/>
      <c r="Q3444" s="539"/>
      <c r="R3444" s="539"/>
      <c r="S3444" s="539"/>
      <c r="T3444" s="539"/>
      <c r="U3444" s="539"/>
      <c r="V3444" s="540"/>
      <c r="Y3444" s="378"/>
      <c r="Z3444" s="121"/>
      <c r="AA3444" s="86"/>
      <c r="AB3444" s="409"/>
      <c r="AC3444" s="121"/>
      <c r="AD3444" s="94"/>
      <c r="AE3444" s="126"/>
    </row>
    <row r="3445" spans="3:31" s="260" customFormat="1" ht="15.75" thickBot="1" x14ac:dyDescent="0.3">
      <c r="C3445" s="84"/>
      <c r="D3445" s="375" t="s">
        <v>128</v>
      </c>
      <c r="E3445" s="376" t="s">
        <v>129</v>
      </c>
      <c r="F3445" s="376" t="s">
        <v>130</v>
      </c>
      <c r="G3445" s="376" t="s">
        <v>131</v>
      </c>
      <c r="H3445" s="376" t="s">
        <v>132</v>
      </c>
      <c r="I3445" s="376" t="s">
        <v>133</v>
      </c>
      <c r="J3445" s="377" t="s">
        <v>134</v>
      </c>
      <c r="K3445" s="88"/>
      <c r="M3445" s="99" t="s">
        <v>94</v>
      </c>
      <c r="N3445" s="98" t="s">
        <v>95</v>
      </c>
      <c r="O3445" s="95" t="s">
        <v>96</v>
      </c>
      <c r="P3445" s="359" t="s">
        <v>104</v>
      </c>
      <c r="Q3445" s="95" t="s">
        <v>116</v>
      </c>
      <c r="R3445" s="418" t="s">
        <v>117</v>
      </c>
      <c r="S3445" s="95" t="s">
        <v>347</v>
      </c>
      <c r="T3445" s="419" t="s">
        <v>118</v>
      </c>
      <c r="U3445" s="189" t="s">
        <v>119</v>
      </c>
      <c r="V3445" s="100" t="s">
        <v>98</v>
      </c>
      <c r="Y3445" s="383" t="s">
        <v>104</v>
      </c>
      <c r="Z3445" s="119" t="s">
        <v>9</v>
      </c>
      <c r="AA3445" s="86"/>
      <c r="AB3445" s="384"/>
      <c r="AC3445" s="385"/>
      <c r="AD3445" s="94"/>
      <c r="AE3445" s="410"/>
    </row>
    <row r="3446" spans="3:31" s="260" customFormat="1" ht="26.25" thickBot="1" x14ac:dyDescent="0.3">
      <c r="C3446" s="84"/>
      <c r="D3446" s="354"/>
      <c r="E3446" s="96"/>
      <c r="F3446" s="96"/>
      <c r="G3446" s="96"/>
      <c r="H3446" s="96"/>
      <c r="I3446" s="96"/>
      <c r="J3446" s="420">
        <f>+F3443</f>
        <v>3.21</v>
      </c>
      <c r="K3446" s="88"/>
      <c r="M3446" s="102">
        <v>207</v>
      </c>
      <c r="N3446" s="347" t="str">
        <f>IFERROR(VLOOKUP(M3446,INSUMOS!$C$8:$K$928,2,0),"-----")</f>
        <v>Oficial Hidrosanitario</v>
      </c>
      <c r="O3446" s="78" t="str">
        <f>IFERROR(VLOOKUP(M3446,INSUMOS!$C$8:$K$928,3,0),"-----")</f>
        <v>JORNAL+PS</v>
      </c>
      <c r="P3446" s="80">
        <v>2</v>
      </c>
      <c r="Q3446" s="79">
        <v>0.33</v>
      </c>
      <c r="R3446" s="190">
        <f>IFERROR(VLOOKUP(M3446,INSUMOS!$C$8:$K$928,4,0),"-----")</f>
        <v>92983</v>
      </c>
      <c r="S3446" s="190">
        <f>IFERROR(VLOOKUP(M3446,INSUMOS!$C$8:$K$928,6,0),"-----")</f>
        <v>74386</v>
      </c>
      <c r="T3446" s="190">
        <f>IFERROR(VLOOKUP(M3446,INSUMOS!$C$8:$K$928,5,0),"-----")</f>
        <v>0</v>
      </c>
      <c r="U3446" s="388">
        <f>SUM(R3446:T3446)</f>
        <v>167369</v>
      </c>
      <c r="V3446" s="82">
        <f>+IFERROR((P3446/Q3446)*U3446,0)</f>
        <v>1014357.5757575758</v>
      </c>
      <c r="Y3446" s="393">
        <f>+IFERROR((Y3411/Q3446*P3446),0)</f>
        <v>6.0606060606060606</v>
      </c>
      <c r="Z3446" s="391">
        <f>Y3411*V3446</f>
        <v>1014357.5757575758</v>
      </c>
      <c r="AA3446" s="86"/>
      <c r="AB3446" s="92">
        <f>+(U3446)*Y3446</f>
        <v>1014357.5757575758</v>
      </c>
      <c r="AC3446" s="93">
        <f>+AB3446-Z3446</f>
        <v>0</v>
      </c>
      <c r="AD3446" s="421"/>
      <c r="AE3446" s="410" t="str">
        <f>+IF(V3446=0,"CERO","NO")</f>
        <v>NO</v>
      </c>
    </row>
    <row r="3447" spans="3:31" s="260" customFormat="1" ht="15.75" thickBot="1" x14ac:dyDescent="0.3">
      <c r="C3447" s="84"/>
      <c r="D3447" s="375" t="s">
        <v>128</v>
      </c>
      <c r="E3447" s="376" t="s">
        <v>129</v>
      </c>
      <c r="F3447" s="376" t="s">
        <v>130</v>
      </c>
      <c r="G3447" s="376" t="s">
        <v>131</v>
      </c>
      <c r="H3447" s="376" t="s">
        <v>132</v>
      </c>
      <c r="I3447" s="376" t="s">
        <v>133</v>
      </c>
      <c r="J3447" s="377" t="s">
        <v>134</v>
      </c>
      <c r="K3447" s="88"/>
      <c r="M3447" s="534"/>
      <c r="N3447" s="536" t="s">
        <v>120</v>
      </c>
      <c r="O3447" s="536"/>
      <c r="P3447" s="536"/>
      <c r="Q3447" s="536"/>
      <c r="R3447" s="536"/>
      <c r="S3447" s="536"/>
      <c r="T3447" s="536"/>
      <c r="U3447" s="536"/>
      <c r="V3447" s="82">
        <f>+SUM(V3446:V3446)</f>
        <v>1014357.5757575758</v>
      </c>
      <c r="Y3447" s="398" t="s">
        <v>135</v>
      </c>
      <c r="Z3447" s="397">
        <f>+SUM(Z3446:Z3446)</f>
        <v>1014357.5757575758</v>
      </c>
      <c r="AA3447" s="86"/>
      <c r="AB3447" s="384"/>
      <c r="AC3447" s="385"/>
      <c r="AD3447" s="94"/>
      <c r="AE3447" s="399"/>
    </row>
    <row r="3448" spans="3:31" s="260" customFormat="1" ht="15.75" thickBot="1" x14ac:dyDescent="0.3">
      <c r="C3448" s="84"/>
      <c r="D3448" s="354"/>
      <c r="E3448" s="96"/>
      <c r="F3448" s="96"/>
      <c r="G3448" s="107">
        <f>+F3443</f>
        <v>3.21</v>
      </c>
      <c r="H3448" s="96"/>
      <c r="I3448" s="96"/>
      <c r="J3448" s="427"/>
      <c r="K3448" s="88"/>
      <c r="M3448" s="535"/>
      <c r="N3448" s="537" t="s">
        <v>121</v>
      </c>
      <c r="O3448" s="537"/>
      <c r="P3448" s="537"/>
      <c r="Q3448" s="537"/>
      <c r="R3448" s="537"/>
      <c r="S3448" s="537"/>
      <c r="T3448" s="537"/>
      <c r="U3448" s="537"/>
      <c r="V3448" s="413">
        <f>+ROUND(V3447,$AA$5)</f>
        <v>1014357.58</v>
      </c>
      <c r="Y3448" s="401" t="s">
        <v>136</v>
      </c>
      <c r="Z3448" s="402">
        <f>+ROUND(Z3447,$AA$5)</f>
        <v>1014357.58</v>
      </c>
      <c r="AA3448" s="86"/>
      <c r="AB3448" s="403">
        <f>+V3448*Y3411</f>
        <v>1014357.58</v>
      </c>
      <c r="AC3448" s="404">
        <f>+AB3448-Z3448</f>
        <v>0</v>
      </c>
      <c r="AD3448" s="94"/>
      <c r="AE3448" s="405"/>
    </row>
    <row r="3449" spans="3:31" s="260" customFormat="1" ht="15.75" thickBot="1" x14ac:dyDescent="0.3">
      <c r="C3449" s="84"/>
      <c r="D3449" s="375" t="s">
        <v>128</v>
      </c>
      <c r="E3449" s="376" t="s">
        <v>129</v>
      </c>
      <c r="F3449" s="376" t="s">
        <v>130</v>
      </c>
      <c r="G3449" s="376" t="s">
        <v>131</v>
      </c>
      <c r="H3449" s="376" t="s">
        <v>132</v>
      </c>
      <c r="I3449" s="376" t="s">
        <v>133</v>
      </c>
      <c r="J3449" s="377" t="s">
        <v>134</v>
      </c>
      <c r="K3449" s="88"/>
      <c r="M3449" s="541"/>
      <c r="N3449" s="542"/>
      <c r="O3449" s="542"/>
      <c r="P3449" s="542"/>
      <c r="Q3449" s="542"/>
      <c r="R3449" s="542"/>
      <c r="S3449" s="542"/>
      <c r="T3449" s="542"/>
      <c r="U3449" s="542"/>
      <c r="V3449" s="543"/>
      <c r="Y3449" s="378"/>
      <c r="Z3449" s="121"/>
      <c r="AA3449" s="86"/>
      <c r="AB3449" s="409"/>
      <c r="AC3449" s="121"/>
      <c r="AD3449" s="94"/>
      <c r="AE3449" s="428"/>
    </row>
    <row r="3450" spans="3:31" s="260" customFormat="1" ht="15.75" thickBot="1" x14ac:dyDescent="0.3">
      <c r="C3450" s="84"/>
      <c r="D3450" s="355"/>
      <c r="E3450" s="367"/>
      <c r="F3450" s="367"/>
      <c r="G3450" s="367"/>
      <c r="H3450" s="412">
        <f>G3448</f>
        <v>3.21</v>
      </c>
      <c r="I3450" s="412"/>
      <c r="J3450" s="422"/>
      <c r="K3450" s="88"/>
      <c r="M3450" s="544" t="s">
        <v>122</v>
      </c>
      <c r="N3450" s="537"/>
      <c r="O3450" s="537"/>
      <c r="P3450" s="537"/>
      <c r="Q3450" s="537"/>
      <c r="R3450" s="537"/>
      <c r="S3450" s="537"/>
      <c r="T3450" s="537"/>
      <c r="U3450" s="545">
        <f>+V3448+V3443+V3438+V3417</f>
        <v>108581939.03999999</v>
      </c>
      <c r="V3450" s="546"/>
      <c r="Y3450" s="429"/>
      <c r="Z3450" s="430">
        <f>+Z3448+Z3443+Z3438+Z3417</f>
        <v>108581939.03999999</v>
      </c>
      <c r="AA3450" s="86"/>
      <c r="AB3450" s="431">
        <f>+AB3448+AB3443+AB3438+AB3417</f>
        <v>108581939.03999999</v>
      </c>
      <c r="AC3450" s="404">
        <f>+AB3450-Z3450</f>
        <v>0</v>
      </c>
      <c r="AD3450" s="94"/>
      <c r="AE3450" s="432"/>
    </row>
    <row r="3451" spans="3:31" s="260" customFormat="1" x14ac:dyDescent="0.25">
      <c r="M3451" s="547" t="s">
        <v>348</v>
      </c>
      <c r="N3451" s="548"/>
      <c r="O3451" s="548"/>
      <c r="P3451" s="548"/>
      <c r="Q3451" s="548"/>
      <c r="R3451" s="548"/>
      <c r="S3451" s="548"/>
      <c r="T3451" s="548"/>
      <c r="U3451" s="548"/>
      <c r="V3451" s="549"/>
      <c r="Y3451" s="378"/>
      <c r="Z3451" s="121"/>
      <c r="AA3451" s="86"/>
      <c r="AB3451" s="94"/>
      <c r="AC3451" s="94"/>
      <c r="AD3451" s="94"/>
      <c r="AE3451" s="126" t="s">
        <v>133</v>
      </c>
    </row>
    <row r="3452" spans="3:31" s="260" customFormat="1" x14ac:dyDescent="0.25">
      <c r="M3452" s="515" t="s">
        <v>138</v>
      </c>
      <c r="N3452" s="516"/>
      <c r="O3452" s="516"/>
      <c r="P3452" s="516"/>
      <c r="Q3452" s="516"/>
      <c r="R3452" s="516"/>
      <c r="S3452" s="516"/>
      <c r="T3452" s="437">
        <v>0</v>
      </c>
      <c r="U3452" s="517">
        <f>+ROUND(U3450*T3452,$AA$5)</f>
        <v>0</v>
      </c>
      <c r="V3452" s="518"/>
      <c r="Y3452" s="390"/>
      <c r="Z3452" s="438">
        <f>+Z3450*T3452</f>
        <v>0</v>
      </c>
      <c r="AA3452" s="86"/>
      <c r="AB3452" s="94"/>
      <c r="AC3452" s="94"/>
      <c r="AD3452" s="94"/>
      <c r="AE3452" s="386" t="s">
        <v>133</v>
      </c>
    </row>
    <row r="3453" spans="3:31" s="260" customFormat="1" x14ac:dyDescent="0.25">
      <c r="M3453" s="515" t="s">
        <v>19</v>
      </c>
      <c r="N3453" s="516"/>
      <c r="O3453" s="516"/>
      <c r="P3453" s="516"/>
      <c r="Q3453" s="516"/>
      <c r="R3453" s="516"/>
      <c r="S3453" s="516"/>
      <c r="T3453" s="437">
        <v>0.05</v>
      </c>
      <c r="U3453" s="517">
        <f>+ROUND(U3450*T3453,$AA$5)</f>
        <v>5429096.9500000002</v>
      </c>
      <c r="V3453" s="518"/>
      <c r="Y3453" s="390"/>
      <c r="Z3453" s="438">
        <f>+Z3450*T3453</f>
        <v>5429096.9519999996</v>
      </c>
      <c r="AA3453" s="86"/>
      <c r="AB3453" s="94"/>
      <c r="AC3453" s="94"/>
      <c r="AD3453" s="94"/>
      <c r="AE3453" s="386" t="s">
        <v>133</v>
      </c>
    </row>
    <row r="3454" spans="3:31" s="260" customFormat="1" x14ac:dyDescent="0.25">
      <c r="M3454" s="515" t="s">
        <v>20</v>
      </c>
      <c r="N3454" s="516"/>
      <c r="O3454" s="516"/>
      <c r="P3454" s="516"/>
      <c r="Q3454" s="516"/>
      <c r="R3454" s="516"/>
      <c r="S3454" s="516"/>
      <c r="T3454" s="437">
        <v>0</v>
      </c>
      <c r="U3454" s="517">
        <f>+ROUND(U3450*T3454,$AA$5)</f>
        <v>0</v>
      </c>
      <c r="V3454" s="518"/>
      <c r="Y3454" s="390"/>
      <c r="Z3454" s="438">
        <f>+Z3450*T3454</f>
        <v>0</v>
      </c>
      <c r="AA3454" s="86"/>
      <c r="AB3454" s="94"/>
      <c r="AC3454" s="94"/>
      <c r="AD3454" s="94"/>
      <c r="AE3454" s="386" t="s">
        <v>133</v>
      </c>
    </row>
    <row r="3455" spans="3:31" s="260" customFormat="1" x14ac:dyDescent="0.25">
      <c r="M3455" s="515" t="s">
        <v>21</v>
      </c>
      <c r="N3455" s="516"/>
      <c r="O3455" s="516"/>
      <c r="P3455" s="516"/>
      <c r="Q3455" s="516"/>
      <c r="R3455" s="516"/>
      <c r="S3455" s="516"/>
      <c r="T3455" s="437">
        <f>$AA$9</f>
        <v>0</v>
      </c>
      <c r="U3455" s="517">
        <f>+ROUND(U3450*T3455,$AA$5)</f>
        <v>0</v>
      </c>
      <c r="V3455" s="518"/>
      <c r="Y3455" s="390"/>
      <c r="Z3455" s="438">
        <f>+Z3454*T3455</f>
        <v>0</v>
      </c>
      <c r="AA3455" s="86"/>
      <c r="AB3455" s="94"/>
      <c r="AC3455" s="94"/>
      <c r="AD3455" s="94"/>
      <c r="AE3455" s="386" t="s">
        <v>133</v>
      </c>
    </row>
    <row r="3456" spans="3:31" s="260" customFormat="1" ht="15.75" thickBot="1" x14ac:dyDescent="0.3">
      <c r="M3456" s="519" t="s">
        <v>349</v>
      </c>
      <c r="N3456" s="520"/>
      <c r="O3456" s="520"/>
      <c r="P3456" s="520"/>
      <c r="Q3456" s="520"/>
      <c r="R3456" s="520"/>
      <c r="S3456" s="520"/>
      <c r="T3456" s="520"/>
      <c r="U3456" s="521">
        <f>+SUM(U3452:V3455)</f>
        <v>5429096.9500000002</v>
      </c>
      <c r="V3456" s="522"/>
      <c r="Y3456" s="390"/>
      <c r="Z3456" s="439">
        <f>+SUM(Z3452:Z3455)</f>
        <v>5429096.9519999996</v>
      </c>
      <c r="AA3456" s="86"/>
      <c r="AB3456" s="94"/>
      <c r="AC3456" s="94"/>
      <c r="AD3456" s="94"/>
      <c r="AE3456" s="386" t="s">
        <v>133</v>
      </c>
    </row>
    <row r="3457" spans="3:31" s="260" customFormat="1" ht="15.75" thickBot="1" x14ac:dyDescent="0.3">
      <c r="D3457" s="375" t="s">
        <v>128</v>
      </c>
      <c r="E3457" s="376" t="s">
        <v>129</v>
      </c>
      <c r="F3457" s="376" t="s">
        <v>130</v>
      </c>
      <c r="G3457" s="376" t="s">
        <v>131</v>
      </c>
      <c r="H3457" s="376" t="s">
        <v>132</v>
      </c>
      <c r="I3457" s="376" t="s">
        <v>133</v>
      </c>
      <c r="J3457" s="377" t="s">
        <v>134</v>
      </c>
      <c r="M3457" s="86"/>
      <c r="N3457" s="94"/>
      <c r="O3457" s="94"/>
      <c r="P3457" s="94"/>
      <c r="Q3457" s="86"/>
      <c r="R3457" s="86"/>
      <c r="S3457" s="86"/>
      <c r="T3457" s="440"/>
      <c r="U3457" s="523"/>
      <c r="V3457" s="523"/>
      <c r="Y3457" s="390"/>
      <c r="Z3457" s="385"/>
      <c r="AA3457" s="86"/>
      <c r="AB3457" s="94"/>
      <c r="AC3457" s="94"/>
      <c r="AD3457" s="94"/>
      <c r="AE3457" s="386" t="s">
        <v>133</v>
      </c>
    </row>
    <row r="3458" spans="3:31" s="260" customFormat="1" ht="15.75" thickBot="1" x14ac:dyDescent="0.3">
      <c r="D3458" s="355"/>
      <c r="E3458" s="367"/>
      <c r="F3458" s="367"/>
      <c r="G3458" s="367"/>
      <c r="H3458" s="412"/>
      <c r="I3458" s="412">
        <f>H3450</f>
        <v>3.21</v>
      </c>
      <c r="J3458" s="422"/>
      <c r="M3458" s="524" t="s">
        <v>11</v>
      </c>
      <c r="N3458" s="525"/>
      <c r="O3458" s="525"/>
      <c r="P3458" s="525"/>
      <c r="Q3458" s="525"/>
      <c r="R3458" s="525"/>
      <c r="S3458" s="525"/>
      <c r="T3458" s="526"/>
      <c r="U3458" s="527">
        <f>+U3456+U3450</f>
        <v>114011035.98999999</v>
      </c>
      <c r="V3458" s="528"/>
      <c r="Y3458" s="429"/>
      <c r="Z3458" s="441">
        <f>+Z3456+Z3450</f>
        <v>114011035.99199998</v>
      </c>
      <c r="AA3458" s="86"/>
      <c r="AB3458" s="94"/>
      <c r="AC3458" s="94"/>
      <c r="AD3458" s="94"/>
      <c r="AE3458" s="405" t="s">
        <v>133</v>
      </c>
    </row>
    <row r="3459" spans="3:31" s="260" customFormat="1" x14ac:dyDescent="0.25"/>
    <row r="3460" spans="3:31" s="260" customFormat="1" ht="15.75" thickBot="1" x14ac:dyDescent="0.3"/>
    <row r="3461" spans="3:31" s="260" customFormat="1" ht="15.75" thickBot="1" x14ac:dyDescent="0.3">
      <c r="M3461" s="363" t="s">
        <v>88</v>
      </c>
      <c r="N3461" s="436" t="str">
        <f>+N3410</f>
        <v>CAP.3</v>
      </c>
      <c r="O3461" s="550" t="str">
        <f>IFERROR(VLOOKUP(N3461,PPTO!C:H,2,0),"----")</f>
        <v>RED CONTRAINCENDIOS</v>
      </c>
      <c r="P3461" s="551"/>
      <c r="Q3461" s="551"/>
      <c r="R3461" s="551"/>
      <c r="S3461" s="551"/>
      <c r="T3461" s="551"/>
      <c r="U3461" s="552"/>
      <c r="V3461" s="74" t="s">
        <v>91</v>
      </c>
      <c r="Y3461" s="365" t="s">
        <v>104</v>
      </c>
      <c r="Z3461" s="94"/>
      <c r="AA3461" s="188"/>
      <c r="AB3461" s="553"/>
      <c r="AC3461" s="553"/>
      <c r="AD3461" s="553"/>
      <c r="AE3461" s="94"/>
    </row>
    <row r="3462" spans="3:31" s="260" customFormat="1" ht="15.75" thickBot="1" x14ac:dyDescent="0.3">
      <c r="C3462" s="369">
        <f>+N3462</f>
        <v>3.22</v>
      </c>
      <c r="D3462" s="86"/>
      <c r="E3462" s="86"/>
      <c r="F3462" s="86"/>
      <c r="G3462" s="86"/>
      <c r="H3462" s="86"/>
      <c r="I3462" s="86"/>
      <c r="J3462" s="86"/>
      <c r="K3462" s="370"/>
      <c r="M3462" s="75" t="s">
        <v>92</v>
      </c>
      <c r="N3462" s="371">
        <f>+ROUNDUP(N3411+0.01,2)</f>
        <v>3.22</v>
      </c>
      <c r="O3462" s="554" t="str">
        <f>IFERROR(VLOOKUP(N3462,PPTO!C:H,2,0),"----")</f>
        <v>Tuberia Acero Galvanizado Ø1 1/2"</v>
      </c>
      <c r="P3462" s="555"/>
      <c r="Q3462" s="555"/>
      <c r="R3462" s="555"/>
      <c r="S3462" s="555"/>
      <c r="T3462" s="555"/>
      <c r="U3462" s="556"/>
      <c r="V3462" s="76" t="str">
        <f>IFERROR(VLOOKUP(N3462,PPTO!C:H,3,0),"----")</f>
        <v>ML</v>
      </c>
      <c r="Y3462" s="373">
        <f>SUMIFS(PPTO!F:F,PPTO!C:C,APUS!N3462)</f>
        <v>30.8</v>
      </c>
      <c r="Z3462" s="94"/>
      <c r="AA3462" s="86"/>
      <c r="AB3462" s="94"/>
      <c r="AC3462" s="94"/>
      <c r="AD3462" s="94"/>
      <c r="AE3462" s="94"/>
    </row>
    <row r="3463" spans="3:31" s="260" customFormat="1" ht="15.75" thickBot="1" x14ac:dyDescent="0.3">
      <c r="C3463" s="84"/>
      <c r="D3463" s="86"/>
      <c r="E3463" s="86"/>
      <c r="F3463" s="86"/>
      <c r="G3463" s="86"/>
      <c r="H3463" s="86"/>
      <c r="I3463" s="86"/>
      <c r="J3463" s="86"/>
      <c r="K3463" s="88"/>
      <c r="M3463" s="557"/>
      <c r="N3463" s="557"/>
      <c r="O3463" s="557"/>
      <c r="P3463" s="557"/>
      <c r="Q3463" s="557"/>
      <c r="R3463" s="557"/>
      <c r="S3463" s="557"/>
      <c r="T3463" s="557"/>
      <c r="U3463" s="557"/>
      <c r="V3463" s="557"/>
      <c r="Y3463" s="374"/>
      <c r="Z3463" s="94"/>
      <c r="AA3463" s="86"/>
      <c r="AB3463" s="94"/>
      <c r="AC3463" s="94"/>
      <c r="AD3463" s="94"/>
      <c r="AE3463" s="94"/>
    </row>
    <row r="3464" spans="3:31" s="260" customFormat="1" ht="15.75" thickBot="1" x14ac:dyDescent="0.3">
      <c r="C3464" s="84"/>
      <c r="D3464" s="375" t="s">
        <v>128</v>
      </c>
      <c r="E3464" s="376" t="s">
        <v>129</v>
      </c>
      <c r="F3464" s="376" t="s">
        <v>130</v>
      </c>
      <c r="G3464" s="376" t="s">
        <v>131</v>
      </c>
      <c r="H3464" s="376" t="s">
        <v>132</v>
      </c>
      <c r="I3464" s="376" t="s">
        <v>133</v>
      </c>
      <c r="J3464" s="377" t="s">
        <v>134</v>
      </c>
      <c r="K3464" s="88"/>
      <c r="M3464" s="558" t="s">
        <v>93</v>
      </c>
      <c r="N3464" s="559"/>
      <c r="O3464" s="559"/>
      <c r="P3464" s="559"/>
      <c r="Q3464" s="559"/>
      <c r="R3464" s="559"/>
      <c r="S3464" s="559"/>
      <c r="T3464" s="559"/>
      <c r="U3464" s="559"/>
      <c r="V3464" s="560"/>
      <c r="Y3464" s="378"/>
      <c r="Z3464" s="121"/>
      <c r="AA3464" s="86"/>
      <c r="AB3464" s="513"/>
      <c r="AC3464" s="514"/>
      <c r="AD3464" s="94"/>
      <c r="AE3464" s="379"/>
    </row>
    <row r="3465" spans="3:31" s="260" customFormat="1" x14ac:dyDescent="0.25">
      <c r="C3465" s="84"/>
      <c r="D3465" s="380"/>
      <c r="E3465" s="381"/>
      <c r="F3465" s="381"/>
      <c r="G3465" s="381"/>
      <c r="H3465" s="381"/>
      <c r="I3465" s="381"/>
      <c r="J3465" s="382"/>
      <c r="K3465" s="88"/>
      <c r="M3465" s="99" t="s">
        <v>94</v>
      </c>
      <c r="N3465" s="561" t="s">
        <v>95</v>
      </c>
      <c r="O3465" s="561"/>
      <c r="P3465" s="561"/>
      <c r="Q3465" s="561"/>
      <c r="R3465" s="95" t="s">
        <v>96</v>
      </c>
      <c r="S3465" s="95" t="s">
        <v>97</v>
      </c>
      <c r="T3465" s="562" t="s">
        <v>8</v>
      </c>
      <c r="U3465" s="562"/>
      <c r="V3465" s="100" t="s">
        <v>98</v>
      </c>
      <c r="Y3465" s="383" t="s">
        <v>104</v>
      </c>
      <c r="Z3465" s="119" t="s">
        <v>9</v>
      </c>
      <c r="AA3465" s="86"/>
      <c r="AB3465" s="384"/>
      <c r="AC3465" s="385"/>
      <c r="AD3465" s="94"/>
      <c r="AE3465" s="386"/>
    </row>
    <row r="3466" spans="3:31" s="260" customFormat="1" x14ac:dyDescent="0.25">
      <c r="C3466" s="84"/>
      <c r="D3466" s="85"/>
      <c r="E3466" s="86"/>
      <c r="F3466" s="86"/>
      <c r="G3466" s="86"/>
      <c r="H3466" s="86"/>
      <c r="I3466" s="86"/>
      <c r="J3466" s="87"/>
      <c r="K3466" s="88"/>
      <c r="M3466" s="102"/>
      <c r="N3466" s="533" t="s">
        <v>99</v>
      </c>
      <c r="O3466" s="533"/>
      <c r="P3466" s="533"/>
      <c r="Q3466" s="533"/>
      <c r="R3466" s="78" t="s">
        <v>100</v>
      </c>
      <c r="S3466" s="387">
        <f>+$AA$10</f>
        <v>0.05</v>
      </c>
      <c r="T3466" s="563">
        <f>V3496</f>
        <v>19458.53</v>
      </c>
      <c r="U3466" s="563"/>
      <c r="V3466" s="389">
        <f>+IFERROR(T3466*S3466,0)</f>
        <v>972.92650000000003</v>
      </c>
      <c r="Y3466" s="390"/>
      <c r="Z3466" s="391">
        <f>Y3462*V3466</f>
        <v>29966.136200000001</v>
      </c>
      <c r="AA3466" s="86"/>
      <c r="AB3466" s="384"/>
      <c r="AC3466" s="385"/>
      <c r="AD3466" s="94"/>
      <c r="AE3466" s="386" t="str">
        <f>+IF(V3466=0,"CERO","NO")</f>
        <v>NO</v>
      </c>
    </row>
    <row r="3467" spans="3:31" s="260" customFormat="1" x14ac:dyDescent="0.25">
      <c r="C3467" s="84"/>
      <c r="D3467" s="85"/>
      <c r="E3467" s="86"/>
      <c r="F3467" s="86"/>
      <c r="G3467" s="86"/>
      <c r="H3467" s="86"/>
      <c r="I3467" s="86"/>
      <c r="J3467" s="87"/>
      <c r="K3467" s="88"/>
      <c r="M3467" s="106"/>
      <c r="N3467" s="533" t="str">
        <f>IFERROR(VLOOKUP(M3467,INSUMOS!$C$8:$K$928,2,0),"-----")</f>
        <v>-----</v>
      </c>
      <c r="O3467" s="533"/>
      <c r="P3467" s="533"/>
      <c r="Q3467" s="533"/>
      <c r="R3467" s="78" t="str">
        <f>IFERROR(VLOOKUP(M3467,INSUMOS!$C$8:$K$928,6,0),"-----")</f>
        <v>-----</v>
      </c>
      <c r="S3467" s="392"/>
      <c r="T3467" s="529" t="str">
        <f>IFERROR(VLOOKUP(M3467,INSUMOS!$C$8:$K$928,7,0),"0")</f>
        <v>0</v>
      </c>
      <c r="U3467" s="529"/>
      <c r="V3467" s="389">
        <f>+IFERROR(T3467*S3467,0)</f>
        <v>0</v>
      </c>
      <c r="Y3467" s="393">
        <f>+IFERROR(Y3462*S3467,0)</f>
        <v>0</v>
      </c>
      <c r="Z3467" s="391">
        <f>Y3462*V3467</f>
        <v>0</v>
      </c>
      <c r="AA3467" s="394"/>
      <c r="AB3467" s="395">
        <f>+Y3467*T3467</f>
        <v>0</v>
      </c>
      <c r="AC3467" s="93">
        <f>+AB3467-Z3467</f>
        <v>0</v>
      </c>
      <c r="AD3467" s="94"/>
      <c r="AE3467" s="386" t="str">
        <f>+IF(V3467=0,"CERO","NO")</f>
        <v>CERO</v>
      </c>
    </row>
    <row r="3468" spans="3:31" s="260" customFormat="1" x14ac:dyDescent="0.25">
      <c r="C3468" s="84"/>
      <c r="D3468" s="85"/>
      <c r="E3468" s="86"/>
      <c r="F3468" s="86"/>
      <c r="G3468" s="86"/>
      <c r="H3468" s="86"/>
      <c r="I3468" s="86"/>
      <c r="J3468" s="87"/>
      <c r="K3468" s="88"/>
      <c r="M3468" s="102">
        <v>0</v>
      </c>
      <c r="N3468" s="533"/>
      <c r="O3468" s="533"/>
      <c r="P3468" s="533"/>
      <c r="Q3468" s="533"/>
      <c r="R3468" s="78"/>
      <c r="S3468" s="396"/>
      <c r="T3468" s="529"/>
      <c r="U3468" s="529"/>
      <c r="V3468" s="397"/>
      <c r="Y3468" s="393">
        <f>+IFERROR(Y3462*S3468,0)</f>
        <v>0</v>
      </c>
      <c r="Z3468" s="391">
        <f>Y3462*V3468</f>
        <v>0</v>
      </c>
      <c r="AA3468" s="394"/>
      <c r="AB3468" s="395">
        <f>+Y3468*T3468</f>
        <v>0</v>
      </c>
      <c r="AC3468" s="93">
        <f>+AB3468-Z3468</f>
        <v>0</v>
      </c>
      <c r="AD3468" s="94"/>
      <c r="AE3468" s="386" t="str">
        <f>+IF(V3468=0,"CERO","NO")</f>
        <v>CERO</v>
      </c>
    </row>
    <row r="3469" spans="3:31" s="260" customFormat="1" x14ac:dyDescent="0.25">
      <c r="C3469" s="84"/>
      <c r="D3469" s="85"/>
      <c r="E3469" s="86"/>
      <c r="F3469" s="86"/>
      <c r="G3469" s="86"/>
      <c r="H3469" s="86"/>
      <c r="I3469" s="86"/>
      <c r="J3469" s="87"/>
      <c r="K3469" s="88"/>
      <c r="M3469" s="102">
        <v>0</v>
      </c>
      <c r="N3469" s="533"/>
      <c r="O3469" s="533"/>
      <c r="P3469" s="533"/>
      <c r="Q3469" s="533"/>
      <c r="R3469" s="78"/>
      <c r="S3469" s="396"/>
      <c r="T3469" s="529"/>
      <c r="U3469" s="529"/>
      <c r="V3469" s="397"/>
      <c r="Y3469" s="393">
        <f>+IFERROR(Y3462*S3469,0)</f>
        <v>0</v>
      </c>
      <c r="Z3469" s="391">
        <f>Y3462*V3469</f>
        <v>0</v>
      </c>
      <c r="AA3469" s="394"/>
      <c r="AB3469" s="395">
        <f>+Y3469*T3469</f>
        <v>0</v>
      </c>
      <c r="AC3469" s="93">
        <f>+AB3469-Z3469</f>
        <v>0</v>
      </c>
      <c r="AD3469" s="94"/>
      <c r="AE3469" s="386" t="str">
        <f>+IF(V3469=0,"CERO","NO")</f>
        <v>CERO</v>
      </c>
    </row>
    <row r="3470" spans="3:31" s="260" customFormat="1" ht="15.75" thickBot="1" x14ac:dyDescent="0.3">
      <c r="C3470" s="84"/>
      <c r="D3470" s="85"/>
      <c r="E3470" s="86"/>
      <c r="F3470" s="86"/>
      <c r="G3470" s="86"/>
      <c r="H3470" s="86"/>
      <c r="I3470" s="86"/>
      <c r="J3470" s="87"/>
      <c r="K3470" s="88"/>
      <c r="M3470" s="102">
        <v>0</v>
      </c>
      <c r="N3470" s="564"/>
      <c r="O3470" s="564"/>
      <c r="P3470" s="564"/>
      <c r="Q3470" s="564"/>
      <c r="R3470" s="96"/>
      <c r="S3470" s="96"/>
      <c r="T3470" s="565"/>
      <c r="U3470" s="565"/>
      <c r="V3470" s="101"/>
      <c r="Y3470" s="393">
        <f>+IFERROR(Y3462*S3470,0)</f>
        <v>0</v>
      </c>
      <c r="Z3470" s="391">
        <f>Y3462*V3470</f>
        <v>0</v>
      </c>
      <c r="AA3470" s="394"/>
      <c r="AB3470" s="395">
        <f>+Y3470*T3470</f>
        <v>0</v>
      </c>
      <c r="AC3470" s="93">
        <f>+AB3470-Z3470</f>
        <v>0</v>
      </c>
      <c r="AD3470" s="94"/>
      <c r="AE3470" s="386" t="str">
        <f>+IF(V3470=0,"CERO","NO")</f>
        <v>CERO</v>
      </c>
    </row>
    <row r="3471" spans="3:31" s="260" customFormat="1" ht="15.75" thickBot="1" x14ac:dyDescent="0.3">
      <c r="C3471" s="84"/>
      <c r="D3471" s="375" t="s">
        <v>128</v>
      </c>
      <c r="E3471" s="376" t="s">
        <v>129</v>
      </c>
      <c r="F3471" s="376" t="s">
        <v>130</v>
      </c>
      <c r="G3471" s="376" t="s">
        <v>131</v>
      </c>
      <c r="H3471" s="376" t="s">
        <v>132</v>
      </c>
      <c r="I3471" s="376" t="s">
        <v>133</v>
      </c>
      <c r="J3471" s="377" t="s">
        <v>134</v>
      </c>
      <c r="K3471" s="88"/>
      <c r="M3471" s="534"/>
      <c r="N3471" s="536" t="s">
        <v>101</v>
      </c>
      <c r="O3471" s="536"/>
      <c r="P3471" s="536"/>
      <c r="Q3471" s="536"/>
      <c r="R3471" s="536"/>
      <c r="S3471" s="536"/>
      <c r="T3471" s="536"/>
      <c r="U3471" s="536"/>
      <c r="V3471" s="389">
        <f>+SUM(V3466:V3470)</f>
        <v>972.92650000000003</v>
      </c>
      <c r="Y3471" s="398" t="s">
        <v>135</v>
      </c>
      <c r="Z3471" s="397">
        <f>+SUM(Z3466:Z3470)</f>
        <v>29966.136200000001</v>
      </c>
      <c r="AA3471" s="86"/>
      <c r="AB3471" s="384"/>
      <c r="AC3471" s="385"/>
      <c r="AD3471" s="94"/>
      <c r="AE3471" s="399"/>
    </row>
    <row r="3472" spans="3:31" s="260" customFormat="1" ht="15.75" thickBot="1" x14ac:dyDescent="0.3">
      <c r="C3472" s="84"/>
      <c r="D3472" s="375">
        <f>C3462</f>
        <v>3.22</v>
      </c>
      <c r="E3472" s="376"/>
      <c r="F3472" s="376"/>
      <c r="G3472" s="376"/>
      <c r="H3472" s="376"/>
      <c r="I3472" s="376"/>
      <c r="J3472" s="377"/>
      <c r="K3472" s="88"/>
      <c r="M3472" s="566"/>
      <c r="N3472" s="567" t="s">
        <v>102</v>
      </c>
      <c r="O3472" s="567"/>
      <c r="P3472" s="567"/>
      <c r="Q3472" s="567"/>
      <c r="R3472" s="567"/>
      <c r="S3472" s="567"/>
      <c r="T3472" s="567"/>
      <c r="U3472" s="567"/>
      <c r="V3472" s="400">
        <f>+ROUND(V3471,$AA$5)</f>
        <v>972.93</v>
      </c>
      <c r="Y3472" s="401" t="s">
        <v>136</v>
      </c>
      <c r="Z3472" s="402">
        <f>+ROUND(Z3471,$AA$5)</f>
        <v>29966.14</v>
      </c>
      <c r="AA3472" s="86"/>
      <c r="AB3472" s="403">
        <f>+V3472*Y3462</f>
        <v>29966.243999999999</v>
      </c>
      <c r="AC3472" s="404">
        <f>+AB3472-Z3472</f>
        <v>0.10399999999935972</v>
      </c>
      <c r="AD3472" s="94"/>
      <c r="AE3472" s="405"/>
    </row>
    <row r="3473" spans="3:31" s="260" customFormat="1" x14ac:dyDescent="0.25">
      <c r="C3473" s="84"/>
      <c r="D3473" s="380"/>
      <c r="E3473" s="381"/>
      <c r="F3473" s="381"/>
      <c r="G3473" s="381"/>
      <c r="H3473" s="381"/>
      <c r="I3473" s="381"/>
      <c r="J3473" s="382"/>
      <c r="K3473" s="88"/>
      <c r="M3473" s="510" t="s">
        <v>103</v>
      </c>
      <c r="N3473" s="511"/>
      <c r="O3473" s="511"/>
      <c r="P3473" s="511"/>
      <c r="Q3473" s="511"/>
      <c r="R3473" s="511"/>
      <c r="S3473" s="511"/>
      <c r="T3473" s="511"/>
      <c r="U3473" s="511"/>
      <c r="V3473" s="512"/>
      <c r="Y3473" s="378"/>
      <c r="Z3473" s="121"/>
      <c r="AA3473" s="86"/>
      <c r="AB3473" s="513"/>
      <c r="AC3473" s="514"/>
      <c r="AD3473" s="94"/>
      <c r="AE3473" s="126"/>
    </row>
    <row r="3474" spans="3:31" s="260" customFormat="1" x14ac:dyDescent="0.25">
      <c r="C3474" s="84"/>
      <c r="D3474" s="85"/>
      <c r="E3474" s="86"/>
      <c r="F3474" s="86"/>
      <c r="G3474" s="86"/>
      <c r="H3474" s="86"/>
      <c r="I3474" s="86"/>
      <c r="J3474" s="87"/>
      <c r="K3474" s="88"/>
      <c r="M3474" s="99" t="s">
        <v>94</v>
      </c>
      <c r="N3474" s="561" t="s">
        <v>95</v>
      </c>
      <c r="O3474" s="561"/>
      <c r="P3474" s="561"/>
      <c r="Q3474" s="561"/>
      <c r="R3474" s="95" t="s">
        <v>96</v>
      </c>
      <c r="S3474" s="95" t="s">
        <v>104</v>
      </c>
      <c r="T3474" s="356" t="s">
        <v>105</v>
      </c>
      <c r="U3474" s="356" t="s">
        <v>8</v>
      </c>
      <c r="V3474" s="100" t="s">
        <v>98</v>
      </c>
      <c r="Y3474" s="383" t="s">
        <v>104</v>
      </c>
      <c r="Z3474" s="119" t="s">
        <v>9</v>
      </c>
      <c r="AA3474" s="86"/>
      <c r="AB3474" s="384"/>
      <c r="AC3474" s="385"/>
      <c r="AD3474" s="94"/>
      <c r="AE3474" s="406"/>
    </row>
    <row r="3475" spans="3:31" s="260" customFormat="1" ht="30" customHeight="1" x14ac:dyDescent="0.25">
      <c r="C3475" s="84"/>
      <c r="D3475" s="85"/>
      <c r="E3475" s="86"/>
      <c r="F3475" s="86"/>
      <c r="G3475" s="86"/>
      <c r="H3475" s="86"/>
      <c r="I3475" s="86"/>
      <c r="J3475" s="87"/>
      <c r="K3475" s="88"/>
      <c r="M3475" s="102">
        <v>931</v>
      </c>
      <c r="N3475" s="533" t="str">
        <f>IFERROR(VLOOKUP(M3475,INSUMOS!$C$8:$K$928,2,0),"-----")</f>
        <v>TUBERIA ACERO AL CARBON SCH40 ROJA RANURADA Ø1 1/2"</v>
      </c>
      <c r="O3475" s="533"/>
      <c r="P3475" s="533"/>
      <c r="Q3475" s="533"/>
      <c r="R3475" s="78" t="str">
        <f>IFERROR(VLOOKUP(M3475,INSUMOS!$C$8:$K$928,6,0),"-----")</f>
        <v>ml</v>
      </c>
      <c r="S3475" s="396">
        <v>1</v>
      </c>
      <c r="T3475" s="387">
        <v>0</v>
      </c>
      <c r="U3475" s="388">
        <f>IFERROR(VLOOKUP(M3475,INSUMOS!$C$8:$K$928,7,0),"0")</f>
        <v>74044.333333333328</v>
      </c>
      <c r="V3475" s="389">
        <f>+IFERROR(U3475*(S3475*(1+T3475)),0)</f>
        <v>74044.333333333328</v>
      </c>
      <c r="Y3475" s="393">
        <f>+IFERROR(Y3462*(S3475*(1+T3475)),0)</f>
        <v>30.8</v>
      </c>
      <c r="Z3475" s="391">
        <f>Y3462*V3475</f>
        <v>2280565.4666666668</v>
      </c>
      <c r="AA3475" s="394"/>
      <c r="AB3475" s="395">
        <f>+Y3475*U3475</f>
        <v>2280565.4666666668</v>
      </c>
      <c r="AC3475" s="93">
        <f>+AB3475-Z3475</f>
        <v>0</v>
      </c>
      <c r="AD3475" s="94"/>
      <c r="AE3475" s="406" t="str">
        <f>+IF(V3475=0,"CERO","NO")</f>
        <v>NO</v>
      </c>
    </row>
    <row r="3476" spans="3:31" s="260" customFormat="1" x14ac:dyDescent="0.25">
      <c r="C3476" s="84"/>
      <c r="D3476" s="85"/>
      <c r="E3476" s="86"/>
      <c r="F3476" s="86"/>
      <c r="G3476" s="86"/>
      <c r="H3476" s="86"/>
      <c r="I3476" s="86"/>
      <c r="J3476" s="87"/>
      <c r="K3476" s="88"/>
      <c r="M3476" s="102"/>
      <c r="N3476" s="533" t="str">
        <f>IFERROR(VLOOKUP(M3476,INSUMOS!$C$8:$K$928,2,0),"-----")</f>
        <v>-----</v>
      </c>
      <c r="O3476" s="533"/>
      <c r="P3476" s="533"/>
      <c r="Q3476" s="533"/>
      <c r="R3476" s="78" t="str">
        <f>IFERROR(VLOOKUP(M3476,INSUMOS!$C$8:$K$928,6,0),"-----")</f>
        <v>-----</v>
      </c>
      <c r="S3476" s="392"/>
      <c r="T3476" s="387">
        <v>0</v>
      </c>
      <c r="U3476" s="388" t="str">
        <f>IFERROR(VLOOKUP(M3476,INSUMOS!$C$8:$K$928,7,0),"0")</f>
        <v>0</v>
      </c>
      <c r="V3476" s="389">
        <f>+IFERROR(U3476*(S3476*(1+T3476)),0)</f>
        <v>0</v>
      </c>
      <c r="Y3476" s="393">
        <f>+IFERROR(Y3462*(S3476*(1+T3476)),0)</f>
        <v>0</v>
      </c>
      <c r="Z3476" s="391">
        <f>Y3462*V3476</f>
        <v>0</v>
      </c>
      <c r="AA3476" s="394"/>
      <c r="AB3476" s="395">
        <f>+Y3476*U3476</f>
        <v>0</v>
      </c>
      <c r="AC3476" s="93">
        <f>+AB3476-Z3476</f>
        <v>0</v>
      </c>
      <c r="AD3476" s="94"/>
      <c r="AE3476" s="406" t="str">
        <f>+IF(V3476=0,"CERO","NO")</f>
        <v>CERO</v>
      </c>
    </row>
    <row r="3477" spans="3:31" s="260" customFormat="1" x14ac:dyDescent="0.25">
      <c r="C3477" s="84"/>
      <c r="D3477" s="85"/>
      <c r="E3477" s="86"/>
      <c r="F3477" s="86"/>
      <c r="G3477" s="86"/>
      <c r="H3477" s="86"/>
      <c r="I3477" s="86"/>
      <c r="J3477" s="87"/>
      <c r="K3477" s="88"/>
      <c r="M3477" s="102"/>
      <c r="N3477" s="533" t="str">
        <f>IFERROR(VLOOKUP(M3477,INSUMOS!$C$8:$K$928,2,0),"-----")</f>
        <v>-----</v>
      </c>
      <c r="O3477" s="533"/>
      <c r="P3477" s="533"/>
      <c r="Q3477" s="533"/>
      <c r="R3477" s="78" t="str">
        <f>IFERROR(VLOOKUP(M3477,INSUMOS!$C$8:$K$928,6,0),"-----")</f>
        <v>-----</v>
      </c>
      <c r="S3477" s="396"/>
      <c r="T3477" s="387">
        <v>0</v>
      </c>
      <c r="U3477" s="388" t="str">
        <f>IFERROR(VLOOKUP(M3477,INSUMOS!$C$8:$K$928,7,0),"0")</f>
        <v>0</v>
      </c>
      <c r="V3477" s="389">
        <f>+IFERROR(U3477*(S3477*(1+T3477)),0)</f>
        <v>0</v>
      </c>
      <c r="Y3477" s="393">
        <f>+IFERROR(Y3462*(S3477*(1+T3477)),0)</f>
        <v>0</v>
      </c>
      <c r="Z3477" s="391">
        <f>Y3462*V3477</f>
        <v>0</v>
      </c>
      <c r="AA3477" s="394"/>
      <c r="AB3477" s="395">
        <f>+Y3477*U3477</f>
        <v>0</v>
      </c>
      <c r="AC3477" s="93">
        <f>+AB3477-Z3477</f>
        <v>0</v>
      </c>
      <c r="AD3477" s="94"/>
      <c r="AE3477" s="406" t="str">
        <f>+IF(V3477=0,"CERO","NO")</f>
        <v>CERO</v>
      </c>
    </row>
    <row r="3478" spans="3:31" s="260" customFormat="1" x14ac:dyDescent="0.25">
      <c r="C3478" s="84"/>
      <c r="D3478" s="85"/>
      <c r="E3478" s="86"/>
      <c r="F3478" s="86"/>
      <c r="G3478" s="86"/>
      <c r="H3478" s="86"/>
      <c r="I3478" s="86"/>
      <c r="J3478" s="87"/>
      <c r="K3478" s="88"/>
      <c r="M3478" s="102">
        <v>0</v>
      </c>
      <c r="N3478" s="533" t="str">
        <f>IFERROR(VLOOKUP(M3478,INSUMOS!$C$8:$K$928,2,0),"-----")</f>
        <v>-----</v>
      </c>
      <c r="O3478" s="533"/>
      <c r="P3478" s="533"/>
      <c r="Q3478" s="533"/>
      <c r="R3478" s="78" t="str">
        <f>IFERROR(VLOOKUP(M3478,INSUMOS!$C$8:$K$928,6,0),"-----")</f>
        <v>-----</v>
      </c>
      <c r="S3478" s="396"/>
      <c r="T3478" s="387"/>
      <c r="U3478" s="388" t="str">
        <f>IFERROR(VLOOKUP(M3478,INSUMOS!$C$8:$K$928,7,0),"0")</f>
        <v>0</v>
      </c>
      <c r="V3478" s="389">
        <f>+IFERROR(U3478*(S3478*(1+T3478)),0)</f>
        <v>0</v>
      </c>
      <c r="Y3478" s="393">
        <f>+IFERROR(Y3462*(S3478*(1+T3478)),0)</f>
        <v>0</v>
      </c>
      <c r="Z3478" s="391">
        <f>Y3462*V3478</f>
        <v>0</v>
      </c>
      <c r="AA3478" s="394"/>
      <c r="AB3478" s="395">
        <f>+Y3478*U3478</f>
        <v>0</v>
      </c>
      <c r="AC3478" s="93">
        <f>+AB3478-Z3478</f>
        <v>0</v>
      </c>
      <c r="AD3478" s="94"/>
      <c r="AE3478" s="406" t="str">
        <f>+IF(V3478=0,"CERO","NO")</f>
        <v>CERO</v>
      </c>
    </row>
    <row r="3479" spans="3:31" s="260" customFormat="1" ht="15.75" thickBot="1" x14ac:dyDescent="0.3">
      <c r="C3479" s="84"/>
      <c r="D3479" s="85"/>
      <c r="E3479" s="86"/>
      <c r="F3479" s="86"/>
      <c r="G3479" s="86"/>
      <c r="H3479" s="86"/>
      <c r="I3479" s="86"/>
      <c r="J3479" s="87"/>
      <c r="K3479" s="88"/>
      <c r="M3479" s="102">
        <v>0</v>
      </c>
      <c r="N3479" s="564"/>
      <c r="O3479" s="564"/>
      <c r="P3479" s="564"/>
      <c r="Q3479" s="564"/>
      <c r="R3479" s="96"/>
      <c r="S3479" s="79"/>
      <c r="T3479" s="97"/>
      <c r="U3479" s="358"/>
      <c r="V3479" s="397"/>
      <c r="Y3479" s="393">
        <f>+IFERROR(Y3462*(S3479*(1+T3479)),0)</f>
        <v>0</v>
      </c>
      <c r="Z3479" s="391">
        <f>Y3462*V3479</f>
        <v>0</v>
      </c>
      <c r="AA3479" s="394"/>
      <c r="AB3479" s="395">
        <f>+Y3479*U3479</f>
        <v>0</v>
      </c>
      <c r="AC3479" s="93">
        <f>+AB3479-Z3479</f>
        <v>0</v>
      </c>
      <c r="AD3479" s="94"/>
      <c r="AE3479" s="406" t="str">
        <f>+IF(V3479=0,"CERO","NO")</f>
        <v>CERO</v>
      </c>
    </row>
    <row r="3480" spans="3:31" s="260" customFormat="1" ht="15.75" thickBot="1" x14ac:dyDescent="0.3">
      <c r="C3480" s="84"/>
      <c r="D3480" s="375" t="s">
        <v>128</v>
      </c>
      <c r="E3480" s="376" t="s">
        <v>129</v>
      </c>
      <c r="F3480" s="376" t="s">
        <v>130</v>
      </c>
      <c r="G3480" s="376" t="s">
        <v>131</v>
      </c>
      <c r="H3480" s="376" t="s">
        <v>132</v>
      </c>
      <c r="I3480" s="376" t="s">
        <v>133</v>
      </c>
      <c r="J3480" s="377" t="s">
        <v>134</v>
      </c>
      <c r="K3480" s="88"/>
      <c r="M3480" s="534"/>
      <c r="N3480" s="536" t="s">
        <v>106</v>
      </c>
      <c r="O3480" s="536"/>
      <c r="P3480" s="536"/>
      <c r="Q3480" s="536"/>
      <c r="R3480" s="536"/>
      <c r="S3480" s="536"/>
      <c r="T3480" s="536"/>
      <c r="U3480" s="536"/>
      <c r="V3480" s="389">
        <f>+SUM(V3475:V3479)</f>
        <v>74044.333333333328</v>
      </c>
      <c r="Y3480" s="398" t="s">
        <v>135</v>
      </c>
      <c r="Z3480" s="397">
        <f>+SUM(Z3475:Z3479)</f>
        <v>2280565.4666666668</v>
      </c>
      <c r="AA3480" s="86"/>
      <c r="AB3480" s="384"/>
      <c r="AC3480" s="385"/>
      <c r="AD3480" s="94"/>
      <c r="AE3480" s="399"/>
    </row>
    <row r="3481" spans="3:31" s="260" customFormat="1" ht="15.75" thickBot="1" x14ac:dyDescent="0.3">
      <c r="C3481" s="84"/>
      <c r="D3481" s="375"/>
      <c r="E3481" s="407">
        <f>+D3472</f>
        <v>3.22</v>
      </c>
      <c r="F3481" s="376"/>
      <c r="G3481" s="376"/>
      <c r="H3481" s="376"/>
      <c r="I3481" s="376"/>
      <c r="J3481" s="377"/>
      <c r="K3481" s="88"/>
      <c r="M3481" s="535"/>
      <c r="N3481" s="537" t="s">
        <v>107</v>
      </c>
      <c r="O3481" s="537"/>
      <c r="P3481" s="537"/>
      <c r="Q3481" s="537"/>
      <c r="R3481" s="537"/>
      <c r="S3481" s="537"/>
      <c r="T3481" s="537"/>
      <c r="U3481" s="537"/>
      <c r="V3481" s="408">
        <f>+ROUND(V3480,$AA$5)</f>
        <v>74044.33</v>
      </c>
      <c r="Y3481" s="401" t="s">
        <v>136</v>
      </c>
      <c r="Z3481" s="402">
        <f>+ROUND(Z3480,$AA$5)</f>
        <v>2280565.4700000002</v>
      </c>
      <c r="AA3481" s="86"/>
      <c r="AB3481" s="403">
        <f>+V3481*Y3462</f>
        <v>2280565.3640000001</v>
      </c>
      <c r="AC3481" s="404">
        <f>+AB3481-Z3481</f>
        <v>-0.10600000014528632</v>
      </c>
      <c r="AD3481" s="94"/>
      <c r="AE3481" s="405"/>
    </row>
    <row r="3482" spans="3:31" s="260" customFormat="1" x14ac:dyDescent="0.25">
      <c r="C3482" s="84"/>
      <c r="D3482" s="380"/>
      <c r="E3482" s="381"/>
      <c r="F3482" s="381"/>
      <c r="G3482" s="381"/>
      <c r="H3482" s="381"/>
      <c r="I3482" s="381"/>
      <c r="J3482" s="382"/>
      <c r="K3482" s="88"/>
      <c r="M3482" s="568" t="s">
        <v>108</v>
      </c>
      <c r="N3482" s="569"/>
      <c r="O3482" s="569"/>
      <c r="P3482" s="569"/>
      <c r="Q3482" s="569"/>
      <c r="R3482" s="569"/>
      <c r="S3482" s="569"/>
      <c r="T3482" s="569"/>
      <c r="U3482" s="569"/>
      <c r="V3482" s="570"/>
      <c r="Y3482" s="378"/>
      <c r="Z3482" s="121"/>
      <c r="AA3482" s="86"/>
      <c r="AB3482" s="409"/>
      <c r="AC3482" s="121"/>
      <c r="AD3482" s="94"/>
      <c r="AE3482" s="126"/>
    </row>
    <row r="3483" spans="3:31" s="260" customFormat="1" ht="25.5" x14ac:dyDescent="0.25">
      <c r="C3483" s="84"/>
      <c r="D3483" s="85"/>
      <c r="E3483" s="86"/>
      <c r="F3483" s="86"/>
      <c r="G3483" s="86"/>
      <c r="H3483" s="86"/>
      <c r="I3483" s="86"/>
      <c r="J3483" s="87"/>
      <c r="K3483" s="88"/>
      <c r="M3483" s="99" t="s">
        <v>94</v>
      </c>
      <c r="N3483" s="561" t="s">
        <v>95</v>
      </c>
      <c r="O3483" s="561"/>
      <c r="P3483" s="561"/>
      <c r="Q3483" s="95" t="s">
        <v>109</v>
      </c>
      <c r="R3483" s="95" t="s">
        <v>110</v>
      </c>
      <c r="S3483" s="95" t="s">
        <v>111</v>
      </c>
      <c r="T3483" s="562" t="s">
        <v>112</v>
      </c>
      <c r="U3483" s="562"/>
      <c r="V3483" s="100" t="s">
        <v>98</v>
      </c>
      <c r="Y3483" s="383" t="s">
        <v>104</v>
      </c>
      <c r="Z3483" s="119" t="s">
        <v>9</v>
      </c>
      <c r="AA3483" s="86"/>
      <c r="AB3483" s="384"/>
      <c r="AC3483" s="385"/>
      <c r="AD3483" s="94"/>
      <c r="AE3483" s="410"/>
    </row>
    <row r="3484" spans="3:31" s="260" customFormat="1" x14ac:dyDescent="0.25">
      <c r="C3484" s="84"/>
      <c r="D3484" s="85"/>
      <c r="E3484" s="86"/>
      <c r="F3484" s="86"/>
      <c r="G3484" s="86"/>
      <c r="H3484" s="86"/>
      <c r="I3484" s="86"/>
      <c r="J3484" s="87"/>
      <c r="K3484" s="88"/>
      <c r="M3484" s="102">
        <v>129</v>
      </c>
      <c r="N3484" s="530" t="str">
        <f>IFERROR(VLOOKUP(M3484,INSUMOS!$C$8:$K$928,2,0),"-----")</f>
        <v>transporte materiales en general</v>
      </c>
      <c r="O3484" s="531"/>
      <c r="P3484" s="532"/>
      <c r="Q3484" s="78" t="str">
        <f>IFERROR(VLOOKUP(M3484,INSUMOS!$C$8:$K$928,5,0),"-----")</f>
        <v>Km</v>
      </c>
      <c r="R3484" s="80">
        <v>1</v>
      </c>
      <c r="S3484" s="80">
        <f>IFERROR(VLOOKUP(M3484,INSUMOS!$C$8:$K$928,6,0),"0")</f>
        <v>348</v>
      </c>
      <c r="T3484" s="529">
        <f>IFERROR(VLOOKUP(M3484,INSUMOS!$C$8:$K$928,7,0),"0")</f>
        <v>0.99776362060288992</v>
      </c>
      <c r="U3484" s="529"/>
      <c r="V3484" s="82">
        <f>+T3484*S3484*R3484</f>
        <v>347.2217399698057</v>
      </c>
      <c r="Y3484" s="393">
        <f>+IFERROR((R3484*S3484)*Y3462,0)</f>
        <v>10718.4</v>
      </c>
      <c r="Z3484" s="391">
        <f>Y3462*V3484</f>
        <v>10694.429591070015</v>
      </c>
      <c r="AA3484" s="86"/>
      <c r="AB3484" s="92">
        <f>+Y3484*T3484</f>
        <v>10694.429591070015</v>
      </c>
      <c r="AC3484" s="93">
        <f>+AB3484-Z3484</f>
        <v>0</v>
      </c>
      <c r="AD3484" s="94"/>
      <c r="AE3484" s="406" t="str">
        <f>+IF(V3484=0,"CERO","NO")</f>
        <v>NO</v>
      </c>
    </row>
    <row r="3485" spans="3:31" s="260" customFormat="1" x14ac:dyDescent="0.25">
      <c r="C3485" s="84"/>
      <c r="D3485" s="85"/>
      <c r="E3485" s="86"/>
      <c r="F3485" s="86"/>
      <c r="G3485" s="86"/>
      <c r="H3485" s="86"/>
      <c r="I3485" s="86"/>
      <c r="J3485" s="87"/>
      <c r="K3485" s="88"/>
      <c r="M3485" s="102">
        <v>0</v>
      </c>
      <c r="N3485" s="530" t="str">
        <f>IFERROR(VLOOKUP(M3485,INSUMOS!$C$8:$K$928,2,0),"-----")</f>
        <v>-----</v>
      </c>
      <c r="O3485" s="531"/>
      <c r="P3485" s="532"/>
      <c r="Q3485" s="78" t="str">
        <f>IFERROR(VLOOKUP(M3485,INSUMOS!$C$8:$K$928,5,0),"-----")</f>
        <v>-----</v>
      </c>
      <c r="R3485" s="80"/>
      <c r="S3485" s="80" t="str">
        <f>IFERROR(VLOOKUP(M3485,INSUMOS!$C$8:$K$928,6,0),"0")</f>
        <v>0</v>
      </c>
      <c r="T3485" s="529" t="str">
        <f>IFERROR(VLOOKUP(M3485,INSUMOS!$C$8:$K$928,7,0),"0")</f>
        <v>0</v>
      </c>
      <c r="U3485" s="529"/>
      <c r="V3485" s="82">
        <f>+T3485*S3485*R3485</f>
        <v>0</v>
      </c>
      <c r="Y3485" s="393">
        <f>+IFERROR((R3485*S3485)*Y3462,0)</f>
        <v>0</v>
      </c>
      <c r="Z3485" s="391">
        <f>Y3462*V3485</f>
        <v>0</v>
      </c>
      <c r="AA3485" s="86"/>
      <c r="AB3485" s="92">
        <f>+Y3485*T3485</f>
        <v>0</v>
      </c>
      <c r="AC3485" s="93">
        <f>+AB3485-Z3485</f>
        <v>0</v>
      </c>
      <c r="AD3485" s="94"/>
      <c r="AE3485" s="406" t="str">
        <f>+IF(V3485=0,"CERO","NO")</f>
        <v>CERO</v>
      </c>
    </row>
    <row r="3486" spans="3:31" s="260" customFormat="1" x14ac:dyDescent="0.25">
      <c r="C3486" s="84"/>
      <c r="D3486" s="85"/>
      <c r="E3486" s="86"/>
      <c r="F3486" s="86"/>
      <c r="G3486" s="86"/>
      <c r="H3486" s="86"/>
      <c r="I3486" s="86"/>
      <c r="J3486" s="87"/>
      <c r="K3486" s="88"/>
      <c r="M3486" s="102">
        <v>0</v>
      </c>
      <c r="N3486" s="530" t="str">
        <f>IFERROR(VLOOKUP(M3486,INSUMOS!$C$8:$K$928,2,0),"-----")</f>
        <v>-----</v>
      </c>
      <c r="O3486" s="531"/>
      <c r="P3486" s="532"/>
      <c r="Q3486" s="78" t="str">
        <f>IFERROR(VLOOKUP(M3486,INSUMOS!$C$8:$K$928,5,0),"-----")</f>
        <v>-----</v>
      </c>
      <c r="R3486" s="80"/>
      <c r="S3486" s="80" t="str">
        <f>IFERROR(VLOOKUP(M3486,INSUMOS!$C$8:$K$928,6,0),"0")</f>
        <v>0</v>
      </c>
      <c r="T3486" s="529" t="str">
        <f>IFERROR(VLOOKUP(M3486,INSUMOS!$C$8:$K$928,7,0),"0")</f>
        <v>0</v>
      </c>
      <c r="U3486" s="529"/>
      <c r="V3486" s="82">
        <f>+T3486*S3486*R3486</f>
        <v>0</v>
      </c>
      <c r="Y3486" s="393">
        <f>+IFERROR((R3486*S3486)*Y3462,0)</f>
        <v>0</v>
      </c>
      <c r="Z3486" s="391">
        <f>Y3462*V3486</f>
        <v>0</v>
      </c>
      <c r="AA3486" s="86"/>
      <c r="AB3486" s="92">
        <f>+Y3486*T3486</f>
        <v>0</v>
      </c>
      <c r="AC3486" s="93">
        <f>+AB3486-Z3486</f>
        <v>0</v>
      </c>
      <c r="AD3486" s="94"/>
      <c r="AE3486" s="406" t="str">
        <f>+IF(V3486=0,"CERO","NO")</f>
        <v>CERO</v>
      </c>
    </row>
    <row r="3487" spans="3:31" s="260" customFormat="1" ht="15.75" thickBot="1" x14ac:dyDescent="0.3">
      <c r="C3487" s="84"/>
      <c r="D3487" s="89"/>
      <c r="E3487" s="90"/>
      <c r="F3487" s="90"/>
      <c r="G3487" s="90"/>
      <c r="H3487" s="90"/>
      <c r="I3487" s="90"/>
      <c r="J3487" s="91"/>
      <c r="K3487" s="88"/>
      <c r="M3487" s="102">
        <v>0</v>
      </c>
      <c r="N3487" s="533"/>
      <c r="O3487" s="533"/>
      <c r="P3487" s="533"/>
      <c r="Q3487" s="79"/>
      <c r="R3487" s="78"/>
      <c r="S3487" s="81"/>
      <c r="T3487" s="529"/>
      <c r="U3487" s="529"/>
      <c r="V3487" s="82"/>
      <c r="Y3487" s="393">
        <f>+IFERROR((R3487*S3487)*Y3462,0)</f>
        <v>0</v>
      </c>
      <c r="Z3487" s="391">
        <f>Y3462*V3487</f>
        <v>0</v>
      </c>
      <c r="AA3487" s="86"/>
      <c r="AB3487" s="92">
        <f>+Y3487*T3487</f>
        <v>0</v>
      </c>
      <c r="AC3487" s="93">
        <f>+AB3487-Z3487</f>
        <v>0</v>
      </c>
      <c r="AD3487" s="94"/>
      <c r="AE3487" s="406" t="str">
        <f>+IF(V3487=0,"CERO","NO")</f>
        <v>CERO</v>
      </c>
    </row>
    <row r="3488" spans="3:31" s="260" customFormat="1" ht="15.75" thickBot="1" x14ac:dyDescent="0.3">
      <c r="C3488" s="84"/>
      <c r="D3488" s="375" t="s">
        <v>128</v>
      </c>
      <c r="E3488" s="376" t="s">
        <v>129</v>
      </c>
      <c r="F3488" s="376" t="s">
        <v>130</v>
      </c>
      <c r="G3488" s="376" t="s">
        <v>131</v>
      </c>
      <c r="H3488" s="376" t="s">
        <v>132</v>
      </c>
      <c r="I3488" s="376" t="s">
        <v>133</v>
      </c>
      <c r="J3488" s="377" t="s">
        <v>134</v>
      </c>
      <c r="K3488" s="88"/>
      <c r="M3488" s="534"/>
      <c r="N3488" s="536" t="s">
        <v>113</v>
      </c>
      <c r="O3488" s="536"/>
      <c r="P3488" s="536"/>
      <c r="Q3488" s="536"/>
      <c r="R3488" s="536"/>
      <c r="S3488" s="536"/>
      <c r="T3488" s="536"/>
      <c r="U3488" s="536"/>
      <c r="V3488" s="411">
        <f>+SUM(V3484:V3487)</f>
        <v>347.2217399698057</v>
      </c>
      <c r="Y3488" s="398" t="s">
        <v>135</v>
      </c>
      <c r="Z3488" s="397">
        <f>+SUM(Z3484:Z3487)</f>
        <v>10694.429591070015</v>
      </c>
      <c r="AA3488" s="86"/>
      <c r="AB3488" s="384"/>
      <c r="AC3488" s="385"/>
      <c r="AD3488" s="94"/>
      <c r="AE3488" s="399"/>
    </row>
    <row r="3489" spans="3:31" s="260" customFormat="1" ht="15.75" thickBot="1" x14ac:dyDescent="0.3">
      <c r="C3489" s="84"/>
      <c r="D3489" s="355"/>
      <c r="E3489" s="367"/>
      <c r="F3489" s="412">
        <f>+E3481</f>
        <v>3.22</v>
      </c>
      <c r="G3489" s="367"/>
      <c r="H3489" s="367"/>
      <c r="I3489" s="367"/>
      <c r="J3489" s="368"/>
      <c r="K3489" s="88"/>
      <c r="M3489" s="535"/>
      <c r="N3489" s="537" t="s">
        <v>114</v>
      </c>
      <c r="O3489" s="537"/>
      <c r="P3489" s="537"/>
      <c r="Q3489" s="537"/>
      <c r="R3489" s="537"/>
      <c r="S3489" s="537"/>
      <c r="T3489" s="537"/>
      <c r="U3489" s="537"/>
      <c r="V3489" s="413">
        <f>+ROUND(V3488,$AA$5)</f>
        <v>347.22</v>
      </c>
      <c r="Y3489" s="401" t="s">
        <v>136</v>
      </c>
      <c r="Z3489" s="402">
        <f>+ROUND(Z3488,$AA$5)</f>
        <v>10694.43</v>
      </c>
      <c r="AA3489" s="86"/>
      <c r="AB3489" s="403">
        <f>+V3489*Y3462</f>
        <v>10694.376</v>
      </c>
      <c r="AC3489" s="414"/>
      <c r="AD3489" s="94"/>
      <c r="AE3489" s="405"/>
    </row>
    <row r="3490" spans="3:31" s="260" customFormat="1" ht="15.75" thickBot="1" x14ac:dyDescent="0.3">
      <c r="C3490" s="84"/>
      <c r="D3490" s="415"/>
      <c r="E3490" s="416"/>
      <c r="F3490" s="416"/>
      <c r="G3490" s="416"/>
      <c r="H3490" s="416"/>
      <c r="I3490" s="416"/>
      <c r="J3490" s="417"/>
      <c r="K3490" s="88"/>
      <c r="M3490" s="538" t="s">
        <v>115</v>
      </c>
      <c r="N3490" s="539"/>
      <c r="O3490" s="539"/>
      <c r="P3490" s="539"/>
      <c r="Q3490" s="539"/>
      <c r="R3490" s="539"/>
      <c r="S3490" s="539"/>
      <c r="T3490" s="539"/>
      <c r="U3490" s="539"/>
      <c r="V3490" s="540"/>
      <c r="Y3490" s="378"/>
      <c r="Z3490" s="121"/>
      <c r="AA3490" s="86"/>
      <c r="AB3490" s="409"/>
      <c r="AC3490" s="121"/>
      <c r="AD3490" s="94"/>
      <c r="AE3490" s="126"/>
    </row>
    <row r="3491" spans="3:31" s="260" customFormat="1" ht="15.75" thickBot="1" x14ac:dyDescent="0.3">
      <c r="C3491" s="84"/>
      <c r="D3491" s="375" t="s">
        <v>128</v>
      </c>
      <c r="E3491" s="376" t="s">
        <v>129</v>
      </c>
      <c r="F3491" s="376" t="s">
        <v>130</v>
      </c>
      <c r="G3491" s="376" t="s">
        <v>131</v>
      </c>
      <c r="H3491" s="376" t="s">
        <v>132</v>
      </c>
      <c r="I3491" s="376" t="s">
        <v>133</v>
      </c>
      <c r="J3491" s="377" t="s">
        <v>134</v>
      </c>
      <c r="K3491" s="88"/>
      <c r="M3491" s="99" t="s">
        <v>94</v>
      </c>
      <c r="N3491" s="98" t="s">
        <v>95</v>
      </c>
      <c r="O3491" s="95" t="s">
        <v>96</v>
      </c>
      <c r="P3491" s="359" t="s">
        <v>104</v>
      </c>
      <c r="Q3491" s="95" t="s">
        <v>116</v>
      </c>
      <c r="R3491" s="418" t="s">
        <v>117</v>
      </c>
      <c r="S3491" s="95" t="s">
        <v>347</v>
      </c>
      <c r="T3491" s="419" t="s">
        <v>118</v>
      </c>
      <c r="U3491" s="189" t="s">
        <v>119</v>
      </c>
      <c r="V3491" s="100" t="s">
        <v>98</v>
      </c>
      <c r="Y3491" s="383" t="s">
        <v>104</v>
      </c>
      <c r="Z3491" s="119" t="s">
        <v>9</v>
      </c>
      <c r="AA3491" s="86"/>
      <c r="AB3491" s="384"/>
      <c r="AC3491" s="385"/>
      <c r="AD3491" s="94"/>
      <c r="AE3491" s="410"/>
    </row>
    <row r="3492" spans="3:31" s="260" customFormat="1" ht="25.5" x14ac:dyDescent="0.25">
      <c r="C3492" s="84"/>
      <c r="D3492" s="354"/>
      <c r="E3492" s="96"/>
      <c r="F3492" s="96"/>
      <c r="G3492" s="96"/>
      <c r="H3492" s="96"/>
      <c r="I3492" s="96"/>
      <c r="J3492" s="420">
        <f>+F3489</f>
        <v>3.22</v>
      </c>
      <c r="K3492" s="88"/>
      <c r="M3492" s="102">
        <v>207</v>
      </c>
      <c r="N3492" s="347" t="str">
        <f>IFERROR(VLOOKUP(M3492,INSUMOS!$C$8:$K$928,2,0),"-----")</f>
        <v>Oficial Hidrosanitario</v>
      </c>
      <c r="O3492" s="78" t="str">
        <f>IFERROR(VLOOKUP(M3492,INSUMOS!$C$8:$K$928,3,0),"-----")</f>
        <v>JORNAL+PS</v>
      </c>
      <c r="P3492" s="80">
        <v>1</v>
      </c>
      <c r="Q3492" s="79">
        <v>15</v>
      </c>
      <c r="R3492" s="190">
        <f>IFERROR(VLOOKUP(M3492,INSUMOS!$C$8:$K$928,4,0),"-----")</f>
        <v>92983</v>
      </c>
      <c r="S3492" s="190">
        <f>IFERROR(VLOOKUP(M3492,INSUMOS!$C$8:$K$928,6,0),"-----")</f>
        <v>74386</v>
      </c>
      <c r="T3492" s="190">
        <f>IFERROR(VLOOKUP(M3492,INSUMOS!$C$8:$K$928,5,0),"-----")</f>
        <v>0</v>
      </c>
      <c r="U3492" s="388">
        <f>SUM(R3492:T3492)</f>
        <v>167369</v>
      </c>
      <c r="V3492" s="82">
        <f>+IFERROR((P3492/Q3492)*U3492,0)</f>
        <v>11157.933333333332</v>
      </c>
      <c r="Y3492" s="393">
        <f>+IFERROR((Y3462/Q3492*P3492),0)</f>
        <v>2.0533333333333332</v>
      </c>
      <c r="Z3492" s="391">
        <f>Y3462*V3492</f>
        <v>343664.34666666662</v>
      </c>
      <c r="AA3492" s="86"/>
      <c r="AB3492" s="92">
        <f>+(U3492)*Y3492</f>
        <v>343664.34666666662</v>
      </c>
      <c r="AC3492" s="93">
        <f>+AB3492-Z3492</f>
        <v>0</v>
      </c>
      <c r="AD3492" s="421"/>
      <c r="AE3492" s="410" t="str">
        <f>+IF(V3492=0,"CERO","NO")</f>
        <v>NO</v>
      </c>
    </row>
    <row r="3493" spans="3:31" s="260" customFormat="1" ht="26.25" thickBot="1" x14ac:dyDescent="0.3">
      <c r="C3493" s="84"/>
      <c r="D3493" s="355"/>
      <c r="E3493" s="367"/>
      <c r="F3493" s="367"/>
      <c r="G3493" s="367"/>
      <c r="H3493" s="367"/>
      <c r="I3493" s="367"/>
      <c r="J3493" s="422">
        <f>+J3492</f>
        <v>3.22</v>
      </c>
      <c r="K3493" s="88"/>
      <c r="M3493" s="102">
        <v>208</v>
      </c>
      <c r="N3493" s="347" t="str">
        <f>IFERROR(VLOOKUP(M3493,INSUMOS!$C$8:$K$928,2,0),"-----")</f>
        <v>Ayudante Hidrosanitario</v>
      </c>
      <c r="O3493" s="78" t="str">
        <f>IFERROR(VLOOKUP(M3493,INSUMOS!$C$8:$K$928,3,0),"-----")</f>
        <v>JORNAL+PS</v>
      </c>
      <c r="P3493" s="80">
        <v>1</v>
      </c>
      <c r="Q3493" s="79">
        <v>15</v>
      </c>
      <c r="R3493" s="190">
        <f>IFERROR(VLOOKUP(M3493,INSUMOS!$C$8:$K$928,4,0),"-----")</f>
        <v>69172</v>
      </c>
      <c r="S3493" s="190">
        <f>IFERROR(VLOOKUP(M3493,INSUMOS!$C$8:$K$928,6,0),"-----")</f>
        <v>55337</v>
      </c>
      <c r="T3493" s="190">
        <f>IFERROR(VLOOKUP(M3493,INSUMOS!$C$8:$K$928,5,0),"-----")</f>
        <v>0</v>
      </c>
      <c r="U3493" s="388">
        <f>SUM(R3493:T3493)</f>
        <v>124509</v>
      </c>
      <c r="V3493" s="82">
        <f>+IFERROR((P3493/Q3493)*U3493,0)</f>
        <v>8300.6</v>
      </c>
      <c r="Y3493" s="393">
        <f>+IFERROR((Y3462/Q3493*P3493),0)</f>
        <v>2.0533333333333332</v>
      </c>
      <c r="Z3493" s="391">
        <f>Y3462*V3493</f>
        <v>255658.48</v>
      </c>
      <c r="AA3493" s="86"/>
      <c r="AB3493" s="92">
        <f>+U3493*Y3493</f>
        <v>255658.47999999998</v>
      </c>
      <c r="AC3493" s="93">
        <f>+AB3493-Z3493</f>
        <v>0</v>
      </c>
      <c r="AD3493" s="94"/>
      <c r="AE3493" s="410" t="str">
        <f>+IF(V3493=0,"CERO","NO")</f>
        <v>NO</v>
      </c>
    </row>
    <row r="3494" spans="3:31" s="260" customFormat="1" ht="15.75" thickBot="1" x14ac:dyDescent="0.3">
      <c r="C3494" s="84"/>
      <c r="D3494" s="380"/>
      <c r="E3494" s="381"/>
      <c r="F3494" s="381"/>
      <c r="G3494" s="381"/>
      <c r="H3494" s="381"/>
      <c r="I3494" s="381"/>
      <c r="J3494" s="382"/>
      <c r="K3494" s="88"/>
      <c r="M3494" s="102">
        <v>0</v>
      </c>
      <c r="N3494" s="347"/>
      <c r="O3494" s="79"/>
      <c r="P3494" s="423"/>
      <c r="Q3494" s="81"/>
      <c r="R3494" s="111"/>
      <c r="S3494" s="357"/>
      <c r="T3494" s="111"/>
      <c r="U3494" s="388"/>
      <c r="V3494" s="426"/>
      <c r="Y3494" s="393">
        <f>+IFERROR((Y3462/Q3494*P3494),0)</f>
        <v>0</v>
      </c>
      <c r="Z3494" s="391">
        <f>Y3462*V3494</f>
        <v>0</v>
      </c>
      <c r="AA3494" s="86"/>
      <c r="AB3494" s="92">
        <f>+(U3494)*Y3494*P3494</f>
        <v>0</v>
      </c>
      <c r="AC3494" s="93">
        <f>+AB3494-Z3494</f>
        <v>0</v>
      </c>
      <c r="AD3494" s="94"/>
      <c r="AE3494" s="410" t="str">
        <f>+IF(V3494=0,"CERO","NO")</f>
        <v>CERO</v>
      </c>
    </row>
    <row r="3495" spans="3:31" s="260" customFormat="1" ht="15.75" thickBot="1" x14ac:dyDescent="0.3">
      <c r="C3495" s="84"/>
      <c r="D3495" s="375" t="s">
        <v>128</v>
      </c>
      <c r="E3495" s="376" t="s">
        <v>129</v>
      </c>
      <c r="F3495" s="376" t="s">
        <v>130</v>
      </c>
      <c r="G3495" s="376" t="s">
        <v>131</v>
      </c>
      <c r="H3495" s="376" t="s">
        <v>132</v>
      </c>
      <c r="I3495" s="376" t="s">
        <v>133</v>
      </c>
      <c r="J3495" s="377" t="s">
        <v>134</v>
      </c>
      <c r="K3495" s="88"/>
      <c r="M3495" s="534"/>
      <c r="N3495" s="536" t="s">
        <v>120</v>
      </c>
      <c r="O3495" s="536"/>
      <c r="P3495" s="536"/>
      <c r="Q3495" s="536"/>
      <c r="R3495" s="536"/>
      <c r="S3495" s="536"/>
      <c r="T3495" s="536"/>
      <c r="U3495" s="536"/>
      <c r="V3495" s="82">
        <f>+SUM(V3492:V3494)</f>
        <v>19458.533333333333</v>
      </c>
      <c r="Y3495" s="398" t="s">
        <v>135</v>
      </c>
      <c r="Z3495" s="397">
        <f>+SUM(Z3492:Z3494)</f>
        <v>599322.82666666666</v>
      </c>
      <c r="AA3495" s="86"/>
      <c r="AB3495" s="384"/>
      <c r="AC3495" s="385"/>
      <c r="AD3495" s="94"/>
      <c r="AE3495" s="399"/>
    </row>
    <row r="3496" spans="3:31" s="260" customFormat="1" ht="15.75" thickBot="1" x14ac:dyDescent="0.3">
      <c r="C3496" s="84"/>
      <c r="D3496" s="354"/>
      <c r="E3496" s="96"/>
      <c r="F3496" s="96"/>
      <c r="G3496" s="107">
        <f>+F3489</f>
        <v>3.22</v>
      </c>
      <c r="H3496" s="96"/>
      <c r="I3496" s="96"/>
      <c r="J3496" s="427"/>
      <c r="K3496" s="88"/>
      <c r="M3496" s="535"/>
      <c r="N3496" s="537" t="s">
        <v>121</v>
      </c>
      <c r="O3496" s="537"/>
      <c r="P3496" s="537"/>
      <c r="Q3496" s="537"/>
      <c r="R3496" s="537"/>
      <c r="S3496" s="537"/>
      <c r="T3496" s="537"/>
      <c r="U3496" s="537"/>
      <c r="V3496" s="413">
        <f>+ROUND(V3495,$AA$5)</f>
        <v>19458.53</v>
      </c>
      <c r="Y3496" s="401" t="s">
        <v>136</v>
      </c>
      <c r="Z3496" s="402">
        <f>+ROUND(Z3495,$AA$5)</f>
        <v>599322.82999999996</v>
      </c>
      <c r="AA3496" s="86"/>
      <c r="AB3496" s="403">
        <f>+V3496*Y3462</f>
        <v>599322.72399999993</v>
      </c>
      <c r="AC3496" s="404">
        <f>+AB3496-Z3496</f>
        <v>-0.106000000028871</v>
      </c>
      <c r="AD3496" s="94"/>
      <c r="AE3496" s="405"/>
    </row>
    <row r="3497" spans="3:31" s="260" customFormat="1" ht="15.75" thickBot="1" x14ac:dyDescent="0.3">
      <c r="C3497" s="84"/>
      <c r="D3497" s="375" t="s">
        <v>128</v>
      </c>
      <c r="E3497" s="376" t="s">
        <v>129</v>
      </c>
      <c r="F3497" s="376" t="s">
        <v>130</v>
      </c>
      <c r="G3497" s="376" t="s">
        <v>131</v>
      </c>
      <c r="H3497" s="376" t="s">
        <v>132</v>
      </c>
      <c r="I3497" s="376" t="s">
        <v>133</v>
      </c>
      <c r="J3497" s="377" t="s">
        <v>134</v>
      </c>
      <c r="K3497" s="88"/>
      <c r="M3497" s="541"/>
      <c r="N3497" s="542"/>
      <c r="O3497" s="542"/>
      <c r="P3497" s="542"/>
      <c r="Q3497" s="542"/>
      <c r="R3497" s="542"/>
      <c r="S3497" s="542"/>
      <c r="T3497" s="542"/>
      <c r="U3497" s="542"/>
      <c r="V3497" s="543"/>
      <c r="Y3497" s="378"/>
      <c r="Z3497" s="121"/>
      <c r="AA3497" s="86"/>
      <c r="AB3497" s="409"/>
      <c r="AC3497" s="121"/>
      <c r="AD3497" s="94"/>
      <c r="AE3497" s="428"/>
    </row>
    <row r="3498" spans="3:31" s="260" customFormat="1" ht="15.75" thickBot="1" x14ac:dyDescent="0.3">
      <c r="C3498" s="84"/>
      <c r="D3498" s="355"/>
      <c r="E3498" s="367"/>
      <c r="F3498" s="367"/>
      <c r="G3498" s="367"/>
      <c r="H3498" s="412">
        <f>G3496</f>
        <v>3.22</v>
      </c>
      <c r="I3498" s="412"/>
      <c r="J3498" s="422"/>
      <c r="K3498" s="88"/>
      <c r="M3498" s="544" t="s">
        <v>122</v>
      </c>
      <c r="N3498" s="537"/>
      <c r="O3498" s="537"/>
      <c r="P3498" s="537"/>
      <c r="Q3498" s="537"/>
      <c r="R3498" s="537"/>
      <c r="S3498" s="537"/>
      <c r="T3498" s="537"/>
      <c r="U3498" s="545">
        <f>+V3496+V3489+V3481+V3472</f>
        <v>94823.01</v>
      </c>
      <c r="V3498" s="546"/>
      <c r="Y3498" s="429"/>
      <c r="Z3498" s="430">
        <f>+Z3496+Z3489+Z3481+Z3472</f>
        <v>2920548.8700000006</v>
      </c>
      <c r="AA3498" s="86"/>
      <c r="AB3498" s="431">
        <f>+AB3496+AB3489+AB3481+AB3472</f>
        <v>2920548.7080000001</v>
      </c>
      <c r="AC3498" s="404">
        <f>+AB3498-Z3498</f>
        <v>-0.16200000047683716</v>
      </c>
      <c r="AD3498" s="94"/>
      <c r="AE3498" s="432"/>
    </row>
    <row r="3499" spans="3:31" s="260" customFormat="1" ht="15.75" thickBot="1" x14ac:dyDescent="0.3"/>
    <row r="3500" spans="3:31" s="260" customFormat="1" x14ac:dyDescent="0.25">
      <c r="M3500" s="547" t="s">
        <v>348</v>
      </c>
      <c r="N3500" s="548"/>
      <c r="O3500" s="548"/>
      <c r="P3500" s="548"/>
      <c r="Q3500" s="548"/>
      <c r="R3500" s="548"/>
      <c r="S3500" s="548"/>
      <c r="T3500" s="548"/>
      <c r="U3500" s="548"/>
      <c r="V3500" s="549"/>
      <c r="Y3500" s="378"/>
      <c r="Z3500" s="121"/>
      <c r="AA3500" s="86"/>
      <c r="AB3500" s="94"/>
      <c r="AC3500" s="94"/>
      <c r="AD3500" s="94"/>
      <c r="AE3500" s="126" t="s">
        <v>133</v>
      </c>
    </row>
    <row r="3501" spans="3:31" s="260" customFormat="1" x14ac:dyDescent="0.25">
      <c r="M3501" s="515" t="s">
        <v>138</v>
      </c>
      <c r="N3501" s="516"/>
      <c r="O3501" s="516"/>
      <c r="P3501" s="516"/>
      <c r="Q3501" s="516"/>
      <c r="R3501" s="516"/>
      <c r="S3501" s="516"/>
      <c r="T3501" s="437">
        <v>0</v>
      </c>
      <c r="U3501" s="517">
        <f>+ROUND(U3498*T3501,$AA$5)</f>
        <v>0</v>
      </c>
      <c r="V3501" s="518"/>
      <c r="Y3501" s="390"/>
      <c r="Z3501" s="438">
        <f>+Z3498*T3501</f>
        <v>0</v>
      </c>
      <c r="AA3501" s="86"/>
      <c r="AB3501" s="94"/>
      <c r="AC3501" s="94"/>
      <c r="AD3501" s="94"/>
      <c r="AE3501" s="386" t="s">
        <v>133</v>
      </c>
    </row>
    <row r="3502" spans="3:31" s="260" customFormat="1" x14ac:dyDescent="0.25">
      <c r="M3502" s="515" t="s">
        <v>19</v>
      </c>
      <c r="N3502" s="516"/>
      <c r="O3502" s="516"/>
      <c r="P3502" s="516"/>
      <c r="Q3502" s="516"/>
      <c r="R3502" s="516"/>
      <c r="S3502" s="516"/>
      <c r="T3502" s="437">
        <v>0.05</v>
      </c>
      <c r="U3502" s="517">
        <f>+ROUND(U3498*T3502,$AA$5)</f>
        <v>4741.1499999999996</v>
      </c>
      <c r="V3502" s="518"/>
      <c r="Y3502" s="390"/>
      <c r="Z3502" s="438">
        <f>+Z3498*T3502</f>
        <v>146027.44350000002</v>
      </c>
      <c r="AA3502" s="86"/>
      <c r="AB3502" s="94"/>
      <c r="AC3502" s="94"/>
      <c r="AD3502" s="94"/>
      <c r="AE3502" s="386" t="s">
        <v>133</v>
      </c>
    </row>
    <row r="3503" spans="3:31" s="260" customFormat="1" x14ac:dyDescent="0.25">
      <c r="M3503" s="515" t="s">
        <v>20</v>
      </c>
      <c r="N3503" s="516"/>
      <c r="O3503" s="516"/>
      <c r="P3503" s="516"/>
      <c r="Q3503" s="516"/>
      <c r="R3503" s="516"/>
      <c r="S3503" s="516"/>
      <c r="T3503" s="437">
        <v>0</v>
      </c>
      <c r="U3503" s="517">
        <f>+ROUND(U3498*T3503,$AA$5)</f>
        <v>0</v>
      </c>
      <c r="V3503" s="518"/>
      <c r="Y3503" s="390"/>
      <c r="Z3503" s="438">
        <f>+Z3498*T3503</f>
        <v>0</v>
      </c>
      <c r="AA3503" s="86"/>
      <c r="AB3503" s="94"/>
      <c r="AC3503" s="94"/>
      <c r="AD3503" s="94"/>
      <c r="AE3503" s="386" t="s">
        <v>133</v>
      </c>
    </row>
    <row r="3504" spans="3:31" s="260" customFormat="1" x14ac:dyDescent="0.25">
      <c r="M3504" s="515" t="s">
        <v>21</v>
      </c>
      <c r="N3504" s="516"/>
      <c r="O3504" s="516"/>
      <c r="P3504" s="516"/>
      <c r="Q3504" s="516"/>
      <c r="R3504" s="516"/>
      <c r="S3504" s="516"/>
      <c r="T3504" s="437">
        <f>$AA$9</f>
        <v>0</v>
      </c>
      <c r="U3504" s="517">
        <f>+ROUND(U3498*T3504,$AA$5)</f>
        <v>0</v>
      </c>
      <c r="V3504" s="518"/>
      <c r="Y3504" s="390"/>
      <c r="Z3504" s="438">
        <f>+Z3503*T3504</f>
        <v>0</v>
      </c>
      <c r="AA3504" s="86"/>
      <c r="AB3504" s="94"/>
      <c r="AC3504" s="94"/>
      <c r="AD3504" s="94"/>
      <c r="AE3504" s="386" t="s">
        <v>133</v>
      </c>
    </row>
    <row r="3505" spans="3:31" s="260" customFormat="1" ht="15.75" thickBot="1" x14ac:dyDescent="0.3">
      <c r="M3505" s="519" t="s">
        <v>349</v>
      </c>
      <c r="N3505" s="520"/>
      <c r="O3505" s="520"/>
      <c r="P3505" s="520"/>
      <c r="Q3505" s="520"/>
      <c r="R3505" s="520"/>
      <c r="S3505" s="520"/>
      <c r="T3505" s="520"/>
      <c r="U3505" s="521">
        <f>+SUM(U3501:V3504)</f>
        <v>4741.1499999999996</v>
      </c>
      <c r="V3505" s="522"/>
      <c r="Y3505" s="390"/>
      <c r="Z3505" s="439">
        <f>+SUM(Z3501:Z3504)</f>
        <v>146027.44350000002</v>
      </c>
      <c r="AA3505" s="86"/>
      <c r="AB3505" s="94"/>
      <c r="AC3505" s="94"/>
      <c r="AD3505" s="94"/>
      <c r="AE3505" s="386" t="s">
        <v>133</v>
      </c>
    </row>
    <row r="3506" spans="3:31" s="260" customFormat="1" ht="15.75" thickBot="1" x14ac:dyDescent="0.3">
      <c r="D3506" s="375" t="s">
        <v>128</v>
      </c>
      <c r="E3506" s="376" t="s">
        <v>129</v>
      </c>
      <c r="F3506" s="376" t="s">
        <v>130</v>
      </c>
      <c r="G3506" s="376" t="s">
        <v>131</v>
      </c>
      <c r="H3506" s="376" t="s">
        <v>132</v>
      </c>
      <c r="I3506" s="376" t="s">
        <v>133</v>
      </c>
      <c r="J3506" s="377" t="s">
        <v>134</v>
      </c>
      <c r="M3506" s="86"/>
      <c r="N3506" s="94"/>
      <c r="O3506" s="94"/>
      <c r="P3506" s="94"/>
      <c r="Q3506" s="86"/>
      <c r="R3506" s="86"/>
      <c r="S3506" s="86"/>
      <c r="T3506" s="440"/>
      <c r="U3506" s="523"/>
      <c r="V3506" s="523"/>
      <c r="Y3506" s="390"/>
      <c r="Z3506" s="385"/>
      <c r="AA3506" s="86"/>
      <c r="AB3506" s="94"/>
      <c r="AC3506" s="94"/>
      <c r="AD3506" s="94"/>
      <c r="AE3506" s="386" t="s">
        <v>133</v>
      </c>
    </row>
    <row r="3507" spans="3:31" s="260" customFormat="1" ht="15.75" thickBot="1" x14ac:dyDescent="0.3">
      <c r="D3507" s="355"/>
      <c r="E3507" s="367"/>
      <c r="F3507" s="367"/>
      <c r="G3507" s="367"/>
      <c r="H3507" s="412"/>
      <c r="I3507" s="412">
        <f>H3498</f>
        <v>3.22</v>
      </c>
      <c r="J3507" s="422"/>
      <c r="M3507" s="524" t="s">
        <v>11</v>
      </c>
      <c r="N3507" s="525"/>
      <c r="O3507" s="525"/>
      <c r="P3507" s="525"/>
      <c r="Q3507" s="525"/>
      <c r="R3507" s="525"/>
      <c r="S3507" s="525"/>
      <c r="T3507" s="526"/>
      <c r="U3507" s="527">
        <f>+U3505+U3498</f>
        <v>99564.159999999989</v>
      </c>
      <c r="V3507" s="528"/>
      <c r="Y3507" s="429"/>
      <c r="Z3507" s="441">
        <f>+Z3505+Z3498</f>
        <v>3066576.3135000006</v>
      </c>
      <c r="AA3507" s="86"/>
      <c r="AB3507" s="94"/>
      <c r="AC3507" s="94"/>
      <c r="AD3507" s="94"/>
      <c r="AE3507" s="405" t="s">
        <v>133</v>
      </c>
    </row>
    <row r="3508" spans="3:31" s="260" customFormat="1" x14ac:dyDescent="0.25"/>
    <row r="3509" spans="3:31" s="260" customFormat="1" ht="15.75" thickBot="1" x14ac:dyDescent="0.3"/>
    <row r="3510" spans="3:31" s="260" customFormat="1" ht="15.75" thickBot="1" x14ac:dyDescent="0.3">
      <c r="M3510" s="363" t="s">
        <v>88</v>
      </c>
      <c r="N3510" s="436" t="str">
        <f>+N3461</f>
        <v>CAP.3</v>
      </c>
      <c r="O3510" s="550" t="str">
        <f>IFERROR(VLOOKUP(N3510,PPTO!C:H,2,0),"----")</f>
        <v>RED CONTRAINCENDIOS</v>
      </c>
      <c r="P3510" s="551"/>
      <c r="Q3510" s="551"/>
      <c r="R3510" s="551"/>
      <c r="S3510" s="551"/>
      <c r="T3510" s="551"/>
      <c r="U3510" s="552"/>
      <c r="V3510" s="74" t="s">
        <v>91</v>
      </c>
      <c r="Y3510" s="365" t="s">
        <v>104</v>
      </c>
      <c r="Z3510" s="94"/>
      <c r="AA3510" s="188"/>
      <c r="AB3510" s="553"/>
      <c r="AC3510" s="553"/>
      <c r="AD3510" s="553"/>
      <c r="AE3510" s="94"/>
    </row>
    <row r="3511" spans="3:31" s="260" customFormat="1" ht="15.75" thickBot="1" x14ac:dyDescent="0.3">
      <c r="C3511" s="369">
        <f>+N3511</f>
        <v>3.23</v>
      </c>
      <c r="D3511" s="86"/>
      <c r="E3511" s="86"/>
      <c r="F3511" s="86"/>
      <c r="G3511" s="86"/>
      <c r="H3511" s="86"/>
      <c r="I3511" s="86"/>
      <c r="J3511" s="86"/>
      <c r="K3511" s="370"/>
      <c r="M3511" s="75" t="s">
        <v>92</v>
      </c>
      <c r="N3511" s="371">
        <f>+ROUNDUP(N3462+0.01,2)</f>
        <v>3.23</v>
      </c>
      <c r="O3511" s="554" t="str">
        <f>IFERROR(VLOOKUP(N3511,PPTO!C:H,2,0),"----")</f>
        <v>Tuberia Acero Galvanizado Ø1 1/4"</v>
      </c>
      <c r="P3511" s="555"/>
      <c r="Q3511" s="555"/>
      <c r="R3511" s="555"/>
      <c r="S3511" s="555"/>
      <c r="T3511" s="555"/>
      <c r="U3511" s="556"/>
      <c r="V3511" s="76" t="str">
        <f>IFERROR(VLOOKUP(N3511,PPTO!C:H,3,0),"----")</f>
        <v>ML</v>
      </c>
      <c r="Y3511" s="373">
        <f>SUMIFS(PPTO!F:F,PPTO!C:C,APUS!N3511)</f>
        <v>0.5</v>
      </c>
      <c r="Z3511" s="94"/>
      <c r="AA3511" s="86"/>
      <c r="AB3511" s="94"/>
      <c r="AC3511" s="94"/>
      <c r="AD3511" s="94"/>
      <c r="AE3511" s="94"/>
    </row>
    <row r="3512" spans="3:31" s="260" customFormat="1" ht="15.75" thickBot="1" x14ac:dyDescent="0.3">
      <c r="C3512" s="84"/>
      <c r="D3512" s="86"/>
      <c r="E3512" s="86"/>
      <c r="F3512" s="86"/>
      <c r="G3512" s="86"/>
      <c r="H3512" s="86"/>
      <c r="I3512" s="86"/>
      <c r="J3512" s="86"/>
      <c r="K3512" s="88"/>
      <c r="M3512" s="557"/>
      <c r="N3512" s="557"/>
      <c r="O3512" s="557"/>
      <c r="P3512" s="557"/>
      <c r="Q3512" s="557"/>
      <c r="R3512" s="557"/>
      <c r="S3512" s="557"/>
      <c r="T3512" s="557"/>
      <c r="U3512" s="557"/>
      <c r="V3512" s="557"/>
      <c r="Y3512" s="374"/>
      <c r="Z3512" s="94"/>
      <c r="AA3512" s="86"/>
      <c r="AB3512" s="94"/>
      <c r="AC3512" s="94"/>
      <c r="AD3512" s="94"/>
      <c r="AE3512" s="94"/>
    </row>
    <row r="3513" spans="3:31" s="260" customFormat="1" ht="15.75" thickBot="1" x14ac:dyDescent="0.3">
      <c r="C3513" s="84"/>
      <c r="D3513" s="375" t="s">
        <v>128</v>
      </c>
      <c r="E3513" s="376" t="s">
        <v>129</v>
      </c>
      <c r="F3513" s="376" t="s">
        <v>130</v>
      </c>
      <c r="G3513" s="376" t="s">
        <v>131</v>
      </c>
      <c r="H3513" s="376" t="s">
        <v>132</v>
      </c>
      <c r="I3513" s="376" t="s">
        <v>133</v>
      </c>
      <c r="J3513" s="377" t="s">
        <v>134</v>
      </c>
      <c r="K3513" s="88"/>
      <c r="M3513" s="558" t="s">
        <v>93</v>
      </c>
      <c r="N3513" s="559"/>
      <c r="O3513" s="559"/>
      <c r="P3513" s="559"/>
      <c r="Q3513" s="559"/>
      <c r="R3513" s="559"/>
      <c r="S3513" s="559"/>
      <c r="T3513" s="559"/>
      <c r="U3513" s="559"/>
      <c r="V3513" s="560"/>
      <c r="Y3513" s="378"/>
      <c r="Z3513" s="121"/>
      <c r="AA3513" s="86"/>
      <c r="AB3513" s="513"/>
      <c r="AC3513" s="514"/>
      <c r="AD3513" s="94"/>
      <c r="AE3513" s="379"/>
    </row>
    <row r="3514" spans="3:31" s="260" customFormat="1" x14ac:dyDescent="0.25">
      <c r="C3514" s="84"/>
      <c r="D3514" s="380"/>
      <c r="E3514" s="381"/>
      <c r="F3514" s="381"/>
      <c r="G3514" s="381"/>
      <c r="H3514" s="381"/>
      <c r="I3514" s="381"/>
      <c r="J3514" s="382"/>
      <c r="K3514" s="88"/>
      <c r="M3514" s="99" t="s">
        <v>94</v>
      </c>
      <c r="N3514" s="561" t="s">
        <v>95</v>
      </c>
      <c r="O3514" s="561"/>
      <c r="P3514" s="561"/>
      <c r="Q3514" s="561"/>
      <c r="R3514" s="95" t="s">
        <v>96</v>
      </c>
      <c r="S3514" s="95" t="s">
        <v>97</v>
      </c>
      <c r="T3514" s="562" t="s">
        <v>8</v>
      </c>
      <c r="U3514" s="562"/>
      <c r="V3514" s="100" t="s">
        <v>98</v>
      </c>
      <c r="Y3514" s="383" t="s">
        <v>104</v>
      </c>
      <c r="Z3514" s="119" t="s">
        <v>9</v>
      </c>
      <c r="AA3514" s="86"/>
      <c r="AB3514" s="384"/>
      <c r="AC3514" s="385"/>
      <c r="AD3514" s="94"/>
      <c r="AE3514" s="386"/>
    </row>
    <row r="3515" spans="3:31" s="260" customFormat="1" x14ac:dyDescent="0.25">
      <c r="C3515" s="84"/>
      <c r="D3515" s="85"/>
      <c r="E3515" s="86"/>
      <c r="F3515" s="86"/>
      <c r="G3515" s="86"/>
      <c r="H3515" s="86"/>
      <c r="I3515" s="86"/>
      <c r="J3515" s="87"/>
      <c r="K3515" s="88"/>
      <c r="M3515" s="102"/>
      <c r="N3515" s="533" t="s">
        <v>99</v>
      </c>
      <c r="O3515" s="533"/>
      <c r="P3515" s="533"/>
      <c r="Q3515" s="533"/>
      <c r="R3515" s="78" t="s">
        <v>100</v>
      </c>
      <c r="S3515" s="387">
        <f>+$AA$10</f>
        <v>0.05</v>
      </c>
      <c r="T3515" s="563">
        <f>V3545</f>
        <v>19458.53</v>
      </c>
      <c r="U3515" s="563"/>
      <c r="V3515" s="389">
        <f>+IFERROR(T3515*S3515,0)</f>
        <v>972.92650000000003</v>
      </c>
      <c r="Y3515" s="390"/>
      <c r="Z3515" s="391">
        <f>Y3511*V3515</f>
        <v>486.46325000000002</v>
      </c>
      <c r="AA3515" s="86"/>
      <c r="AB3515" s="384"/>
      <c r="AC3515" s="385"/>
      <c r="AD3515" s="94"/>
      <c r="AE3515" s="386" t="str">
        <f>+IF(V3515=0,"CERO","NO")</f>
        <v>NO</v>
      </c>
    </row>
    <row r="3516" spans="3:31" s="260" customFormat="1" x14ac:dyDescent="0.25">
      <c r="C3516" s="84"/>
      <c r="D3516" s="85"/>
      <c r="E3516" s="86"/>
      <c r="F3516" s="86"/>
      <c r="G3516" s="86"/>
      <c r="H3516" s="86"/>
      <c r="I3516" s="86"/>
      <c r="J3516" s="87"/>
      <c r="K3516" s="88"/>
      <c r="M3516" s="106"/>
      <c r="N3516" s="533" t="str">
        <f>IFERROR(VLOOKUP(M3516,INSUMOS!$C$8:$K$928,2,0),"-----")</f>
        <v>-----</v>
      </c>
      <c r="O3516" s="533"/>
      <c r="P3516" s="533"/>
      <c r="Q3516" s="533"/>
      <c r="R3516" s="78" t="str">
        <f>IFERROR(VLOOKUP(M3516,INSUMOS!$C$8:$K$928,6,0),"-----")</f>
        <v>-----</v>
      </c>
      <c r="S3516" s="392"/>
      <c r="T3516" s="529" t="str">
        <f>IFERROR(VLOOKUP(M3516,INSUMOS!$C$8:$K$928,7,0),"0")</f>
        <v>0</v>
      </c>
      <c r="U3516" s="529"/>
      <c r="V3516" s="389">
        <f>+IFERROR(T3516*S3516,0)</f>
        <v>0</v>
      </c>
      <c r="Y3516" s="393">
        <f>+IFERROR(Y3511*S3516,0)</f>
        <v>0</v>
      </c>
      <c r="Z3516" s="391">
        <f>Y3511*V3516</f>
        <v>0</v>
      </c>
      <c r="AA3516" s="394"/>
      <c r="AB3516" s="395">
        <f>+Y3516*T3516</f>
        <v>0</v>
      </c>
      <c r="AC3516" s="93">
        <f>+AB3516-Z3516</f>
        <v>0</v>
      </c>
      <c r="AD3516" s="94"/>
      <c r="AE3516" s="386" t="str">
        <f>+IF(V3516=0,"CERO","NO")</f>
        <v>CERO</v>
      </c>
    </row>
    <row r="3517" spans="3:31" s="260" customFormat="1" x14ac:dyDescent="0.25">
      <c r="C3517" s="84"/>
      <c r="D3517" s="85"/>
      <c r="E3517" s="86"/>
      <c r="F3517" s="86"/>
      <c r="G3517" s="86"/>
      <c r="H3517" s="86"/>
      <c r="I3517" s="86"/>
      <c r="J3517" s="87"/>
      <c r="K3517" s="88"/>
      <c r="M3517" s="102">
        <v>0</v>
      </c>
      <c r="N3517" s="533"/>
      <c r="O3517" s="533"/>
      <c r="P3517" s="533"/>
      <c r="Q3517" s="533"/>
      <c r="R3517" s="78"/>
      <c r="S3517" s="396"/>
      <c r="T3517" s="529"/>
      <c r="U3517" s="529"/>
      <c r="V3517" s="397"/>
      <c r="Y3517" s="393">
        <f>+IFERROR(Y3511*S3517,0)</f>
        <v>0</v>
      </c>
      <c r="Z3517" s="391">
        <f>Y3511*V3517</f>
        <v>0</v>
      </c>
      <c r="AA3517" s="394"/>
      <c r="AB3517" s="395">
        <f>+Y3517*T3517</f>
        <v>0</v>
      </c>
      <c r="AC3517" s="93">
        <f>+AB3517-Z3517</f>
        <v>0</v>
      </c>
      <c r="AD3517" s="94"/>
      <c r="AE3517" s="386" t="str">
        <f>+IF(V3517=0,"CERO","NO")</f>
        <v>CERO</v>
      </c>
    </row>
    <row r="3518" spans="3:31" s="260" customFormat="1" x14ac:dyDescent="0.25">
      <c r="C3518" s="84"/>
      <c r="D3518" s="85"/>
      <c r="E3518" s="86"/>
      <c r="F3518" s="86"/>
      <c r="G3518" s="86"/>
      <c r="H3518" s="86"/>
      <c r="I3518" s="86"/>
      <c r="J3518" s="87"/>
      <c r="K3518" s="88"/>
      <c r="M3518" s="102">
        <v>0</v>
      </c>
      <c r="N3518" s="533"/>
      <c r="O3518" s="533"/>
      <c r="P3518" s="533"/>
      <c r="Q3518" s="533"/>
      <c r="R3518" s="78"/>
      <c r="S3518" s="396"/>
      <c r="T3518" s="529"/>
      <c r="U3518" s="529"/>
      <c r="V3518" s="397"/>
      <c r="Y3518" s="393">
        <f>+IFERROR(Y3511*S3518,0)</f>
        <v>0</v>
      </c>
      <c r="Z3518" s="391">
        <f>Y3511*V3518</f>
        <v>0</v>
      </c>
      <c r="AA3518" s="394"/>
      <c r="AB3518" s="395">
        <f>+Y3518*T3518</f>
        <v>0</v>
      </c>
      <c r="AC3518" s="93">
        <f>+AB3518-Z3518</f>
        <v>0</v>
      </c>
      <c r="AD3518" s="94"/>
      <c r="AE3518" s="386" t="str">
        <f>+IF(V3518=0,"CERO","NO")</f>
        <v>CERO</v>
      </c>
    </row>
    <row r="3519" spans="3:31" s="260" customFormat="1" ht="15.75" thickBot="1" x14ac:dyDescent="0.3">
      <c r="C3519" s="84"/>
      <c r="D3519" s="85"/>
      <c r="E3519" s="86"/>
      <c r="F3519" s="86"/>
      <c r="G3519" s="86"/>
      <c r="H3519" s="86"/>
      <c r="I3519" s="86"/>
      <c r="J3519" s="87"/>
      <c r="K3519" s="88"/>
      <c r="M3519" s="102">
        <v>0</v>
      </c>
      <c r="N3519" s="564"/>
      <c r="O3519" s="564"/>
      <c r="P3519" s="564"/>
      <c r="Q3519" s="564"/>
      <c r="R3519" s="96"/>
      <c r="S3519" s="96"/>
      <c r="T3519" s="565"/>
      <c r="U3519" s="565"/>
      <c r="V3519" s="101"/>
      <c r="Y3519" s="393">
        <f>+IFERROR(Y3511*S3519,0)</f>
        <v>0</v>
      </c>
      <c r="Z3519" s="391">
        <f>Y3511*V3519</f>
        <v>0</v>
      </c>
      <c r="AA3519" s="394"/>
      <c r="AB3519" s="395">
        <f>+Y3519*T3519</f>
        <v>0</v>
      </c>
      <c r="AC3519" s="93">
        <f>+AB3519-Z3519</f>
        <v>0</v>
      </c>
      <c r="AD3519" s="94"/>
      <c r="AE3519" s="386" t="str">
        <f>+IF(V3519=0,"CERO","NO")</f>
        <v>CERO</v>
      </c>
    </row>
    <row r="3520" spans="3:31" s="260" customFormat="1" ht="15.75" thickBot="1" x14ac:dyDescent="0.3">
      <c r="C3520" s="84"/>
      <c r="D3520" s="375" t="s">
        <v>128</v>
      </c>
      <c r="E3520" s="376" t="s">
        <v>129</v>
      </c>
      <c r="F3520" s="376" t="s">
        <v>130</v>
      </c>
      <c r="G3520" s="376" t="s">
        <v>131</v>
      </c>
      <c r="H3520" s="376" t="s">
        <v>132</v>
      </c>
      <c r="I3520" s="376" t="s">
        <v>133</v>
      </c>
      <c r="J3520" s="377" t="s">
        <v>134</v>
      </c>
      <c r="K3520" s="88"/>
      <c r="M3520" s="534"/>
      <c r="N3520" s="536" t="s">
        <v>101</v>
      </c>
      <c r="O3520" s="536"/>
      <c r="P3520" s="536"/>
      <c r="Q3520" s="536"/>
      <c r="R3520" s="536"/>
      <c r="S3520" s="536"/>
      <c r="T3520" s="536"/>
      <c r="U3520" s="536"/>
      <c r="V3520" s="389">
        <f>+SUM(V3515:V3519)</f>
        <v>972.92650000000003</v>
      </c>
      <c r="Y3520" s="398" t="s">
        <v>135</v>
      </c>
      <c r="Z3520" s="397">
        <f>+SUM(Z3515:Z3519)</f>
        <v>486.46325000000002</v>
      </c>
      <c r="AA3520" s="86"/>
      <c r="AB3520" s="384"/>
      <c r="AC3520" s="385"/>
      <c r="AD3520" s="94"/>
      <c r="AE3520" s="399"/>
    </row>
    <row r="3521" spans="3:31" s="260" customFormat="1" ht="15.75" thickBot="1" x14ac:dyDescent="0.3">
      <c r="C3521" s="84"/>
      <c r="D3521" s="375">
        <f>C3511</f>
        <v>3.23</v>
      </c>
      <c r="E3521" s="376"/>
      <c r="F3521" s="376"/>
      <c r="G3521" s="376"/>
      <c r="H3521" s="376"/>
      <c r="I3521" s="376"/>
      <c r="J3521" s="377"/>
      <c r="K3521" s="88"/>
      <c r="M3521" s="566"/>
      <c r="N3521" s="567" t="s">
        <v>102</v>
      </c>
      <c r="O3521" s="567"/>
      <c r="P3521" s="567"/>
      <c r="Q3521" s="567"/>
      <c r="R3521" s="567"/>
      <c r="S3521" s="567"/>
      <c r="T3521" s="567"/>
      <c r="U3521" s="567"/>
      <c r="V3521" s="400">
        <f>+ROUND(V3520,$AA$5)</f>
        <v>972.93</v>
      </c>
      <c r="Y3521" s="401" t="s">
        <v>136</v>
      </c>
      <c r="Z3521" s="402">
        <f>+ROUND(Z3520,$AA$5)</f>
        <v>486.46</v>
      </c>
      <c r="AA3521" s="86"/>
      <c r="AB3521" s="403">
        <f>+V3521*Y3511</f>
        <v>486.46499999999997</v>
      </c>
      <c r="AC3521" s="404">
        <f>+AB3521-Z3521</f>
        <v>4.9999999999954525E-3</v>
      </c>
      <c r="AD3521" s="94"/>
      <c r="AE3521" s="405"/>
    </row>
    <row r="3522" spans="3:31" s="260" customFormat="1" x14ac:dyDescent="0.25">
      <c r="C3522" s="84"/>
      <c r="D3522" s="380"/>
      <c r="E3522" s="381"/>
      <c r="F3522" s="381"/>
      <c r="G3522" s="381"/>
      <c r="H3522" s="381"/>
      <c r="I3522" s="381"/>
      <c r="J3522" s="382"/>
      <c r="K3522" s="88"/>
      <c r="M3522" s="510" t="s">
        <v>103</v>
      </c>
      <c r="N3522" s="511"/>
      <c r="O3522" s="511"/>
      <c r="P3522" s="511"/>
      <c r="Q3522" s="511"/>
      <c r="R3522" s="511"/>
      <c r="S3522" s="511"/>
      <c r="T3522" s="511"/>
      <c r="U3522" s="511"/>
      <c r="V3522" s="512"/>
      <c r="Y3522" s="378"/>
      <c r="Z3522" s="121"/>
      <c r="AA3522" s="86"/>
      <c r="AB3522" s="513"/>
      <c r="AC3522" s="514"/>
      <c r="AD3522" s="94"/>
      <c r="AE3522" s="126"/>
    </row>
    <row r="3523" spans="3:31" s="260" customFormat="1" x14ac:dyDescent="0.25">
      <c r="C3523" s="84"/>
      <c r="D3523" s="85"/>
      <c r="E3523" s="86"/>
      <c r="F3523" s="86"/>
      <c r="G3523" s="86"/>
      <c r="H3523" s="86"/>
      <c r="I3523" s="86"/>
      <c r="J3523" s="87"/>
      <c r="K3523" s="88"/>
      <c r="M3523" s="99" t="s">
        <v>94</v>
      </c>
      <c r="N3523" s="561" t="s">
        <v>95</v>
      </c>
      <c r="O3523" s="561"/>
      <c r="P3523" s="561"/>
      <c r="Q3523" s="561"/>
      <c r="R3523" s="95" t="s">
        <v>96</v>
      </c>
      <c r="S3523" s="95" t="s">
        <v>104</v>
      </c>
      <c r="T3523" s="356" t="s">
        <v>105</v>
      </c>
      <c r="U3523" s="356" t="s">
        <v>8</v>
      </c>
      <c r="V3523" s="100" t="s">
        <v>98</v>
      </c>
      <c r="Y3523" s="383" t="s">
        <v>104</v>
      </c>
      <c r="Z3523" s="119" t="s">
        <v>9</v>
      </c>
      <c r="AA3523" s="86"/>
      <c r="AB3523" s="384"/>
      <c r="AC3523" s="385"/>
      <c r="AD3523" s="94"/>
      <c r="AE3523" s="406"/>
    </row>
    <row r="3524" spans="3:31" s="260" customFormat="1" x14ac:dyDescent="0.25">
      <c r="C3524" s="84"/>
      <c r="D3524" s="85"/>
      <c r="E3524" s="86"/>
      <c r="F3524" s="86"/>
      <c r="G3524" s="86"/>
      <c r="H3524" s="86"/>
      <c r="I3524" s="86"/>
      <c r="J3524" s="87"/>
      <c r="K3524" s="88"/>
      <c r="M3524" s="102">
        <v>932</v>
      </c>
      <c r="N3524" s="533" t="str">
        <f>IFERROR(VLOOKUP(M3524,INSUMOS!$C$8:$K$928,2,0),"-----")</f>
        <v>TUBERIA ACERO AL CARBON SCH40 ROJA RANURADA Ø1 1/4"</v>
      </c>
      <c r="O3524" s="533"/>
      <c r="P3524" s="533"/>
      <c r="Q3524" s="533"/>
      <c r="R3524" s="78" t="str">
        <f>IFERROR(VLOOKUP(M3524,INSUMOS!$C$8:$K$928,6,0),"-----")</f>
        <v>ml</v>
      </c>
      <c r="S3524" s="396">
        <v>1</v>
      </c>
      <c r="T3524" s="387">
        <v>0</v>
      </c>
      <c r="U3524" s="388">
        <f>IFERROR(VLOOKUP(M3524,INSUMOS!$C$8:$K$928,7,0),"0")</f>
        <v>62144.333333333336</v>
      </c>
      <c r="V3524" s="389">
        <f>+IFERROR(U3524*(S3524*(1+T3524)),0)</f>
        <v>62144.333333333336</v>
      </c>
      <c r="Y3524" s="393">
        <f>+IFERROR(Y3511*(S3524*(1+T3524)),0)</f>
        <v>0.5</v>
      </c>
      <c r="Z3524" s="391">
        <f>Y3511*V3524</f>
        <v>31072.166666666668</v>
      </c>
      <c r="AA3524" s="394"/>
      <c r="AB3524" s="395">
        <f>+Y3524*U3524</f>
        <v>31072.166666666668</v>
      </c>
      <c r="AC3524" s="93">
        <f>+AB3524-Z3524</f>
        <v>0</v>
      </c>
      <c r="AD3524" s="94"/>
      <c r="AE3524" s="406" t="str">
        <f>+IF(V3524=0,"CERO","NO")</f>
        <v>NO</v>
      </c>
    </row>
    <row r="3525" spans="3:31" s="260" customFormat="1" x14ac:dyDescent="0.25">
      <c r="C3525" s="84"/>
      <c r="D3525" s="85"/>
      <c r="E3525" s="86"/>
      <c r="F3525" s="86"/>
      <c r="G3525" s="86"/>
      <c r="H3525" s="86"/>
      <c r="I3525" s="86"/>
      <c r="J3525" s="87"/>
      <c r="K3525" s="88"/>
      <c r="M3525" s="102"/>
      <c r="N3525" s="533" t="str">
        <f>IFERROR(VLOOKUP(M3525,INSUMOS!$C$8:$K$928,2,0),"-----")</f>
        <v>-----</v>
      </c>
      <c r="O3525" s="533"/>
      <c r="P3525" s="533"/>
      <c r="Q3525" s="533"/>
      <c r="R3525" s="78" t="str">
        <f>IFERROR(VLOOKUP(M3525,INSUMOS!$C$8:$K$928,6,0),"-----")</f>
        <v>-----</v>
      </c>
      <c r="S3525" s="392"/>
      <c r="T3525" s="387">
        <v>0</v>
      </c>
      <c r="U3525" s="388" t="str">
        <f>IFERROR(VLOOKUP(M3525,INSUMOS!$C$8:$K$928,7,0),"0")</f>
        <v>0</v>
      </c>
      <c r="V3525" s="389">
        <f>+IFERROR(U3525*(S3525*(1+T3525)),0)</f>
        <v>0</v>
      </c>
      <c r="Y3525" s="393">
        <f>+IFERROR(Y3511*(S3525*(1+T3525)),0)</f>
        <v>0</v>
      </c>
      <c r="Z3525" s="391">
        <f>Y3511*V3525</f>
        <v>0</v>
      </c>
      <c r="AA3525" s="394"/>
      <c r="AB3525" s="395">
        <f>+Y3525*U3525</f>
        <v>0</v>
      </c>
      <c r="AC3525" s="93">
        <f>+AB3525-Z3525</f>
        <v>0</v>
      </c>
      <c r="AD3525" s="94"/>
      <c r="AE3525" s="406" t="str">
        <f>+IF(V3525=0,"CERO","NO")</f>
        <v>CERO</v>
      </c>
    </row>
    <row r="3526" spans="3:31" s="260" customFormat="1" x14ac:dyDescent="0.25">
      <c r="C3526" s="84"/>
      <c r="D3526" s="85"/>
      <c r="E3526" s="86"/>
      <c r="F3526" s="86"/>
      <c r="G3526" s="86"/>
      <c r="H3526" s="86"/>
      <c r="I3526" s="86"/>
      <c r="J3526" s="87"/>
      <c r="K3526" s="88"/>
      <c r="M3526" s="102"/>
      <c r="N3526" s="533" t="str">
        <f>IFERROR(VLOOKUP(M3526,INSUMOS!$C$8:$K$928,2,0),"-----")</f>
        <v>-----</v>
      </c>
      <c r="O3526" s="533"/>
      <c r="P3526" s="533"/>
      <c r="Q3526" s="533"/>
      <c r="R3526" s="78" t="str">
        <f>IFERROR(VLOOKUP(M3526,INSUMOS!$C$8:$K$928,6,0),"-----")</f>
        <v>-----</v>
      </c>
      <c r="S3526" s="396"/>
      <c r="T3526" s="387">
        <v>0</v>
      </c>
      <c r="U3526" s="388" t="str">
        <f>IFERROR(VLOOKUP(M3526,INSUMOS!$C$8:$K$928,7,0),"0")</f>
        <v>0</v>
      </c>
      <c r="V3526" s="389">
        <f>+IFERROR(U3526*(S3526*(1+T3526)),0)</f>
        <v>0</v>
      </c>
      <c r="Y3526" s="393">
        <f>+IFERROR(Y3511*(S3526*(1+T3526)),0)</f>
        <v>0</v>
      </c>
      <c r="Z3526" s="391">
        <f>Y3511*V3526</f>
        <v>0</v>
      </c>
      <c r="AA3526" s="394"/>
      <c r="AB3526" s="395">
        <f>+Y3526*U3526</f>
        <v>0</v>
      </c>
      <c r="AC3526" s="93">
        <f>+AB3526-Z3526</f>
        <v>0</v>
      </c>
      <c r="AD3526" s="94"/>
      <c r="AE3526" s="406" t="str">
        <f>+IF(V3526=0,"CERO","NO")</f>
        <v>CERO</v>
      </c>
    </row>
    <row r="3527" spans="3:31" s="260" customFormat="1" x14ac:dyDescent="0.25">
      <c r="C3527" s="84"/>
      <c r="D3527" s="85"/>
      <c r="E3527" s="86"/>
      <c r="F3527" s="86"/>
      <c r="G3527" s="86"/>
      <c r="H3527" s="86"/>
      <c r="I3527" s="86"/>
      <c r="J3527" s="87"/>
      <c r="K3527" s="88"/>
      <c r="M3527" s="102">
        <v>0</v>
      </c>
      <c r="N3527" s="533" t="str">
        <f>IFERROR(VLOOKUP(M3527,INSUMOS!$C$8:$K$928,2,0),"-----")</f>
        <v>-----</v>
      </c>
      <c r="O3527" s="533"/>
      <c r="P3527" s="533"/>
      <c r="Q3527" s="533"/>
      <c r="R3527" s="78" t="str">
        <f>IFERROR(VLOOKUP(M3527,INSUMOS!$C$8:$K$928,6,0),"-----")</f>
        <v>-----</v>
      </c>
      <c r="S3527" s="396"/>
      <c r="T3527" s="387"/>
      <c r="U3527" s="388" t="str">
        <f>IFERROR(VLOOKUP(M3527,INSUMOS!$C$8:$K$928,7,0),"0")</f>
        <v>0</v>
      </c>
      <c r="V3527" s="389">
        <f>+IFERROR(U3527*(S3527*(1+T3527)),0)</f>
        <v>0</v>
      </c>
      <c r="Y3527" s="393">
        <f>+IFERROR(Y3511*(S3527*(1+T3527)),0)</f>
        <v>0</v>
      </c>
      <c r="Z3527" s="391">
        <f>Y3511*V3527</f>
        <v>0</v>
      </c>
      <c r="AA3527" s="394"/>
      <c r="AB3527" s="395">
        <f>+Y3527*U3527</f>
        <v>0</v>
      </c>
      <c r="AC3527" s="93">
        <f>+AB3527-Z3527</f>
        <v>0</v>
      </c>
      <c r="AD3527" s="94"/>
      <c r="AE3527" s="406" t="str">
        <f>+IF(V3527=0,"CERO","NO")</f>
        <v>CERO</v>
      </c>
    </row>
    <row r="3528" spans="3:31" s="260" customFormat="1" ht="15.75" thickBot="1" x14ac:dyDescent="0.3">
      <c r="C3528" s="84"/>
      <c r="D3528" s="85"/>
      <c r="E3528" s="86"/>
      <c r="F3528" s="86"/>
      <c r="G3528" s="86"/>
      <c r="H3528" s="86"/>
      <c r="I3528" s="86"/>
      <c r="J3528" s="87"/>
      <c r="K3528" s="88"/>
      <c r="M3528" s="102">
        <v>0</v>
      </c>
      <c r="N3528" s="564"/>
      <c r="O3528" s="564"/>
      <c r="P3528" s="564"/>
      <c r="Q3528" s="564"/>
      <c r="R3528" s="96"/>
      <c r="S3528" s="79"/>
      <c r="T3528" s="97"/>
      <c r="U3528" s="358"/>
      <c r="V3528" s="397"/>
      <c r="Y3528" s="393">
        <f>+IFERROR(Y3511*(S3528*(1+T3528)),0)</f>
        <v>0</v>
      </c>
      <c r="Z3528" s="391">
        <f>Y3511*V3528</f>
        <v>0</v>
      </c>
      <c r="AA3528" s="394"/>
      <c r="AB3528" s="395">
        <f>+Y3528*U3528</f>
        <v>0</v>
      </c>
      <c r="AC3528" s="93">
        <f>+AB3528-Z3528</f>
        <v>0</v>
      </c>
      <c r="AD3528" s="94"/>
      <c r="AE3528" s="406" t="str">
        <f>+IF(V3528=0,"CERO","NO")</f>
        <v>CERO</v>
      </c>
    </row>
    <row r="3529" spans="3:31" s="260" customFormat="1" ht="15.75" thickBot="1" x14ac:dyDescent="0.3">
      <c r="C3529" s="84"/>
      <c r="D3529" s="375" t="s">
        <v>128</v>
      </c>
      <c r="E3529" s="376" t="s">
        <v>129</v>
      </c>
      <c r="F3529" s="376" t="s">
        <v>130</v>
      </c>
      <c r="G3529" s="376" t="s">
        <v>131</v>
      </c>
      <c r="H3529" s="376" t="s">
        <v>132</v>
      </c>
      <c r="I3529" s="376" t="s">
        <v>133</v>
      </c>
      <c r="J3529" s="377" t="s">
        <v>134</v>
      </c>
      <c r="K3529" s="88"/>
      <c r="M3529" s="534"/>
      <c r="N3529" s="536" t="s">
        <v>106</v>
      </c>
      <c r="O3529" s="536"/>
      <c r="P3529" s="536"/>
      <c r="Q3529" s="536"/>
      <c r="R3529" s="536"/>
      <c r="S3529" s="536"/>
      <c r="T3529" s="536"/>
      <c r="U3529" s="536"/>
      <c r="V3529" s="389">
        <f>+SUM(V3524:V3528)</f>
        <v>62144.333333333336</v>
      </c>
      <c r="Y3529" s="398" t="s">
        <v>135</v>
      </c>
      <c r="Z3529" s="397">
        <f>+SUM(Z3524:Z3528)</f>
        <v>31072.166666666668</v>
      </c>
      <c r="AA3529" s="86"/>
      <c r="AB3529" s="384"/>
      <c r="AC3529" s="385"/>
      <c r="AD3529" s="94"/>
      <c r="AE3529" s="399"/>
    </row>
    <row r="3530" spans="3:31" s="260" customFormat="1" ht="15.75" thickBot="1" x14ac:dyDescent="0.3">
      <c r="C3530" s="84"/>
      <c r="D3530" s="375"/>
      <c r="E3530" s="407">
        <f>+D3521</f>
        <v>3.23</v>
      </c>
      <c r="F3530" s="376"/>
      <c r="G3530" s="376"/>
      <c r="H3530" s="376"/>
      <c r="I3530" s="376"/>
      <c r="J3530" s="377"/>
      <c r="K3530" s="88"/>
      <c r="M3530" s="535"/>
      <c r="N3530" s="537" t="s">
        <v>107</v>
      </c>
      <c r="O3530" s="537"/>
      <c r="P3530" s="537"/>
      <c r="Q3530" s="537"/>
      <c r="R3530" s="537"/>
      <c r="S3530" s="537"/>
      <c r="T3530" s="537"/>
      <c r="U3530" s="537"/>
      <c r="V3530" s="408">
        <f>+ROUND(V3529,$AA$5)</f>
        <v>62144.33</v>
      </c>
      <c r="Y3530" s="401" t="s">
        <v>136</v>
      </c>
      <c r="Z3530" s="402">
        <f>+ROUND(Z3529,$AA$5)</f>
        <v>31072.17</v>
      </c>
      <c r="AA3530" s="86"/>
      <c r="AB3530" s="403">
        <f>+V3530*Y3511</f>
        <v>31072.165000000001</v>
      </c>
      <c r="AC3530" s="404">
        <f>+AB3530-Z3530</f>
        <v>-4.9999999973806553E-3</v>
      </c>
      <c r="AD3530" s="94"/>
      <c r="AE3530" s="405"/>
    </row>
    <row r="3531" spans="3:31" s="260" customFormat="1" x14ac:dyDescent="0.25">
      <c r="C3531" s="84"/>
      <c r="D3531" s="380"/>
      <c r="E3531" s="381"/>
      <c r="F3531" s="381"/>
      <c r="G3531" s="381"/>
      <c r="H3531" s="381"/>
      <c r="I3531" s="381"/>
      <c r="J3531" s="382"/>
      <c r="K3531" s="88"/>
      <c r="M3531" s="568" t="s">
        <v>108</v>
      </c>
      <c r="N3531" s="569"/>
      <c r="O3531" s="569"/>
      <c r="P3531" s="569"/>
      <c r="Q3531" s="569"/>
      <c r="R3531" s="569"/>
      <c r="S3531" s="569"/>
      <c r="T3531" s="569"/>
      <c r="U3531" s="569"/>
      <c r="V3531" s="570"/>
      <c r="Y3531" s="378"/>
      <c r="Z3531" s="121"/>
      <c r="AA3531" s="86"/>
      <c r="AB3531" s="409"/>
      <c r="AC3531" s="121"/>
      <c r="AD3531" s="94"/>
      <c r="AE3531" s="126"/>
    </row>
    <row r="3532" spans="3:31" s="260" customFormat="1" ht="25.5" x14ac:dyDescent="0.25">
      <c r="C3532" s="84"/>
      <c r="D3532" s="85"/>
      <c r="E3532" s="86"/>
      <c r="F3532" s="86"/>
      <c r="G3532" s="86"/>
      <c r="H3532" s="86"/>
      <c r="I3532" s="86"/>
      <c r="J3532" s="87"/>
      <c r="K3532" s="88"/>
      <c r="M3532" s="99" t="s">
        <v>94</v>
      </c>
      <c r="N3532" s="561" t="s">
        <v>95</v>
      </c>
      <c r="O3532" s="561"/>
      <c r="P3532" s="561"/>
      <c r="Q3532" s="95" t="s">
        <v>109</v>
      </c>
      <c r="R3532" s="95" t="s">
        <v>110</v>
      </c>
      <c r="S3532" s="95" t="s">
        <v>111</v>
      </c>
      <c r="T3532" s="562" t="s">
        <v>112</v>
      </c>
      <c r="U3532" s="562"/>
      <c r="V3532" s="100" t="s">
        <v>98</v>
      </c>
      <c r="Y3532" s="383" t="s">
        <v>104</v>
      </c>
      <c r="Z3532" s="119" t="s">
        <v>9</v>
      </c>
      <c r="AA3532" s="86"/>
      <c r="AB3532" s="384"/>
      <c r="AC3532" s="385"/>
      <c r="AD3532" s="94"/>
      <c r="AE3532" s="410"/>
    </row>
    <row r="3533" spans="3:31" s="260" customFormat="1" x14ac:dyDescent="0.25">
      <c r="C3533" s="84"/>
      <c r="D3533" s="85"/>
      <c r="E3533" s="86"/>
      <c r="F3533" s="86"/>
      <c r="G3533" s="86"/>
      <c r="H3533" s="86"/>
      <c r="I3533" s="86"/>
      <c r="J3533" s="87"/>
      <c r="K3533" s="88"/>
      <c r="M3533" s="102">
        <v>129</v>
      </c>
      <c r="N3533" s="530" t="str">
        <f>IFERROR(VLOOKUP(M3533,INSUMOS!$C$8:$K$928,2,0),"-----")</f>
        <v>transporte materiales en general</v>
      </c>
      <c r="O3533" s="531"/>
      <c r="P3533" s="532"/>
      <c r="Q3533" s="78" t="str">
        <f>IFERROR(VLOOKUP(M3533,INSUMOS!$C$8:$K$928,5,0),"-----")</f>
        <v>Km</v>
      </c>
      <c r="R3533" s="80">
        <v>1</v>
      </c>
      <c r="S3533" s="80">
        <f>IFERROR(VLOOKUP(M3533,INSUMOS!$C$8:$K$928,6,0),"0")</f>
        <v>348</v>
      </c>
      <c r="T3533" s="529">
        <f>IFERROR(VLOOKUP(M3533,INSUMOS!$C$8:$K$928,7,0),"0")</f>
        <v>0.99776362060288992</v>
      </c>
      <c r="U3533" s="529"/>
      <c r="V3533" s="82">
        <f>+T3533*S3533*R3533</f>
        <v>347.2217399698057</v>
      </c>
      <c r="Y3533" s="393">
        <f>+IFERROR((R3533*S3533)*Y3511,0)</f>
        <v>174</v>
      </c>
      <c r="Z3533" s="391">
        <f>Y3511*V3533</f>
        <v>173.61086998490285</v>
      </c>
      <c r="AA3533" s="86"/>
      <c r="AB3533" s="92">
        <f>+Y3533*T3533</f>
        <v>173.61086998490285</v>
      </c>
      <c r="AC3533" s="93">
        <f>+AB3533-Z3533</f>
        <v>0</v>
      </c>
      <c r="AD3533" s="94"/>
      <c r="AE3533" s="406" t="str">
        <f>+IF(V3533=0,"CERO","NO")</f>
        <v>NO</v>
      </c>
    </row>
    <row r="3534" spans="3:31" s="260" customFormat="1" x14ac:dyDescent="0.25">
      <c r="C3534" s="84"/>
      <c r="D3534" s="85"/>
      <c r="E3534" s="86"/>
      <c r="F3534" s="86"/>
      <c r="G3534" s="86"/>
      <c r="H3534" s="86"/>
      <c r="I3534" s="86"/>
      <c r="J3534" s="87"/>
      <c r="K3534" s="88"/>
      <c r="M3534" s="102">
        <v>0</v>
      </c>
      <c r="N3534" s="530" t="str">
        <f>IFERROR(VLOOKUP(M3534,INSUMOS!$C$8:$K$928,2,0),"-----")</f>
        <v>-----</v>
      </c>
      <c r="O3534" s="531"/>
      <c r="P3534" s="532"/>
      <c r="Q3534" s="78" t="str">
        <f>IFERROR(VLOOKUP(M3534,INSUMOS!$C$8:$K$928,5,0),"-----")</f>
        <v>-----</v>
      </c>
      <c r="R3534" s="80"/>
      <c r="S3534" s="80" t="str">
        <f>IFERROR(VLOOKUP(M3534,INSUMOS!$C$8:$K$928,6,0),"0")</f>
        <v>0</v>
      </c>
      <c r="T3534" s="529" t="str">
        <f>IFERROR(VLOOKUP(M3534,INSUMOS!$C$8:$K$928,7,0),"0")</f>
        <v>0</v>
      </c>
      <c r="U3534" s="529"/>
      <c r="V3534" s="82">
        <f>+T3534*S3534*R3534</f>
        <v>0</v>
      </c>
      <c r="Y3534" s="393">
        <f>+IFERROR((R3534*S3534)*Y3511,0)</f>
        <v>0</v>
      </c>
      <c r="Z3534" s="391">
        <f>Y3511*V3534</f>
        <v>0</v>
      </c>
      <c r="AA3534" s="86"/>
      <c r="AB3534" s="92">
        <f>+Y3534*T3534</f>
        <v>0</v>
      </c>
      <c r="AC3534" s="93">
        <f>+AB3534-Z3534</f>
        <v>0</v>
      </c>
      <c r="AD3534" s="94"/>
      <c r="AE3534" s="406" t="str">
        <f>+IF(V3534=0,"CERO","NO")</f>
        <v>CERO</v>
      </c>
    </row>
    <row r="3535" spans="3:31" s="260" customFormat="1" x14ac:dyDescent="0.25">
      <c r="C3535" s="84"/>
      <c r="D3535" s="85"/>
      <c r="E3535" s="86"/>
      <c r="F3535" s="86"/>
      <c r="G3535" s="86"/>
      <c r="H3535" s="86"/>
      <c r="I3535" s="86"/>
      <c r="J3535" s="87"/>
      <c r="K3535" s="88"/>
      <c r="M3535" s="102">
        <v>0</v>
      </c>
      <c r="N3535" s="530" t="str">
        <f>IFERROR(VLOOKUP(M3535,INSUMOS!$C$8:$K$928,2,0),"-----")</f>
        <v>-----</v>
      </c>
      <c r="O3535" s="531"/>
      <c r="P3535" s="532"/>
      <c r="Q3535" s="78" t="str">
        <f>IFERROR(VLOOKUP(M3535,INSUMOS!$C$8:$K$928,5,0),"-----")</f>
        <v>-----</v>
      </c>
      <c r="R3535" s="80"/>
      <c r="S3535" s="80" t="str">
        <f>IFERROR(VLOOKUP(M3535,INSUMOS!$C$8:$K$928,6,0),"0")</f>
        <v>0</v>
      </c>
      <c r="T3535" s="529" t="str">
        <f>IFERROR(VLOOKUP(M3535,INSUMOS!$C$8:$K$928,7,0),"0")</f>
        <v>0</v>
      </c>
      <c r="U3535" s="529"/>
      <c r="V3535" s="82">
        <f>+T3535*S3535*R3535</f>
        <v>0</v>
      </c>
      <c r="Y3535" s="393">
        <f>+IFERROR((R3535*S3535)*Y3511,0)</f>
        <v>0</v>
      </c>
      <c r="Z3535" s="391">
        <f>Y3511*V3535</f>
        <v>0</v>
      </c>
      <c r="AA3535" s="86"/>
      <c r="AB3535" s="92">
        <f>+Y3535*T3535</f>
        <v>0</v>
      </c>
      <c r="AC3535" s="93">
        <f>+AB3535-Z3535</f>
        <v>0</v>
      </c>
      <c r="AD3535" s="94"/>
      <c r="AE3535" s="406" t="str">
        <f>+IF(V3535=0,"CERO","NO")</f>
        <v>CERO</v>
      </c>
    </row>
    <row r="3536" spans="3:31" s="260" customFormat="1" ht="15.75" thickBot="1" x14ac:dyDescent="0.3">
      <c r="C3536" s="84"/>
      <c r="D3536" s="89"/>
      <c r="E3536" s="90"/>
      <c r="F3536" s="90"/>
      <c r="G3536" s="90"/>
      <c r="H3536" s="90"/>
      <c r="I3536" s="90"/>
      <c r="J3536" s="91"/>
      <c r="K3536" s="88"/>
      <c r="M3536" s="102">
        <v>0</v>
      </c>
      <c r="N3536" s="533"/>
      <c r="O3536" s="533"/>
      <c r="P3536" s="533"/>
      <c r="Q3536" s="79"/>
      <c r="R3536" s="78"/>
      <c r="S3536" s="81"/>
      <c r="T3536" s="529"/>
      <c r="U3536" s="529"/>
      <c r="V3536" s="82"/>
      <c r="Y3536" s="393">
        <f>+IFERROR((R3536*S3536)*Y3511,0)</f>
        <v>0</v>
      </c>
      <c r="Z3536" s="391">
        <f>Y3511*V3536</f>
        <v>0</v>
      </c>
      <c r="AA3536" s="86"/>
      <c r="AB3536" s="92">
        <f>+Y3536*T3536</f>
        <v>0</v>
      </c>
      <c r="AC3536" s="93">
        <f>+AB3536-Z3536</f>
        <v>0</v>
      </c>
      <c r="AD3536" s="94"/>
      <c r="AE3536" s="406" t="str">
        <f>+IF(V3536=0,"CERO","NO")</f>
        <v>CERO</v>
      </c>
    </row>
    <row r="3537" spans="3:31" s="260" customFormat="1" ht="15.75" thickBot="1" x14ac:dyDescent="0.3">
      <c r="C3537" s="84"/>
      <c r="D3537" s="375" t="s">
        <v>128</v>
      </c>
      <c r="E3537" s="376" t="s">
        <v>129</v>
      </c>
      <c r="F3537" s="376" t="s">
        <v>130</v>
      </c>
      <c r="G3537" s="376" t="s">
        <v>131</v>
      </c>
      <c r="H3537" s="376" t="s">
        <v>132</v>
      </c>
      <c r="I3537" s="376" t="s">
        <v>133</v>
      </c>
      <c r="J3537" s="377" t="s">
        <v>134</v>
      </c>
      <c r="K3537" s="88"/>
      <c r="M3537" s="534"/>
      <c r="N3537" s="536" t="s">
        <v>113</v>
      </c>
      <c r="O3537" s="536"/>
      <c r="P3537" s="536"/>
      <c r="Q3537" s="536"/>
      <c r="R3537" s="536"/>
      <c r="S3537" s="536"/>
      <c r="T3537" s="536"/>
      <c r="U3537" s="536"/>
      <c r="V3537" s="411">
        <f>+SUM(V3533:V3536)</f>
        <v>347.2217399698057</v>
      </c>
      <c r="Y3537" s="398" t="s">
        <v>135</v>
      </c>
      <c r="Z3537" s="397">
        <f>+SUM(Z3533:Z3536)</f>
        <v>173.61086998490285</v>
      </c>
      <c r="AA3537" s="86"/>
      <c r="AB3537" s="384"/>
      <c r="AC3537" s="385"/>
      <c r="AD3537" s="94"/>
      <c r="AE3537" s="399"/>
    </row>
    <row r="3538" spans="3:31" s="260" customFormat="1" ht="15.75" thickBot="1" x14ac:dyDescent="0.3">
      <c r="C3538" s="84"/>
      <c r="D3538" s="355"/>
      <c r="E3538" s="367"/>
      <c r="F3538" s="412">
        <f>+E3530</f>
        <v>3.23</v>
      </c>
      <c r="G3538" s="367"/>
      <c r="H3538" s="367"/>
      <c r="I3538" s="367"/>
      <c r="J3538" s="368"/>
      <c r="K3538" s="88"/>
      <c r="M3538" s="535"/>
      <c r="N3538" s="537" t="s">
        <v>114</v>
      </c>
      <c r="O3538" s="537"/>
      <c r="P3538" s="537"/>
      <c r="Q3538" s="537"/>
      <c r="R3538" s="537"/>
      <c r="S3538" s="537"/>
      <c r="T3538" s="537"/>
      <c r="U3538" s="537"/>
      <c r="V3538" s="413">
        <f>+ROUND(V3537,$AA$5)</f>
        <v>347.22</v>
      </c>
      <c r="Y3538" s="401" t="s">
        <v>136</v>
      </c>
      <c r="Z3538" s="402">
        <f>+ROUND(Z3537,$AA$5)</f>
        <v>173.61</v>
      </c>
      <c r="AA3538" s="86"/>
      <c r="AB3538" s="403">
        <f>+V3538*Y3511</f>
        <v>173.61</v>
      </c>
      <c r="AC3538" s="414"/>
      <c r="AD3538" s="94"/>
      <c r="AE3538" s="405"/>
    </row>
    <row r="3539" spans="3:31" s="260" customFormat="1" ht="15.75" thickBot="1" x14ac:dyDescent="0.3">
      <c r="C3539" s="84"/>
      <c r="D3539" s="415"/>
      <c r="E3539" s="416"/>
      <c r="F3539" s="416"/>
      <c r="G3539" s="416"/>
      <c r="H3539" s="416"/>
      <c r="I3539" s="416"/>
      <c r="J3539" s="417"/>
      <c r="K3539" s="88"/>
      <c r="M3539" s="538" t="s">
        <v>115</v>
      </c>
      <c r="N3539" s="539"/>
      <c r="O3539" s="539"/>
      <c r="P3539" s="539"/>
      <c r="Q3539" s="539"/>
      <c r="R3539" s="539"/>
      <c r="S3539" s="539"/>
      <c r="T3539" s="539"/>
      <c r="U3539" s="539"/>
      <c r="V3539" s="540"/>
      <c r="Y3539" s="378"/>
      <c r="Z3539" s="121"/>
      <c r="AA3539" s="86"/>
      <c r="AB3539" s="409"/>
      <c r="AC3539" s="121"/>
      <c r="AD3539" s="94"/>
      <c r="AE3539" s="126"/>
    </row>
    <row r="3540" spans="3:31" s="260" customFormat="1" ht="15.75" thickBot="1" x14ac:dyDescent="0.3">
      <c r="C3540" s="84"/>
      <c r="D3540" s="375" t="s">
        <v>128</v>
      </c>
      <c r="E3540" s="376" t="s">
        <v>129</v>
      </c>
      <c r="F3540" s="376" t="s">
        <v>130</v>
      </c>
      <c r="G3540" s="376" t="s">
        <v>131</v>
      </c>
      <c r="H3540" s="376" t="s">
        <v>132</v>
      </c>
      <c r="I3540" s="376" t="s">
        <v>133</v>
      </c>
      <c r="J3540" s="377" t="s">
        <v>134</v>
      </c>
      <c r="K3540" s="88"/>
      <c r="M3540" s="99" t="s">
        <v>94</v>
      </c>
      <c r="N3540" s="98" t="s">
        <v>95</v>
      </c>
      <c r="O3540" s="95" t="s">
        <v>96</v>
      </c>
      <c r="P3540" s="359" t="s">
        <v>104</v>
      </c>
      <c r="Q3540" s="95" t="s">
        <v>116</v>
      </c>
      <c r="R3540" s="418" t="s">
        <v>117</v>
      </c>
      <c r="S3540" s="95" t="s">
        <v>347</v>
      </c>
      <c r="T3540" s="419" t="s">
        <v>118</v>
      </c>
      <c r="U3540" s="189" t="s">
        <v>119</v>
      </c>
      <c r="V3540" s="100" t="s">
        <v>98</v>
      </c>
      <c r="Y3540" s="383" t="s">
        <v>104</v>
      </c>
      <c r="Z3540" s="119" t="s">
        <v>9</v>
      </c>
      <c r="AA3540" s="86"/>
      <c r="AB3540" s="384"/>
      <c r="AC3540" s="385"/>
      <c r="AD3540" s="94"/>
      <c r="AE3540" s="410"/>
    </row>
    <row r="3541" spans="3:31" s="260" customFormat="1" ht="25.5" x14ac:dyDescent="0.25">
      <c r="C3541" s="84"/>
      <c r="D3541" s="354"/>
      <c r="E3541" s="96"/>
      <c r="F3541" s="96"/>
      <c r="G3541" s="96"/>
      <c r="H3541" s="96"/>
      <c r="I3541" s="96"/>
      <c r="J3541" s="420">
        <f>+F3538</f>
        <v>3.23</v>
      </c>
      <c r="K3541" s="88"/>
      <c r="M3541" s="102">
        <v>207</v>
      </c>
      <c r="N3541" s="347" t="str">
        <f>IFERROR(VLOOKUP(M3541,INSUMOS!$C$8:$K$928,2,0),"-----")</f>
        <v>Oficial Hidrosanitario</v>
      </c>
      <c r="O3541" s="78" t="str">
        <f>IFERROR(VLOOKUP(M3541,INSUMOS!$C$8:$K$928,3,0),"-----")</f>
        <v>JORNAL+PS</v>
      </c>
      <c r="P3541" s="80">
        <v>1</v>
      </c>
      <c r="Q3541" s="79">
        <v>15</v>
      </c>
      <c r="R3541" s="190">
        <f>IFERROR(VLOOKUP(M3541,INSUMOS!$C$8:$K$928,4,0),"-----")</f>
        <v>92983</v>
      </c>
      <c r="S3541" s="190">
        <f>IFERROR(VLOOKUP(M3541,INSUMOS!$C$8:$K$928,6,0),"-----")</f>
        <v>74386</v>
      </c>
      <c r="T3541" s="190">
        <f>IFERROR(VLOOKUP(M3541,INSUMOS!$C$8:$K$928,5,0),"-----")</f>
        <v>0</v>
      </c>
      <c r="U3541" s="388">
        <f>SUM(R3541:T3541)</f>
        <v>167369</v>
      </c>
      <c r="V3541" s="82">
        <f>+IFERROR((P3541/Q3541)*U3541,0)</f>
        <v>11157.933333333332</v>
      </c>
      <c r="Y3541" s="393">
        <f>+IFERROR((Y3511/Q3541*P3541),0)</f>
        <v>3.3333333333333333E-2</v>
      </c>
      <c r="Z3541" s="391">
        <f>Y3511*V3541</f>
        <v>5578.9666666666662</v>
      </c>
      <c r="AA3541" s="86"/>
      <c r="AB3541" s="92">
        <f>+(U3541)*Y3541</f>
        <v>5578.9666666666662</v>
      </c>
      <c r="AC3541" s="93">
        <f>+AB3541-Z3541</f>
        <v>0</v>
      </c>
      <c r="AD3541" s="421"/>
      <c r="AE3541" s="410" t="str">
        <f>+IF(V3541=0,"CERO","NO")</f>
        <v>NO</v>
      </c>
    </row>
    <row r="3542" spans="3:31" s="260" customFormat="1" ht="26.25" thickBot="1" x14ac:dyDescent="0.3">
      <c r="C3542" s="84"/>
      <c r="D3542" s="355"/>
      <c r="E3542" s="367"/>
      <c r="F3542" s="367"/>
      <c r="G3542" s="367"/>
      <c r="H3542" s="367"/>
      <c r="I3542" s="367"/>
      <c r="J3542" s="422">
        <f>+J3541</f>
        <v>3.23</v>
      </c>
      <c r="K3542" s="88"/>
      <c r="M3542" s="102">
        <v>208</v>
      </c>
      <c r="N3542" s="347" t="str">
        <f>IFERROR(VLOOKUP(M3542,INSUMOS!$C$8:$K$928,2,0),"-----")</f>
        <v>Ayudante Hidrosanitario</v>
      </c>
      <c r="O3542" s="78" t="str">
        <f>IFERROR(VLOOKUP(M3542,INSUMOS!$C$8:$K$928,3,0),"-----")</f>
        <v>JORNAL+PS</v>
      </c>
      <c r="P3542" s="80">
        <v>1</v>
      </c>
      <c r="Q3542" s="79">
        <v>15</v>
      </c>
      <c r="R3542" s="190">
        <f>IFERROR(VLOOKUP(M3542,INSUMOS!$C$8:$K$928,4,0),"-----")</f>
        <v>69172</v>
      </c>
      <c r="S3542" s="190">
        <f>IFERROR(VLOOKUP(M3542,INSUMOS!$C$8:$K$928,6,0),"-----")</f>
        <v>55337</v>
      </c>
      <c r="T3542" s="190">
        <f>IFERROR(VLOOKUP(M3542,INSUMOS!$C$8:$K$928,5,0),"-----")</f>
        <v>0</v>
      </c>
      <c r="U3542" s="388">
        <f>SUM(R3542:T3542)</f>
        <v>124509</v>
      </c>
      <c r="V3542" s="82">
        <f>+IFERROR((P3542/Q3542)*U3542,0)</f>
        <v>8300.6</v>
      </c>
      <c r="Y3542" s="393">
        <f>+IFERROR((Y3511/Q3542*P3542),0)</f>
        <v>3.3333333333333333E-2</v>
      </c>
      <c r="Z3542" s="391">
        <f>Y3511*V3542</f>
        <v>4150.3</v>
      </c>
      <c r="AA3542" s="86"/>
      <c r="AB3542" s="92">
        <f>+U3542*Y3542</f>
        <v>4150.3</v>
      </c>
      <c r="AC3542" s="93">
        <f>+AB3542-Z3542</f>
        <v>0</v>
      </c>
      <c r="AD3542" s="94"/>
      <c r="AE3542" s="410" t="str">
        <f>+IF(V3542=0,"CERO","NO")</f>
        <v>NO</v>
      </c>
    </row>
    <row r="3543" spans="3:31" s="260" customFormat="1" ht="15.75" thickBot="1" x14ac:dyDescent="0.3">
      <c r="C3543" s="84"/>
      <c r="D3543" s="380"/>
      <c r="E3543" s="381"/>
      <c r="F3543" s="381"/>
      <c r="G3543" s="381"/>
      <c r="H3543" s="381"/>
      <c r="I3543" s="381"/>
      <c r="J3543" s="382"/>
      <c r="K3543" s="88"/>
      <c r="M3543" s="102">
        <v>0</v>
      </c>
      <c r="N3543" s="347"/>
      <c r="O3543" s="79"/>
      <c r="P3543" s="423"/>
      <c r="Q3543" s="81"/>
      <c r="R3543" s="111"/>
      <c r="S3543" s="357"/>
      <c r="T3543" s="111"/>
      <c r="U3543" s="388"/>
      <c r="V3543" s="426"/>
      <c r="Y3543" s="393">
        <f>+IFERROR((Y3511/Q3543*P3543),0)</f>
        <v>0</v>
      </c>
      <c r="Z3543" s="391">
        <f>Y3511*V3543</f>
        <v>0</v>
      </c>
      <c r="AA3543" s="86"/>
      <c r="AB3543" s="92">
        <f>+(U3543)*Y3543*P3543</f>
        <v>0</v>
      </c>
      <c r="AC3543" s="93">
        <f>+AB3543-Z3543</f>
        <v>0</v>
      </c>
      <c r="AD3543" s="94"/>
      <c r="AE3543" s="410" t="str">
        <f>+IF(V3543=0,"CERO","NO")</f>
        <v>CERO</v>
      </c>
    </row>
    <row r="3544" spans="3:31" s="260" customFormat="1" ht="15.75" thickBot="1" x14ac:dyDescent="0.3">
      <c r="C3544" s="84"/>
      <c r="D3544" s="375" t="s">
        <v>128</v>
      </c>
      <c r="E3544" s="376" t="s">
        <v>129</v>
      </c>
      <c r="F3544" s="376" t="s">
        <v>130</v>
      </c>
      <c r="G3544" s="376" t="s">
        <v>131</v>
      </c>
      <c r="H3544" s="376" t="s">
        <v>132</v>
      </c>
      <c r="I3544" s="376" t="s">
        <v>133</v>
      </c>
      <c r="J3544" s="377" t="s">
        <v>134</v>
      </c>
      <c r="K3544" s="88"/>
      <c r="M3544" s="534"/>
      <c r="N3544" s="536" t="s">
        <v>120</v>
      </c>
      <c r="O3544" s="536"/>
      <c r="P3544" s="536"/>
      <c r="Q3544" s="536"/>
      <c r="R3544" s="536"/>
      <c r="S3544" s="536"/>
      <c r="T3544" s="536"/>
      <c r="U3544" s="536"/>
      <c r="V3544" s="82">
        <f>+SUM(V3541:V3543)</f>
        <v>19458.533333333333</v>
      </c>
      <c r="Y3544" s="398" t="s">
        <v>135</v>
      </c>
      <c r="Z3544" s="397">
        <f>+SUM(Z3541:Z3543)</f>
        <v>9729.2666666666664</v>
      </c>
      <c r="AA3544" s="86"/>
      <c r="AB3544" s="384"/>
      <c r="AC3544" s="385"/>
      <c r="AD3544" s="94"/>
      <c r="AE3544" s="399"/>
    </row>
    <row r="3545" spans="3:31" s="260" customFormat="1" ht="15.75" thickBot="1" x14ac:dyDescent="0.3">
      <c r="C3545" s="84"/>
      <c r="D3545" s="354"/>
      <c r="E3545" s="96"/>
      <c r="F3545" s="96"/>
      <c r="G3545" s="107">
        <f>+F3538</f>
        <v>3.23</v>
      </c>
      <c r="H3545" s="96"/>
      <c r="I3545" s="96"/>
      <c r="J3545" s="427"/>
      <c r="K3545" s="88"/>
      <c r="M3545" s="535"/>
      <c r="N3545" s="537" t="s">
        <v>121</v>
      </c>
      <c r="O3545" s="537"/>
      <c r="P3545" s="537"/>
      <c r="Q3545" s="537"/>
      <c r="R3545" s="537"/>
      <c r="S3545" s="537"/>
      <c r="T3545" s="537"/>
      <c r="U3545" s="537"/>
      <c r="V3545" s="413">
        <f>+ROUND(V3544,$AA$5)</f>
        <v>19458.53</v>
      </c>
      <c r="Y3545" s="401" t="s">
        <v>136</v>
      </c>
      <c r="Z3545" s="402">
        <f>+ROUND(Z3544,$AA$5)</f>
        <v>9729.27</v>
      </c>
      <c r="AA3545" s="86"/>
      <c r="AB3545" s="403">
        <f>+V3545*Y3511</f>
        <v>9729.2649999999994</v>
      </c>
      <c r="AC3545" s="404">
        <f>+AB3545-Z3545</f>
        <v>-5.0000000010186341E-3</v>
      </c>
      <c r="AD3545" s="94"/>
      <c r="AE3545" s="405"/>
    </row>
    <row r="3546" spans="3:31" s="260" customFormat="1" ht="15.75" thickBot="1" x14ac:dyDescent="0.3">
      <c r="C3546" s="84"/>
      <c r="D3546" s="375" t="s">
        <v>128</v>
      </c>
      <c r="E3546" s="376" t="s">
        <v>129</v>
      </c>
      <c r="F3546" s="376" t="s">
        <v>130</v>
      </c>
      <c r="G3546" s="376" t="s">
        <v>131</v>
      </c>
      <c r="H3546" s="376" t="s">
        <v>132</v>
      </c>
      <c r="I3546" s="376" t="s">
        <v>133</v>
      </c>
      <c r="J3546" s="377" t="s">
        <v>134</v>
      </c>
      <c r="K3546" s="88"/>
      <c r="M3546" s="541"/>
      <c r="N3546" s="542"/>
      <c r="O3546" s="542"/>
      <c r="P3546" s="542"/>
      <c r="Q3546" s="542"/>
      <c r="R3546" s="542"/>
      <c r="S3546" s="542"/>
      <c r="T3546" s="542"/>
      <c r="U3546" s="542"/>
      <c r="V3546" s="543"/>
      <c r="Y3546" s="378"/>
      <c r="Z3546" s="121"/>
      <c r="AA3546" s="86"/>
      <c r="AB3546" s="409"/>
      <c r="AC3546" s="121"/>
      <c r="AD3546" s="94"/>
      <c r="AE3546" s="428"/>
    </row>
    <row r="3547" spans="3:31" s="260" customFormat="1" ht="15.75" thickBot="1" x14ac:dyDescent="0.3">
      <c r="C3547" s="84"/>
      <c r="D3547" s="355"/>
      <c r="E3547" s="367"/>
      <c r="F3547" s="367"/>
      <c r="G3547" s="367"/>
      <c r="H3547" s="412">
        <f>G3545</f>
        <v>3.23</v>
      </c>
      <c r="I3547" s="412"/>
      <c r="J3547" s="422"/>
      <c r="K3547" s="88"/>
      <c r="M3547" s="544" t="s">
        <v>122</v>
      </c>
      <c r="N3547" s="537"/>
      <c r="O3547" s="537"/>
      <c r="P3547" s="537"/>
      <c r="Q3547" s="537"/>
      <c r="R3547" s="537"/>
      <c r="S3547" s="537"/>
      <c r="T3547" s="537"/>
      <c r="U3547" s="545">
        <f>+V3545+V3538+V3530+V3521</f>
        <v>82923.009999999995</v>
      </c>
      <c r="V3547" s="546"/>
      <c r="Y3547" s="429"/>
      <c r="Z3547" s="430">
        <f>+Z3545+Z3538+Z3530+Z3521</f>
        <v>41461.51</v>
      </c>
      <c r="AA3547" s="86"/>
      <c r="AB3547" s="431">
        <f>+AB3545+AB3538+AB3530+AB3521</f>
        <v>41461.504999999997</v>
      </c>
      <c r="AC3547" s="404">
        <f>+AB3547-Z3547</f>
        <v>-5.0000000046566129E-3</v>
      </c>
      <c r="AD3547" s="94"/>
      <c r="AE3547" s="432"/>
    </row>
    <row r="3548" spans="3:31" s="260" customFormat="1" ht="15.75" thickBot="1" x14ac:dyDescent="0.3"/>
    <row r="3549" spans="3:31" s="260" customFormat="1" x14ac:dyDescent="0.25">
      <c r="M3549" s="547" t="s">
        <v>348</v>
      </c>
      <c r="N3549" s="548"/>
      <c r="O3549" s="548"/>
      <c r="P3549" s="548"/>
      <c r="Q3549" s="548"/>
      <c r="R3549" s="548"/>
      <c r="S3549" s="548"/>
      <c r="T3549" s="548"/>
      <c r="U3549" s="548"/>
      <c r="V3549" s="549"/>
      <c r="Y3549" s="378"/>
      <c r="Z3549" s="121"/>
      <c r="AA3549" s="86"/>
      <c r="AB3549" s="94"/>
      <c r="AC3549" s="94"/>
      <c r="AD3549" s="94"/>
      <c r="AE3549" s="126" t="s">
        <v>133</v>
      </c>
    </row>
    <row r="3550" spans="3:31" s="260" customFormat="1" x14ac:dyDescent="0.25">
      <c r="M3550" s="515" t="s">
        <v>138</v>
      </c>
      <c r="N3550" s="516"/>
      <c r="O3550" s="516"/>
      <c r="P3550" s="516"/>
      <c r="Q3550" s="516"/>
      <c r="R3550" s="516"/>
      <c r="S3550" s="516"/>
      <c r="T3550" s="437">
        <v>0</v>
      </c>
      <c r="U3550" s="517">
        <f>+ROUND(U3547*T3550,$AA$5)</f>
        <v>0</v>
      </c>
      <c r="V3550" s="518"/>
      <c r="Y3550" s="390"/>
      <c r="Z3550" s="438">
        <f>+Z3547*T3550</f>
        <v>0</v>
      </c>
      <c r="AA3550" s="86"/>
      <c r="AB3550" s="94"/>
      <c r="AC3550" s="94"/>
      <c r="AD3550" s="94"/>
      <c r="AE3550" s="386" t="s">
        <v>133</v>
      </c>
    </row>
    <row r="3551" spans="3:31" s="260" customFormat="1" x14ac:dyDescent="0.25">
      <c r="M3551" s="515" t="s">
        <v>19</v>
      </c>
      <c r="N3551" s="516"/>
      <c r="O3551" s="516"/>
      <c r="P3551" s="516"/>
      <c r="Q3551" s="516"/>
      <c r="R3551" s="516"/>
      <c r="S3551" s="516"/>
      <c r="T3551" s="437">
        <v>0.05</v>
      </c>
      <c r="U3551" s="517">
        <f>+ROUND(U3547*T3551,$AA$5)</f>
        <v>4146.1499999999996</v>
      </c>
      <c r="V3551" s="518"/>
      <c r="Y3551" s="390"/>
      <c r="Z3551" s="438">
        <f>+Z3547*T3551</f>
        <v>2073.0755000000004</v>
      </c>
      <c r="AA3551" s="86"/>
      <c r="AB3551" s="94"/>
      <c r="AC3551" s="94"/>
      <c r="AD3551" s="94"/>
      <c r="AE3551" s="386" t="s">
        <v>133</v>
      </c>
    </row>
    <row r="3552" spans="3:31" s="260" customFormat="1" x14ac:dyDescent="0.25">
      <c r="M3552" s="515" t="s">
        <v>20</v>
      </c>
      <c r="N3552" s="516"/>
      <c r="O3552" s="516"/>
      <c r="P3552" s="516"/>
      <c r="Q3552" s="516"/>
      <c r="R3552" s="516"/>
      <c r="S3552" s="516"/>
      <c r="T3552" s="437">
        <v>0</v>
      </c>
      <c r="U3552" s="517">
        <f>+ROUND(U3547*T3552,$AA$5)</f>
        <v>0</v>
      </c>
      <c r="V3552" s="518"/>
      <c r="Y3552" s="390"/>
      <c r="Z3552" s="438">
        <f>+Z3547*T3552</f>
        <v>0</v>
      </c>
      <c r="AA3552" s="86"/>
      <c r="AB3552" s="94"/>
      <c r="AC3552" s="94"/>
      <c r="AD3552" s="94"/>
      <c r="AE3552" s="386" t="s">
        <v>133</v>
      </c>
    </row>
    <row r="3553" spans="3:31" s="260" customFormat="1" x14ac:dyDescent="0.25">
      <c r="M3553" s="515" t="s">
        <v>21</v>
      </c>
      <c r="N3553" s="516"/>
      <c r="O3553" s="516"/>
      <c r="P3553" s="516"/>
      <c r="Q3553" s="516"/>
      <c r="R3553" s="516"/>
      <c r="S3553" s="516"/>
      <c r="T3553" s="437">
        <f>$AA$9</f>
        <v>0</v>
      </c>
      <c r="U3553" s="517">
        <f>+ROUND(U3547*T3553,$AA$5)</f>
        <v>0</v>
      </c>
      <c r="V3553" s="518"/>
      <c r="Y3553" s="390"/>
      <c r="Z3553" s="438">
        <f>+Z3552*T3553</f>
        <v>0</v>
      </c>
      <c r="AA3553" s="86"/>
      <c r="AB3553" s="94"/>
      <c r="AC3553" s="94"/>
      <c r="AD3553" s="94"/>
      <c r="AE3553" s="386" t="s">
        <v>133</v>
      </c>
    </row>
    <row r="3554" spans="3:31" s="260" customFormat="1" ht="15.75" thickBot="1" x14ac:dyDescent="0.3">
      <c r="M3554" s="519" t="s">
        <v>349</v>
      </c>
      <c r="N3554" s="520"/>
      <c r="O3554" s="520"/>
      <c r="P3554" s="520"/>
      <c r="Q3554" s="520"/>
      <c r="R3554" s="520"/>
      <c r="S3554" s="520"/>
      <c r="T3554" s="520"/>
      <c r="U3554" s="521">
        <f>+SUM(U3550:V3553)</f>
        <v>4146.1499999999996</v>
      </c>
      <c r="V3554" s="522"/>
      <c r="Y3554" s="390"/>
      <c r="Z3554" s="439">
        <f>+SUM(Z3550:Z3553)</f>
        <v>2073.0755000000004</v>
      </c>
      <c r="AA3554" s="86"/>
      <c r="AB3554" s="94"/>
      <c r="AC3554" s="94"/>
      <c r="AD3554" s="94"/>
      <c r="AE3554" s="386" t="s">
        <v>133</v>
      </c>
    </row>
    <row r="3555" spans="3:31" s="260" customFormat="1" ht="15.75" thickBot="1" x14ac:dyDescent="0.3">
      <c r="D3555" s="375" t="s">
        <v>128</v>
      </c>
      <c r="E3555" s="376" t="s">
        <v>129</v>
      </c>
      <c r="F3555" s="376" t="s">
        <v>130</v>
      </c>
      <c r="G3555" s="376" t="s">
        <v>131</v>
      </c>
      <c r="H3555" s="376" t="s">
        <v>132</v>
      </c>
      <c r="I3555" s="376" t="s">
        <v>133</v>
      </c>
      <c r="J3555" s="377" t="s">
        <v>134</v>
      </c>
      <c r="M3555" s="86"/>
      <c r="N3555" s="94"/>
      <c r="O3555" s="94"/>
      <c r="P3555" s="94"/>
      <c r="Q3555" s="86"/>
      <c r="R3555" s="86"/>
      <c r="S3555" s="86"/>
      <c r="T3555" s="440"/>
      <c r="U3555" s="523"/>
      <c r="V3555" s="523"/>
      <c r="Y3555" s="390"/>
      <c r="Z3555" s="385"/>
      <c r="AA3555" s="86"/>
      <c r="AB3555" s="94"/>
      <c r="AC3555" s="94"/>
      <c r="AD3555" s="94"/>
      <c r="AE3555" s="386" t="s">
        <v>133</v>
      </c>
    </row>
    <row r="3556" spans="3:31" s="260" customFormat="1" ht="15.75" thickBot="1" x14ac:dyDescent="0.3">
      <c r="D3556" s="355"/>
      <c r="E3556" s="367"/>
      <c r="F3556" s="367"/>
      <c r="G3556" s="367"/>
      <c r="H3556" s="412"/>
      <c r="I3556" s="412">
        <f>H3547</f>
        <v>3.23</v>
      </c>
      <c r="J3556" s="422"/>
      <c r="M3556" s="524" t="s">
        <v>11</v>
      </c>
      <c r="N3556" s="525"/>
      <c r="O3556" s="525"/>
      <c r="P3556" s="525"/>
      <c r="Q3556" s="525"/>
      <c r="R3556" s="525"/>
      <c r="S3556" s="525"/>
      <c r="T3556" s="526"/>
      <c r="U3556" s="527">
        <f>+U3554+U3547</f>
        <v>87069.159999999989</v>
      </c>
      <c r="V3556" s="528"/>
      <c r="Y3556" s="429"/>
      <c r="Z3556" s="441">
        <f>+Z3554+Z3547</f>
        <v>43534.585500000001</v>
      </c>
      <c r="AA3556" s="86"/>
      <c r="AB3556" s="94"/>
      <c r="AC3556" s="94"/>
      <c r="AD3556" s="94"/>
      <c r="AE3556" s="405" t="s">
        <v>133</v>
      </c>
    </row>
    <row r="3557" spans="3:31" s="260" customFormat="1" x14ac:dyDescent="0.25"/>
    <row r="3558" spans="3:31" s="260" customFormat="1" ht="15.75" thickBot="1" x14ac:dyDescent="0.3"/>
    <row r="3559" spans="3:31" s="260" customFormat="1" ht="15.75" thickBot="1" x14ac:dyDescent="0.3">
      <c r="M3559" s="363" t="s">
        <v>88</v>
      </c>
      <c r="N3559" s="436" t="str">
        <f>+N3510</f>
        <v>CAP.3</v>
      </c>
      <c r="O3559" s="550" t="str">
        <f>IFERROR(VLOOKUP(N3559,PPTO!C:H,2,0),"----")</f>
        <v>RED CONTRAINCENDIOS</v>
      </c>
      <c r="P3559" s="551"/>
      <c r="Q3559" s="551"/>
      <c r="R3559" s="551"/>
      <c r="S3559" s="551"/>
      <c r="T3559" s="551"/>
      <c r="U3559" s="552"/>
      <c r="V3559" s="74" t="s">
        <v>91</v>
      </c>
      <c r="Y3559" s="365" t="s">
        <v>104</v>
      </c>
      <c r="Z3559" s="94"/>
      <c r="AA3559" s="188"/>
      <c r="AB3559" s="553"/>
      <c r="AC3559" s="553"/>
      <c r="AD3559" s="553"/>
      <c r="AE3559" s="94"/>
    </row>
    <row r="3560" spans="3:31" s="260" customFormat="1" ht="15.75" thickBot="1" x14ac:dyDescent="0.3">
      <c r="C3560" s="369">
        <f>+N3560</f>
        <v>3.24</v>
      </c>
      <c r="D3560" s="86"/>
      <c r="E3560" s="86"/>
      <c r="F3560" s="86"/>
      <c r="G3560" s="86"/>
      <c r="H3560" s="86"/>
      <c r="I3560" s="86"/>
      <c r="J3560" s="86"/>
      <c r="K3560" s="370"/>
      <c r="M3560" s="75" t="s">
        <v>92</v>
      </c>
      <c r="N3560" s="371">
        <f>+ROUNDUP(N3511+0.01,2)</f>
        <v>3.24</v>
      </c>
      <c r="O3560" s="554" t="str">
        <f>IFERROR(VLOOKUP(N3560,PPTO!C:H,2,0),"----")</f>
        <v>Soporte antisismico</v>
      </c>
      <c r="P3560" s="555"/>
      <c r="Q3560" s="555"/>
      <c r="R3560" s="555"/>
      <c r="S3560" s="555"/>
      <c r="T3560" s="555"/>
      <c r="U3560" s="556"/>
      <c r="V3560" s="76" t="str">
        <f>IFERROR(VLOOKUP(N3560,PPTO!C:H,3,0),"----")</f>
        <v>UND</v>
      </c>
      <c r="Y3560" s="373">
        <f>SUMIFS(PPTO!F:F,PPTO!C:C,APUS!N3560)</f>
        <v>1615</v>
      </c>
      <c r="Z3560" s="94"/>
      <c r="AA3560" s="86"/>
      <c r="AB3560" s="94"/>
      <c r="AC3560" s="94"/>
      <c r="AD3560" s="94"/>
      <c r="AE3560" s="94"/>
    </row>
    <row r="3561" spans="3:31" s="260" customFormat="1" ht="15.75" thickBot="1" x14ac:dyDescent="0.3">
      <c r="C3561" s="84"/>
      <c r="D3561" s="86"/>
      <c r="E3561" s="86"/>
      <c r="F3561" s="86"/>
      <c r="G3561" s="86"/>
      <c r="H3561" s="86"/>
      <c r="I3561" s="86"/>
      <c r="J3561" s="86"/>
      <c r="K3561" s="88"/>
      <c r="M3561" s="557"/>
      <c r="N3561" s="557"/>
      <c r="O3561" s="557"/>
      <c r="P3561" s="557"/>
      <c r="Q3561" s="557"/>
      <c r="R3561" s="557"/>
      <c r="S3561" s="557"/>
      <c r="T3561" s="557"/>
      <c r="U3561" s="557"/>
      <c r="V3561" s="557"/>
      <c r="Y3561" s="374"/>
      <c r="Z3561" s="94"/>
      <c r="AA3561" s="86"/>
      <c r="AB3561" s="94"/>
      <c r="AC3561" s="94"/>
      <c r="AD3561" s="94"/>
      <c r="AE3561" s="94"/>
    </row>
    <row r="3562" spans="3:31" s="260" customFormat="1" ht="15.75" thickBot="1" x14ac:dyDescent="0.3">
      <c r="C3562" s="84"/>
      <c r="D3562" s="375" t="s">
        <v>128</v>
      </c>
      <c r="E3562" s="376" t="s">
        <v>129</v>
      </c>
      <c r="F3562" s="376" t="s">
        <v>130</v>
      </c>
      <c r="G3562" s="376" t="s">
        <v>131</v>
      </c>
      <c r="H3562" s="376" t="s">
        <v>132</v>
      </c>
      <c r="I3562" s="376" t="s">
        <v>133</v>
      </c>
      <c r="J3562" s="377" t="s">
        <v>134</v>
      </c>
      <c r="K3562" s="88"/>
      <c r="M3562" s="558" t="s">
        <v>93</v>
      </c>
      <c r="N3562" s="559"/>
      <c r="O3562" s="559"/>
      <c r="P3562" s="559"/>
      <c r="Q3562" s="559"/>
      <c r="R3562" s="559"/>
      <c r="S3562" s="559"/>
      <c r="T3562" s="559"/>
      <c r="U3562" s="559"/>
      <c r="V3562" s="560"/>
      <c r="Y3562" s="378"/>
      <c r="Z3562" s="121"/>
      <c r="AA3562" s="86"/>
      <c r="AB3562" s="513"/>
      <c r="AC3562" s="514"/>
      <c r="AD3562" s="94"/>
      <c r="AE3562" s="379"/>
    </row>
    <row r="3563" spans="3:31" s="260" customFormat="1" x14ac:dyDescent="0.25">
      <c r="C3563" s="84"/>
      <c r="D3563" s="380"/>
      <c r="E3563" s="381"/>
      <c r="F3563" s="381"/>
      <c r="G3563" s="381"/>
      <c r="H3563" s="381"/>
      <c r="I3563" s="381"/>
      <c r="J3563" s="382"/>
      <c r="K3563" s="88"/>
      <c r="M3563" s="99" t="s">
        <v>94</v>
      </c>
      <c r="N3563" s="561" t="s">
        <v>95</v>
      </c>
      <c r="O3563" s="561"/>
      <c r="P3563" s="561"/>
      <c r="Q3563" s="561"/>
      <c r="R3563" s="95" t="s">
        <v>96</v>
      </c>
      <c r="S3563" s="95" t="s">
        <v>97</v>
      </c>
      <c r="T3563" s="562" t="s">
        <v>8</v>
      </c>
      <c r="U3563" s="562"/>
      <c r="V3563" s="100" t="s">
        <v>98</v>
      </c>
      <c r="Y3563" s="383" t="s">
        <v>104</v>
      </c>
      <c r="Z3563" s="119" t="s">
        <v>9</v>
      </c>
      <c r="AA3563" s="86"/>
      <c r="AB3563" s="384"/>
      <c r="AC3563" s="385"/>
      <c r="AD3563" s="94"/>
      <c r="AE3563" s="386"/>
    </row>
    <row r="3564" spans="3:31" s="260" customFormat="1" x14ac:dyDescent="0.25">
      <c r="C3564" s="84"/>
      <c r="D3564" s="85"/>
      <c r="E3564" s="86"/>
      <c r="F3564" s="86"/>
      <c r="G3564" s="86"/>
      <c r="H3564" s="86"/>
      <c r="I3564" s="86"/>
      <c r="J3564" s="87"/>
      <c r="K3564" s="88"/>
      <c r="M3564" s="102"/>
      <c r="N3564" s="533" t="s">
        <v>99</v>
      </c>
      <c r="O3564" s="533"/>
      <c r="P3564" s="533"/>
      <c r="Q3564" s="533"/>
      <c r="R3564" s="78" t="s">
        <v>100</v>
      </c>
      <c r="S3564" s="387">
        <f>+$AA$10</f>
        <v>0.05</v>
      </c>
      <c r="T3564" s="563">
        <f>V3594</f>
        <v>9729.27</v>
      </c>
      <c r="U3564" s="563"/>
      <c r="V3564" s="389">
        <f>+IFERROR(T3564*S3564,0)</f>
        <v>486.46350000000007</v>
      </c>
      <c r="Y3564" s="390"/>
      <c r="Z3564" s="391">
        <f>Y3560*V3564</f>
        <v>785638.55250000011</v>
      </c>
      <c r="AA3564" s="86"/>
      <c r="AB3564" s="384"/>
      <c r="AC3564" s="385"/>
      <c r="AD3564" s="94"/>
      <c r="AE3564" s="386" t="str">
        <f>+IF(V3564=0,"CERO","NO")</f>
        <v>NO</v>
      </c>
    </row>
    <row r="3565" spans="3:31" s="260" customFormat="1" x14ac:dyDescent="0.25">
      <c r="C3565" s="84"/>
      <c r="D3565" s="85"/>
      <c r="E3565" s="86"/>
      <c r="F3565" s="86"/>
      <c r="G3565" s="86"/>
      <c r="H3565" s="86"/>
      <c r="I3565" s="86"/>
      <c r="J3565" s="87"/>
      <c r="K3565" s="88"/>
      <c r="M3565" s="106"/>
      <c r="N3565" s="533" t="str">
        <f>IFERROR(VLOOKUP(M3565,INSUMOS!$C$8:$K$928,2,0),"-----")</f>
        <v>-----</v>
      </c>
      <c r="O3565" s="533"/>
      <c r="P3565" s="533"/>
      <c r="Q3565" s="533"/>
      <c r="R3565" s="78" t="str">
        <f>IFERROR(VLOOKUP(M3565,INSUMOS!$C$8:$K$928,6,0),"-----")</f>
        <v>-----</v>
      </c>
      <c r="S3565" s="392"/>
      <c r="T3565" s="529" t="str">
        <f>IFERROR(VLOOKUP(M3565,INSUMOS!$C$8:$K$928,7,0),"0")</f>
        <v>0</v>
      </c>
      <c r="U3565" s="529"/>
      <c r="V3565" s="389">
        <f>+IFERROR(T3565*S3565,0)</f>
        <v>0</v>
      </c>
      <c r="Y3565" s="393">
        <f>+IFERROR(Y3560*S3565,0)</f>
        <v>0</v>
      </c>
      <c r="Z3565" s="391">
        <f>Y3560*V3565</f>
        <v>0</v>
      </c>
      <c r="AA3565" s="394"/>
      <c r="AB3565" s="395">
        <f>+Y3565*T3565</f>
        <v>0</v>
      </c>
      <c r="AC3565" s="93">
        <f>+AB3565-Z3565</f>
        <v>0</v>
      </c>
      <c r="AD3565" s="94"/>
      <c r="AE3565" s="386" t="str">
        <f>+IF(V3565=0,"CERO","NO")</f>
        <v>CERO</v>
      </c>
    </row>
    <row r="3566" spans="3:31" s="260" customFormat="1" x14ac:dyDescent="0.25">
      <c r="C3566" s="84"/>
      <c r="D3566" s="85"/>
      <c r="E3566" s="86"/>
      <c r="F3566" s="86"/>
      <c r="G3566" s="86"/>
      <c r="H3566" s="86"/>
      <c r="I3566" s="86"/>
      <c r="J3566" s="87"/>
      <c r="K3566" s="88"/>
      <c r="M3566" s="102">
        <v>0</v>
      </c>
      <c r="N3566" s="533"/>
      <c r="O3566" s="533"/>
      <c r="P3566" s="533"/>
      <c r="Q3566" s="533"/>
      <c r="R3566" s="78"/>
      <c r="S3566" s="396"/>
      <c r="T3566" s="529"/>
      <c r="U3566" s="529"/>
      <c r="V3566" s="397"/>
      <c r="Y3566" s="393">
        <f>+IFERROR(Y3560*S3566,0)</f>
        <v>0</v>
      </c>
      <c r="Z3566" s="391">
        <f>Y3560*V3566</f>
        <v>0</v>
      </c>
      <c r="AA3566" s="394"/>
      <c r="AB3566" s="395">
        <f>+Y3566*T3566</f>
        <v>0</v>
      </c>
      <c r="AC3566" s="93">
        <f>+AB3566-Z3566</f>
        <v>0</v>
      </c>
      <c r="AD3566" s="94"/>
      <c r="AE3566" s="386" t="str">
        <f>+IF(V3566=0,"CERO","NO")</f>
        <v>CERO</v>
      </c>
    </row>
    <row r="3567" spans="3:31" s="260" customFormat="1" x14ac:dyDescent="0.25">
      <c r="C3567" s="84"/>
      <c r="D3567" s="85"/>
      <c r="E3567" s="86"/>
      <c r="F3567" s="86"/>
      <c r="G3567" s="86"/>
      <c r="H3567" s="86"/>
      <c r="I3567" s="86"/>
      <c r="J3567" s="87"/>
      <c r="K3567" s="88"/>
      <c r="M3567" s="102">
        <v>0</v>
      </c>
      <c r="N3567" s="533"/>
      <c r="O3567" s="533"/>
      <c r="P3567" s="533"/>
      <c r="Q3567" s="533"/>
      <c r="R3567" s="78"/>
      <c r="S3567" s="396"/>
      <c r="T3567" s="529"/>
      <c r="U3567" s="529"/>
      <c r="V3567" s="397"/>
      <c r="Y3567" s="393">
        <f>+IFERROR(Y3560*S3567,0)</f>
        <v>0</v>
      </c>
      <c r="Z3567" s="391">
        <f>Y3560*V3567</f>
        <v>0</v>
      </c>
      <c r="AA3567" s="394"/>
      <c r="AB3567" s="395">
        <f>+Y3567*T3567</f>
        <v>0</v>
      </c>
      <c r="AC3567" s="93">
        <f>+AB3567-Z3567</f>
        <v>0</v>
      </c>
      <c r="AD3567" s="94"/>
      <c r="AE3567" s="386" t="str">
        <f>+IF(V3567=0,"CERO","NO")</f>
        <v>CERO</v>
      </c>
    </row>
    <row r="3568" spans="3:31" s="260" customFormat="1" ht="15.75" thickBot="1" x14ac:dyDescent="0.3">
      <c r="C3568" s="84"/>
      <c r="D3568" s="85"/>
      <c r="E3568" s="86"/>
      <c r="F3568" s="86"/>
      <c r="G3568" s="86"/>
      <c r="H3568" s="86"/>
      <c r="I3568" s="86"/>
      <c r="J3568" s="87"/>
      <c r="K3568" s="88"/>
      <c r="M3568" s="102">
        <v>0</v>
      </c>
      <c r="N3568" s="564"/>
      <c r="O3568" s="564"/>
      <c r="P3568" s="564"/>
      <c r="Q3568" s="564"/>
      <c r="R3568" s="96"/>
      <c r="S3568" s="96"/>
      <c r="T3568" s="565"/>
      <c r="U3568" s="565"/>
      <c r="V3568" s="101"/>
      <c r="Y3568" s="393">
        <f>+IFERROR(Y3560*S3568,0)</f>
        <v>0</v>
      </c>
      <c r="Z3568" s="391">
        <f>Y3560*V3568</f>
        <v>0</v>
      </c>
      <c r="AA3568" s="394"/>
      <c r="AB3568" s="395">
        <f>+Y3568*T3568</f>
        <v>0</v>
      </c>
      <c r="AC3568" s="93">
        <f>+AB3568-Z3568</f>
        <v>0</v>
      </c>
      <c r="AD3568" s="94"/>
      <c r="AE3568" s="386" t="str">
        <f>+IF(V3568=0,"CERO","NO")</f>
        <v>CERO</v>
      </c>
    </row>
    <row r="3569" spans="3:31" s="260" customFormat="1" ht="15.75" thickBot="1" x14ac:dyDescent="0.3">
      <c r="C3569" s="84"/>
      <c r="D3569" s="375" t="s">
        <v>128</v>
      </c>
      <c r="E3569" s="376" t="s">
        <v>129</v>
      </c>
      <c r="F3569" s="376" t="s">
        <v>130</v>
      </c>
      <c r="G3569" s="376" t="s">
        <v>131</v>
      </c>
      <c r="H3569" s="376" t="s">
        <v>132</v>
      </c>
      <c r="I3569" s="376" t="s">
        <v>133</v>
      </c>
      <c r="J3569" s="377" t="s">
        <v>134</v>
      </c>
      <c r="K3569" s="88"/>
      <c r="M3569" s="534"/>
      <c r="N3569" s="536" t="s">
        <v>101</v>
      </c>
      <c r="O3569" s="536"/>
      <c r="P3569" s="536"/>
      <c r="Q3569" s="536"/>
      <c r="R3569" s="536"/>
      <c r="S3569" s="536"/>
      <c r="T3569" s="536"/>
      <c r="U3569" s="536"/>
      <c r="V3569" s="389">
        <f>+SUM(V3564:V3568)</f>
        <v>486.46350000000007</v>
      </c>
      <c r="Y3569" s="398" t="s">
        <v>135</v>
      </c>
      <c r="Z3569" s="397">
        <f>+SUM(Z3564:Z3568)</f>
        <v>785638.55250000011</v>
      </c>
      <c r="AA3569" s="86"/>
      <c r="AB3569" s="384"/>
      <c r="AC3569" s="385"/>
      <c r="AD3569" s="94"/>
      <c r="AE3569" s="399"/>
    </row>
    <row r="3570" spans="3:31" s="260" customFormat="1" ht="15.75" thickBot="1" x14ac:dyDescent="0.3">
      <c r="C3570" s="84"/>
      <c r="D3570" s="375">
        <f>C3560</f>
        <v>3.24</v>
      </c>
      <c r="E3570" s="376"/>
      <c r="F3570" s="376"/>
      <c r="G3570" s="376"/>
      <c r="H3570" s="376"/>
      <c r="I3570" s="376"/>
      <c r="J3570" s="377"/>
      <c r="K3570" s="88"/>
      <c r="M3570" s="566"/>
      <c r="N3570" s="567" t="s">
        <v>102</v>
      </c>
      <c r="O3570" s="567"/>
      <c r="P3570" s="567"/>
      <c r="Q3570" s="567"/>
      <c r="R3570" s="567"/>
      <c r="S3570" s="567"/>
      <c r="T3570" s="567"/>
      <c r="U3570" s="567"/>
      <c r="V3570" s="400">
        <f>+ROUND(V3569,$AA$5)</f>
        <v>486.46</v>
      </c>
      <c r="Y3570" s="401" t="s">
        <v>136</v>
      </c>
      <c r="Z3570" s="402">
        <f>+ROUND(Z3569,$AA$5)</f>
        <v>785638.55</v>
      </c>
      <c r="AA3570" s="86"/>
      <c r="AB3570" s="403">
        <f>+V3570*Y3560</f>
        <v>785632.9</v>
      </c>
      <c r="AC3570" s="404">
        <f>+AB3570-Z3570</f>
        <v>-5.6500000000232831</v>
      </c>
      <c r="AD3570" s="94"/>
      <c r="AE3570" s="405"/>
    </row>
    <row r="3571" spans="3:31" s="260" customFormat="1" x14ac:dyDescent="0.25">
      <c r="C3571" s="84"/>
      <c r="D3571" s="380"/>
      <c r="E3571" s="381"/>
      <c r="F3571" s="381"/>
      <c r="G3571" s="381"/>
      <c r="H3571" s="381"/>
      <c r="I3571" s="381"/>
      <c r="J3571" s="382"/>
      <c r="K3571" s="88"/>
      <c r="M3571" s="510" t="s">
        <v>103</v>
      </c>
      <c r="N3571" s="511"/>
      <c r="O3571" s="511"/>
      <c r="P3571" s="511"/>
      <c r="Q3571" s="511"/>
      <c r="R3571" s="511"/>
      <c r="S3571" s="511"/>
      <c r="T3571" s="511"/>
      <c r="U3571" s="511"/>
      <c r="V3571" s="512"/>
      <c r="Y3571" s="378"/>
      <c r="Z3571" s="121"/>
      <c r="AA3571" s="86"/>
      <c r="AB3571" s="513"/>
      <c r="AC3571" s="514"/>
      <c r="AD3571" s="94"/>
      <c r="AE3571" s="126"/>
    </row>
    <row r="3572" spans="3:31" s="260" customFormat="1" x14ac:dyDescent="0.25">
      <c r="C3572" s="84"/>
      <c r="D3572" s="85"/>
      <c r="E3572" s="86"/>
      <c r="F3572" s="86"/>
      <c r="G3572" s="86"/>
      <c r="H3572" s="86"/>
      <c r="I3572" s="86"/>
      <c r="J3572" s="87"/>
      <c r="K3572" s="88"/>
      <c r="M3572" s="99" t="s">
        <v>94</v>
      </c>
      <c r="N3572" s="561" t="s">
        <v>95</v>
      </c>
      <c r="O3572" s="561"/>
      <c r="P3572" s="561"/>
      <c r="Q3572" s="561"/>
      <c r="R3572" s="95" t="s">
        <v>96</v>
      </c>
      <c r="S3572" s="95" t="s">
        <v>104</v>
      </c>
      <c r="T3572" s="356" t="s">
        <v>105</v>
      </c>
      <c r="U3572" s="356" t="s">
        <v>8</v>
      </c>
      <c r="V3572" s="100" t="s">
        <v>98</v>
      </c>
      <c r="Y3572" s="383" t="s">
        <v>104</v>
      </c>
      <c r="Z3572" s="119" t="s">
        <v>9</v>
      </c>
      <c r="AA3572" s="86"/>
      <c r="AB3572" s="384"/>
      <c r="AC3572" s="385"/>
      <c r="AD3572" s="94"/>
      <c r="AE3572" s="406"/>
    </row>
    <row r="3573" spans="3:31" s="260" customFormat="1" x14ac:dyDescent="0.25">
      <c r="C3573" s="84"/>
      <c r="D3573" s="85"/>
      <c r="E3573" s="86"/>
      <c r="F3573" s="86"/>
      <c r="G3573" s="86"/>
      <c r="H3573" s="86"/>
      <c r="I3573" s="86"/>
      <c r="J3573" s="87"/>
      <c r="K3573" s="88"/>
      <c r="M3573" s="102">
        <v>943</v>
      </c>
      <c r="N3573" s="533" t="str">
        <f>IFERROR(VLOOKUP(M3573,INSUMOS!$C$8:$K$928,2,0),"-----")</f>
        <v>Soporte Pera 1" Cert UL/FM IMP</v>
      </c>
      <c r="O3573" s="533"/>
      <c r="P3573" s="533"/>
      <c r="Q3573" s="533"/>
      <c r="R3573" s="78" t="str">
        <f>IFERROR(VLOOKUP(M3573,INSUMOS!$C$8:$K$928,6,0),"-----")</f>
        <v>und</v>
      </c>
      <c r="S3573" s="396">
        <v>1</v>
      </c>
      <c r="T3573" s="387">
        <v>0</v>
      </c>
      <c r="U3573" s="388">
        <f>IFERROR(VLOOKUP(M3573,INSUMOS!$C$8:$K$928,7,0),"0")</f>
        <v>4550</v>
      </c>
      <c r="V3573" s="389">
        <f>+IFERROR(U3573*(S3573*(1+T3573)),0)</f>
        <v>4550</v>
      </c>
      <c r="Y3573" s="393">
        <f>+IFERROR(Y3560*(S3573*(1+T3573)),0)</f>
        <v>1615</v>
      </c>
      <c r="Z3573" s="391">
        <f>Y3560*V3573</f>
        <v>7348250</v>
      </c>
      <c r="AA3573" s="394"/>
      <c r="AB3573" s="395">
        <f>+Y3573*U3573</f>
        <v>7348250</v>
      </c>
      <c r="AC3573" s="93">
        <f>+AB3573-Z3573</f>
        <v>0</v>
      </c>
      <c r="AD3573" s="94"/>
      <c r="AE3573" s="406" t="str">
        <f>+IF(V3573=0,"CERO","NO")</f>
        <v>NO</v>
      </c>
    </row>
    <row r="3574" spans="3:31" s="260" customFormat="1" x14ac:dyDescent="0.25">
      <c r="C3574" s="84"/>
      <c r="D3574" s="85"/>
      <c r="E3574" s="86"/>
      <c r="F3574" s="86"/>
      <c r="G3574" s="86"/>
      <c r="H3574" s="86"/>
      <c r="I3574" s="86"/>
      <c r="J3574" s="87"/>
      <c r="K3574" s="88"/>
      <c r="M3574" s="102">
        <v>944</v>
      </c>
      <c r="N3574" s="533" t="str">
        <f>IFERROR(VLOOKUP(M3574,INSUMOS!$C$8:$K$928,2,0),"-----")</f>
        <v>Varilla roscada Ø3/8" con recubrimiento anticorrosivo</v>
      </c>
      <c r="O3574" s="533"/>
      <c r="P3574" s="533"/>
      <c r="Q3574" s="533"/>
      <c r="R3574" s="78" t="str">
        <f>IFERROR(VLOOKUP(M3574,INSUMOS!$C$8:$K$928,6,0),"-----")</f>
        <v>ml</v>
      </c>
      <c r="S3574" s="392">
        <v>1</v>
      </c>
      <c r="T3574" s="387">
        <v>0</v>
      </c>
      <c r="U3574" s="388">
        <f>IFERROR(VLOOKUP(M3574,INSUMOS!$C$8:$K$928,7,0),"0")</f>
        <v>2666.6666666666665</v>
      </c>
      <c r="V3574" s="389">
        <f>+IFERROR(U3574*(S3574*(1+T3574)),0)</f>
        <v>2666.6666666666665</v>
      </c>
      <c r="Y3574" s="393">
        <f>+IFERROR(Y3560*(S3574*(1+T3574)),0)</f>
        <v>1615</v>
      </c>
      <c r="Z3574" s="391">
        <f>Y3560*V3574</f>
        <v>4306666.666666666</v>
      </c>
      <c r="AA3574" s="394"/>
      <c r="AB3574" s="395">
        <f>+Y3574*U3574</f>
        <v>4306666.666666666</v>
      </c>
      <c r="AC3574" s="93">
        <f>+AB3574-Z3574</f>
        <v>0</v>
      </c>
      <c r="AD3574" s="94"/>
      <c r="AE3574" s="406" t="str">
        <f>+IF(V3574=0,"CERO","NO")</f>
        <v>NO</v>
      </c>
    </row>
    <row r="3575" spans="3:31" s="260" customFormat="1" x14ac:dyDescent="0.25">
      <c r="C3575" s="84"/>
      <c r="D3575" s="85"/>
      <c r="E3575" s="86"/>
      <c r="F3575" s="86"/>
      <c r="G3575" s="86"/>
      <c r="H3575" s="86"/>
      <c r="I3575" s="86"/>
      <c r="J3575" s="87"/>
      <c r="K3575" s="88"/>
      <c r="M3575" s="102">
        <v>945</v>
      </c>
      <c r="N3575" s="533" t="str">
        <f>IFERROR(VLOOKUP(M3575,INSUMOS!$C$8:$K$928,2,0),"-----")</f>
        <v>Soporte universal figura 980</v>
      </c>
      <c r="O3575" s="533"/>
      <c r="P3575" s="533"/>
      <c r="Q3575" s="533"/>
      <c r="R3575" s="78" t="str">
        <f>IFERROR(VLOOKUP(M3575,INSUMOS!$C$8:$K$928,6,0),"-----")</f>
        <v>und</v>
      </c>
      <c r="S3575" s="396">
        <v>1</v>
      </c>
      <c r="T3575" s="387">
        <v>0</v>
      </c>
      <c r="U3575" s="388">
        <f>IFERROR(VLOOKUP(M3575,INSUMOS!$C$8:$K$928,7,0),"0")</f>
        <v>2500</v>
      </c>
      <c r="V3575" s="389">
        <f>+IFERROR(U3575*(S3575*(1+T3575)),0)</f>
        <v>2500</v>
      </c>
      <c r="Y3575" s="393">
        <f>+IFERROR(Y3560*(S3575*(1+T3575)),0)</f>
        <v>1615</v>
      </c>
      <c r="Z3575" s="391">
        <f>Y3560*V3575</f>
        <v>4037500</v>
      </c>
      <c r="AA3575" s="394"/>
      <c r="AB3575" s="395">
        <f>+Y3575*U3575</f>
        <v>4037500</v>
      </c>
      <c r="AC3575" s="93">
        <f>+AB3575-Z3575</f>
        <v>0</v>
      </c>
      <c r="AD3575" s="94"/>
      <c r="AE3575" s="406" t="str">
        <f>+IF(V3575=0,"CERO","NO")</f>
        <v>NO</v>
      </c>
    </row>
    <row r="3576" spans="3:31" s="260" customFormat="1" x14ac:dyDescent="0.25">
      <c r="C3576" s="84"/>
      <c r="D3576" s="85"/>
      <c r="E3576" s="86"/>
      <c r="F3576" s="86"/>
      <c r="G3576" s="86"/>
      <c r="H3576" s="86"/>
      <c r="I3576" s="86"/>
      <c r="J3576" s="87"/>
      <c r="K3576" s="88"/>
      <c r="M3576" s="102">
        <v>946</v>
      </c>
      <c r="N3576" s="533" t="str">
        <f>IFERROR(VLOOKUP(M3576,INSUMOS!$C$8:$K$928,2,0),"-----")</f>
        <v>Soporte universal figura 4L</v>
      </c>
      <c r="O3576" s="533"/>
      <c r="P3576" s="533"/>
      <c r="Q3576" s="533"/>
      <c r="R3576" s="78" t="str">
        <f>IFERROR(VLOOKUP(M3576,INSUMOS!$C$8:$K$928,6,0),"-----")</f>
        <v>und</v>
      </c>
      <c r="S3576" s="396">
        <v>1</v>
      </c>
      <c r="T3576" s="387">
        <v>0</v>
      </c>
      <c r="U3576" s="388">
        <f>IFERROR(VLOOKUP(M3576,INSUMOS!$C$8:$K$928,7,0),"0")</f>
        <v>2500</v>
      </c>
      <c r="V3576" s="389">
        <f>+IFERROR(U3576*(S3576*(1+T3576)),0)</f>
        <v>2500</v>
      </c>
      <c r="Y3576" s="393">
        <f>+IFERROR(Y3560*(S3576*(1+T3576)),0)</f>
        <v>1615</v>
      </c>
      <c r="Z3576" s="391">
        <f>Y3560*V3576</f>
        <v>4037500</v>
      </c>
      <c r="AA3576" s="394"/>
      <c r="AB3576" s="395">
        <f>+Y3576*U3576</f>
        <v>4037500</v>
      </c>
      <c r="AC3576" s="93">
        <f>+AB3576-Z3576</f>
        <v>0</v>
      </c>
      <c r="AD3576" s="94"/>
      <c r="AE3576" s="406" t="str">
        <f>+IF(V3576=0,"CERO","NO")</f>
        <v>NO</v>
      </c>
    </row>
    <row r="3577" spans="3:31" s="260" customFormat="1" ht="15.75" thickBot="1" x14ac:dyDescent="0.3">
      <c r="C3577" s="84"/>
      <c r="D3577" s="85"/>
      <c r="E3577" s="86"/>
      <c r="F3577" s="86"/>
      <c r="G3577" s="86"/>
      <c r="H3577" s="86"/>
      <c r="I3577" s="86"/>
      <c r="J3577" s="87"/>
      <c r="K3577" s="88"/>
      <c r="M3577" s="102">
        <v>0</v>
      </c>
      <c r="N3577" s="564"/>
      <c r="O3577" s="564"/>
      <c r="P3577" s="564"/>
      <c r="Q3577" s="564"/>
      <c r="R3577" s="96"/>
      <c r="S3577" s="79"/>
      <c r="T3577" s="97"/>
      <c r="U3577" s="358"/>
      <c r="V3577" s="397"/>
      <c r="Y3577" s="393">
        <f>+IFERROR(Y3560*(S3577*(1+T3577)),0)</f>
        <v>0</v>
      </c>
      <c r="Z3577" s="391">
        <f>Y3560*V3577</f>
        <v>0</v>
      </c>
      <c r="AA3577" s="394"/>
      <c r="AB3577" s="395">
        <f>+Y3577*U3577</f>
        <v>0</v>
      </c>
      <c r="AC3577" s="93">
        <f>+AB3577-Z3577</f>
        <v>0</v>
      </c>
      <c r="AD3577" s="94"/>
      <c r="AE3577" s="406" t="str">
        <f>+IF(V3577=0,"CERO","NO")</f>
        <v>CERO</v>
      </c>
    </row>
    <row r="3578" spans="3:31" s="260" customFormat="1" ht="15.75" thickBot="1" x14ac:dyDescent="0.3">
      <c r="C3578" s="84"/>
      <c r="D3578" s="375" t="s">
        <v>128</v>
      </c>
      <c r="E3578" s="376" t="s">
        <v>129</v>
      </c>
      <c r="F3578" s="376" t="s">
        <v>130</v>
      </c>
      <c r="G3578" s="376" t="s">
        <v>131</v>
      </c>
      <c r="H3578" s="376" t="s">
        <v>132</v>
      </c>
      <c r="I3578" s="376" t="s">
        <v>133</v>
      </c>
      <c r="J3578" s="377" t="s">
        <v>134</v>
      </c>
      <c r="K3578" s="88"/>
      <c r="M3578" s="534"/>
      <c r="N3578" s="536" t="s">
        <v>106</v>
      </c>
      <c r="O3578" s="536"/>
      <c r="P3578" s="536"/>
      <c r="Q3578" s="536"/>
      <c r="R3578" s="536"/>
      <c r="S3578" s="536"/>
      <c r="T3578" s="536"/>
      <c r="U3578" s="536"/>
      <c r="V3578" s="389">
        <f>+SUM(V3573:V3577)</f>
        <v>12216.666666666666</v>
      </c>
      <c r="Y3578" s="398" t="s">
        <v>135</v>
      </c>
      <c r="Z3578" s="397">
        <f>+SUM(Z3573:Z3577)</f>
        <v>19729916.666666664</v>
      </c>
      <c r="AA3578" s="86"/>
      <c r="AB3578" s="384"/>
      <c r="AC3578" s="385"/>
      <c r="AD3578" s="94"/>
      <c r="AE3578" s="399"/>
    </row>
    <row r="3579" spans="3:31" s="260" customFormat="1" ht="15.75" thickBot="1" x14ac:dyDescent="0.3">
      <c r="C3579" s="84"/>
      <c r="D3579" s="375"/>
      <c r="E3579" s="407">
        <f>+D3570</f>
        <v>3.24</v>
      </c>
      <c r="F3579" s="376"/>
      <c r="G3579" s="376"/>
      <c r="H3579" s="376"/>
      <c r="I3579" s="376"/>
      <c r="J3579" s="377"/>
      <c r="K3579" s="88"/>
      <c r="M3579" s="535"/>
      <c r="N3579" s="537" t="s">
        <v>107</v>
      </c>
      <c r="O3579" s="537"/>
      <c r="P3579" s="537"/>
      <c r="Q3579" s="537"/>
      <c r="R3579" s="537"/>
      <c r="S3579" s="537"/>
      <c r="T3579" s="537"/>
      <c r="U3579" s="537"/>
      <c r="V3579" s="408">
        <f>+ROUND(V3578,$AA$5)</f>
        <v>12216.67</v>
      </c>
      <c r="Y3579" s="401" t="s">
        <v>136</v>
      </c>
      <c r="Z3579" s="402">
        <f>+ROUND(Z3578,$AA$5)</f>
        <v>19729916.670000002</v>
      </c>
      <c r="AA3579" s="86"/>
      <c r="AB3579" s="403">
        <f>+V3579*Y3560</f>
        <v>19729922.050000001</v>
      </c>
      <c r="AC3579" s="404">
        <f>+AB3579-Z3579</f>
        <v>5.3799999989569187</v>
      </c>
      <c r="AD3579" s="94"/>
      <c r="AE3579" s="405"/>
    </row>
    <row r="3580" spans="3:31" s="260" customFormat="1" x14ac:dyDescent="0.25">
      <c r="C3580" s="84"/>
      <c r="D3580" s="380"/>
      <c r="E3580" s="381"/>
      <c r="F3580" s="381"/>
      <c r="G3580" s="381"/>
      <c r="H3580" s="381"/>
      <c r="I3580" s="381"/>
      <c r="J3580" s="382"/>
      <c r="K3580" s="88"/>
      <c r="M3580" s="568" t="s">
        <v>108</v>
      </c>
      <c r="N3580" s="569"/>
      <c r="O3580" s="569"/>
      <c r="P3580" s="569"/>
      <c r="Q3580" s="569"/>
      <c r="R3580" s="569"/>
      <c r="S3580" s="569"/>
      <c r="T3580" s="569"/>
      <c r="U3580" s="569"/>
      <c r="V3580" s="570"/>
      <c r="Y3580" s="378"/>
      <c r="Z3580" s="121"/>
      <c r="AA3580" s="86"/>
      <c r="AB3580" s="409"/>
      <c r="AC3580" s="121"/>
      <c r="AD3580" s="94"/>
      <c r="AE3580" s="126"/>
    </row>
    <row r="3581" spans="3:31" s="260" customFormat="1" ht="25.5" x14ac:dyDescent="0.25">
      <c r="C3581" s="84"/>
      <c r="D3581" s="85"/>
      <c r="E3581" s="86"/>
      <c r="F3581" s="86"/>
      <c r="G3581" s="86"/>
      <c r="H3581" s="86"/>
      <c r="I3581" s="86"/>
      <c r="J3581" s="87"/>
      <c r="K3581" s="88"/>
      <c r="M3581" s="99" t="s">
        <v>94</v>
      </c>
      <c r="N3581" s="561" t="s">
        <v>95</v>
      </c>
      <c r="O3581" s="561"/>
      <c r="P3581" s="561"/>
      <c r="Q3581" s="95" t="s">
        <v>109</v>
      </c>
      <c r="R3581" s="95" t="s">
        <v>110</v>
      </c>
      <c r="S3581" s="95" t="s">
        <v>111</v>
      </c>
      <c r="T3581" s="562" t="s">
        <v>112</v>
      </c>
      <c r="U3581" s="562"/>
      <c r="V3581" s="100" t="s">
        <v>98</v>
      </c>
      <c r="Y3581" s="383" t="s">
        <v>104</v>
      </c>
      <c r="Z3581" s="119" t="s">
        <v>9</v>
      </c>
      <c r="AA3581" s="86"/>
      <c r="AB3581" s="384"/>
      <c r="AC3581" s="385"/>
      <c r="AD3581" s="94"/>
      <c r="AE3581" s="410"/>
    </row>
    <row r="3582" spans="3:31" s="260" customFormat="1" x14ac:dyDescent="0.25">
      <c r="C3582" s="84"/>
      <c r="D3582" s="85"/>
      <c r="E3582" s="86"/>
      <c r="F3582" s="86"/>
      <c r="G3582" s="86"/>
      <c r="H3582" s="86"/>
      <c r="I3582" s="86"/>
      <c r="J3582" s="87"/>
      <c r="K3582" s="88"/>
      <c r="M3582" s="102">
        <v>129</v>
      </c>
      <c r="N3582" s="530" t="str">
        <f>IFERROR(VLOOKUP(M3582,INSUMOS!$C$8:$K$928,2,0),"-----")</f>
        <v>transporte materiales en general</v>
      </c>
      <c r="O3582" s="531"/>
      <c r="P3582" s="532"/>
      <c r="Q3582" s="78" t="str">
        <f>IFERROR(VLOOKUP(M3582,INSUMOS!$C$8:$K$928,5,0),"-----")</f>
        <v>Km</v>
      </c>
      <c r="R3582" s="80">
        <v>2</v>
      </c>
      <c r="S3582" s="80">
        <f>IFERROR(VLOOKUP(M3582,INSUMOS!$C$8:$K$928,6,0),"0")</f>
        <v>348</v>
      </c>
      <c r="T3582" s="529">
        <f>IFERROR(VLOOKUP(M3582,INSUMOS!$C$8:$K$928,7,0),"0")</f>
        <v>0.99776362060288992</v>
      </c>
      <c r="U3582" s="529"/>
      <c r="V3582" s="82">
        <f>+T3582*S3582*R3582</f>
        <v>694.44347993961139</v>
      </c>
      <c r="Y3582" s="393">
        <f>+IFERROR((R3582*S3582)*Y3560,0)</f>
        <v>1124040</v>
      </c>
      <c r="Z3582" s="391">
        <f>Y3560*V3582</f>
        <v>1121526.2201024725</v>
      </c>
      <c r="AA3582" s="86"/>
      <c r="AB3582" s="92">
        <f>+Y3582*T3582</f>
        <v>1121526.2201024725</v>
      </c>
      <c r="AC3582" s="93">
        <f>+AB3582-Z3582</f>
        <v>0</v>
      </c>
      <c r="AD3582" s="94"/>
      <c r="AE3582" s="406" t="str">
        <f>+IF(V3582=0,"CERO","NO")</f>
        <v>NO</v>
      </c>
    </row>
    <row r="3583" spans="3:31" s="260" customFormat="1" x14ac:dyDescent="0.25">
      <c r="C3583" s="84"/>
      <c r="D3583" s="85"/>
      <c r="E3583" s="86"/>
      <c r="F3583" s="86"/>
      <c r="G3583" s="86"/>
      <c r="H3583" s="86"/>
      <c r="I3583" s="86"/>
      <c r="J3583" s="87"/>
      <c r="K3583" s="88"/>
      <c r="M3583" s="102">
        <v>0</v>
      </c>
      <c r="N3583" s="530" t="str">
        <f>IFERROR(VLOOKUP(M3583,INSUMOS!$C$8:$K$928,2,0),"-----")</f>
        <v>-----</v>
      </c>
      <c r="O3583" s="531"/>
      <c r="P3583" s="532"/>
      <c r="Q3583" s="78" t="str">
        <f>IFERROR(VLOOKUP(M3583,INSUMOS!$C$8:$K$928,5,0),"-----")</f>
        <v>-----</v>
      </c>
      <c r="R3583" s="80"/>
      <c r="S3583" s="80" t="str">
        <f>IFERROR(VLOOKUP(M3583,INSUMOS!$C$8:$K$928,6,0),"0")</f>
        <v>0</v>
      </c>
      <c r="T3583" s="529" t="str">
        <f>IFERROR(VLOOKUP(M3583,INSUMOS!$C$8:$K$928,7,0),"0")</f>
        <v>0</v>
      </c>
      <c r="U3583" s="529"/>
      <c r="V3583" s="82">
        <f>+T3583*S3583*R3583</f>
        <v>0</v>
      </c>
      <c r="Y3583" s="393">
        <f>+IFERROR((R3583*S3583)*Y3560,0)</f>
        <v>0</v>
      </c>
      <c r="Z3583" s="391">
        <f>Y3560*V3583</f>
        <v>0</v>
      </c>
      <c r="AA3583" s="86"/>
      <c r="AB3583" s="92">
        <f>+Y3583*T3583</f>
        <v>0</v>
      </c>
      <c r="AC3583" s="93">
        <f>+AB3583-Z3583</f>
        <v>0</v>
      </c>
      <c r="AD3583" s="94"/>
      <c r="AE3583" s="406" t="str">
        <f>+IF(V3583=0,"CERO","NO")</f>
        <v>CERO</v>
      </c>
    </row>
    <row r="3584" spans="3:31" s="260" customFormat="1" x14ac:dyDescent="0.25">
      <c r="C3584" s="84"/>
      <c r="D3584" s="85"/>
      <c r="E3584" s="86"/>
      <c r="F3584" s="86"/>
      <c r="G3584" s="86"/>
      <c r="H3584" s="86"/>
      <c r="I3584" s="86"/>
      <c r="J3584" s="87"/>
      <c r="K3584" s="88"/>
      <c r="M3584" s="102">
        <v>0</v>
      </c>
      <c r="N3584" s="530" t="str">
        <f>IFERROR(VLOOKUP(M3584,INSUMOS!$C$8:$K$928,2,0),"-----")</f>
        <v>-----</v>
      </c>
      <c r="O3584" s="531"/>
      <c r="P3584" s="532"/>
      <c r="Q3584" s="78" t="str">
        <f>IFERROR(VLOOKUP(M3584,INSUMOS!$C$8:$K$928,5,0),"-----")</f>
        <v>-----</v>
      </c>
      <c r="R3584" s="80"/>
      <c r="S3584" s="80" t="str">
        <f>IFERROR(VLOOKUP(M3584,INSUMOS!$C$8:$K$928,6,0),"0")</f>
        <v>0</v>
      </c>
      <c r="T3584" s="529" t="str">
        <f>IFERROR(VLOOKUP(M3584,INSUMOS!$C$8:$K$928,7,0),"0")</f>
        <v>0</v>
      </c>
      <c r="U3584" s="529"/>
      <c r="V3584" s="82">
        <f>+T3584*S3584*R3584</f>
        <v>0</v>
      </c>
      <c r="Y3584" s="393">
        <f>+IFERROR((R3584*S3584)*Y3560,0)</f>
        <v>0</v>
      </c>
      <c r="Z3584" s="391">
        <f>Y3560*V3584</f>
        <v>0</v>
      </c>
      <c r="AA3584" s="86"/>
      <c r="AB3584" s="92">
        <f>+Y3584*T3584</f>
        <v>0</v>
      </c>
      <c r="AC3584" s="93">
        <f>+AB3584-Z3584</f>
        <v>0</v>
      </c>
      <c r="AD3584" s="94"/>
      <c r="AE3584" s="406" t="str">
        <f>+IF(V3584=0,"CERO","NO")</f>
        <v>CERO</v>
      </c>
    </row>
    <row r="3585" spans="3:31" s="260" customFormat="1" ht="15.75" thickBot="1" x14ac:dyDescent="0.3">
      <c r="C3585" s="84"/>
      <c r="D3585" s="89"/>
      <c r="E3585" s="90"/>
      <c r="F3585" s="90"/>
      <c r="G3585" s="90"/>
      <c r="H3585" s="90"/>
      <c r="I3585" s="90"/>
      <c r="J3585" s="91"/>
      <c r="K3585" s="88"/>
      <c r="M3585" s="102">
        <v>0</v>
      </c>
      <c r="N3585" s="533"/>
      <c r="O3585" s="533"/>
      <c r="P3585" s="533"/>
      <c r="Q3585" s="79"/>
      <c r="R3585" s="78"/>
      <c r="S3585" s="81"/>
      <c r="T3585" s="529"/>
      <c r="U3585" s="529"/>
      <c r="V3585" s="82"/>
      <c r="Y3585" s="393">
        <f>+IFERROR((R3585*S3585)*Y3560,0)</f>
        <v>0</v>
      </c>
      <c r="Z3585" s="391">
        <f>Y3560*V3585</f>
        <v>0</v>
      </c>
      <c r="AA3585" s="86"/>
      <c r="AB3585" s="92">
        <f>+Y3585*T3585</f>
        <v>0</v>
      </c>
      <c r="AC3585" s="93">
        <f>+AB3585-Z3585</f>
        <v>0</v>
      </c>
      <c r="AD3585" s="94"/>
      <c r="AE3585" s="406" t="str">
        <f>+IF(V3585=0,"CERO","NO")</f>
        <v>CERO</v>
      </c>
    </row>
    <row r="3586" spans="3:31" s="260" customFormat="1" ht="15.75" thickBot="1" x14ac:dyDescent="0.3">
      <c r="C3586" s="84"/>
      <c r="D3586" s="375" t="s">
        <v>128</v>
      </c>
      <c r="E3586" s="376" t="s">
        <v>129</v>
      </c>
      <c r="F3586" s="376" t="s">
        <v>130</v>
      </c>
      <c r="G3586" s="376" t="s">
        <v>131</v>
      </c>
      <c r="H3586" s="376" t="s">
        <v>132</v>
      </c>
      <c r="I3586" s="376" t="s">
        <v>133</v>
      </c>
      <c r="J3586" s="377" t="s">
        <v>134</v>
      </c>
      <c r="K3586" s="88"/>
      <c r="M3586" s="534"/>
      <c r="N3586" s="536" t="s">
        <v>113</v>
      </c>
      <c r="O3586" s="536"/>
      <c r="P3586" s="536"/>
      <c r="Q3586" s="536"/>
      <c r="R3586" s="536"/>
      <c r="S3586" s="536"/>
      <c r="T3586" s="536"/>
      <c r="U3586" s="536"/>
      <c r="V3586" s="411">
        <f>+SUM(V3582:V3585)</f>
        <v>694.44347993961139</v>
      </c>
      <c r="Y3586" s="398" t="s">
        <v>135</v>
      </c>
      <c r="Z3586" s="397">
        <f>+SUM(Z3582:Z3585)</f>
        <v>1121526.2201024725</v>
      </c>
      <c r="AA3586" s="86"/>
      <c r="AB3586" s="384"/>
      <c r="AC3586" s="385"/>
      <c r="AD3586" s="94"/>
      <c r="AE3586" s="399"/>
    </row>
    <row r="3587" spans="3:31" s="260" customFormat="1" ht="15.75" thickBot="1" x14ac:dyDescent="0.3">
      <c r="C3587" s="84"/>
      <c r="D3587" s="355"/>
      <c r="E3587" s="367"/>
      <c r="F3587" s="412">
        <f>+E3579</f>
        <v>3.24</v>
      </c>
      <c r="G3587" s="367"/>
      <c r="H3587" s="367"/>
      <c r="I3587" s="367"/>
      <c r="J3587" s="368"/>
      <c r="K3587" s="88"/>
      <c r="M3587" s="535"/>
      <c r="N3587" s="537" t="s">
        <v>114</v>
      </c>
      <c r="O3587" s="537"/>
      <c r="P3587" s="537"/>
      <c r="Q3587" s="537"/>
      <c r="R3587" s="537"/>
      <c r="S3587" s="537"/>
      <c r="T3587" s="537"/>
      <c r="U3587" s="537"/>
      <c r="V3587" s="413">
        <f>+ROUND(V3586,$AA$5)</f>
        <v>694.44</v>
      </c>
      <c r="Y3587" s="401" t="s">
        <v>136</v>
      </c>
      <c r="Z3587" s="402">
        <f>+ROUND(Z3586,$AA$5)</f>
        <v>1121526.22</v>
      </c>
      <c r="AA3587" s="86"/>
      <c r="AB3587" s="403">
        <f>+V3587*Y3560</f>
        <v>1121520.6000000001</v>
      </c>
      <c r="AC3587" s="414"/>
      <c r="AD3587" s="94"/>
      <c r="AE3587" s="405"/>
    </row>
    <row r="3588" spans="3:31" s="260" customFormat="1" ht="15.75" thickBot="1" x14ac:dyDescent="0.3">
      <c r="C3588" s="84"/>
      <c r="D3588" s="415"/>
      <c r="E3588" s="416"/>
      <c r="F3588" s="416"/>
      <c r="G3588" s="416"/>
      <c r="H3588" s="416"/>
      <c r="I3588" s="416"/>
      <c r="J3588" s="417"/>
      <c r="K3588" s="88"/>
      <c r="M3588" s="538" t="s">
        <v>115</v>
      </c>
      <c r="N3588" s="539"/>
      <c r="O3588" s="539"/>
      <c r="P3588" s="539"/>
      <c r="Q3588" s="539"/>
      <c r="R3588" s="539"/>
      <c r="S3588" s="539"/>
      <c r="T3588" s="539"/>
      <c r="U3588" s="539"/>
      <c r="V3588" s="540"/>
      <c r="Y3588" s="378"/>
      <c r="Z3588" s="121"/>
      <c r="AA3588" s="86"/>
      <c r="AB3588" s="409"/>
      <c r="AC3588" s="121"/>
      <c r="AD3588" s="94"/>
      <c r="AE3588" s="126"/>
    </row>
    <row r="3589" spans="3:31" s="260" customFormat="1" ht="15.75" thickBot="1" x14ac:dyDescent="0.3">
      <c r="C3589" s="84"/>
      <c r="D3589" s="375" t="s">
        <v>128</v>
      </c>
      <c r="E3589" s="376" t="s">
        <v>129</v>
      </c>
      <c r="F3589" s="376" t="s">
        <v>130</v>
      </c>
      <c r="G3589" s="376" t="s">
        <v>131</v>
      </c>
      <c r="H3589" s="376" t="s">
        <v>132</v>
      </c>
      <c r="I3589" s="376" t="s">
        <v>133</v>
      </c>
      <c r="J3589" s="377" t="s">
        <v>134</v>
      </c>
      <c r="K3589" s="88"/>
      <c r="M3589" s="99" t="s">
        <v>94</v>
      </c>
      <c r="N3589" s="98" t="s">
        <v>95</v>
      </c>
      <c r="O3589" s="95" t="s">
        <v>96</v>
      </c>
      <c r="P3589" s="359" t="s">
        <v>104</v>
      </c>
      <c r="Q3589" s="95" t="s">
        <v>116</v>
      </c>
      <c r="R3589" s="418" t="s">
        <v>117</v>
      </c>
      <c r="S3589" s="95" t="s">
        <v>347</v>
      </c>
      <c r="T3589" s="419" t="s">
        <v>118</v>
      </c>
      <c r="U3589" s="189" t="s">
        <v>119</v>
      </c>
      <c r="V3589" s="100" t="s">
        <v>98</v>
      </c>
      <c r="Y3589" s="383" t="s">
        <v>104</v>
      </c>
      <c r="Z3589" s="119" t="s">
        <v>9</v>
      </c>
      <c r="AA3589" s="86"/>
      <c r="AB3589" s="384"/>
      <c r="AC3589" s="385"/>
      <c r="AD3589" s="94"/>
      <c r="AE3589" s="410"/>
    </row>
    <row r="3590" spans="3:31" s="260" customFormat="1" ht="25.5" x14ac:dyDescent="0.25">
      <c r="C3590" s="84"/>
      <c r="D3590" s="354"/>
      <c r="E3590" s="96"/>
      <c r="F3590" s="96"/>
      <c r="G3590" s="96"/>
      <c r="H3590" s="96"/>
      <c r="I3590" s="96"/>
      <c r="J3590" s="420">
        <f>+F3587</f>
        <v>3.24</v>
      </c>
      <c r="K3590" s="88"/>
      <c r="M3590" s="102">
        <v>207</v>
      </c>
      <c r="N3590" s="347" t="str">
        <f>IFERROR(VLOOKUP(M3590,INSUMOS!$C$8:$K$928,2,0),"-----")</f>
        <v>Oficial Hidrosanitario</v>
      </c>
      <c r="O3590" s="78" t="str">
        <f>IFERROR(VLOOKUP(M3590,INSUMOS!$C$8:$K$928,3,0),"-----")</f>
        <v>JORNAL+PS</v>
      </c>
      <c r="P3590" s="80">
        <v>1</v>
      </c>
      <c r="Q3590" s="79">
        <v>30</v>
      </c>
      <c r="R3590" s="190">
        <f>IFERROR(VLOOKUP(M3590,INSUMOS!$C$8:$K$928,4,0),"-----")</f>
        <v>92983</v>
      </c>
      <c r="S3590" s="190">
        <f>IFERROR(VLOOKUP(M3590,INSUMOS!$C$8:$K$928,6,0),"-----")</f>
        <v>74386</v>
      </c>
      <c r="T3590" s="190">
        <f>IFERROR(VLOOKUP(M3590,INSUMOS!$C$8:$K$928,5,0),"-----")</f>
        <v>0</v>
      </c>
      <c r="U3590" s="388">
        <f>SUM(R3590:T3590)</f>
        <v>167369</v>
      </c>
      <c r="V3590" s="82">
        <f>+IFERROR((P3590/Q3590)*U3590,0)</f>
        <v>5578.9666666666662</v>
      </c>
      <c r="Y3590" s="393">
        <f>+IFERROR((Y3560/Q3590*P3590),0)</f>
        <v>53.833333333333336</v>
      </c>
      <c r="Z3590" s="391">
        <f>Y3560*V3590</f>
        <v>9010031.166666666</v>
      </c>
      <c r="AA3590" s="86"/>
      <c r="AB3590" s="92">
        <f>+(U3590)*Y3590</f>
        <v>9010031.1666666679</v>
      </c>
      <c r="AC3590" s="93">
        <f>+AB3590-Z3590</f>
        <v>0</v>
      </c>
      <c r="AD3590" s="421"/>
      <c r="AE3590" s="410" t="str">
        <f>+IF(V3590=0,"CERO","NO")</f>
        <v>NO</v>
      </c>
    </row>
    <row r="3591" spans="3:31" s="260" customFormat="1" ht="26.25" thickBot="1" x14ac:dyDescent="0.3">
      <c r="C3591" s="84"/>
      <c r="D3591" s="355"/>
      <c r="E3591" s="367"/>
      <c r="F3591" s="367"/>
      <c r="G3591" s="367"/>
      <c r="H3591" s="367"/>
      <c r="I3591" s="367"/>
      <c r="J3591" s="422">
        <f>+J3590</f>
        <v>3.24</v>
      </c>
      <c r="K3591" s="88"/>
      <c r="M3591" s="102">
        <v>208</v>
      </c>
      <c r="N3591" s="347" t="str">
        <f>IFERROR(VLOOKUP(M3591,INSUMOS!$C$8:$K$928,2,0),"-----")</f>
        <v>Ayudante Hidrosanitario</v>
      </c>
      <c r="O3591" s="78" t="str">
        <f>IFERROR(VLOOKUP(M3591,INSUMOS!$C$8:$K$928,3,0),"-----")</f>
        <v>JORNAL+PS</v>
      </c>
      <c r="P3591" s="80">
        <v>1</v>
      </c>
      <c r="Q3591" s="79">
        <v>30</v>
      </c>
      <c r="R3591" s="190">
        <f>IFERROR(VLOOKUP(M3591,INSUMOS!$C$8:$K$928,4,0),"-----")</f>
        <v>69172</v>
      </c>
      <c r="S3591" s="190">
        <f>IFERROR(VLOOKUP(M3591,INSUMOS!$C$8:$K$928,6,0),"-----")</f>
        <v>55337</v>
      </c>
      <c r="T3591" s="190">
        <f>IFERROR(VLOOKUP(M3591,INSUMOS!$C$8:$K$928,5,0),"-----")</f>
        <v>0</v>
      </c>
      <c r="U3591" s="388">
        <f>SUM(R3591:T3591)</f>
        <v>124509</v>
      </c>
      <c r="V3591" s="82">
        <f>+IFERROR((P3591/Q3591)*U3591,0)</f>
        <v>4150.3</v>
      </c>
      <c r="Y3591" s="393">
        <f>+IFERROR((Y3560/Q3591*P3591),0)</f>
        <v>53.833333333333336</v>
      </c>
      <c r="Z3591" s="391">
        <f>Y3560*V3591</f>
        <v>6702734.5</v>
      </c>
      <c r="AA3591" s="86"/>
      <c r="AB3591" s="92">
        <f>+U3591*Y3591</f>
        <v>6702734.5</v>
      </c>
      <c r="AC3591" s="93">
        <f>+AB3591-Z3591</f>
        <v>0</v>
      </c>
      <c r="AD3591" s="94"/>
      <c r="AE3591" s="410" t="str">
        <f>+IF(V3591=0,"CERO","NO")</f>
        <v>NO</v>
      </c>
    </row>
    <row r="3592" spans="3:31" s="260" customFormat="1" ht="15.75" thickBot="1" x14ac:dyDescent="0.3">
      <c r="C3592" s="84"/>
      <c r="D3592" s="380"/>
      <c r="E3592" s="381"/>
      <c r="F3592" s="381"/>
      <c r="G3592" s="381"/>
      <c r="H3592" s="381"/>
      <c r="I3592" s="381"/>
      <c r="J3592" s="382"/>
      <c r="K3592" s="88"/>
      <c r="M3592" s="102">
        <v>0</v>
      </c>
      <c r="N3592" s="347"/>
      <c r="O3592" s="79"/>
      <c r="P3592" s="423"/>
      <c r="Q3592" s="81"/>
      <c r="R3592" s="111"/>
      <c r="S3592" s="357"/>
      <c r="T3592" s="111"/>
      <c r="U3592" s="388"/>
      <c r="V3592" s="426"/>
      <c r="Y3592" s="393">
        <f>+IFERROR((Y3560/Q3592*P3592),0)</f>
        <v>0</v>
      </c>
      <c r="Z3592" s="391">
        <f>Y3560*V3592</f>
        <v>0</v>
      </c>
      <c r="AA3592" s="86"/>
      <c r="AB3592" s="92">
        <f>+(U3592)*Y3592*P3592</f>
        <v>0</v>
      </c>
      <c r="AC3592" s="93">
        <f>+AB3592-Z3592</f>
        <v>0</v>
      </c>
      <c r="AD3592" s="94"/>
      <c r="AE3592" s="410" t="str">
        <f>+IF(V3592=0,"CERO","NO")</f>
        <v>CERO</v>
      </c>
    </row>
    <row r="3593" spans="3:31" s="260" customFormat="1" ht="15.75" thickBot="1" x14ac:dyDescent="0.3">
      <c r="C3593" s="84"/>
      <c r="D3593" s="375" t="s">
        <v>128</v>
      </c>
      <c r="E3593" s="376" t="s">
        <v>129</v>
      </c>
      <c r="F3593" s="376" t="s">
        <v>130</v>
      </c>
      <c r="G3593" s="376" t="s">
        <v>131</v>
      </c>
      <c r="H3593" s="376" t="s">
        <v>132</v>
      </c>
      <c r="I3593" s="376" t="s">
        <v>133</v>
      </c>
      <c r="J3593" s="377" t="s">
        <v>134</v>
      </c>
      <c r="K3593" s="88"/>
      <c r="M3593" s="534"/>
      <c r="N3593" s="536" t="s">
        <v>120</v>
      </c>
      <c r="O3593" s="536"/>
      <c r="P3593" s="536"/>
      <c r="Q3593" s="536"/>
      <c r="R3593" s="536"/>
      <c r="S3593" s="536"/>
      <c r="T3593" s="536"/>
      <c r="U3593" s="536"/>
      <c r="V3593" s="82">
        <f>+SUM(V3590:V3592)</f>
        <v>9729.2666666666664</v>
      </c>
      <c r="Y3593" s="398" t="s">
        <v>135</v>
      </c>
      <c r="Z3593" s="397">
        <f>+SUM(Z3590:Z3592)</f>
        <v>15712765.666666666</v>
      </c>
      <c r="AA3593" s="86"/>
      <c r="AB3593" s="384"/>
      <c r="AC3593" s="385"/>
      <c r="AD3593" s="94"/>
      <c r="AE3593" s="399"/>
    </row>
    <row r="3594" spans="3:31" s="260" customFormat="1" ht="15.75" thickBot="1" x14ac:dyDescent="0.3">
      <c r="C3594" s="84"/>
      <c r="D3594" s="354"/>
      <c r="E3594" s="96"/>
      <c r="F3594" s="96"/>
      <c r="G3594" s="107">
        <f>+F3587</f>
        <v>3.24</v>
      </c>
      <c r="H3594" s="96"/>
      <c r="I3594" s="96"/>
      <c r="J3594" s="427"/>
      <c r="K3594" s="88"/>
      <c r="M3594" s="535"/>
      <c r="N3594" s="537" t="s">
        <v>121</v>
      </c>
      <c r="O3594" s="537"/>
      <c r="P3594" s="537"/>
      <c r="Q3594" s="537"/>
      <c r="R3594" s="537"/>
      <c r="S3594" s="537"/>
      <c r="T3594" s="537"/>
      <c r="U3594" s="537"/>
      <c r="V3594" s="413">
        <f>+ROUND(V3593,$AA$5)</f>
        <v>9729.27</v>
      </c>
      <c r="Y3594" s="401" t="s">
        <v>136</v>
      </c>
      <c r="Z3594" s="402">
        <f>+ROUND(Z3593,$AA$5)</f>
        <v>15712765.67</v>
      </c>
      <c r="AA3594" s="86"/>
      <c r="AB3594" s="403">
        <f>+V3594*Y3560</f>
        <v>15712771.050000001</v>
      </c>
      <c r="AC3594" s="404">
        <f>+AB3594-Z3594</f>
        <v>5.3800000008195639</v>
      </c>
      <c r="AD3594" s="94"/>
      <c r="AE3594" s="405"/>
    </row>
    <row r="3595" spans="3:31" s="260" customFormat="1" ht="15.75" thickBot="1" x14ac:dyDescent="0.3">
      <c r="C3595" s="84"/>
      <c r="D3595" s="375" t="s">
        <v>128</v>
      </c>
      <c r="E3595" s="376" t="s">
        <v>129</v>
      </c>
      <c r="F3595" s="376" t="s">
        <v>130</v>
      </c>
      <c r="G3595" s="376" t="s">
        <v>131</v>
      </c>
      <c r="H3595" s="376" t="s">
        <v>132</v>
      </c>
      <c r="I3595" s="376" t="s">
        <v>133</v>
      </c>
      <c r="J3595" s="377" t="s">
        <v>134</v>
      </c>
      <c r="K3595" s="88"/>
      <c r="M3595" s="541"/>
      <c r="N3595" s="542"/>
      <c r="O3595" s="542"/>
      <c r="P3595" s="542"/>
      <c r="Q3595" s="542"/>
      <c r="R3595" s="542"/>
      <c r="S3595" s="542"/>
      <c r="T3595" s="542"/>
      <c r="U3595" s="542"/>
      <c r="V3595" s="543"/>
      <c r="Y3595" s="378"/>
      <c r="Z3595" s="121"/>
      <c r="AA3595" s="86"/>
      <c r="AB3595" s="409"/>
      <c r="AC3595" s="121"/>
      <c r="AD3595" s="94"/>
      <c r="AE3595" s="428"/>
    </row>
    <row r="3596" spans="3:31" s="260" customFormat="1" ht="15.75" thickBot="1" x14ac:dyDescent="0.3">
      <c r="C3596" s="84"/>
      <c r="D3596" s="355"/>
      <c r="E3596" s="367"/>
      <c r="F3596" s="367"/>
      <c r="G3596" s="367"/>
      <c r="H3596" s="412">
        <f>G3594</f>
        <v>3.24</v>
      </c>
      <c r="I3596" s="412"/>
      <c r="J3596" s="422"/>
      <c r="K3596" s="88"/>
      <c r="M3596" s="544" t="s">
        <v>122</v>
      </c>
      <c r="N3596" s="537"/>
      <c r="O3596" s="537"/>
      <c r="P3596" s="537"/>
      <c r="Q3596" s="537"/>
      <c r="R3596" s="537"/>
      <c r="S3596" s="537"/>
      <c r="T3596" s="537"/>
      <c r="U3596" s="545">
        <f>+V3594+V3587+V3579+V3570</f>
        <v>23126.84</v>
      </c>
      <c r="V3596" s="546"/>
      <c r="Y3596" s="429"/>
      <c r="Z3596" s="430">
        <f>+Z3594+Z3587+Z3579+Z3570</f>
        <v>37349847.109999999</v>
      </c>
      <c r="AA3596" s="86"/>
      <c r="AB3596" s="431">
        <f>+AB3594+AB3587+AB3579+AB3570</f>
        <v>37349846.600000001</v>
      </c>
      <c r="AC3596" s="404">
        <f>+AB3596-Z3596</f>
        <v>-0.50999999791383743</v>
      </c>
      <c r="AD3596" s="94"/>
      <c r="AE3596" s="432"/>
    </row>
    <row r="3597" spans="3:31" s="260" customFormat="1" ht="15.75" thickBot="1" x14ac:dyDescent="0.3"/>
    <row r="3598" spans="3:31" s="260" customFormat="1" x14ac:dyDescent="0.25">
      <c r="M3598" s="547" t="s">
        <v>348</v>
      </c>
      <c r="N3598" s="548"/>
      <c r="O3598" s="548"/>
      <c r="P3598" s="548"/>
      <c r="Q3598" s="548"/>
      <c r="R3598" s="548"/>
      <c r="S3598" s="548"/>
      <c r="T3598" s="548"/>
      <c r="U3598" s="548"/>
      <c r="V3598" s="549"/>
      <c r="Y3598" s="378"/>
      <c r="Z3598" s="121"/>
      <c r="AA3598" s="86"/>
      <c r="AB3598" s="94"/>
      <c r="AC3598" s="94"/>
      <c r="AD3598" s="94"/>
      <c r="AE3598" s="126" t="s">
        <v>133</v>
      </c>
    </row>
    <row r="3599" spans="3:31" s="260" customFormat="1" x14ac:dyDescent="0.25">
      <c r="M3599" s="515" t="s">
        <v>138</v>
      </c>
      <c r="N3599" s="516"/>
      <c r="O3599" s="516"/>
      <c r="P3599" s="516"/>
      <c r="Q3599" s="516"/>
      <c r="R3599" s="516"/>
      <c r="S3599" s="516"/>
      <c r="T3599" s="437">
        <v>0</v>
      </c>
      <c r="U3599" s="517">
        <f>+ROUND(U3596*T3599,$AA$5)</f>
        <v>0</v>
      </c>
      <c r="V3599" s="518"/>
      <c r="Y3599" s="390"/>
      <c r="Z3599" s="438">
        <f>+Z3596*T3599</f>
        <v>0</v>
      </c>
      <c r="AA3599" s="86"/>
      <c r="AB3599" s="94"/>
      <c r="AC3599" s="94"/>
      <c r="AD3599" s="94"/>
      <c r="AE3599" s="386" t="s">
        <v>133</v>
      </c>
    </row>
    <row r="3600" spans="3:31" s="260" customFormat="1" x14ac:dyDescent="0.25">
      <c r="M3600" s="515" t="s">
        <v>19</v>
      </c>
      <c r="N3600" s="516"/>
      <c r="O3600" s="516"/>
      <c r="P3600" s="516"/>
      <c r="Q3600" s="516"/>
      <c r="R3600" s="516"/>
      <c r="S3600" s="516"/>
      <c r="T3600" s="437">
        <v>0.05</v>
      </c>
      <c r="U3600" s="517">
        <f>+ROUND(U3596*T3600,$AA$5)</f>
        <v>1156.3399999999999</v>
      </c>
      <c r="V3600" s="518"/>
      <c r="Y3600" s="390"/>
      <c r="Z3600" s="438">
        <f>+Z3596*T3600</f>
        <v>1867492.3555000001</v>
      </c>
      <c r="AA3600" s="86"/>
      <c r="AB3600" s="94"/>
      <c r="AC3600" s="94"/>
      <c r="AD3600" s="94"/>
      <c r="AE3600" s="386" t="s">
        <v>133</v>
      </c>
    </row>
    <row r="3601" spans="3:31" s="260" customFormat="1" x14ac:dyDescent="0.25">
      <c r="M3601" s="515" t="s">
        <v>20</v>
      </c>
      <c r="N3601" s="516"/>
      <c r="O3601" s="516"/>
      <c r="P3601" s="516"/>
      <c r="Q3601" s="516"/>
      <c r="R3601" s="516"/>
      <c r="S3601" s="516"/>
      <c r="T3601" s="437">
        <v>0</v>
      </c>
      <c r="U3601" s="517">
        <f>+ROUND(U3596*T3601,$AA$5)</f>
        <v>0</v>
      </c>
      <c r="V3601" s="518"/>
      <c r="Y3601" s="390"/>
      <c r="Z3601" s="438">
        <f>+Z3596*T3601</f>
        <v>0</v>
      </c>
      <c r="AA3601" s="86"/>
      <c r="AB3601" s="94"/>
      <c r="AC3601" s="94"/>
      <c r="AD3601" s="94"/>
      <c r="AE3601" s="386" t="s">
        <v>133</v>
      </c>
    </row>
    <row r="3602" spans="3:31" s="260" customFormat="1" x14ac:dyDescent="0.25">
      <c r="M3602" s="515" t="s">
        <v>21</v>
      </c>
      <c r="N3602" s="516"/>
      <c r="O3602" s="516"/>
      <c r="P3602" s="516"/>
      <c r="Q3602" s="516"/>
      <c r="R3602" s="516"/>
      <c r="S3602" s="516"/>
      <c r="T3602" s="437">
        <f>$AA$9</f>
        <v>0</v>
      </c>
      <c r="U3602" s="517">
        <f>+ROUND(U3596*T3602,$AA$5)</f>
        <v>0</v>
      </c>
      <c r="V3602" s="518"/>
      <c r="Y3602" s="390"/>
      <c r="Z3602" s="438">
        <f>+Z3601*T3602</f>
        <v>0</v>
      </c>
      <c r="AA3602" s="86"/>
      <c r="AB3602" s="94"/>
      <c r="AC3602" s="94"/>
      <c r="AD3602" s="94"/>
      <c r="AE3602" s="386" t="s">
        <v>133</v>
      </c>
    </row>
    <row r="3603" spans="3:31" s="260" customFormat="1" ht="15.75" thickBot="1" x14ac:dyDescent="0.3">
      <c r="M3603" s="519" t="s">
        <v>349</v>
      </c>
      <c r="N3603" s="520"/>
      <c r="O3603" s="520"/>
      <c r="P3603" s="520"/>
      <c r="Q3603" s="520"/>
      <c r="R3603" s="520"/>
      <c r="S3603" s="520"/>
      <c r="T3603" s="520"/>
      <c r="U3603" s="521">
        <f>+SUM(U3599:V3602)</f>
        <v>1156.3399999999999</v>
      </c>
      <c r="V3603" s="522"/>
      <c r="Y3603" s="390"/>
      <c r="Z3603" s="439">
        <f>+SUM(Z3599:Z3602)</f>
        <v>1867492.3555000001</v>
      </c>
      <c r="AA3603" s="86"/>
      <c r="AB3603" s="94"/>
      <c r="AC3603" s="94"/>
      <c r="AD3603" s="94"/>
      <c r="AE3603" s="386" t="s">
        <v>133</v>
      </c>
    </row>
    <row r="3604" spans="3:31" s="260" customFormat="1" ht="15.75" thickBot="1" x14ac:dyDescent="0.3">
      <c r="D3604" s="375" t="s">
        <v>128</v>
      </c>
      <c r="E3604" s="376" t="s">
        <v>129</v>
      </c>
      <c r="F3604" s="376" t="s">
        <v>130</v>
      </c>
      <c r="G3604" s="376" t="s">
        <v>131</v>
      </c>
      <c r="H3604" s="376" t="s">
        <v>132</v>
      </c>
      <c r="I3604" s="376" t="s">
        <v>133</v>
      </c>
      <c r="J3604" s="377" t="s">
        <v>134</v>
      </c>
      <c r="M3604" s="86"/>
      <c r="N3604" s="94"/>
      <c r="O3604" s="94"/>
      <c r="P3604" s="94"/>
      <c r="Q3604" s="86"/>
      <c r="R3604" s="86"/>
      <c r="S3604" s="86"/>
      <c r="T3604" s="440"/>
      <c r="U3604" s="523"/>
      <c r="V3604" s="523"/>
      <c r="Y3604" s="390"/>
      <c r="Z3604" s="385"/>
      <c r="AA3604" s="86"/>
      <c r="AB3604" s="94"/>
      <c r="AC3604" s="94"/>
      <c r="AD3604" s="94"/>
      <c r="AE3604" s="386" t="s">
        <v>133</v>
      </c>
    </row>
    <row r="3605" spans="3:31" s="260" customFormat="1" ht="15.75" thickBot="1" x14ac:dyDescent="0.3">
      <c r="D3605" s="355"/>
      <c r="E3605" s="367"/>
      <c r="F3605" s="367"/>
      <c r="G3605" s="367"/>
      <c r="H3605" s="412"/>
      <c r="I3605" s="412">
        <f>H3596</f>
        <v>3.24</v>
      </c>
      <c r="J3605" s="422"/>
      <c r="M3605" s="524" t="s">
        <v>11</v>
      </c>
      <c r="N3605" s="525"/>
      <c r="O3605" s="525"/>
      <c r="P3605" s="525"/>
      <c r="Q3605" s="525"/>
      <c r="R3605" s="525"/>
      <c r="S3605" s="525"/>
      <c r="T3605" s="526"/>
      <c r="U3605" s="527">
        <f>+U3603+U3596</f>
        <v>24283.18</v>
      </c>
      <c r="V3605" s="528"/>
      <c r="Y3605" s="429"/>
      <c r="Z3605" s="441">
        <f>+Z3603+Z3596</f>
        <v>39217339.465499997</v>
      </c>
      <c r="AA3605" s="86"/>
      <c r="AB3605" s="94"/>
      <c r="AC3605" s="94"/>
      <c r="AD3605" s="94"/>
      <c r="AE3605" s="405" t="s">
        <v>133</v>
      </c>
    </row>
    <row r="3606" spans="3:31" s="260" customFormat="1" x14ac:dyDescent="0.25"/>
    <row r="3607" spans="3:31" s="260" customFormat="1" ht="15.75" thickBot="1" x14ac:dyDescent="0.3"/>
    <row r="3608" spans="3:31" s="260" customFormat="1" ht="15.75" thickBot="1" x14ac:dyDescent="0.3">
      <c r="M3608" s="363" t="s">
        <v>88</v>
      </c>
      <c r="N3608" s="436" t="str">
        <f>+N3559</f>
        <v>CAP.3</v>
      </c>
      <c r="O3608" s="550" t="str">
        <f>IFERROR(VLOOKUP(N3608,PPTO!C:H,2,0),"----")</f>
        <v>RED CONTRAINCENDIOS</v>
      </c>
      <c r="P3608" s="551"/>
      <c r="Q3608" s="551"/>
      <c r="R3608" s="551"/>
      <c r="S3608" s="551"/>
      <c r="T3608" s="551"/>
      <c r="U3608" s="552"/>
      <c r="V3608" s="74" t="s">
        <v>91</v>
      </c>
      <c r="Y3608" s="365" t="s">
        <v>104</v>
      </c>
      <c r="Z3608" s="94"/>
      <c r="AA3608" s="188"/>
      <c r="AB3608" s="553"/>
      <c r="AC3608" s="553"/>
      <c r="AD3608" s="553"/>
      <c r="AE3608" s="94"/>
    </row>
    <row r="3609" spans="3:31" s="260" customFormat="1" ht="15.75" thickBot="1" x14ac:dyDescent="0.3">
      <c r="C3609" s="369">
        <f>+N3609</f>
        <v>3.25</v>
      </c>
      <c r="D3609" s="86"/>
      <c r="E3609" s="86"/>
      <c r="F3609" s="86"/>
      <c r="G3609" s="86"/>
      <c r="H3609" s="86"/>
      <c r="I3609" s="86"/>
      <c r="J3609" s="86"/>
      <c r="K3609" s="370"/>
      <c r="M3609" s="75" t="s">
        <v>92</v>
      </c>
      <c r="N3609" s="371">
        <f>+ROUNDUP(N3560+0.01,2)</f>
        <v>3.25</v>
      </c>
      <c r="O3609" s="554" t="str">
        <f>IFERROR(VLOOKUP(N3609,PPTO!C:H,2,0),"----")</f>
        <v>Reduccion concéntrica ranurada Ø3" a Ø1 1/2"</v>
      </c>
      <c r="P3609" s="555"/>
      <c r="Q3609" s="555"/>
      <c r="R3609" s="555"/>
      <c r="S3609" s="555"/>
      <c r="T3609" s="555"/>
      <c r="U3609" s="556"/>
      <c r="V3609" s="76" t="str">
        <f>IFERROR(VLOOKUP(N3609,PPTO!C:H,3,0),"----")</f>
        <v>UND</v>
      </c>
      <c r="Y3609" s="373">
        <f>SUMIFS(PPTO!F:F,PPTO!C:C,APUS!N3609)</f>
        <v>6</v>
      </c>
      <c r="Z3609" s="94"/>
      <c r="AA3609" s="86"/>
      <c r="AB3609" s="94"/>
      <c r="AC3609" s="94"/>
      <c r="AD3609" s="94"/>
      <c r="AE3609" s="94"/>
    </row>
    <row r="3610" spans="3:31" s="260" customFormat="1" ht="15.75" thickBot="1" x14ac:dyDescent="0.3">
      <c r="C3610" s="84"/>
      <c r="D3610" s="86"/>
      <c r="E3610" s="86"/>
      <c r="F3610" s="86"/>
      <c r="G3610" s="86"/>
      <c r="H3610" s="86"/>
      <c r="I3610" s="86"/>
      <c r="J3610" s="86"/>
      <c r="K3610" s="88"/>
      <c r="M3610" s="557"/>
      <c r="N3610" s="557"/>
      <c r="O3610" s="557"/>
      <c r="P3610" s="557"/>
      <c r="Q3610" s="557"/>
      <c r="R3610" s="557"/>
      <c r="S3610" s="557"/>
      <c r="T3610" s="557"/>
      <c r="U3610" s="557"/>
      <c r="V3610" s="557"/>
      <c r="Y3610" s="374"/>
      <c r="Z3610" s="94"/>
      <c r="AA3610" s="86"/>
      <c r="AB3610" s="94"/>
      <c r="AC3610" s="94"/>
      <c r="AD3610" s="94"/>
      <c r="AE3610" s="94"/>
    </row>
    <row r="3611" spans="3:31" s="260" customFormat="1" ht="15.75" thickBot="1" x14ac:dyDescent="0.3">
      <c r="C3611" s="84"/>
      <c r="D3611" s="375" t="s">
        <v>128</v>
      </c>
      <c r="E3611" s="376" t="s">
        <v>129</v>
      </c>
      <c r="F3611" s="376" t="s">
        <v>130</v>
      </c>
      <c r="G3611" s="376" t="s">
        <v>131</v>
      </c>
      <c r="H3611" s="376" t="s">
        <v>132</v>
      </c>
      <c r="I3611" s="376" t="s">
        <v>133</v>
      </c>
      <c r="J3611" s="377" t="s">
        <v>134</v>
      </c>
      <c r="K3611" s="88"/>
      <c r="M3611" s="558" t="s">
        <v>93</v>
      </c>
      <c r="N3611" s="559"/>
      <c r="O3611" s="559"/>
      <c r="P3611" s="559"/>
      <c r="Q3611" s="559"/>
      <c r="R3611" s="559"/>
      <c r="S3611" s="559"/>
      <c r="T3611" s="559"/>
      <c r="U3611" s="559"/>
      <c r="V3611" s="560"/>
      <c r="Y3611" s="378"/>
      <c r="Z3611" s="121"/>
      <c r="AA3611" s="86"/>
      <c r="AB3611" s="513"/>
      <c r="AC3611" s="514"/>
      <c r="AD3611" s="94"/>
      <c r="AE3611" s="379"/>
    </row>
    <row r="3612" spans="3:31" s="260" customFormat="1" x14ac:dyDescent="0.25">
      <c r="C3612" s="84"/>
      <c r="D3612" s="380"/>
      <c r="E3612" s="381"/>
      <c r="F3612" s="381"/>
      <c r="G3612" s="381"/>
      <c r="H3612" s="381"/>
      <c r="I3612" s="381"/>
      <c r="J3612" s="382"/>
      <c r="K3612" s="88"/>
      <c r="M3612" s="99" t="s">
        <v>94</v>
      </c>
      <c r="N3612" s="561" t="s">
        <v>95</v>
      </c>
      <c r="O3612" s="561"/>
      <c r="P3612" s="561"/>
      <c r="Q3612" s="561"/>
      <c r="R3612" s="95" t="s">
        <v>96</v>
      </c>
      <c r="S3612" s="95" t="s">
        <v>97</v>
      </c>
      <c r="T3612" s="562" t="s">
        <v>8</v>
      </c>
      <c r="U3612" s="562"/>
      <c r="V3612" s="100" t="s">
        <v>98</v>
      </c>
      <c r="Y3612" s="383" t="s">
        <v>104</v>
      </c>
      <c r="Z3612" s="119" t="s">
        <v>9</v>
      </c>
      <c r="AA3612" s="86"/>
      <c r="AB3612" s="384"/>
      <c r="AC3612" s="385"/>
      <c r="AD3612" s="94"/>
      <c r="AE3612" s="386"/>
    </row>
    <row r="3613" spans="3:31" s="260" customFormat="1" x14ac:dyDescent="0.25">
      <c r="C3613" s="84"/>
      <c r="D3613" s="85"/>
      <c r="E3613" s="86"/>
      <c r="F3613" s="86"/>
      <c r="G3613" s="86"/>
      <c r="H3613" s="86"/>
      <c r="I3613" s="86"/>
      <c r="J3613" s="87"/>
      <c r="K3613" s="88"/>
      <c r="M3613" s="102"/>
      <c r="N3613" s="533" t="s">
        <v>99</v>
      </c>
      <c r="O3613" s="533"/>
      <c r="P3613" s="533"/>
      <c r="Q3613" s="533"/>
      <c r="R3613" s="78" t="s">
        <v>100</v>
      </c>
      <c r="S3613" s="387">
        <f>+$AA$10</f>
        <v>0.05</v>
      </c>
      <c r="T3613" s="563">
        <f>V3643</f>
        <v>14593.9</v>
      </c>
      <c r="U3613" s="563"/>
      <c r="V3613" s="389">
        <f>+IFERROR(T3613*S3613,0)</f>
        <v>729.69500000000005</v>
      </c>
      <c r="Y3613" s="390"/>
      <c r="Z3613" s="391">
        <f>Y3609*V3613</f>
        <v>4378.17</v>
      </c>
      <c r="AA3613" s="86"/>
      <c r="AB3613" s="384"/>
      <c r="AC3613" s="385"/>
      <c r="AD3613" s="94"/>
      <c r="AE3613" s="386" t="str">
        <f>+IF(V3613=0,"CERO","NO")</f>
        <v>NO</v>
      </c>
    </row>
    <row r="3614" spans="3:31" s="260" customFormat="1" x14ac:dyDescent="0.25">
      <c r="C3614" s="84"/>
      <c r="D3614" s="85"/>
      <c r="E3614" s="86"/>
      <c r="F3614" s="86"/>
      <c r="G3614" s="86"/>
      <c r="H3614" s="86"/>
      <c r="I3614" s="86"/>
      <c r="J3614" s="87"/>
      <c r="K3614" s="88"/>
      <c r="M3614" s="106"/>
      <c r="N3614" s="533" t="str">
        <f>IFERROR(VLOOKUP(M3614,INSUMOS!$C$8:$K$928,2,0),"-----")</f>
        <v>-----</v>
      </c>
      <c r="O3614" s="533"/>
      <c r="P3614" s="533"/>
      <c r="Q3614" s="533"/>
      <c r="R3614" s="78" t="str">
        <f>IFERROR(VLOOKUP(M3614,INSUMOS!$C$8:$K$928,6,0),"-----")</f>
        <v>-----</v>
      </c>
      <c r="S3614" s="392"/>
      <c r="T3614" s="529" t="str">
        <f>IFERROR(VLOOKUP(M3614,INSUMOS!$C$8:$K$928,7,0),"0")</f>
        <v>0</v>
      </c>
      <c r="U3614" s="529"/>
      <c r="V3614" s="389">
        <f>+IFERROR(T3614*S3614,0)</f>
        <v>0</v>
      </c>
      <c r="Y3614" s="393">
        <f>+IFERROR(Y3609*S3614,0)</f>
        <v>0</v>
      </c>
      <c r="Z3614" s="391">
        <f>Y3609*V3614</f>
        <v>0</v>
      </c>
      <c r="AA3614" s="394"/>
      <c r="AB3614" s="395">
        <f>+Y3614*T3614</f>
        <v>0</v>
      </c>
      <c r="AC3614" s="93">
        <f>+AB3614-Z3614</f>
        <v>0</v>
      </c>
      <c r="AD3614" s="94"/>
      <c r="AE3614" s="386" t="str">
        <f>+IF(V3614=0,"CERO","NO")</f>
        <v>CERO</v>
      </c>
    </row>
    <row r="3615" spans="3:31" s="260" customFormat="1" x14ac:dyDescent="0.25">
      <c r="C3615" s="84"/>
      <c r="D3615" s="85"/>
      <c r="E3615" s="86"/>
      <c r="F3615" s="86"/>
      <c r="G3615" s="86"/>
      <c r="H3615" s="86"/>
      <c r="I3615" s="86"/>
      <c r="J3615" s="87"/>
      <c r="K3615" s="88"/>
      <c r="M3615" s="102">
        <v>0</v>
      </c>
      <c r="N3615" s="533"/>
      <c r="O3615" s="533"/>
      <c r="P3615" s="533"/>
      <c r="Q3615" s="533"/>
      <c r="R3615" s="78"/>
      <c r="S3615" s="396"/>
      <c r="T3615" s="529"/>
      <c r="U3615" s="529"/>
      <c r="V3615" s="397"/>
      <c r="Y3615" s="393">
        <f>+IFERROR(Y3609*S3615,0)</f>
        <v>0</v>
      </c>
      <c r="Z3615" s="391">
        <f>Y3609*V3615</f>
        <v>0</v>
      </c>
      <c r="AA3615" s="394"/>
      <c r="AB3615" s="395">
        <f>+Y3615*T3615</f>
        <v>0</v>
      </c>
      <c r="AC3615" s="93">
        <f>+AB3615-Z3615</f>
        <v>0</v>
      </c>
      <c r="AD3615" s="94"/>
      <c r="AE3615" s="386" t="str">
        <f>+IF(V3615=0,"CERO","NO")</f>
        <v>CERO</v>
      </c>
    </row>
    <row r="3616" spans="3:31" s="260" customFormat="1" x14ac:dyDescent="0.25">
      <c r="C3616" s="84"/>
      <c r="D3616" s="85"/>
      <c r="E3616" s="86"/>
      <c r="F3616" s="86"/>
      <c r="G3616" s="86"/>
      <c r="H3616" s="86"/>
      <c r="I3616" s="86"/>
      <c r="J3616" s="87"/>
      <c r="K3616" s="88"/>
      <c r="M3616" s="102">
        <v>0</v>
      </c>
      <c r="N3616" s="533"/>
      <c r="O3616" s="533"/>
      <c r="P3616" s="533"/>
      <c r="Q3616" s="533"/>
      <c r="R3616" s="78"/>
      <c r="S3616" s="396"/>
      <c r="T3616" s="529"/>
      <c r="U3616" s="529"/>
      <c r="V3616" s="397"/>
      <c r="Y3616" s="393">
        <f>+IFERROR(Y3609*S3616,0)</f>
        <v>0</v>
      </c>
      <c r="Z3616" s="391">
        <f>Y3609*V3616</f>
        <v>0</v>
      </c>
      <c r="AA3616" s="394"/>
      <c r="AB3616" s="395">
        <f>+Y3616*T3616</f>
        <v>0</v>
      </c>
      <c r="AC3616" s="93">
        <f>+AB3616-Z3616</f>
        <v>0</v>
      </c>
      <c r="AD3616" s="94"/>
      <c r="AE3616" s="386" t="str">
        <f>+IF(V3616=0,"CERO","NO")</f>
        <v>CERO</v>
      </c>
    </row>
    <row r="3617" spans="3:31" s="260" customFormat="1" ht="15.75" thickBot="1" x14ac:dyDescent="0.3">
      <c r="C3617" s="84"/>
      <c r="D3617" s="85"/>
      <c r="E3617" s="86"/>
      <c r="F3617" s="86"/>
      <c r="G3617" s="86"/>
      <c r="H3617" s="86"/>
      <c r="I3617" s="86"/>
      <c r="J3617" s="87"/>
      <c r="K3617" s="88"/>
      <c r="M3617" s="102">
        <v>0</v>
      </c>
      <c r="N3617" s="564"/>
      <c r="O3617" s="564"/>
      <c r="P3617" s="564"/>
      <c r="Q3617" s="564"/>
      <c r="R3617" s="96"/>
      <c r="S3617" s="96"/>
      <c r="T3617" s="565"/>
      <c r="U3617" s="565"/>
      <c r="V3617" s="101"/>
      <c r="Y3617" s="393">
        <f>+IFERROR(Y3609*S3617,0)</f>
        <v>0</v>
      </c>
      <c r="Z3617" s="391">
        <f>Y3609*V3617</f>
        <v>0</v>
      </c>
      <c r="AA3617" s="394"/>
      <c r="AB3617" s="395">
        <f>+Y3617*T3617</f>
        <v>0</v>
      </c>
      <c r="AC3617" s="93">
        <f>+AB3617-Z3617</f>
        <v>0</v>
      </c>
      <c r="AD3617" s="94"/>
      <c r="AE3617" s="386" t="str">
        <f>+IF(V3617=0,"CERO","NO")</f>
        <v>CERO</v>
      </c>
    </row>
    <row r="3618" spans="3:31" s="260" customFormat="1" ht="15.75" thickBot="1" x14ac:dyDescent="0.3">
      <c r="C3618" s="84"/>
      <c r="D3618" s="375" t="s">
        <v>128</v>
      </c>
      <c r="E3618" s="376" t="s">
        <v>129</v>
      </c>
      <c r="F3618" s="376" t="s">
        <v>130</v>
      </c>
      <c r="G3618" s="376" t="s">
        <v>131</v>
      </c>
      <c r="H3618" s="376" t="s">
        <v>132</v>
      </c>
      <c r="I3618" s="376" t="s">
        <v>133</v>
      </c>
      <c r="J3618" s="377" t="s">
        <v>134</v>
      </c>
      <c r="K3618" s="88"/>
      <c r="M3618" s="534"/>
      <c r="N3618" s="536" t="s">
        <v>101</v>
      </c>
      <c r="O3618" s="536"/>
      <c r="P3618" s="536"/>
      <c r="Q3618" s="536"/>
      <c r="R3618" s="536"/>
      <c r="S3618" s="536"/>
      <c r="T3618" s="536"/>
      <c r="U3618" s="536"/>
      <c r="V3618" s="389">
        <f>+SUM(V3613:V3617)</f>
        <v>729.69500000000005</v>
      </c>
      <c r="Y3618" s="398" t="s">
        <v>135</v>
      </c>
      <c r="Z3618" s="397">
        <f>+SUM(Z3613:Z3617)</f>
        <v>4378.17</v>
      </c>
      <c r="AA3618" s="86"/>
      <c r="AB3618" s="384"/>
      <c r="AC3618" s="385"/>
      <c r="AD3618" s="94"/>
      <c r="AE3618" s="399"/>
    </row>
    <row r="3619" spans="3:31" s="260" customFormat="1" ht="15.75" thickBot="1" x14ac:dyDescent="0.3">
      <c r="C3619" s="84"/>
      <c r="D3619" s="375">
        <f>C3609</f>
        <v>3.25</v>
      </c>
      <c r="E3619" s="376"/>
      <c r="F3619" s="376"/>
      <c r="G3619" s="376"/>
      <c r="H3619" s="376"/>
      <c r="I3619" s="376"/>
      <c r="J3619" s="377"/>
      <c r="K3619" s="88"/>
      <c r="M3619" s="566"/>
      <c r="N3619" s="567" t="s">
        <v>102</v>
      </c>
      <c r="O3619" s="567"/>
      <c r="P3619" s="567"/>
      <c r="Q3619" s="567"/>
      <c r="R3619" s="567"/>
      <c r="S3619" s="567"/>
      <c r="T3619" s="567"/>
      <c r="U3619" s="567"/>
      <c r="V3619" s="400">
        <f>+ROUND(V3618,$AA$5)</f>
        <v>729.7</v>
      </c>
      <c r="Y3619" s="401" t="s">
        <v>136</v>
      </c>
      <c r="Z3619" s="402">
        <f>+ROUND(Z3618,$AA$5)</f>
        <v>4378.17</v>
      </c>
      <c r="AA3619" s="86"/>
      <c r="AB3619" s="403">
        <f>+V3619*Y3609</f>
        <v>4378.2000000000007</v>
      </c>
      <c r="AC3619" s="404">
        <f>+AB3619-Z3619</f>
        <v>3.0000000000654836E-2</v>
      </c>
      <c r="AD3619" s="94"/>
      <c r="AE3619" s="405"/>
    </row>
    <row r="3620" spans="3:31" s="260" customFormat="1" x14ac:dyDescent="0.25">
      <c r="C3620" s="84"/>
      <c r="D3620" s="380"/>
      <c r="E3620" s="381"/>
      <c r="F3620" s="381"/>
      <c r="G3620" s="381"/>
      <c r="H3620" s="381"/>
      <c r="I3620" s="381"/>
      <c r="J3620" s="382"/>
      <c r="K3620" s="88"/>
      <c r="M3620" s="510" t="s">
        <v>103</v>
      </c>
      <c r="N3620" s="511"/>
      <c r="O3620" s="511"/>
      <c r="P3620" s="511"/>
      <c r="Q3620" s="511"/>
      <c r="R3620" s="511"/>
      <c r="S3620" s="511"/>
      <c r="T3620" s="511"/>
      <c r="U3620" s="511"/>
      <c r="V3620" s="512"/>
      <c r="Y3620" s="378"/>
      <c r="Z3620" s="121"/>
      <c r="AA3620" s="86"/>
      <c r="AB3620" s="513"/>
      <c r="AC3620" s="514"/>
      <c r="AD3620" s="94"/>
      <c r="AE3620" s="126"/>
    </row>
    <row r="3621" spans="3:31" s="260" customFormat="1" x14ac:dyDescent="0.25">
      <c r="C3621" s="84"/>
      <c r="D3621" s="85"/>
      <c r="E3621" s="86"/>
      <c r="F3621" s="86"/>
      <c r="G3621" s="86"/>
      <c r="H3621" s="86"/>
      <c r="I3621" s="86"/>
      <c r="J3621" s="87"/>
      <c r="K3621" s="88"/>
      <c r="M3621" s="99" t="s">
        <v>94</v>
      </c>
      <c r="N3621" s="561" t="s">
        <v>95</v>
      </c>
      <c r="O3621" s="561"/>
      <c r="P3621" s="561"/>
      <c r="Q3621" s="561"/>
      <c r="R3621" s="95" t="s">
        <v>96</v>
      </c>
      <c r="S3621" s="95" t="s">
        <v>104</v>
      </c>
      <c r="T3621" s="356" t="s">
        <v>105</v>
      </c>
      <c r="U3621" s="356" t="s">
        <v>8</v>
      </c>
      <c r="V3621" s="100" t="s">
        <v>98</v>
      </c>
      <c r="Y3621" s="383" t="s">
        <v>104</v>
      </c>
      <c r="Z3621" s="119" t="s">
        <v>9</v>
      </c>
      <c r="AA3621" s="86"/>
      <c r="AB3621" s="384"/>
      <c r="AC3621" s="385"/>
      <c r="AD3621" s="94"/>
      <c r="AE3621" s="406"/>
    </row>
    <row r="3622" spans="3:31" s="260" customFormat="1" x14ac:dyDescent="0.25">
      <c r="C3622" s="84"/>
      <c r="D3622" s="85"/>
      <c r="E3622" s="86"/>
      <c r="F3622" s="86"/>
      <c r="G3622" s="86"/>
      <c r="H3622" s="86"/>
      <c r="I3622" s="86"/>
      <c r="J3622" s="87"/>
      <c r="K3622" s="88"/>
      <c r="M3622" s="102">
        <v>876</v>
      </c>
      <c r="N3622" s="533" t="str">
        <f>IFERROR(VLOOKUP(M3622,INSUMOS!$C$8:$K$928,2,0),"-----")</f>
        <v>REDUCCION RANURADA Ø3" A Ø1 1/2"</v>
      </c>
      <c r="O3622" s="533"/>
      <c r="P3622" s="533"/>
      <c r="Q3622" s="533"/>
      <c r="R3622" s="78" t="str">
        <f>IFERROR(VLOOKUP(M3622,INSUMOS!$C$8:$K$928,6,0),"-----")</f>
        <v>und</v>
      </c>
      <c r="S3622" s="396">
        <v>1</v>
      </c>
      <c r="T3622" s="387">
        <v>0</v>
      </c>
      <c r="U3622" s="388">
        <f>IFERROR(VLOOKUP(M3622,INSUMOS!$C$8:$K$928,7,0),"0")</f>
        <v>15200</v>
      </c>
      <c r="V3622" s="389">
        <f>+IFERROR(U3622*(S3622*(1+T3622)),0)</f>
        <v>15200</v>
      </c>
      <c r="Y3622" s="393">
        <f>+IFERROR(Y3609*(S3622*(1+T3622)),0)</f>
        <v>6</v>
      </c>
      <c r="Z3622" s="391">
        <f>Y3609*V3622</f>
        <v>91200</v>
      </c>
      <c r="AA3622" s="394"/>
      <c r="AB3622" s="395">
        <f>+Y3622*U3622</f>
        <v>91200</v>
      </c>
      <c r="AC3622" s="93">
        <f>+AB3622-Z3622</f>
        <v>0</v>
      </c>
      <c r="AD3622" s="94"/>
      <c r="AE3622" s="406" t="str">
        <f>+IF(V3622=0,"CERO","NO")</f>
        <v>NO</v>
      </c>
    </row>
    <row r="3623" spans="3:31" s="260" customFormat="1" x14ac:dyDescent="0.25">
      <c r="C3623" s="84"/>
      <c r="D3623" s="85"/>
      <c r="E3623" s="86"/>
      <c r="F3623" s="86"/>
      <c r="G3623" s="86"/>
      <c r="H3623" s="86"/>
      <c r="I3623" s="86"/>
      <c r="J3623" s="87"/>
      <c r="K3623" s="88"/>
      <c r="M3623" s="102"/>
      <c r="N3623" s="533" t="str">
        <f>IFERROR(VLOOKUP(M3623,INSUMOS!$C$8:$K$928,2,0),"-----")</f>
        <v>-----</v>
      </c>
      <c r="O3623" s="533"/>
      <c r="P3623" s="533"/>
      <c r="Q3623" s="533"/>
      <c r="R3623" s="78" t="str">
        <f>IFERROR(VLOOKUP(M3623,INSUMOS!$C$8:$K$928,6,0),"-----")</f>
        <v>-----</v>
      </c>
      <c r="S3623" s="392"/>
      <c r="T3623" s="387">
        <v>0</v>
      </c>
      <c r="U3623" s="388" t="str">
        <f>IFERROR(VLOOKUP(M3623,INSUMOS!$C$8:$K$928,7,0),"0")</f>
        <v>0</v>
      </c>
      <c r="V3623" s="389">
        <f>+IFERROR(U3623*(S3623*(1+T3623)),0)</f>
        <v>0</v>
      </c>
      <c r="Y3623" s="393">
        <f>+IFERROR(Y3609*(S3623*(1+T3623)),0)</f>
        <v>0</v>
      </c>
      <c r="Z3623" s="391">
        <f>Y3609*V3623</f>
        <v>0</v>
      </c>
      <c r="AA3623" s="394"/>
      <c r="AB3623" s="395">
        <f>+Y3623*U3623</f>
        <v>0</v>
      </c>
      <c r="AC3623" s="93">
        <f>+AB3623-Z3623</f>
        <v>0</v>
      </c>
      <c r="AD3623" s="94"/>
      <c r="AE3623" s="406" t="str">
        <f>+IF(V3623=0,"CERO","NO")</f>
        <v>CERO</v>
      </c>
    </row>
    <row r="3624" spans="3:31" s="260" customFormat="1" x14ac:dyDescent="0.25">
      <c r="C3624" s="84"/>
      <c r="D3624" s="85"/>
      <c r="E3624" s="86"/>
      <c r="F3624" s="86"/>
      <c r="G3624" s="86"/>
      <c r="H3624" s="86"/>
      <c r="I3624" s="86"/>
      <c r="J3624" s="87"/>
      <c r="K3624" s="88"/>
      <c r="M3624" s="102"/>
      <c r="N3624" s="533" t="str">
        <f>IFERROR(VLOOKUP(M3624,INSUMOS!$C$8:$K$928,2,0),"-----")</f>
        <v>-----</v>
      </c>
      <c r="O3624" s="533"/>
      <c r="P3624" s="533"/>
      <c r="Q3624" s="533"/>
      <c r="R3624" s="78" t="str">
        <f>IFERROR(VLOOKUP(M3624,INSUMOS!$C$8:$K$928,6,0),"-----")</f>
        <v>-----</v>
      </c>
      <c r="S3624" s="396"/>
      <c r="T3624" s="387">
        <v>0</v>
      </c>
      <c r="U3624" s="388" t="str">
        <f>IFERROR(VLOOKUP(M3624,INSUMOS!$C$8:$K$928,7,0),"0")</f>
        <v>0</v>
      </c>
      <c r="V3624" s="389">
        <f>+IFERROR(U3624*(S3624*(1+T3624)),0)</f>
        <v>0</v>
      </c>
      <c r="Y3624" s="393">
        <f>+IFERROR(Y3609*(S3624*(1+T3624)),0)</f>
        <v>0</v>
      </c>
      <c r="Z3624" s="391">
        <f>Y3609*V3624</f>
        <v>0</v>
      </c>
      <c r="AA3624" s="394"/>
      <c r="AB3624" s="395">
        <f>+Y3624*U3624</f>
        <v>0</v>
      </c>
      <c r="AC3624" s="93">
        <f>+AB3624-Z3624</f>
        <v>0</v>
      </c>
      <c r="AD3624" s="94"/>
      <c r="AE3624" s="406" t="str">
        <f>+IF(V3624=0,"CERO","NO")</f>
        <v>CERO</v>
      </c>
    </row>
    <row r="3625" spans="3:31" s="260" customFormat="1" x14ac:dyDescent="0.25">
      <c r="C3625" s="84"/>
      <c r="D3625" s="85"/>
      <c r="E3625" s="86"/>
      <c r="F3625" s="86"/>
      <c r="G3625" s="86"/>
      <c r="H3625" s="86"/>
      <c r="I3625" s="86"/>
      <c r="J3625" s="87"/>
      <c r="K3625" s="88"/>
      <c r="M3625" s="102">
        <v>0</v>
      </c>
      <c r="N3625" s="533" t="str">
        <f>IFERROR(VLOOKUP(M3625,INSUMOS!$C$8:$K$928,2,0),"-----")</f>
        <v>-----</v>
      </c>
      <c r="O3625" s="533"/>
      <c r="P3625" s="533"/>
      <c r="Q3625" s="533"/>
      <c r="R3625" s="78" t="str">
        <f>IFERROR(VLOOKUP(M3625,INSUMOS!$C$8:$K$928,6,0),"-----")</f>
        <v>-----</v>
      </c>
      <c r="S3625" s="396"/>
      <c r="T3625" s="387"/>
      <c r="U3625" s="388" t="str">
        <f>IFERROR(VLOOKUP(M3625,INSUMOS!$C$8:$K$928,7,0),"0")</f>
        <v>0</v>
      </c>
      <c r="V3625" s="389">
        <f>+IFERROR(U3625*(S3625*(1+T3625)),0)</f>
        <v>0</v>
      </c>
      <c r="Y3625" s="393">
        <f>+IFERROR(Y3609*(S3625*(1+T3625)),0)</f>
        <v>0</v>
      </c>
      <c r="Z3625" s="391">
        <f>Y3609*V3625</f>
        <v>0</v>
      </c>
      <c r="AA3625" s="394"/>
      <c r="AB3625" s="395">
        <f>+Y3625*U3625</f>
        <v>0</v>
      </c>
      <c r="AC3625" s="93">
        <f>+AB3625-Z3625</f>
        <v>0</v>
      </c>
      <c r="AD3625" s="94"/>
      <c r="AE3625" s="406" t="str">
        <f>+IF(V3625=0,"CERO","NO")</f>
        <v>CERO</v>
      </c>
    </row>
    <row r="3626" spans="3:31" s="260" customFormat="1" ht="15.75" thickBot="1" x14ac:dyDescent="0.3">
      <c r="C3626" s="84"/>
      <c r="D3626" s="85"/>
      <c r="E3626" s="86"/>
      <c r="F3626" s="86"/>
      <c r="G3626" s="86"/>
      <c r="H3626" s="86"/>
      <c r="I3626" s="86"/>
      <c r="J3626" s="87"/>
      <c r="K3626" s="88"/>
      <c r="M3626" s="102">
        <v>0</v>
      </c>
      <c r="N3626" s="564"/>
      <c r="O3626" s="564"/>
      <c r="P3626" s="564"/>
      <c r="Q3626" s="564"/>
      <c r="R3626" s="96"/>
      <c r="S3626" s="79"/>
      <c r="T3626" s="97"/>
      <c r="U3626" s="358"/>
      <c r="V3626" s="397"/>
      <c r="Y3626" s="393">
        <f>+IFERROR(Y3609*(S3626*(1+T3626)),0)</f>
        <v>0</v>
      </c>
      <c r="Z3626" s="391">
        <f>Y3609*V3626</f>
        <v>0</v>
      </c>
      <c r="AA3626" s="394"/>
      <c r="AB3626" s="395">
        <f>+Y3626*U3626</f>
        <v>0</v>
      </c>
      <c r="AC3626" s="93">
        <f>+AB3626-Z3626</f>
        <v>0</v>
      </c>
      <c r="AD3626" s="94"/>
      <c r="AE3626" s="406" t="str">
        <f>+IF(V3626=0,"CERO","NO")</f>
        <v>CERO</v>
      </c>
    </row>
    <row r="3627" spans="3:31" s="260" customFormat="1" ht="15.75" thickBot="1" x14ac:dyDescent="0.3">
      <c r="C3627" s="84"/>
      <c r="D3627" s="375" t="s">
        <v>128</v>
      </c>
      <c r="E3627" s="376" t="s">
        <v>129</v>
      </c>
      <c r="F3627" s="376" t="s">
        <v>130</v>
      </c>
      <c r="G3627" s="376" t="s">
        <v>131</v>
      </c>
      <c r="H3627" s="376" t="s">
        <v>132</v>
      </c>
      <c r="I3627" s="376" t="s">
        <v>133</v>
      </c>
      <c r="J3627" s="377" t="s">
        <v>134</v>
      </c>
      <c r="K3627" s="88"/>
      <c r="M3627" s="534"/>
      <c r="N3627" s="536" t="s">
        <v>106</v>
      </c>
      <c r="O3627" s="536"/>
      <c r="P3627" s="536"/>
      <c r="Q3627" s="536"/>
      <c r="R3627" s="536"/>
      <c r="S3627" s="536"/>
      <c r="T3627" s="536"/>
      <c r="U3627" s="536"/>
      <c r="V3627" s="389">
        <f>+SUM(V3622:V3626)</f>
        <v>15200</v>
      </c>
      <c r="Y3627" s="398" t="s">
        <v>135</v>
      </c>
      <c r="Z3627" s="397">
        <f>+SUM(Z3622:Z3626)</f>
        <v>91200</v>
      </c>
      <c r="AA3627" s="86"/>
      <c r="AB3627" s="384"/>
      <c r="AC3627" s="385"/>
      <c r="AD3627" s="94"/>
      <c r="AE3627" s="399"/>
    </row>
    <row r="3628" spans="3:31" s="260" customFormat="1" ht="15.75" thickBot="1" x14ac:dyDescent="0.3">
      <c r="C3628" s="84"/>
      <c r="D3628" s="375"/>
      <c r="E3628" s="407">
        <f>+D3619</f>
        <v>3.25</v>
      </c>
      <c r="F3628" s="376"/>
      <c r="G3628" s="376"/>
      <c r="H3628" s="376"/>
      <c r="I3628" s="376"/>
      <c r="J3628" s="377"/>
      <c r="K3628" s="88"/>
      <c r="M3628" s="535"/>
      <c r="N3628" s="537" t="s">
        <v>107</v>
      </c>
      <c r="O3628" s="537"/>
      <c r="P3628" s="537"/>
      <c r="Q3628" s="537"/>
      <c r="R3628" s="537"/>
      <c r="S3628" s="537"/>
      <c r="T3628" s="537"/>
      <c r="U3628" s="537"/>
      <c r="V3628" s="408">
        <f>+ROUND(V3627,$AA$5)</f>
        <v>15200</v>
      </c>
      <c r="Y3628" s="401" t="s">
        <v>136</v>
      </c>
      <c r="Z3628" s="402">
        <f>+ROUND(Z3627,$AA$5)</f>
        <v>91200</v>
      </c>
      <c r="AA3628" s="86"/>
      <c r="AB3628" s="403">
        <f>+V3628*Y3609</f>
        <v>91200</v>
      </c>
      <c r="AC3628" s="404">
        <f>+AB3628-Z3628</f>
        <v>0</v>
      </c>
      <c r="AD3628" s="94"/>
      <c r="AE3628" s="405"/>
    </row>
    <row r="3629" spans="3:31" s="260" customFormat="1" x14ac:dyDescent="0.25">
      <c r="C3629" s="84"/>
      <c r="D3629" s="380"/>
      <c r="E3629" s="381"/>
      <c r="F3629" s="381"/>
      <c r="G3629" s="381"/>
      <c r="H3629" s="381"/>
      <c r="I3629" s="381"/>
      <c r="J3629" s="382"/>
      <c r="K3629" s="88"/>
      <c r="M3629" s="568" t="s">
        <v>108</v>
      </c>
      <c r="N3629" s="569"/>
      <c r="O3629" s="569"/>
      <c r="P3629" s="569"/>
      <c r="Q3629" s="569"/>
      <c r="R3629" s="569"/>
      <c r="S3629" s="569"/>
      <c r="T3629" s="569"/>
      <c r="U3629" s="569"/>
      <c r="V3629" s="570"/>
      <c r="Y3629" s="378"/>
      <c r="Z3629" s="121"/>
      <c r="AA3629" s="86"/>
      <c r="AB3629" s="409"/>
      <c r="AC3629" s="121"/>
      <c r="AD3629" s="94"/>
      <c r="AE3629" s="126"/>
    </row>
    <row r="3630" spans="3:31" s="260" customFormat="1" ht="25.5" x14ac:dyDescent="0.25">
      <c r="C3630" s="84"/>
      <c r="D3630" s="85"/>
      <c r="E3630" s="86"/>
      <c r="F3630" s="86"/>
      <c r="G3630" s="86"/>
      <c r="H3630" s="86"/>
      <c r="I3630" s="86"/>
      <c r="J3630" s="87"/>
      <c r="K3630" s="88"/>
      <c r="M3630" s="99" t="s">
        <v>94</v>
      </c>
      <c r="N3630" s="561" t="s">
        <v>95</v>
      </c>
      <c r="O3630" s="561"/>
      <c r="P3630" s="561"/>
      <c r="Q3630" s="95" t="s">
        <v>109</v>
      </c>
      <c r="R3630" s="95" t="s">
        <v>110</v>
      </c>
      <c r="S3630" s="95" t="s">
        <v>111</v>
      </c>
      <c r="T3630" s="562" t="s">
        <v>112</v>
      </c>
      <c r="U3630" s="562"/>
      <c r="V3630" s="100" t="s">
        <v>98</v>
      </c>
      <c r="Y3630" s="383" t="s">
        <v>104</v>
      </c>
      <c r="Z3630" s="119" t="s">
        <v>9</v>
      </c>
      <c r="AA3630" s="86"/>
      <c r="AB3630" s="384"/>
      <c r="AC3630" s="385"/>
      <c r="AD3630" s="94"/>
      <c r="AE3630" s="410"/>
    </row>
    <row r="3631" spans="3:31" s="260" customFormat="1" x14ac:dyDescent="0.25">
      <c r="C3631" s="84"/>
      <c r="D3631" s="85"/>
      <c r="E3631" s="86"/>
      <c r="F3631" s="86"/>
      <c r="G3631" s="86"/>
      <c r="H3631" s="86"/>
      <c r="I3631" s="86"/>
      <c r="J3631" s="87"/>
      <c r="K3631" s="88"/>
      <c r="M3631" s="102">
        <v>129</v>
      </c>
      <c r="N3631" s="530" t="str">
        <f>IFERROR(VLOOKUP(M3631,INSUMOS!$C$8:$K$928,2,0),"-----")</f>
        <v>transporte materiales en general</v>
      </c>
      <c r="O3631" s="531"/>
      <c r="P3631" s="532"/>
      <c r="Q3631" s="78" t="str">
        <f>IFERROR(VLOOKUP(M3631,INSUMOS!$C$8:$K$928,5,0),"-----")</f>
        <v>Km</v>
      </c>
      <c r="R3631" s="80">
        <v>1</v>
      </c>
      <c r="S3631" s="80">
        <f>IFERROR(VLOOKUP(M3631,INSUMOS!$C$8:$K$928,6,0),"0")</f>
        <v>348</v>
      </c>
      <c r="T3631" s="529">
        <f>IFERROR(VLOOKUP(M3631,INSUMOS!$C$8:$K$928,7,0),"0")</f>
        <v>0.99776362060288992</v>
      </c>
      <c r="U3631" s="529"/>
      <c r="V3631" s="82">
        <f>+T3631*S3631*R3631</f>
        <v>347.2217399698057</v>
      </c>
      <c r="Y3631" s="393">
        <f>+IFERROR((R3631*S3631)*Y3609,0)</f>
        <v>2088</v>
      </c>
      <c r="Z3631" s="391">
        <f>Y3609*V3631</f>
        <v>2083.3304398188343</v>
      </c>
      <c r="AA3631" s="86"/>
      <c r="AB3631" s="92">
        <f>+Y3631*T3631</f>
        <v>2083.3304398188343</v>
      </c>
      <c r="AC3631" s="93">
        <f>+AB3631-Z3631</f>
        <v>0</v>
      </c>
      <c r="AD3631" s="94"/>
      <c r="AE3631" s="406" t="str">
        <f>+IF(V3631=0,"CERO","NO")</f>
        <v>NO</v>
      </c>
    </row>
    <row r="3632" spans="3:31" s="260" customFormat="1" x14ac:dyDescent="0.25">
      <c r="C3632" s="84"/>
      <c r="D3632" s="85"/>
      <c r="E3632" s="86"/>
      <c r="F3632" s="86"/>
      <c r="G3632" s="86"/>
      <c r="H3632" s="86"/>
      <c r="I3632" s="86"/>
      <c r="J3632" s="87"/>
      <c r="K3632" s="88"/>
      <c r="M3632" s="102">
        <v>0</v>
      </c>
      <c r="N3632" s="530" t="str">
        <f>IFERROR(VLOOKUP(M3632,INSUMOS!$C$8:$K$928,2,0),"-----")</f>
        <v>-----</v>
      </c>
      <c r="O3632" s="531"/>
      <c r="P3632" s="532"/>
      <c r="Q3632" s="78" t="str">
        <f>IFERROR(VLOOKUP(M3632,INSUMOS!$C$8:$K$928,5,0),"-----")</f>
        <v>-----</v>
      </c>
      <c r="R3632" s="80"/>
      <c r="S3632" s="80" t="str">
        <f>IFERROR(VLOOKUP(M3632,INSUMOS!$C$8:$K$928,6,0),"0")</f>
        <v>0</v>
      </c>
      <c r="T3632" s="529" t="str">
        <f>IFERROR(VLOOKUP(M3632,INSUMOS!$C$8:$K$928,7,0),"0")</f>
        <v>0</v>
      </c>
      <c r="U3632" s="529"/>
      <c r="V3632" s="82">
        <f>+T3632*S3632*R3632</f>
        <v>0</v>
      </c>
      <c r="Y3632" s="393">
        <f>+IFERROR((R3632*S3632)*Y3609,0)</f>
        <v>0</v>
      </c>
      <c r="Z3632" s="391">
        <f>Y3609*V3632</f>
        <v>0</v>
      </c>
      <c r="AA3632" s="86"/>
      <c r="AB3632" s="92">
        <f>+Y3632*T3632</f>
        <v>0</v>
      </c>
      <c r="AC3632" s="93">
        <f>+AB3632-Z3632</f>
        <v>0</v>
      </c>
      <c r="AD3632" s="94"/>
      <c r="AE3632" s="406" t="str">
        <f>+IF(V3632=0,"CERO","NO")</f>
        <v>CERO</v>
      </c>
    </row>
    <row r="3633" spans="3:31" s="260" customFormat="1" x14ac:dyDescent="0.25">
      <c r="C3633" s="84"/>
      <c r="D3633" s="85"/>
      <c r="E3633" s="86"/>
      <c r="F3633" s="86"/>
      <c r="G3633" s="86"/>
      <c r="H3633" s="86"/>
      <c r="I3633" s="86"/>
      <c r="J3633" s="87"/>
      <c r="K3633" s="88"/>
      <c r="M3633" s="102">
        <v>0</v>
      </c>
      <c r="N3633" s="530" t="str">
        <f>IFERROR(VLOOKUP(M3633,INSUMOS!$C$8:$K$928,2,0),"-----")</f>
        <v>-----</v>
      </c>
      <c r="O3633" s="531"/>
      <c r="P3633" s="532"/>
      <c r="Q3633" s="78" t="str">
        <f>IFERROR(VLOOKUP(M3633,INSUMOS!$C$8:$K$928,5,0),"-----")</f>
        <v>-----</v>
      </c>
      <c r="R3633" s="80"/>
      <c r="S3633" s="80" t="str">
        <f>IFERROR(VLOOKUP(M3633,INSUMOS!$C$8:$K$928,6,0),"0")</f>
        <v>0</v>
      </c>
      <c r="T3633" s="529" t="str">
        <f>IFERROR(VLOOKUP(M3633,INSUMOS!$C$8:$K$928,7,0),"0")</f>
        <v>0</v>
      </c>
      <c r="U3633" s="529"/>
      <c r="V3633" s="82">
        <f>+T3633*S3633*R3633</f>
        <v>0</v>
      </c>
      <c r="Y3633" s="393">
        <f>+IFERROR((R3633*S3633)*Y3609,0)</f>
        <v>0</v>
      </c>
      <c r="Z3633" s="391">
        <f>Y3609*V3633</f>
        <v>0</v>
      </c>
      <c r="AA3633" s="86"/>
      <c r="AB3633" s="92">
        <f>+Y3633*T3633</f>
        <v>0</v>
      </c>
      <c r="AC3633" s="93">
        <f>+AB3633-Z3633</f>
        <v>0</v>
      </c>
      <c r="AD3633" s="94"/>
      <c r="AE3633" s="406" t="str">
        <f>+IF(V3633=0,"CERO","NO")</f>
        <v>CERO</v>
      </c>
    </row>
    <row r="3634" spans="3:31" s="260" customFormat="1" ht="15.75" thickBot="1" x14ac:dyDescent="0.3">
      <c r="C3634" s="84"/>
      <c r="D3634" s="89"/>
      <c r="E3634" s="90"/>
      <c r="F3634" s="90"/>
      <c r="G3634" s="90"/>
      <c r="H3634" s="90"/>
      <c r="I3634" s="90"/>
      <c r="J3634" s="91"/>
      <c r="K3634" s="88"/>
      <c r="M3634" s="102">
        <v>0</v>
      </c>
      <c r="N3634" s="533"/>
      <c r="O3634" s="533"/>
      <c r="P3634" s="533"/>
      <c r="Q3634" s="79"/>
      <c r="R3634" s="78"/>
      <c r="S3634" s="81"/>
      <c r="T3634" s="529"/>
      <c r="U3634" s="529"/>
      <c r="V3634" s="82"/>
      <c r="Y3634" s="393">
        <f>+IFERROR((R3634*S3634)*Y3609,0)</f>
        <v>0</v>
      </c>
      <c r="Z3634" s="391">
        <f>Y3609*V3634</f>
        <v>0</v>
      </c>
      <c r="AA3634" s="86"/>
      <c r="AB3634" s="92">
        <f>+Y3634*T3634</f>
        <v>0</v>
      </c>
      <c r="AC3634" s="93">
        <f>+AB3634-Z3634</f>
        <v>0</v>
      </c>
      <c r="AD3634" s="94"/>
      <c r="AE3634" s="406" t="str">
        <f>+IF(V3634=0,"CERO","NO")</f>
        <v>CERO</v>
      </c>
    </row>
    <row r="3635" spans="3:31" s="260" customFormat="1" ht="15.75" thickBot="1" x14ac:dyDescent="0.3">
      <c r="C3635" s="84"/>
      <c r="D3635" s="375" t="s">
        <v>128</v>
      </c>
      <c r="E3635" s="376" t="s">
        <v>129</v>
      </c>
      <c r="F3635" s="376" t="s">
        <v>130</v>
      </c>
      <c r="G3635" s="376" t="s">
        <v>131</v>
      </c>
      <c r="H3635" s="376" t="s">
        <v>132</v>
      </c>
      <c r="I3635" s="376" t="s">
        <v>133</v>
      </c>
      <c r="J3635" s="377" t="s">
        <v>134</v>
      </c>
      <c r="K3635" s="88"/>
      <c r="M3635" s="534"/>
      <c r="N3635" s="536" t="s">
        <v>113</v>
      </c>
      <c r="O3635" s="536"/>
      <c r="P3635" s="536"/>
      <c r="Q3635" s="536"/>
      <c r="R3635" s="536"/>
      <c r="S3635" s="536"/>
      <c r="T3635" s="536"/>
      <c r="U3635" s="536"/>
      <c r="V3635" s="411">
        <f>+SUM(V3631:V3634)</f>
        <v>347.2217399698057</v>
      </c>
      <c r="Y3635" s="398" t="s">
        <v>135</v>
      </c>
      <c r="Z3635" s="397">
        <f>+SUM(Z3631:Z3634)</f>
        <v>2083.3304398188343</v>
      </c>
      <c r="AA3635" s="86"/>
      <c r="AB3635" s="384"/>
      <c r="AC3635" s="385"/>
      <c r="AD3635" s="94"/>
      <c r="AE3635" s="399"/>
    </row>
    <row r="3636" spans="3:31" s="260" customFormat="1" ht="15.75" thickBot="1" x14ac:dyDescent="0.3">
      <c r="C3636" s="84"/>
      <c r="D3636" s="355"/>
      <c r="E3636" s="367"/>
      <c r="F3636" s="412">
        <f>+E3628</f>
        <v>3.25</v>
      </c>
      <c r="G3636" s="367"/>
      <c r="H3636" s="367"/>
      <c r="I3636" s="367"/>
      <c r="J3636" s="368"/>
      <c r="K3636" s="88"/>
      <c r="M3636" s="535"/>
      <c r="N3636" s="537" t="s">
        <v>114</v>
      </c>
      <c r="O3636" s="537"/>
      <c r="P3636" s="537"/>
      <c r="Q3636" s="537"/>
      <c r="R3636" s="537"/>
      <c r="S3636" s="537"/>
      <c r="T3636" s="537"/>
      <c r="U3636" s="537"/>
      <c r="V3636" s="413">
        <f>+ROUND(V3635,$AA$5)</f>
        <v>347.22</v>
      </c>
      <c r="Y3636" s="401" t="s">
        <v>136</v>
      </c>
      <c r="Z3636" s="402">
        <f>+ROUND(Z3635,$AA$5)</f>
        <v>2083.33</v>
      </c>
      <c r="AA3636" s="86"/>
      <c r="AB3636" s="403">
        <f>+V3636*Y3609</f>
        <v>2083.3200000000002</v>
      </c>
      <c r="AC3636" s="414"/>
      <c r="AD3636" s="94"/>
      <c r="AE3636" s="405"/>
    </row>
    <row r="3637" spans="3:31" s="260" customFormat="1" ht="15.75" thickBot="1" x14ac:dyDescent="0.3">
      <c r="C3637" s="84"/>
      <c r="D3637" s="415"/>
      <c r="E3637" s="416"/>
      <c r="F3637" s="416"/>
      <c r="G3637" s="416"/>
      <c r="H3637" s="416"/>
      <c r="I3637" s="416"/>
      <c r="J3637" s="417"/>
      <c r="K3637" s="88"/>
      <c r="M3637" s="538" t="s">
        <v>115</v>
      </c>
      <c r="N3637" s="539"/>
      <c r="O3637" s="539"/>
      <c r="P3637" s="539"/>
      <c r="Q3637" s="539"/>
      <c r="R3637" s="539"/>
      <c r="S3637" s="539"/>
      <c r="T3637" s="539"/>
      <c r="U3637" s="539"/>
      <c r="V3637" s="540"/>
      <c r="Y3637" s="378"/>
      <c r="Z3637" s="121"/>
      <c r="AA3637" s="86"/>
      <c r="AB3637" s="409"/>
      <c r="AC3637" s="121"/>
      <c r="AD3637" s="94"/>
      <c r="AE3637" s="126"/>
    </row>
    <row r="3638" spans="3:31" s="260" customFormat="1" ht="15.75" thickBot="1" x14ac:dyDescent="0.3">
      <c r="C3638" s="84"/>
      <c r="D3638" s="375" t="s">
        <v>128</v>
      </c>
      <c r="E3638" s="376" t="s">
        <v>129</v>
      </c>
      <c r="F3638" s="376" t="s">
        <v>130</v>
      </c>
      <c r="G3638" s="376" t="s">
        <v>131</v>
      </c>
      <c r="H3638" s="376" t="s">
        <v>132</v>
      </c>
      <c r="I3638" s="376" t="s">
        <v>133</v>
      </c>
      <c r="J3638" s="377" t="s">
        <v>134</v>
      </c>
      <c r="K3638" s="88"/>
      <c r="M3638" s="99" t="s">
        <v>94</v>
      </c>
      <c r="N3638" s="98" t="s">
        <v>95</v>
      </c>
      <c r="O3638" s="95" t="s">
        <v>96</v>
      </c>
      <c r="P3638" s="359" t="s">
        <v>104</v>
      </c>
      <c r="Q3638" s="95" t="s">
        <v>116</v>
      </c>
      <c r="R3638" s="418" t="s">
        <v>117</v>
      </c>
      <c r="S3638" s="95" t="s">
        <v>347</v>
      </c>
      <c r="T3638" s="419" t="s">
        <v>118</v>
      </c>
      <c r="U3638" s="189" t="s">
        <v>119</v>
      </c>
      <c r="V3638" s="100" t="s">
        <v>98</v>
      </c>
      <c r="Y3638" s="383" t="s">
        <v>104</v>
      </c>
      <c r="Z3638" s="119" t="s">
        <v>9</v>
      </c>
      <c r="AA3638" s="86"/>
      <c r="AB3638" s="384"/>
      <c r="AC3638" s="385"/>
      <c r="AD3638" s="94"/>
      <c r="AE3638" s="410"/>
    </row>
    <row r="3639" spans="3:31" s="260" customFormat="1" ht="25.5" x14ac:dyDescent="0.25">
      <c r="C3639" s="84"/>
      <c r="D3639" s="354"/>
      <c r="E3639" s="96"/>
      <c r="F3639" s="96"/>
      <c r="G3639" s="96"/>
      <c r="H3639" s="96"/>
      <c r="I3639" s="96"/>
      <c r="J3639" s="420">
        <f>+F3636</f>
        <v>3.25</v>
      </c>
      <c r="K3639" s="88"/>
      <c r="M3639" s="102">
        <v>207</v>
      </c>
      <c r="N3639" s="347" t="str">
        <f>IFERROR(VLOOKUP(M3639,INSUMOS!$C$8:$K$928,2,0),"-----")</f>
        <v>Oficial Hidrosanitario</v>
      </c>
      <c r="O3639" s="78" t="str">
        <f>IFERROR(VLOOKUP(M3639,INSUMOS!$C$8:$K$928,3,0),"-----")</f>
        <v>JORNAL+PS</v>
      </c>
      <c r="P3639" s="80">
        <v>1</v>
      </c>
      <c r="Q3639" s="79">
        <v>20</v>
      </c>
      <c r="R3639" s="190">
        <f>IFERROR(VLOOKUP(M3639,INSUMOS!$C$8:$K$928,4,0),"-----")</f>
        <v>92983</v>
      </c>
      <c r="S3639" s="190">
        <f>IFERROR(VLOOKUP(M3639,INSUMOS!$C$8:$K$928,6,0),"-----")</f>
        <v>74386</v>
      </c>
      <c r="T3639" s="190">
        <f>IFERROR(VLOOKUP(M3639,INSUMOS!$C$8:$K$928,5,0),"-----")</f>
        <v>0</v>
      </c>
      <c r="U3639" s="388">
        <f>SUM(R3639:T3639)</f>
        <v>167369</v>
      </c>
      <c r="V3639" s="82">
        <f>+IFERROR((P3639/Q3639)*U3639,0)</f>
        <v>8368.4500000000007</v>
      </c>
      <c r="Y3639" s="393">
        <f>+IFERROR((Y3609/Q3639*P3639),0)</f>
        <v>0.3</v>
      </c>
      <c r="Z3639" s="391">
        <f>Y3609*V3639</f>
        <v>50210.700000000004</v>
      </c>
      <c r="AA3639" s="86"/>
      <c r="AB3639" s="92">
        <f>+(U3639)*Y3639</f>
        <v>50210.7</v>
      </c>
      <c r="AC3639" s="93">
        <f>+AB3639-Z3639</f>
        <v>0</v>
      </c>
      <c r="AD3639" s="421"/>
      <c r="AE3639" s="410" t="str">
        <f>+IF(V3639=0,"CERO","NO")</f>
        <v>NO</v>
      </c>
    </row>
    <row r="3640" spans="3:31" s="260" customFormat="1" ht="26.25" thickBot="1" x14ac:dyDescent="0.3">
      <c r="C3640" s="84"/>
      <c r="D3640" s="355"/>
      <c r="E3640" s="367"/>
      <c r="F3640" s="367"/>
      <c r="G3640" s="367"/>
      <c r="H3640" s="367"/>
      <c r="I3640" s="367"/>
      <c r="J3640" s="422">
        <f>+J3639</f>
        <v>3.25</v>
      </c>
      <c r="K3640" s="88"/>
      <c r="M3640" s="102">
        <v>208</v>
      </c>
      <c r="N3640" s="347" t="str">
        <f>IFERROR(VLOOKUP(M3640,INSUMOS!$C$8:$K$928,2,0),"-----")</f>
        <v>Ayudante Hidrosanitario</v>
      </c>
      <c r="O3640" s="78" t="str">
        <f>IFERROR(VLOOKUP(M3640,INSUMOS!$C$8:$K$928,3,0),"-----")</f>
        <v>JORNAL+PS</v>
      </c>
      <c r="P3640" s="80">
        <v>1</v>
      </c>
      <c r="Q3640" s="79">
        <v>20</v>
      </c>
      <c r="R3640" s="190">
        <f>IFERROR(VLOOKUP(M3640,INSUMOS!$C$8:$K$928,4,0),"-----")</f>
        <v>69172</v>
      </c>
      <c r="S3640" s="190">
        <f>IFERROR(VLOOKUP(M3640,INSUMOS!$C$8:$K$928,6,0),"-----")</f>
        <v>55337</v>
      </c>
      <c r="T3640" s="190">
        <f>IFERROR(VLOOKUP(M3640,INSUMOS!$C$8:$K$928,5,0),"-----")</f>
        <v>0</v>
      </c>
      <c r="U3640" s="388">
        <f>SUM(R3640:T3640)</f>
        <v>124509</v>
      </c>
      <c r="V3640" s="82">
        <f>+IFERROR((P3640/Q3640)*U3640,0)</f>
        <v>6225.4500000000007</v>
      </c>
      <c r="Y3640" s="393">
        <f>+IFERROR((Y3609/Q3640*P3640),0)</f>
        <v>0.3</v>
      </c>
      <c r="Z3640" s="391">
        <f>Y3609*V3640</f>
        <v>37352.700000000004</v>
      </c>
      <c r="AA3640" s="86"/>
      <c r="AB3640" s="92">
        <f>+U3640*Y3640</f>
        <v>37352.699999999997</v>
      </c>
      <c r="AC3640" s="93">
        <f>+AB3640-Z3640</f>
        <v>0</v>
      </c>
      <c r="AD3640" s="94"/>
      <c r="AE3640" s="410" t="str">
        <f>+IF(V3640=0,"CERO","NO")</f>
        <v>NO</v>
      </c>
    </row>
    <row r="3641" spans="3:31" s="260" customFormat="1" ht="15.75" thickBot="1" x14ac:dyDescent="0.3">
      <c r="C3641" s="84"/>
      <c r="D3641" s="380"/>
      <c r="E3641" s="381"/>
      <c r="F3641" s="381"/>
      <c r="G3641" s="381"/>
      <c r="H3641" s="381"/>
      <c r="I3641" s="381"/>
      <c r="J3641" s="382"/>
      <c r="K3641" s="88"/>
      <c r="M3641" s="102">
        <v>0</v>
      </c>
      <c r="N3641" s="347"/>
      <c r="O3641" s="79"/>
      <c r="P3641" s="423"/>
      <c r="Q3641" s="81"/>
      <c r="R3641" s="111"/>
      <c r="S3641" s="357"/>
      <c r="T3641" s="111"/>
      <c r="U3641" s="388"/>
      <c r="V3641" s="426"/>
      <c r="Y3641" s="393">
        <f>+IFERROR((Y3609/Q3641*P3641),0)</f>
        <v>0</v>
      </c>
      <c r="Z3641" s="391">
        <f>Y3609*V3641</f>
        <v>0</v>
      </c>
      <c r="AA3641" s="86"/>
      <c r="AB3641" s="92">
        <f>+(U3641)*Y3641*P3641</f>
        <v>0</v>
      </c>
      <c r="AC3641" s="93">
        <f>+AB3641-Z3641</f>
        <v>0</v>
      </c>
      <c r="AD3641" s="94"/>
      <c r="AE3641" s="410" t="str">
        <f>+IF(V3641=0,"CERO","NO")</f>
        <v>CERO</v>
      </c>
    </row>
    <row r="3642" spans="3:31" s="260" customFormat="1" ht="15.75" thickBot="1" x14ac:dyDescent="0.3">
      <c r="C3642" s="84"/>
      <c r="D3642" s="375" t="s">
        <v>128</v>
      </c>
      <c r="E3642" s="376" t="s">
        <v>129</v>
      </c>
      <c r="F3642" s="376" t="s">
        <v>130</v>
      </c>
      <c r="G3642" s="376" t="s">
        <v>131</v>
      </c>
      <c r="H3642" s="376" t="s">
        <v>132</v>
      </c>
      <c r="I3642" s="376" t="s">
        <v>133</v>
      </c>
      <c r="J3642" s="377" t="s">
        <v>134</v>
      </c>
      <c r="K3642" s="88"/>
      <c r="M3642" s="534"/>
      <c r="N3642" s="536" t="s">
        <v>120</v>
      </c>
      <c r="O3642" s="536"/>
      <c r="P3642" s="536"/>
      <c r="Q3642" s="536"/>
      <c r="R3642" s="536"/>
      <c r="S3642" s="536"/>
      <c r="T3642" s="536"/>
      <c r="U3642" s="536"/>
      <c r="V3642" s="82">
        <f>+SUM(V3639:V3641)</f>
        <v>14593.900000000001</v>
      </c>
      <c r="Y3642" s="398" t="s">
        <v>135</v>
      </c>
      <c r="Z3642" s="397">
        <f>+SUM(Z3639:Z3641)</f>
        <v>87563.400000000009</v>
      </c>
      <c r="AA3642" s="86"/>
      <c r="AB3642" s="384"/>
      <c r="AC3642" s="385"/>
      <c r="AD3642" s="94"/>
      <c r="AE3642" s="399"/>
    </row>
    <row r="3643" spans="3:31" s="260" customFormat="1" ht="15.75" thickBot="1" x14ac:dyDescent="0.3">
      <c r="C3643" s="84"/>
      <c r="D3643" s="354"/>
      <c r="E3643" s="96"/>
      <c r="F3643" s="96"/>
      <c r="G3643" s="107">
        <f>+F3636</f>
        <v>3.25</v>
      </c>
      <c r="H3643" s="96"/>
      <c r="I3643" s="96"/>
      <c r="J3643" s="427"/>
      <c r="K3643" s="88"/>
      <c r="M3643" s="535"/>
      <c r="N3643" s="537" t="s">
        <v>121</v>
      </c>
      <c r="O3643" s="537"/>
      <c r="P3643" s="537"/>
      <c r="Q3643" s="537"/>
      <c r="R3643" s="537"/>
      <c r="S3643" s="537"/>
      <c r="T3643" s="537"/>
      <c r="U3643" s="537"/>
      <c r="V3643" s="413">
        <f>+ROUND(V3642,$AA$5)</f>
        <v>14593.9</v>
      </c>
      <c r="Y3643" s="401" t="s">
        <v>136</v>
      </c>
      <c r="Z3643" s="402">
        <f>+ROUND(Z3642,$AA$5)</f>
        <v>87563.4</v>
      </c>
      <c r="AA3643" s="86"/>
      <c r="AB3643" s="403">
        <f>+V3643*Y3609</f>
        <v>87563.4</v>
      </c>
      <c r="AC3643" s="404">
        <f>+AB3643-Z3643</f>
        <v>0</v>
      </c>
      <c r="AD3643" s="94"/>
      <c r="AE3643" s="405"/>
    </row>
    <row r="3644" spans="3:31" s="260" customFormat="1" ht="15.75" thickBot="1" x14ac:dyDescent="0.3">
      <c r="C3644" s="84"/>
      <c r="D3644" s="375" t="s">
        <v>128</v>
      </c>
      <c r="E3644" s="376" t="s">
        <v>129</v>
      </c>
      <c r="F3644" s="376" t="s">
        <v>130</v>
      </c>
      <c r="G3644" s="376" t="s">
        <v>131</v>
      </c>
      <c r="H3644" s="376" t="s">
        <v>132</v>
      </c>
      <c r="I3644" s="376" t="s">
        <v>133</v>
      </c>
      <c r="J3644" s="377" t="s">
        <v>134</v>
      </c>
      <c r="K3644" s="88"/>
      <c r="M3644" s="541"/>
      <c r="N3644" s="542"/>
      <c r="O3644" s="542"/>
      <c r="P3644" s="542"/>
      <c r="Q3644" s="542"/>
      <c r="R3644" s="542"/>
      <c r="S3644" s="542"/>
      <c r="T3644" s="542"/>
      <c r="U3644" s="542"/>
      <c r="V3644" s="543"/>
      <c r="Y3644" s="378"/>
      <c r="Z3644" s="121"/>
      <c r="AA3644" s="86"/>
      <c r="AB3644" s="409"/>
      <c r="AC3644" s="121"/>
      <c r="AD3644" s="94"/>
      <c r="AE3644" s="428"/>
    </row>
    <row r="3645" spans="3:31" s="260" customFormat="1" ht="15.75" thickBot="1" x14ac:dyDescent="0.3">
      <c r="C3645" s="84"/>
      <c r="D3645" s="355"/>
      <c r="E3645" s="367"/>
      <c r="F3645" s="367"/>
      <c r="G3645" s="367"/>
      <c r="H3645" s="412">
        <f>G3643</f>
        <v>3.25</v>
      </c>
      <c r="I3645" s="412"/>
      <c r="J3645" s="422"/>
      <c r="K3645" s="88"/>
      <c r="M3645" s="544" t="s">
        <v>122</v>
      </c>
      <c r="N3645" s="537"/>
      <c r="O3645" s="537"/>
      <c r="P3645" s="537"/>
      <c r="Q3645" s="537"/>
      <c r="R3645" s="537"/>
      <c r="S3645" s="537"/>
      <c r="T3645" s="537"/>
      <c r="U3645" s="545">
        <f>+V3643+V3636+V3628+V3619</f>
        <v>30870.82</v>
      </c>
      <c r="V3645" s="546"/>
      <c r="Y3645" s="429"/>
      <c r="Z3645" s="430">
        <f>+Z3643+Z3636+Z3628+Z3619</f>
        <v>185224.9</v>
      </c>
      <c r="AA3645" s="86"/>
      <c r="AB3645" s="431">
        <f>+AB3643+AB3636+AB3628+AB3619</f>
        <v>185224.92</v>
      </c>
      <c r="AC3645" s="404">
        <f>+AB3645-Z3645</f>
        <v>2.0000000018626451E-2</v>
      </c>
      <c r="AD3645" s="94"/>
      <c r="AE3645" s="432"/>
    </row>
    <row r="3646" spans="3:31" s="260" customFormat="1" ht="15.75" thickBot="1" x14ac:dyDescent="0.3"/>
    <row r="3647" spans="3:31" s="260" customFormat="1" x14ac:dyDescent="0.25">
      <c r="M3647" s="547" t="s">
        <v>348</v>
      </c>
      <c r="N3647" s="548"/>
      <c r="O3647" s="548"/>
      <c r="P3647" s="548"/>
      <c r="Q3647" s="548"/>
      <c r="R3647" s="548"/>
      <c r="S3647" s="548"/>
      <c r="T3647" s="548"/>
      <c r="U3647" s="548"/>
      <c r="V3647" s="549"/>
      <c r="Y3647" s="378"/>
      <c r="Z3647" s="121"/>
      <c r="AA3647" s="86"/>
      <c r="AB3647" s="94"/>
      <c r="AC3647" s="94"/>
      <c r="AD3647" s="94"/>
      <c r="AE3647" s="126" t="s">
        <v>133</v>
      </c>
    </row>
    <row r="3648" spans="3:31" s="260" customFormat="1" x14ac:dyDescent="0.25">
      <c r="M3648" s="515" t="s">
        <v>138</v>
      </c>
      <c r="N3648" s="516"/>
      <c r="O3648" s="516"/>
      <c r="P3648" s="516"/>
      <c r="Q3648" s="516"/>
      <c r="R3648" s="516"/>
      <c r="S3648" s="516"/>
      <c r="T3648" s="437">
        <v>0</v>
      </c>
      <c r="U3648" s="517">
        <f>+ROUND(U3645*T3648,$AA$5)</f>
        <v>0</v>
      </c>
      <c r="V3648" s="518"/>
      <c r="Y3648" s="390"/>
      <c r="Z3648" s="438">
        <f>+Z3645*T3648</f>
        <v>0</v>
      </c>
      <c r="AA3648" s="86"/>
      <c r="AB3648" s="94"/>
      <c r="AC3648" s="94"/>
      <c r="AD3648" s="94"/>
      <c r="AE3648" s="386" t="s">
        <v>133</v>
      </c>
    </row>
    <row r="3649" spans="3:31" s="260" customFormat="1" x14ac:dyDescent="0.25">
      <c r="M3649" s="515" t="s">
        <v>19</v>
      </c>
      <c r="N3649" s="516"/>
      <c r="O3649" s="516"/>
      <c r="P3649" s="516"/>
      <c r="Q3649" s="516"/>
      <c r="R3649" s="516"/>
      <c r="S3649" s="516"/>
      <c r="T3649" s="437">
        <v>0.05</v>
      </c>
      <c r="U3649" s="517">
        <f>+ROUND(U3645*T3649,$AA$5)</f>
        <v>1543.54</v>
      </c>
      <c r="V3649" s="518"/>
      <c r="Y3649" s="390"/>
      <c r="Z3649" s="438">
        <f>+Z3645*T3649</f>
        <v>9261.2450000000008</v>
      </c>
      <c r="AA3649" s="86"/>
      <c r="AB3649" s="94"/>
      <c r="AC3649" s="94"/>
      <c r="AD3649" s="94"/>
      <c r="AE3649" s="386" t="s">
        <v>133</v>
      </c>
    </row>
    <row r="3650" spans="3:31" s="260" customFormat="1" x14ac:dyDescent="0.25">
      <c r="M3650" s="515" t="s">
        <v>20</v>
      </c>
      <c r="N3650" s="516"/>
      <c r="O3650" s="516"/>
      <c r="P3650" s="516"/>
      <c r="Q3650" s="516"/>
      <c r="R3650" s="516"/>
      <c r="S3650" s="516"/>
      <c r="T3650" s="437">
        <v>0</v>
      </c>
      <c r="U3650" s="517">
        <f>+ROUND(U3645*T3650,$AA$5)</f>
        <v>0</v>
      </c>
      <c r="V3650" s="518"/>
      <c r="Y3650" s="390"/>
      <c r="Z3650" s="438">
        <f>+Z3645*T3650</f>
        <v>0</v>
      </c>
      <c r="AA3650" s="86"/>
      <c r="AB3650" s="94"/>
      <c r="AC3650" s="94"/>
      <c r="AD3650" s="94"/>
      <c r="AE3650" s="386" t="s">
        <v>133</v>
      </c>
    </row>
    <row r="3651" spans="3:31" s="260" customFormat="1" x14ac:dyDescent="0.25">
      <c r="M3651" s="515" t="s">
        <v>21</v>
      </c>
      <c r="N3651" s="516"/>
      <c r="O3651" s="516"/>
      <c r="P3651" s="516"/>
      <c r="Q3651" s="516"/>
      <c r="R3651" s="516"/>
      <c r="S3651" s="516"/>
      <c r="T3651" s="437">
        <f>$AA$9</f>
        <v>0</v>
      </c>
      <c r="U3651" s="517">
        <f>+ROUND(U3645*T3651,$AA$5)</f>
        <v>0</v>
      </c>
      <c r="V3651" s="518"/>
      <c r="Y3651" s="390"/>
      <c r="Z3651" s="438">
        <f>+Z3650*T3651</f>
        <v>0</v>
      </c>
      <c r="AA3651" s="86"/>
      <c r="AB3651" s="94"/>
      <c r="AC3651" s="94"/>
      <c r="AD3651" s="94"/>
      <c r="AE3651" s="386" t="s">
        <v>133</v>
      </c>
    </row>
    <row r="3652" spans="3:31" s="260" customFormat="1" ht="15.75" thickBot="1" x14ac:dyDescent="0.3">
      <c r="M3652" s="519" t="s">
        <v>349</v>
      </c>
      <c r="N3652" s="520"/>
      <c r="O3652" s="520"/>
      <c r="P3652" s="520"/>
      <c r="Q3652" s="520"/>
      <c r="R3652" s="520"/>
      <c r="S3652" s="520"/>
      <c r="T3652" s="520"/>
      <c r="U3652" s="521">
        <f>+SUM(U3648:V3651)</f>
        <v>1543.54</v>
      </c>
      <c r="V3652" s="522"/>
      <c r="Y3652" s="390"/>
      <c r="Z3652" s="439">
        <f>+SUM(Z3648:Z3651)</f>
        <v>9261.2450000000008</v>
      </c>
      <c r="AA3652" s="86"/>
      <c r="AB3652" s="94"/>
      <c r="AC3652" s="94"/>
      <c r="AD3652" s="94"/>
      <c r="AE3652" s="386" t="s">
        <v>133</v>
      </c>
    </row>
    <row r="3653" spans="3:31" s="260" customFormat="1" ht="15.75" thickBot="1" x14ac:dyDescent="0.3">
      <c r="D3653" s="375" t="s">
        <v>128</v>
      </c>
      <c r="E3653" s="376" t="s">
        <v>129</v>
      </c>
      <c r="F3653" s="376" t="s">
        <v>130</v>
      </c>
      <c r="G3653" s="376" t="s">
        <v>131</v>
      </c>
      <c r="H3653" s="376" t="s">
        <v>132</v>
      </c>
      <c r="I3653" s="376" t="s">
        <v>133</v>
      </c>
      <c r="J3653" s="377" t="s">
        <v>134</v>
      </c>
      <c r="M3653" s="86"/>
      <c r="N3653" s="94"/>
      <c r="O3653" s="94"/>
      <c r="P3653" s="94"/>
      <c r="Q3653" s="86"/>
      <c r="R3653" s="86"/>
      <c r="S3653" s="86"/>
      <c r="T3653" s="440"/>
      <c r="U3653" s="523"/>
      <c r="V3653" s="523"/>
      <c r="Y3653" s="390"/>
      <c r="Z3653" s="385"/>
      <c r="AA3653" s="86"/>
      <c r="AB3653" s="94"/>
      <c r="AC3653" s="94"/>
      <c r="AD3653" s="94"/>
      <c r="AE3653" s="386" t="s">
        <v>133</v>
      </c>
    </row>
    <row r="3654" spans="3:31" s="260" customFormat="1" ht="15.75" thickBot="1" x14ac:dyDescent="0.3">
      <c r="D3654" s="355"/>
      <c r="E3654" s="367"/>
      <c r="F3654" s="367"/>
      <c r="G3654" s="367"/>
      <c r="H3654" s="412"/>
      <c r="I3654" s="412">
        <f>H3645</f>
        <v>3.25</v>
      </c>
      <c r="J3654" s="422"/>
      <c r="M3654" s="524" t="s">
        <v>11</v>
      </c>
      <c r="N3654" s="525"/>
      <c r="O3654" s="525"/>
      <c r="P3654" s="525"/>
      <c r="Q3654" s="525"/>
      <c r="R3654" s="525"/>
      <c r="S3654" s="525"/>
      <c r="T3654" s="526"/>
      <c r="U3654" s="527">
        <f>+U3652+U3645</f>
        <v>32414.36</v>
      </c>
      <c r="V3654" s="528"/>
      <c r="Y3654" s="429"/>
      <c r="Z3654" s="441">
        <f>+Z3652+Z3645</f>
        <v>194486.14499999999</v>
      </c>
      <c r="AA3654" s="86"/>
      <c r="AB3654" s="94"/>
      <c r="AC3654" s="94"/>
      <c r="AD3654" s="94"/>
      <c r="AE3654" s="405" t="s">
        <v>133</v>
      </c>
    </row>
    <row r="3655" spans="3:31" s="260" customFormat="1" x14ac:dyDescent="0.25"/>
    <row r="3656" spans="3:31" s="260" customFormat="1" ht="15.75" thickBot="1" x14ac:dyDescent="0.3"/>
    <row r="3657" spans="3:31" s="260" customFormat="1" ht="15.75" thickBot="1" x14ac:dyDescent="0.3">
      <c r="M3657" s="363" t="s">
        <v>88</v>
      </c>
      <c r="N3657" s="436" t="str">
        <f>+N3608</f>
        <v>CAP.3</v>
      </c>
      <c r="O3657" s="550" t="str">
        <f>IFERROR(VLOOKUP(N3657,PPTO!C:H,2,0),"----")</f>
        <v>RED CONTRAINCENDIOS</v>
      </c>
      <c r="P3657" s="551"/>
      <c r="Q3657" s="551"/>
      <c r="R3657" s="551"/>
      <c r="S3657" s="551"/>
      <c r="T3657" s="551"/>
      <c r="U3657" s="552"/>
      <c r="V3657" s="74" t="s">
        <v>91</v>
      </c>
      <c r="Y3657" s="365" t="s">
        <v>104</v>
      </c>
      <c r="Z3657" s="94"/>
      <c r="AA3657" s="188"/>
      <c r="AB3657" s="553"/>
      <c r="AC3657" s="553"/>
      <c r="AD3657" s="553"/>
      <c r="AE3657" s="94"/>
    </row>
    <row r="3658" spans="3:31" s="260" customFormat="1" ht="15.75" thickBot="1" x14ac:dyDescent="0.3">
      <c r="C3658" s="369">
        <f>+N3658</f>
        <v>3.26</v>
      </c>
      <c r="D3658" s="86"/>
      <c r="E3658" s="86"/>
      <c r="F3658" s="86"/>
      <c r="G3658" s="86"/>
      <c r="H3658" s="86"/>
      <c r="I3658" s="86"/>
      <c r="J3658" s="86"/>
      <c r="K3658" s="370"/>
      <c r="M3658" s="75" t="s">
        <v>92</v>
      </c>
      <c r="N3658" s="371">
        <f>+ROUNDUP(N3609+0.01,2)</f>
        <v>3.26</v>
      </c>
      <c r="O3658" s="554" t="str">
        <f>IFERROR(VLOOKUP(N3658,PPTO!C:H,2,0),"----")</f>
        <v>Reduccion concéntrica ranurada Ø1 1/2" a Ø1 1/4"</v>
      </c>
      <c r="P3658" s="555"/>
      <c r="Q3658" s="555"/>
      <c r="R3658" s="555"/>
      <c r="S3658" s="555"/>
      <c r="T3658" s="555"/>
      <c r="U3658" s="556"/>
      <c r="V3658" s="76" t="str">
        <f>IFERROR(VLOOKUP(N3658,PPTO!C:H,3,0),"----")</f>
        <v>UND</v>
      </c>
      <c r="Y3658" s="373">
        <f>SUMIFS(PPTO!F:F,PPTO!C:C,APUS!N3658)</f>
        <v>1</v>
      </c>
      <c r="Z3658" s="94"/>
      <c r="AA3658" s="86"/>
      <c r="AB3658" s="94"/>
      <c r="AC3658" s="94"/>
      <c r="AD3658" s="94"/>
      <c r="AE3658" s="94"/>
    </row>
    <row r="3659" spans="3:31" s="260" customFormat="1" ht="15.75" thickBot="1" x14ac:dyDescent="0.3">
      <c r="C3659" s="84"/>
      <c r="D3659" s="86"/>
      <c r="E3659" s="86"/>
      <c r="F3659" s="86"/>
      <c r="G3659" s="86"/>
      <c r="H3659" s="86"/>
      <c r="I3659" s="86"/>
      <c r="J3659" s="86"/>
      <c r="K3659" s="88"/>
      <c r="M3659" s="557"/>
      <c r="N3659" s="557"/>
      <c r="O3659" s="557"/>
      <c r="P3659" s="557"/>
      <c r="Q3659" s="557"/>
      <c r="R3659" s="557"/>
      <c r="S3659" s="557"/>
      <c r="T3659" s="557"/>
      <c r="U3659" s="557"/>
      <c r="V3659" s="557"/>
      <c r="Y3659" s="374"/>
      <c r="Z3659" s="94"/>
      <c r="AA3659" s="86"/>
      <c r="AB3659" s="94"/>
      <c r="AC3659" s="94"/>
      <c r="AD3659" s="94"/>
      <c r="AE3659" s="94"/>
    </row>
    <row r="3660" spans="3:31" s="260" customFormat="1" ht="15.75" thickBot="1" x14ac:dyDescent="0.3">
      <c r="C3660" s="84"/>
      <c r="D3660" s="375" t="s">
        <v>128</v>
      </c>
      <c r="E3660" s="376" t="s">
        <v>129</v>
      </c>
      <c r="F3660" s="376" t="s">
        <v>130</v>
      </c>
      <c r="G3660" s="376" t="s">
        <v>131</v>
      </c>
      <c r="H3660" s="376" t="s">
        <v>132</v>
      </c>
      <c r="I3660" s="376" t="s">
        <v>133</v>
      </c>
      <c r="J3660" s="377" t="s">
        <v>134</v>
      </c>
      <c r="K3660" s="88"/>
      <c r="M3660" s="558" t="s">
        <v>93</v>
      </c>
      <c r="N3660" s="559"/>
      <c r="O3660" s="559"/>
      <c r="P3660" s="559"/>
      <c r="Q3660" s="559"/>
      <c r="R3660" s="559"/>
      <c r="S3660" s="559"/>
      <c r="T3660" s="559"/>
      <c r="U3660" s="559"/>
      <c r="V3660" s="560"/>
      <c r="Y3660" s="378"/>
      <c r="Z3660" s="121"/>
      <c r="AA3660" s="86"/>
      <c r="AB3660" s="513"/>
      <c r="AC3660" s="514"/>
      <c r="AD3660" s="94"/>
      <c r="AE3660" s="379"/>
    </row>
    <row r="3661" spans="3:31" s="260" customFormat="1" x14ac:dyDescent="0.25">
      <c r="C3661" s="84"/>
      <c r="D3661" s="380"/>
      <c r="E3661" s="381"/>
      <c r="F3661" s="381"/>
      <c r="G3661" s="381"/>
      <c r="H3661" s="381"/>
      <c r="I3661" s="381"/>
      <c r="J3661" s="382"/>
      <c r="K3661" s="88"/>
      <c r="M3661" s="99" t="s">
        <v>94</v>
      </c>
      <c r="N3661" s="561" t="s">
        <v>95</v>
      </c>
      <c r="O3661" s="561"/>
      <c r="P3661" s="561"/>
      <c r="Q3661" s="561"/>
      <c r="R3661" s="95" t="s">
        <v>96</v>
      </c>
      <c r="S3661" s="95" t="s">
        <v>97</v>
      </c>
      <c r="T3661" s="562" t="s">
        <v>8</v>
      </c>
      <c r="U3661" s="562"/>
      <c r="V3661" s="100" t="s">
        <v>98</v>
      </c>
      <c r="Y3661" s="383" t="s">
        <v>104</v>
      </c>
      <c r="Z3661" s="119" t="s">
        <v>9</v>
      </c>
      <c r="AA3661" s="86"/>
      <c r="AB3661" s="384"/>
      <c r="AC3661" s="385"/>
      <c r="AD3661" s="94"/>
      <c r="AE3661" s="386"/>
    </row>
    <row r="3662" spans="3:31" s="260" customFormat="1" x14ac:dyDescent="0.25">
      <c r="C3662" s="84"/>
      <c r="D3662" s="85"/>
      <c r="E3662" s="86"/>
      <c r="F3662" s="86"/>
      <c r="G3662" s="86"/>
      <c r="H3662" s="86"/>
      <c r="I3662" s="86"/>
      <c r="J3662" s="87"/>
      <c r="K3662" s="88"/>
      <c r="M3662" s="102"/>
      <c r="N3662" s="533" t="s">
        <v>99</v>
      </c>
      <c r="O3662" s="533"/>
      <c r="P3662" s="533"/>
      <c r="Q3662" s="533"/>
      <c r="R3662" s="78" t="s">
        <v>100</v>
      </c>
      <c r="S3662" s="387">
        <f>+$AA$10</f>
        <v>0.05</v>
      </c>
      <c r="T3662" s="563">
        <f>V3692</f>
        <v>14593.9</v>
      </c>
      <c r="U3662" s="563"/>
      <c r="V3662" s="389">
        <f>+IFERROR(T3662*S3662,0)</f>
        <v>729.69500000000005</v>
      </c>
      <c r="Y3662" s="390"/>
      <c r="Z3662" s="391">
        <f>Y3658*V3662</f>
        <v>729.69500000000005</v>
      </c>
      <c r="AA3662" s="86"/>
      <c r="AB3662" s="384"/>
      <c r="AC3662" s="385"/>
      <c r="AD3662" s="94"/>
      <c r="AE3662" s="386" t="str">
        <f>+IF(V3662=0,"CERO","NO")</f>
        <v>NO</v>
      </c>
    </row>
    <row r="3663" spans="3:31" s="260" customFormat="1" x14ac:dyDescent="0.25">
      <c r="C3663" s="84"/>
      <c r="D3663" s="85"/>
      <c r="E3663" s="86"/>
      <c r="F3663" s="86"/>
      <c r="G3663" s="86"/>
      <c r="H3663" s="86"/>
      <c r="I3663" s="86"/>
      <c r="J3663" s="87"/>
      <c r="K3663" s="88"/>
      <c r="M3663" s="106"/>
      <c r="N3663" s="533" t="str">
        <f>IFERROR(VLOOKUP(M3663,INSUMOS!$C$8:$K$928,2,0),"-----")</f>
        <v>-----</v>
      </c>
      <c r="O3663" s="533"/>
      <c r="P3663" s="533"/>
      <c r="Q3663" s="533"/>
      <c r="R3663" s="78" t="str">
        <f>IFERROR(VLOOKUP(M3663,INSUMOS!$C$8:$K$928,6,0),"-----")</f>
        <v>-----</v>
      </c>
      <c r="S3663" s="392"/>
      <c r="T3663" s="529" t="str">
        <f>IFERROR(VLOOKUP(M3663,INSUMOS!$C$8:$K$928,7,0),"0")</f>
        <v>0</v>
      </c>
      <c r="U3663" s="529"/>
      <c r="V3663" s="389">
        <f>+IFERROR(T3663*S3663,0)</f>
        <v>0</v>
      </c>
      <c r="Y3663" s="393">
        <f>+IFERROR(Y3658*S3663,0)</f>
        <v>0</v>
      </c>
      <c r="Z3663" s="391">
        <f>Y3658*V3663</f>
        <v>0</v>
      </c>
      <c r="AA3663" s="394"/>
      <c r="AB3663" s="395">
        <f>+Y3663*T3663</f>
        <v>0</v>
      </c>
      <c r="AC3663" s="93">
        <f>+AB3663-Z3663</f>
        <v>0</v>
      </c>
      <c r="AD3663" s="94"/>
      <c r="AE3663" s="386" t="str">
        <f>+IF(V3663=0,"CERO","NO")</f>
        <v>CERO</v>
      </c>
    </row>
    <row r="3664" spans="3:31" s="260" customFormat="1" x14ac:dyDescent="0.25">
      <c r="C3664" s="84"/>
      <c r="D3664" s="85"/>
      <c r="E3664" s="86"/>
      <c r="F3664" s="86"/>
      <c r="G3664" s="86"/>
      <c r="H3664" s="86"/>
      <c r="I3664" s="86"/>
      <c r="J3664" s="87"/>
      <c r="K3664" s="88"/>
      <c r="M3664" s="102">
        <v>0</v>
      </c>
      <c r="N3664" s="533"/>
      <c r="O3664" s="533"/>
      <c r="P3664" s="533"/>
      <c r="Q3664" s="533"/>
      <c r="R3664" s="78"/>
      <c r="S3664" s="396"/>
      <c r="T3664" s="529"/>
      <c r="U3664" s="529"/>
      <c r="V3664" s="397"/>
      <c r="Y3664" s="393">
        <f>+IFERROR(Y3658*S3664,0)</f>
        <v>0</v>
      </c>
      <c r="Z3664" s="391">
        <f>Y3658*V3664</f>
        <v>0</v>
      </c>
      <c r="AA3664" s="394"/>
      <c r="AB3664" s="395">
        <f>+Y3664*T3664</f>
        <v>0</v>
      </c>
      <c r="AC3664" s="93">
        <f>+AB3664-Z3664</f>
        <v>0</v>
      </c>
      <c r="AD3664" s="94"/>
      <c r="AE3664" s="386" t="str">
        <f>+IF(V3664=0,"CERO","NO")</f>
        <v>CERO</v>
      </c>
    </row>
    <row r="3665" spans="3:31" s="260" customFormat="1" x14ac:dyDescent="0.25">
      <c r="C3665" s="84"/>
      <c r="D3665" s="85"/>
      <c r="E3665" s="86"/>
      <c r="F3665" s="86"/>
      <c r="G3665" s="86"/>
      <c r="H3665" s="86"/>
      <c r="I3665" s="86"/>
      <c r="J3665" s="87"/>
      <c r="K3665" s="88"/>
      <c r="M3665" s="102">
        <v>0</v>
      </c>
      <c r="N3665" s="533"/>
      <c r="O3665" s="533"/>
      <c r="P3665" s="533"/>
      <c r="Q3665" s="533"/>
      <c r="R3665" s="78"/>
      <c r="S3665" s="396"/>
      <c r="T3665" s="529"/>
      <c r="U3665" s="529"/>
      <c r="V3665" s="397"/>
      <c r="Y3665" s="393">
        <f>+IFERROR(Y3658*S3665,0)</f>
        <v>0</v>
      </c>
      <c r="Z3665" s="391">
        <f>Y3658*V3665</f>
        <v>0</v>
      </c>
      <c r="AA3665" s="394"/>
      <c r="AB3665" s="395">
        <f>+Y3665*T3665</f>
        <v>0</v>
      </c>
      <c r="AC3665" s="93">
        <f>+AB3665-Z3665</f>
        <v>0</v>
      </c>
      <c r="AD3665" s="94"/>
      <c r="AE3665" s="386" t="str">
        <f>+IF(V3665=0,"CERO","NO")</f>
        <v>CERO</v>
      </c>
    </row>
    <row r="3666" spans="3:31" s="260" customFormat="1" ht="15.75" thickBot="1" x14ac:dyDescent="0.3">
      <c r="C3666" s="84"/>
      <c r="D3666" s="85"/>
      <c r="E3666" s="86"/>
      <c r="F3666" s="86"/>
      <c r="G3666" s="86"/>
      <c r="H3666" s="86"/>
      <c r="I3666" s="86"/>
      <c r="J3666" s="87"/>
      <c r="K3666" s="88"/>
      <c r="M3666" s="102">
        <v>0</v>
      </c>
      <c r="N3666" s="564"/>
      <c r="O3666" s="564"/>
      <c r="P3666" s="564"/>
      <c r="Q3666" s="564"/>
      <c r="R3666" s="96"/>
      <c r="S3666" s="96"/>
      <c r="T3666" s="565"/>
      <c r="U3666" s="565"/>
      <c r="V3666" s="101"/>
      <c r="Y3666" s="393">
        <f>+IFERROR(Y3658*S3666,0)</f>
        <v>0</v>
      </c>
      <c r="Z3666" s="391">
        <f>Y3658*V3666</f>
        <v>0</v>
      </c>
      <c r="AA3666" s="394"/>
      <c r="AB3666" s="395">
        <f>+Y3666*T3666</f>
        <v>0</v>
      </c>
      <c r="AC3666" s="93">
        <f>+AB3666-Z3666</f>
        <v>0</v>
      </c>
      <c r="AD3666" s="94"/>
      <c r="AE3666" s="386" t="str">
        <f>+IF(V3666=0,"CERO","NO")</f>
        <v>CERO</v>
      </c>
    </row>
    <row r="3667" spans="3:31" s="260" customFormat="1" ht="15.75" thickBot="1" x14ac:dyDescent="0.3">
      <c r="C3667" s="84"/>
      <c r="D3667" s="375" t="s">
        <v>128</v>
      </c>
      <c r="E3667" s="376" t="s">
        <v>129</v>
      </c>
      <c r="F3667" s="376" t="s">
        <v>130</v>
      </c>
      <c r="G3667" s="376" t="s">
        <v>131</v>
      </c>
      <c r="H3667" s="376" t="s">
        <v>132</v>
      </c>
      <c r="I3667" s="376" t="s">
        <v>133</v>
      </c>
      <c r="J3667" s="377" t="s">
        <v>134</v>
      </c>
      <c r="K3667" s="88"/>
      <c r="M3667" s="534"/>
      <c r="N3667" s="536" t="s">
        <v>101</v>
      </c>
      <c r="O3667" s="536"/>
      <c r="P3667" s="536"/>
      <c r="Q3667" s="536"/>
      <c r="R3667" s="536"/>
      <c r="S3667" s="536"/>
      <c r="T3667" s="536"/>
      <c r="U3667" s="536"/>
      <c r="V3667" s="389">
        <f>+SUM(V3662:V3666)</f>
        <v>729.69500000000005</v>
      </c>
      <c r="Y3667" s="398" t="s">
        <v>135</v>
      </c>
      <c r="Z3667" s="397">
        <f>+SUM(Z3662:Z3666)</f>
        <v>729.69500000000005</v>
      </c>
      <c r="AA3667" s="86"/>
      <c r="AB3667" s="384"/>
      <c r="AC3667" s="385"/>
      <c r="AD3667" s="94"/>
      <c r="AE3667" s="399"/>
    </row>
    <row r="3668" spans="3:31" s="260" customFormat="1" ht="15.75" thickBot="1" x14ac:dyDescent="0.3">
      <c r="C3668" s="84"/>
      <c r="D3668" s="375">
        <f>C3658</f>
        <v>3.26</v>
      </c>
      <c r="E3668" s="376"/>
      <c r="F3668" s="376"/>
      <c r="G3668" s="376"/>
      <c r="H3668" s="376"/>
      <c r="I3668" s="376"/>
      <c r="J3668" s="377"/>
      <c r="K3668" s="88"/>
      <c r="M3668" s="566"/>
      <c r="N3668" s="567" t="s">
        <v>102</v>
      </c>
      <c r="O3668" s="567"/>
      <c r="P3668" s="567"/>
      <c r="Q3668" s="567"/>
      <c r="R3668" s="567"/>
      <c r="S3668" s="567"/>
      <c r="T3668" s="567"/>
      <c r="U3668" s="567"/>
      <c r="V3668" s="400">
        <f>+ROUND(V3667,$AA$5)</f>
        <v>729.7</v>
      </c>
      <c r="Y3668" s="401" t="s">
        <v>136</v>
      </c>
      <c r="Z3668" s="402">
        <f>+ROUND(Z3667,$AA$5)</f>
        <v>729.7</v>
      </c>
      <c r="AA3668" s="86"/>
      <c r="AB3668" s="403">
        <f>+V3668*Y3658</f>
        <v>729.7</v>
      </c>
      <c r="AC3668" s="404">
        <f>+AB3668-Z3668</f>
        <v>0</v>
      </c>
      <c r="AD3668" s="94"/>
      <c r="AE3668" s="405"/>
    </row>
    <row r="3669" spans="3:31" s="260" customFormat="1" x14ac:dyDescent="0.25">
      <c r="C3669" s="84"/>
      <c r="D3669" s="380"/>
      <c r="E3669" s="381"/>
      <c r="F3669" s="381"/>
      <c r="G3669" s="381"/>
      <c r="H3669" s="381"/>
      <c r="I3669" s="381"/>
      <c r="J3669" s="382"/>
      <c r="K3669" s="88"/>
      <c r="M3669" s="510" t="s">
        <v>103</v>
      </c>
      <c r="N3669" s="511"/>
      <c r="O3669" s="511"/>
      <c r="P3669" s="511"/>
      <c r="Q3669" s="511"/>
      <c r="R3669" s="511"/>
      <c r="S3669" s="511"/>
      <c r="T3669" s="511"/>
      <c r="U3669" s="511"/>
      <c r="V3669" s="512"/>
      <c r="Y3669" s="378"/>
      <c r="Z3669" s="121"/>
      <c r="AA3669" s="86"/>
      <c r="AB3669" s="513"/>
      <c r="AC3669" s="514"/>
      <c r="AD3669" s="94"/>
      <c r="AE3669" s="126"/>
    </row>
    <row r="3670" spans="3:31" s="260" customFormat="1" x14ac:dyDescent="0.25">
      <c r="C3670" s="84"/>
      <c r="D3670" s="85"/>
      <c r="E3670" s="86"/>
      <c r="F3670" s="86"/>
      <c r="G3670" s="86"/>
      <c r="H3670" s="86"/>
      <c r="I3670" s="86"/>
      <c r="J3670" s="87"/>
      <c r="K3670" s="88"/>
      <c r="M3670" s="99" t="s">
        <v>94</v>
      </c>
      <c r="N3670" s="561" t="s">
        <v>95</v>
      </c>
      <c r="O3670" s="561"/>
      <c r="P3670" s="561"/>
      <c r="Q3670" s="561"/>
      <c r="R3670" s="95" t="s">
        <v>96</v>
      </c>
      <c r="S3670" s="95" t="s">
        <v>104</v>
      </c>
      <c r="T3670" s="356" t="s">
        <v>105</v>
      </c>
      <c r="U3670" s="356" t="s">
        <v>8</v>
      </c>
      <c r="V3670" s="100" t="s">
        <v>98</v>
      </c>
      <c r="Y3670" s="383" t="s">
        <v>104</v>
      </c>
      <c r="Z3670" s="119" t="s">
        <v>9</v>
      </c>
      <c r="AA3670" s="86"/>
      <c r="AB3670" s="384"/>
      <c r="AC3670" s="385"/>
      <c r="AD3670" s="94"/>
      <c r="AE3670" s="406"/>
    </row>
    <row r="3671" spans="3:31" s="260" customFormat="1" x14ac:dyDescent="0.25">
      <c r="C3671" s="84"/>
      <c r="D3671" s="85"/>
      <c r="E3671" s="86"/>
      <c r="F3671" s="86"/>
      <c r="G3671" s="86"/>
      <c r="H3671" s="86"/>
      <c r="I3671" s="86"/>
      <c r="J3671" s="87"/>
      <c r="K3671" s="88"/>
      <c r="M3671" s="102">
        <v>947</v>
      </c>
      <c r="N3671" s="533" t="str">
        <f>IFERROR(VLOOKUP(M3671,INSUMOS!$C$8:$K$928,2,0),"-----")</f>
        <v>REDUCCION RANURADA Ø1 1/2" A Ø1 1/4"</v>
      </c>
      <c r="O3671" s="533"/>
      <c r="P3671" s="533"/>
      <c r="Q3671" s="533"/>
      <c r="R3671" s="78" t="str">
        <f>IFERROR(VLOOKUP(M3671,INSUMOS!$C$8:$K$928,6,0),"-----")</f>
        <v>und</v>
      </c>
      <c r="S3671" s="396">
        <v>1</v>
      </c>
      <c r="T3671" s="387">
        <v>0</v>
      </c>
      <c r="U3671" s="388">
        <f>IFERROR(VLOOKUP(M3671,INSUMOS!$C$8:$K$928,7,0),"0")</f>
        <v>7200</v>
      </c>
      <c r="V3671" s="389">
        <f>+IFERROR(U3671*(S3671*(1+T3671)),0)</f>
        <v>7200</v>
      </c>
      <c r="Y3671" s="393">
        <f>+IFERROR(Y3658*(S3671*(1+T3671)),0)</f>
        <v>1</v>
      </c>
      <c r="Z3671" s="391">
        <f>Y3658*V3671</f>
        <v>7200</v>
      </c>
      <c r="AA3671" s="394"/>
      <c r="AB3671" s="395">
        <f>+Y3671*U3671</f>
        <v>7200</v>
      </c>
      <c r="AC3671" s="93">
        <f>+AB3671-Z3671</f>
        <v>0</v>
      </c>
      <c r="AD3671" s="94"/>
      <c r="AE3671" s="406" t="str">
        <f>+IF(V3671=0,"CERO","NO")</f>
        <v>NO</v>
      </c>
    </row>
    <row r="3672" spans="3:31" s="260" customFormat="1" x14ac:dyDescent="0.25">
      <c r="C3672" s="84"/>
      <c r="D3672" s="85"/>
      <c r="E3672" s="86"/>
      <c r="F3672" s="86"/>
      <c r="G3672" s="86"/>
      <c r="H3672" s="86"/>
      <c r="I3672" s="86"/>
      <c r="J3672" s="87"/>
      <c r="K3672" s="88"/>
      <c r="M3672" s="102"/>
      <c r="N3672" s="533" t="str">
        <f>IFERROR(VLOOKUP(M3672,INSUMOS!$C$8:$K$928,2,0),"-----")</f>
        <v>-----</v>
      </c>
      <c r="O3672" s="533"/>
      <c r="P3672" s="533"/>
      <c r="Q3672" s="533"/>
      <c r="R3672" s="78" t="str">
        <f>IFERROR(VLOOKUP(M3672,INSUMOS!$C$8:$K$928,6,0),"-----")</f>
        <v>-----</v>
      </c>
      <c r="S3672" s="392"/>
      <c r="T3672" s="387">
        <v>0</v>
      </c>
      <c r="U3672" s="388" t="str">
        <f>IFERROR(VLOOKUP(M3672,INSUMOS!$C$8:$K$928,7,0),"0")</f>
        <v>0</v>
      </c>
      <c r="V3672" s="389">
        <f>+IFERROR(U3672*(S3672*(1+T3672)),0)</f>
        <v>0</v>
      </c>
      <c r="Y3672" s="393">
        <f>+IFERROR(Y3658*(S3672*(1+T3672)),0)</f>
        <v>0</v>
      </c>
      <c r="Z3672" s="391">
        <f>Y3658*V3672</f>
        <v>0</v>
      </c>
      <c r="AA3672" s="394"/>
      <c r="AB3672" s="395">
        <f>+Y3672*U3672</f>
        <v>0</v>
      </c>
      <c r="AC3672" s="93">
        <f>+AB3672-Z3672</f>
        <v>0</v>
      </c>
      <c r="AD3672" s="94"/>
      <c r="AE3672" s="406" t="str">
        <f>+IF(V3672=0,"CERO","NO")</f>
        <v>CERO</v>
      </c>
    </row>
    <row r="3673" spans="3:31" s="260" customFormat="1" x14ac:dyDescent="0.25">
      <c r="C3673" s="84"/>
      <c r="D3673" s="85"/>
      <c r="E3673" s="86"/>
      <c r="F3673" s="86"/>
      <c r="G3673" s="86"/>
      <c r="H3673" s="86"/>
      <c r="I3673" s="86"/>
      <c r="J3673" s="87"/>
      <c r="K3673" s="88"/>
      <c r="M3673" s="102"/>
      <c r="N3673" s="533" t="str">
        <f>IFERROR(VLOOKUP(M3673,INSUMOS!$C$8:$K$928,2,0),"-----")</f>
        <v>-----</v>
      </c>
      <c r="O3673" s="533"/>
      <c r="P3673" s="533"/>
      <c r="Q3673" s="533"/>
      <c r="R3673" s="78" t="str">
        <f>IFERROR(VLOOKUP(M3673,INSUMOS!$C$8:$K$928,6,0),"-----")</f>
        <v>-----</v>
      </c>
      <c r="S3673" s="396"/>
      <c r="T3673" s="387">
        <v>0</v>
      </c>
      <c r="U3673" s="388" t="str">
        <f>IFERROR(VLOOKUP(M3673,INSUMOS!$C$8:$K$928,7,0),"0")</f>
        <v>0</v>
      </c>
      <c r="V3673" s="389">
        <f>+IFERROR(U3673*(S3673*(1+T3673)),0)</f>
        <v>0</v>
      </c>
      <c r="Y3673" s="393">
        <f>+IFERROR(Y3658*(S3673*(1+T3673)),0)</f>
        <v>0</v>
      </c>
      <c r="Z3673" s="391">
        <f>Y3658*V3673</f>
        <v>0</v>
      </c>
      <c r="AA3673" s="394"/>
      <c r="AB3673" s="395">
        <f>+Y3673*U3673</f>
        <v>0</v>
      </c>
      <c r="AC3673" s="93">
        <f>+AB3673-Z3673</f>
        <v>0</v>
      </c>
      <c r="AD3673" s="94"/>
      <c r="AE3673" s="406" t="str">
        <f>+IF(V3673=0,"CERO","NO")</f>
        <v>CERO</v>
      </c>
    </row>
    <row r="3674" spans="3:31" s="260" customFormat="1" x14ac:dyDescent="0.25">
      <c r="C3674" s="84"/>
      <c r="D3674" s="85"/>
      <c r="E3674" s="86"/>
      <c r="F3674" s="86"/>
      <c r="G3674" s="86"/>
      <c r="H3674" s="86"/>
      <c r="I3674" s="86"/>
      <c r="J3674" s="87"/>
      <c r="K3674" s="88"/>
      <c r="M3674" s="102">
        <v>0</v>
      </c>
      <c r="N3674" s="533" t="str">
        <f>IFERROR(VLOOKUP(M3674,INSUMOS!$C$8:$K$928,2,0),"-----")</f>
        <v>-----</v>
      </c>
      <c r="O3674" s="533"/>
      <c r="P3674" s="533"/>
      <c r="Q3674" s="533"/>
      <c r="R3674" s="78" t="str">
        <f>IFERROR(VLOOKUP(M3674,INSUMOS!$C$8:$K$928,6,0),"-----")</f>
        <v>-----</v>
      </c>
      <c r="S3674" s="396"/>
      <c r="T3674" s="387"/>
      <c r="U3674" s="388" t="str">
        <f>IFERROR(VLOOKUP(M3674,INSUMOS!$C$8:$K$928,7,0),"0")</f>
        <v>0</v>
      </c>
      <c r="V3674" s="389">
        <f>+IFERROR(U3674*(S3674*(1+T3674)),0)</f>
        <v>0</v>
      </c>
      <c r="Y3674" s="393">
        <f>+IFERROR(Y3658*(S3674*(1+T3674)),0)</f>
        <v>0</v>
      </c>
      <c r="Z3674" s="391">
        <f>Y3658*V3674</f>
        <v>0</v>
      </c>
      <c r="AA3674" s="394"/>
      <c r="AB3674" s="395">
        <f>+Y3674*U3674</f>
        <v>0</v>
      </c>
      <c r="AC3674" s="93">
        <f>+AB3674-Z3674</f>
        <v>0</v>
      </c>
      <c r="AD3674" s="94"/>
      <c r="AE3674" s="406" t="str">
        <f>+IF(V3674=0,"CERO","NO")</f>
        <v>CERO</v>
      </c>
    </row>
    <row r="3675" spans="3:31" s="260" customFormat="1" ht="15.75" thickBot="1" x14ac:dyDescent="0.3">
      <c r="C3675" s="84"/>
      <c r="D3675" s="85"/>
      <c r="E3675" s="86"/>
      <c r="F3675" s="86"/>
      <c r="G3675" s="86"/>
      <c r="H3675" s="86"/>
      <c r="I3675" s="86"/>
      <c r="J3675" s="87"/>
      <c r="K3675" s="88"/>
      <c r="M3675" s="102">
        <v>0</v>
      </c>
      <c r="N3675" s="564"/>
      <c r="O3675" s="564"/>
      <c r="P3675" s="564"/>
      <c r="Q3675" s="564"/>
      <c r="R3675" s="96"/>
      <c r="S3675" s="79"/>
      <c r="T3675" s="97"/>
      <c r="U3675" s="358"/>
      <c r="V3675" s="397"/>
      <c r="Y3675" s="393">
        <f>+IFERROR(Y3658*(S3675*(1+T3675)),0)</f>
        <v>0</v>
      </c>
      <c r="Z3675" s="391">
        <f>Y3658*V3675</f>
        <v>0</v>
      </c>
      <c r="AA3675" s="394"/>
      <c r="AB3675" s="395">
        <f>+Y3675*U3675</f>
        <v>0</v>
      </c>
      <c r="AC3675" s="93">
        <f>+AB3675-Z3675</f>
        <v>0</v>
      </c>
      <c r="AD3675" s="94"/>
      <c r="AE3675" s="406" t="str">
        <f>+IF(V3675=0,"CERO","NO")</f>
        <v>CERO</v>
      </c>
    </row>
    <row r="3676" spans="3:31" s="260" customFormat="1" ht="15.75" thickBot="1" x14ac:dyDescent="0.3">
      <c r="C3676" s="84"/>
      <c r="D3676" s="375" t="s">
        <v>128</v>
      </c>
      <c r="E3676" s="376" t="s">
        <v>129</v>
      </c>
      <c r="F3676" s="376" t="s">
        <v>130</v>
      </c>
      <c r="G3676" s="376" t="s">
        <v>131</v>
      </c>
      <c r="H3676" s="376" t="s">
        <v>132</v>
      </c>
      <c r="I3676" s="376" t="s">
        <v>133</v>
      </c>
      <c r="J3676" s="377" t="s">
        <v>134</v>
      </c>
      <c r="K3676" s="88"/>
      <c r="M3676" s="534"/>
      <c r="N3676" s="536" t="s">
        <v>106</v>
      </c>
      <c r="O3676" s="536"/>
      <c r="P3676" s="536"/>
      <c r="Q3676" s="536"/>
      <c r="R3676" s="536"/>
      <c r="S3676" s="536"/>
      <c r="T3676" s="536"/>
      <c r="U3676" s="536"/>
      <c r="V3676" s="389">
        <f>+SUM(V3671:V3675)</f>
        <v>7200</v>
      </c>
      <c r="Y3676" s="398" t="s">
        <v>135</v>
      </c>
      <c r="Z3676" s="397">
        <f>+SUM(Z3671:Z3675)</f>
        <v>7200</v>
      </c>
      <c r="AA3676" s="86"/>
      <c r="AB3676" s="384"/>
      <c r="AC3676" s="385"/>
      <c r="AD3676" s="94"/>
      <c r="AE3676" s="399"/>
    </row>
    <row r="3677" spans="3:31" s="260" customFormat="1" ht="15.75" thickBot="1" x14ac:dyDescent="0.3">
      <c r="C3677" s="84"/>
      <c r="D3677" s="375"/>
      <c r="E3677" s="407">
        <f>+D3668</f>
        <v>3.26</v>
      </c>
      <c r="F3677" s="376"/>
      <c r="G3677" s="376"/>
      <c r="H3677" s="376"/>
      <c r="I3677" s="376"/>
      <c r="J3677" s="377"/>
      <c r="K3677" s="88"/>
      <c r="M3677" s="535"/>
      <c r="N3677" s="537" t="s">
        <v>107</v>
      </c>
      <c r="O3677" s="537"/>
      <c r="P3677" s="537"/>
      <c r="Q3677" s="537"/>
      <c r="R3677" s="537"/>
      <c r="S3677" s="537"/>
      <c r="T3677" s="537"/>
      <c r="U3677" s="537"/>
      <c r="V3677" s="408">
        <f>+ROUND(V3676,$AA$5)</f>
        <v>7200</v>
      </c>
      <c r="Y3677" s="401" t="s">
        <v>136</v>
      </c>
      <c r="Z3677" s="402">
        <f>+ROUND(Z3676,$AA$5)</f>
        <v>7200</v>
      </c>
      <c r="AA3677" s="86"/>
      <c r="AB3677" s="403">
        <f>+V3677*Y3658</f>
        <v>7200</v>
      </c>
      <c r="AC3677" s="404">
        <f>+AB3677-Z3677</f>
        <v>0</v>
      </c>
      <c r="AD3677" s="94"/>
      <c r="AE3677" s="405"/>
    </row>
    <row r="3678" spans="3:31" s="260" customFormat="1" x14ac:dyDescent="0.25">
      <c r="C3678" s="84"/>
      <c r="D3678" s="380"/>
      <c r="E3678" s="381"/>
      <c r="F3678" s="381"/>
      <c r="G3678" s="381"/>
      <c r="H3678" s="381"/>
      <c r="I3678" s="381"/>
      <c r="J3678" s="382"/>
      <c r="K3678" s="88"/>
      <c r="M3678" s="568" t="s">
        <v>108</v>
      </c>
      <c r="N3678" s="569"/>
      <c r="O3678" s="569"/>
      <c r="P3678" s="569"/>
      <c r="Q3678" s="569"/>
      <c r="R3678" s="569"/>
      <c r="S3678" s="569"/>
      <c r="T3678" s="569"/>
      <c r="U3678" s="569"/>
      <c r="V3678" s="570"/>
      <c r="Y3678" s="378"/>
      <c r="Z3678" s="121"/>
      <c r="AA3678" s="86"/>
      <c r="AB3678" s="409"/>
      <c r="AC3678" s="121"/>
      <c r="AD3678" s="94"/>
      <c r="AE3678" s="126"/>
    </row>
    <row r="3679" spans="3:31" s="260" customFormat="1" ht="25.5" x14ac:dyDescent="0.25">
      <c r="C3679" s="84"/>
      <c r="D3679" s="85"/>
      <c r="E3679" s="86"/>
      <c r="F3679" s="86"/>
      <c r="G3679" s="86"/>
      <c r="H3679" s="86"/>
      <c r="I3679" s="86"/>
      <c r="J3679" s="87"/>
      <c r="K3679" s="88"/>
      <c r="M3679" s="99" t="s">
        <v>94</v>
      </c>
      <c r="N3679" s="561" t="s">
        <v>95</v>
      </c>
      <c r="O3679" s="561"/>
      <c r="P3679" s="561"/>
      <c r="Q3679" s="95" t="s">
        <v>109</v>
      </c>
      <c r="R3679" s="95" t="s">
        <v>110</v>
      </c>
      <c r="S3679" s="95" t="s">
        <v>111</v>
      </c>
      <c r="T3679" s="562" t="s">
        <v>112</v>
      </c>
      <c r="U3679" s="562"/>
      <c r="V3679" s="100" t="s">
        <v>98</v>
      </c>
      <c r="Y3679" s="383" t="s">
        <v>104</v>
      </c>
      <c r="Z3679" s="119" t="s">
        <v>9</v>
      </c>
      <c r="AA3679" s="86"/>
      <c r="AB3679" s="384"/>
      <c r="AC3679" s="385"/>
      <c r="AD3679" s="94"/>
      <c r="AE3679" s="410"/>
    </row>
    <row r="3680" spans="3:31" s="260" customFormat="1" x14ac:dyDescent="0.25">
      <c r="C3680" s="84"/>
      <c r="D3680" s="85"/>
      <c r="E3680" s="86"/>
      <c r="F3680" s="86"/>
      <c r="G3680" s="86"/>
      <c r="H3680" s="86"/>
      <c r="I3680" s="86"/>
      <c r="J3680" s="87"/>
      <c r="K3680" s="88"/>
      <c r="M3680" s="102">
        <v>129</v>
      </c>
      <c r="N3680" s="530" t="str">
        <f>IFERROR(VLOOKUP(M3680,INSUMOS!$C$8:$K$928,2,0),"-----")</f>
        <v>transporte materiales en general</v>
      </c>
      <c r="O3680" s="531"/>
      <c r="P3680" s="532"/>
      <c r="Q3680" s="78" t="str">
        <f>IFERROR(VLOOKUP(M3680,INSUMOS!$C$8:$K$928,5,0),"-----")</f>
        <v>Km</v>
      </c>
      <c r="R3680" s="80">
        <v>1</v>
      </c>
      <c r="S3680" s="80">
        <f>IFERROR(VLOOKUP(M3680,INSUMOS!$C$8:$K$928,6,0),"0")</f>
        <v>348</v>
      </c>
      <c r="T3680" s="529">
        <f>IFERROR(VLOOKUP(M3680,INSUMOS!$C$8:$K$928,7,0),"0")</f>
        <v>0.99776362060288992</v>
      </c>
      <c r="U3680" s="529"/>
      <c r="V3680" s="82">
        <f>+T3680*S3680*R3680</f>
        <v>347.2217399698057</v>
      </c>
      <c r="Y3680" s="393">
        <f>+IFERROR((R3680*S3680)*Y3658,0)</f>
        <v>348</v>
      </c>
      <c r="Z3680" s="391">
        <f>Y3658*V3680</f>
        <v>347.2217399698057</v>
      </c>
      <c r="AA3680" s="86"/>
      <c r="AB3680" s="92">
        <f>+Y3680*T3680</f>
        <v>347.2217399698057</v>
      </c>
      <c r="AC3680" s="93">
        <f>+AB3680-Z3680</f>
        <v>0</v>
      </c>
      <c r="AD3680" s="94"/>
      <c r="AE3680" s="406" t="str">
        <f>+IF(V3680=0,"CERO","NO")</f>
        <v>NO</v>
      </c>
    </row>
    <row r="3681" spans="3:31" s="260" customFormat="1" x14ac:dyDescent="0.25">
      <c r="C3681" s="84"/>
      <c r="D3681" s="85"/>
      <c r="E3681" s="86"/>
      <c r="F3681" s="86"/>
      <c r="G3681" s="86"/>
      <c r="H3681" s="86"/>
      <c r="I3681" s="86"/>
      <c r="J3681" s="87"/>
      <c r="K3681" s="88"/>
      <c r="M3681" s="102">
        <v>0</v>
      </c>
      <c r="N3681" s="530" t="str">
        <f>IFERROR(VLOOKUP(M3681,INSUMOS!$C$8:$K$928,2,0),"-----")</f>
        <v>-----</v>
      </c>
      <c r="O3681" s="531"/>
      <c r="P3681" s="532"/>
      <c r="Q3681" s="78" t="str">
        <f>IFERROR(VLOOKUP(M3681,INSUMOS!$C$8:$K$928,5,0),"-----")</f>
        <v>-----</v>
      </c>
      <c r="R3681" s="80"/>
      <c r="S3681" s="80" t="str">
        <f>IFERROR(VLOOKUP(M3681,INSUMOS!$C$8:$K$928,6,0),"0")</f>
        <v>0</v>
      </c>
      <c r="T3681" s="529" t="str">
        <f>IFERROR(VLOOKUP(M3681,INSUMOS!$C$8:$K$928,7,0),"0")</f>
        <v>0</v>
      </c>
      <c r="U3681" s="529"/>
      <c r="V3681" s="82">
        <f>+T3681*S3681*R3681</f>
        <v>0</v>
      </c>
      <c r="Y3681" s="393">
        <f>+IFERROR((R3681*S3681)*Y3658,0)</f>
        <v>0</v>
      </c>
      <c r="Z3681" s="391">
        <f>Y3658*V3681</f>
        <v>0</v>
      </c>
      <c r="AA3681" s="86"/>
      <c r="AB3681" s="92">
        <f>+Y3681*T3681</f>
        <v>0</v>
      </c>
      <c r="AC3681" s="93">
        <f>+AB3681-Z3681</f>
        <v>0</v>
      </c>
      <c r="AD3681" s="94"/>
      <c r="AE3681" s="406" t="str">
        <f>+IF(V3681=0,"CERO","NO")</f>
        <v>CERO</v>
      </c>
    </row>
    <row r="3682" spans="3:31" s="260" customFormat="1" x14ac:dyDescent="0.25">
      <c r="C3682" s="84"/>
      <c r="D3682" s="85"/>
      <c r="E3682" s="86"/>
      <c r="F3682" s="86"/>
      <c r="G3682" s="86"/>
      <c r="H3682" s="86"/>
      <c r="I3682" s="86"/>
      <c r="J3682" s="87"/>
      <c r="K3682" s="88"/>
      <c r="M3682" s="102">
        <v>0</v>
      </c>
      <c r="N3682" s="530" t="str">
        <f>IFERROR(VLOOKUP(M3682,INSUMOS!$C$8:$K$928,2,0),"-----")</f>
        <v>-----</v>
      </c>
      <c r="O3682" s="531"/>
      <c r="P3682" s="532"/>
      <c r="Q3682" s="78" t="str">
        <f>IFERROR(VLOOKUP(M3682,INSUMOS!$C$8:$K$928,5,0),"-----")</f>
        <v>-----</v>
      </c>
      <c r="R3682" s="80"/>
      <c r="S3682" s="80" t="str">
        <f>IFERROR(VLOOKUP(M3682,INSUMOS!$C$8:$K$928,6,0),"0")</f>
        <v>0</v>
      </c>
      <c r="T3682" s="529" t="str">
        <f>IFERROR(VLOOKUP(M3682,INSUMOS!$C$8:$K$928,7,0),"0")</f>
        <v>0</v>
      </c>
      <c r="U3682" s="529"/>
      <c r="V3682" s="82">
        <f>+T3682*S3682*R3682</f>
        <v>0</v>
      </c>
      <c r="Y3682" s="393">
        <f>+IFERROR((R3682*S3682)*Y3658,0)</f>
        <v>0</v>
      </c>
      <c r="Z3682" s="391">
        <f>Y3658*V3682</f>
        <v>0</v>
      </c>
      <c r="AA3682" s="86"/>
      <c r="AB3682" s="92">
        <f>+Y3682*T3682</f>
        <v>0</v>
      </c>
      <c r="AC3682" s="93">
        <f>+AB3682-Z3682</f>
        <v>0</v>
      </c>
      <c r="AD3682" s="94"/>
      <c r="AE3682" s="406" t="str">
        <f>+IF(V3682=0,"CERO","NO")</f>
        <v>CERO</v>
      </c>
    </row>
    <row r="3683" spans="3:31" s="260" customFormat="1" ht="15.75" thickBot="1" x14ac:dyDescent="0.3">
      <c r="C3683" s="84"/>
      <c r="D3683" s="89"/>
      <c r="E3683" s="90"/>
      <c r="F3683" s="90"/>
      <c r="G3683" s="90"/>
      <c r="H3683" s="90"/>
      <c r="I3683" s="90"/>
      <c r="J3683" s="91"/>
      <c r="K3683" s="88"/>
      <c r="M3683" s="102">
        <v>0</v>
      </c>
      <c r="N3683" s="533"/>
      <c r="O3683" s="533"/>
      <c r="P3683" s="533"/>
      <c r="Q3683" s="79"/>
      <c r="R3683" s="78"/>
      <c r="S3683" s="81"/>
      <c r="T3683" s="529"/>
      <c r="U3683" s="529"/>
      <c r="V3683" s="82"/>
      <c r="Y3683" s="393">
        <f>+IFERROR((R3683*S3683)*Y3658,0)</f>
        <v>0</v>
      </c>
      <c r="Z3683" s="391">
        <f>Y3658*V3683</f>
        <v>0</v>
      </c>
      <c r="AA3683" s="86"/>
      <c r="AB3683" s="92">
        <f>+Y3683*T3683</f>
        <v>0</v>
      </c>
      <c r="AC3683" s="93">
        <f>+AB3683-Z3683</f>
        <v>0</v>
      </c>
      <c r="AD3683" s="94"/>
      <c r="AE3683" s="406" t="str">
        <f>+IF(V3683=0,"CERO","NO")</f>
        <v>CERO</v>
      </c>
    </row>
    <row r="3684" spans="3:31" s="260" customFormat="1" ht="15.75" thickBot="1" x14ac:dyDescent="0.3">
      <c r="C3684" s="84"/>
      <c r="D3684" s="375" t="s">
        <v>128</v>
      </c>
      <c r="E3684" s="376" t="s">
        <v>129</v>
      </c>
      <c r="F3684" s="376" t="s">
        <v>130</v>
      </c>
      <c r="G3684" s="376" t="s">
        <v>131</v>
      </c>
      <c r="H3684" s="376" t="s">
        <v>132</v>
      </c>
      <c r="I3684" s="376" t="s">
        <v>133</v>
      </c>
      <c r="J3684" s="377" t="s">
        <v>134</v>
      </c>
      <c r="K3684" s="88"/>
      <c r="M3684" s="534"/>
      <c r="N3684" s="536" t="s">
        <v>113</v>
      </c>
      <c r="O3684" s="536"/>
      <c r="P3684" s="536"/>
      <c r="Q3684" s="536"/>
      <c r="R3684" s="536"/>
      <c r="S3684" s="536"/>
      <c r="T3684" s="536"/>
      <c r="U3684" s="536"/>
      <c r="V3684" s="411">
        <f>+SUM(V3680:V3683)</f>
        <v>347.2217399698057</v>
      </c>
      <c r="Y3684" s="398" t="s">
        <v>135</v>
      </c>
      <c r="Z3684" s="397">
        <f>+SUM(Z3680:Z3683)</f>
        <v>347.2217399698057</v>
      </c>
      <c r="AA3684" s="86"/>
      <c r="AB3684" s="384"/>
      <c r="AC3684" s="385"/>
      <c r="AD3684" s="94"/>
      <c r="AE3684" s="399"/>
    </row>
    <row r="3685" spans="3:31" s="260" customFormat="1" ht="15.75" thickBot="1" x14ac:dyDescent="0.3">
      <c r="C3685" s="84"/>
      <c r="D3685" s="355"/>
      <c r="E3685" s="367"/>
      <c r="F3685" s="412">
        <f>+E3677</f>
        <v>3.26</v>
      </c>
      <c r="G3685" s="367"/>
      <c r="H3685" s="367"/>
      <c r="I3685" s="367"/>
      <c r="J3685" s="368"/>
      <c r="K3685" s="88"/>
      <c r="M3685" s="535"/>
      <c r="N3685" s="537" t="s">
        <v>114</v>
      </c>
      <c r="O3685" s="537"/>
      <c r="P3685" s="537"/>
      <c r="Q3685" s="537"/>
      <c r="R3685" s="537"/>
      <c r="S3685" s="537"/>
      <c r="T3685" s="537"/>
      <c r="U3685" s="537"/>
      <c r="V3685" s="413">
        <f>+ROUND(V3684,$AA$5)</f>
        <v>347.22</v>
      </c>
      <c r="Y3685" s="401" t="s">
        <v>136</v>
      </c>
      <c r="Z3685" s="402">
        <f>+ROUND(Z3684,$AA$5)</f>
        <v>347.22</v>
      </c>
      <c r="AA3685" s="86"/>
      <c r="AB3685" s="403">
        <f>+V3685*Y3658</f>
        <v>347.22</v>
      </c>
      <c r="AC3685" s="414"/>
      <c r="AD3685" s="94"/>
      <c r="AE3685" s="405"/>
    </row>
    <row r="3686" spans="3:31" s="260" customFormat="1" ht="15.75" thickBot="1" x14ac:dyDescent="0.3">
      <c r="C3686" s="84"/>
      <c r="D3686" s="415"/>
      <c r="E3686" s="416"/>
      <c r="F3686" s="416"/>
      <c r="G3686" s="416"/>
      <c r="H3686" s="416"/>
      <c r="I3686" s="416"/>
      <c r="J3686" s="417"/>
      <c r="K3686" s="88"/>
      <c r="M3686" s="538" t="s">
        <v>115</v>
      </c>
      <c r="N3686" s="539"/>
      <c r="O3686" s="539"/>
      <c r="P3686" s="539"/>
      <c r="Q3686" s="539"/>
      <c r="R3686" s="539"/>
      <c r="S3686" s="539"/>
      <c r="T3686" s="539"/>
      <c r="U3686" s="539"/>
      <c r="V3686" s="540"/>
      <c r="Y3686" s="378"/>
      <c r="Z3686" s="121"/>
      <c r="AA3686" s="86"/>
      <c r="AB3686" s="409"/>
      <c r="AC3686" s="121"/>
      <c r="AD3686" s="94"/>
      <c r="AE3686" s="126"/>
    </row>
    <row r="3687" spans="3:31" s="260" customFormat="1" ht="15.75" thickBot="1" x14ac:dyDescent="0.3">
      <c r="C3687" s="84"/>
      <c r="D3687" s="375" t="s">
        <v>128</v>
      </c>
      <c r="E3687" s="376" t="s">
        <v>129</v>
      </c>
      <c r="F3687" s="376" t="s">
        <v>130</v>
      </c>
      <c r="G3687" s="376" t="s">
        <v>131</v>
      </c>
      <c r="H3687" s="376" t="s">
        <v>132</v>
      </c>
      <c r="I3687" s="376" t="s">
        <v>133</v>
      </c>
      <c r="J3687" s="377" t="s">
        <v>134</v>
      </c>
      <c r="K3687" s="88"/>
      <c r="M3687" s="99" t="s">
        <v>94</v>
      </c>
      <c r="N3687" s="98" t="s">
        <v>95</v>
      </c>
      <c r="O3687" s="95" t="s">
        <v>96</v>
      </c>
      <c r="P3687" s="359" t="s">
        <v>104</v>
      </c>
      <c r="Q3687" s="95" t="s">
        <v>116</v>
      </c>
      <c r="R3687" s="418" t="s">
        <v>117</v>
      </c>
      <c r="S3687" s="95" t="s">
        <v>347</v>
      </c>
      <c r="T3687" s="419" t="s">
        <v>118</v>
      </c>
      <c r="U3687" s="189" t="s">
        <v>119</v>
      </c>
      <c r="V3687" s="100" t="s">
        <v>98</v>
      </c>
      <c r="Y3687" s="383" t="s">
        <v>104</v>
      </c>
      <c r="Z3687" s="119" t="s">
        <v>9</v>
      </c>
      <c r="AA3687" s="86"/>
      <c r="AB3687" s="384"/>
      <c r="AC3687" s="385"/>
      <c r="AD3687" s="94"/>
      <c r="AE3687" s="410"/>
    </row>
    <row r="3688" spans="3:31" s="260" customFormat="1" ht="25.5" x14ac:dyDescent="0.25">
      <c r="C3688" s="84"/>
      <c r="D3688" s="354"/>
      <c r="E3688" s="96"/>
      <c r="F3688" s="96"/>
      <c r="G3688" s="96"/>
      <c r="H3688" s="96"/>
      <c r="I3688" s="96"/>
      <c r="J3688" s="420">
        <f>+F3685</f>
        <v>3.26</v>
      </c>
      <c r="K3688" s="88"/>
      <c r="M3688" s="102">
        <v>207</v>
      </c>
      <c r="N3688" s="347" t="str">
        <f>IFERROR(VLOOKUP(M3688,INSUMOS!$C$8:$K$928,2,0),"-----")</f>
        <v>Oficial Hidrosanitario</v>
      </c>
      <c r="O3688" s="78" t="str">
        <f>IFERROR(VLOOKUP(M3688,INSUMOS!$C$8:$K$928,3,0),"-----")</f>
        <v>JORNAL+PS</v>
      </c>
      <c r="P3688" s="80">
        <v>1</v>
      </c>
      <c r="Q3688" s="79">
        <v>20</v>
      </c>
      <c r="R3688" s="190">
        <f>IFERROR(VLOOKUP(M3688,INSUMOS!$C$8:$K$928,4,0),"-----")</f>
        <v>92983</v>
      </c>
      <c r="S3688" s="190">
        <f>IFERROR(VLOOKUP(M3688,INSUMOS!$C$8:$K$928,6,0),"-----")</f>
        <v>74386</v>
      </c>
      <c r="T3688" s="190">
        <f>IFERROR(VLOOKUP(M3688,INSUMOS!$C$8:$K$928,5,0),"-----")</f>
        <v>0</v>
      </c>
      <c r="U3688" s="388">
        <f>SUM(R3688:T3688)</f>
        <v>167369</v>
      </c>
      <c r="V3688" s="82">
        <f>+IFERROR((P3688/Q3688)*U3688,0)</f>
        <v>8368.4500000000007</v>
      </c>
      <c r="Y3688" s="393">
        <f>+IFERROR((Y3658/Q3688*P3688),0)</f>
        <v>0.05</v>
      </c>
      <c r="Z3688" s="391">
        <f>Y3658*V3688</f>
        <v>8368.4500000000007</v>
      </c>
      <c r="AA3688" s="86"/>
      <c r="AB3688" s="92">
        <f>+(U3688)*Y3688</f>
        <v>8368.4500000000007</v>
      </c>
      <c r="AC3688" s="93">
        <f>+AB3688-Z3688</f>
        <v>0</v>
      </c>
      <c r="AD3688" s="421"/>
      <c r="AE3688" s="410" t="str">
        <f>+IF(V3688=0,"CERO","NO")</f>
        <v>NO</v>
      </c>
    </row>
    <row r="3689" spans="3:31" s="260" customFormat="1" ht="26.25" thickBot="1" x14ac:dyDescent="0.3">
      <c r="C3689" s="84"/>
      <c r="D3689" s="355"/>
      <c r="E3689" s="367"/>
      <c r="F3689" s="367"/>
      <c r="G3689" s="367"/>
      <c r="H3689" s="367"/>
      <c r="I3689" s="367"/>
      <c r="J3689" s="422">
        <f>+J3688</f>
        <v>3.26</v>
      </c>
      <c r="K3689" s="88"/>
      <c r="M3689" s="102">
        <v>208</v>
      </c>
      <c r="N3689" s="347" t="str">
        <f>IFERROR(VLOOKUP(M3689,INSUMOS!$C$8:$K$928,2,0),"-----")</f>
        <v>Ayudante Hidrosanitario</v>
      </c>
      <c r="O3689" s="78" t="str">
        <f>IFERROR(VLOOKUP(M3689,INSUMOS!$C$8:$K$928,3,0),"-----")</f>
        <v>JORNAL+PS</v>
      </c>
      <c r="P3689" s="80">
        <v>1</v>
      </c>
      <c r="Q3689" s="79">
        <v>20</v>
      </c>
      <c r="R3689" s="190">
        <f>IFERROR(VLOOKUP(M3689,INSUMOS!$C$8:$K$928,4,0),"-----")</f>
        <v>69172</v>
      </c>
      <c r="S3689" s="190">
        <f>IFERROR(VLOOKUP(M3689,INSUMOS!$C$8:$K$928,6,0),"-----")</f>
        <v>55337</v>
      </c>
      <c r="T3689" s="190">
        <f>IFERROR(VLOOKUP(M3689,INSUMOS!$C$8:$K$928,5,0),"-----")</f>
        <v>0</v>
      </c>
      <c r="U3689" s="388">
        <f>SUM(R3689:T3689)</f>
        <v>124509</v>
      </c>
      <c r="V3689" s="82">
        <f>+IFERROR((P3689/Q3689)*U3689,0)</f>
        <v>6225.4500000000007</v>
      </c>
      <c r="Y3689" s="393">
        <f>+IFERROR((Y3658/Q3689*P3689),0)</f>
        <v>0.05</v>
      </c>
      <c r="Z3689" s="391">
        <f>Y3658*V3689</f>
        <v>6225.4500000000007</v>
      </c>
      <c r="AA3689" s="86"/>
      <c r="AB3689" s="92">
        <f>+U3689*Y3689</f>
        <v>6225.4500000000007</v>
      </c>
      <c r="AC3689" s="93">
        <f>+AB3689-Z3689</f>
        <v>0</v>
      </c>
      <c r="AD3689" s="94"/>
      <c r="AE3689" s="410" t="str">
        <f>+IF(V3689=0,"CERO","NO")</f>
        <v>NO</v>
      </c>
    </row>
    <row r="3690" spans="3:31" s="260" customFormat="1" ht="15.75" thickBot="1" x14ac:dyDescent="0.3">
      <c r="C3690" s="84"/>
      <c r="D3690" s="380"/>
      <c r="E3690" s="381"/>
      <c r="F3690" s="381"/>
      <c r="G3690" s="381"/>
      <c r="H3690" s="381"/>
      <c r="I3690" s="381"/>
      <c r="J3690" s="382"/>
      <c r="K3690" s="88"/>
      <c r="M3690" s="102">
        <v>0</v>
      </c>
      <c r="N3690" s="347"/>
      <c r="O3690" s="79"/>
      <c r="P3690" s="423"/>
      <c r="Q3690" s="81"/>
      <c r="R3690" s="111"/>
      <c r="S3690" s="357"/>
      <c r="T3690" s="111"/>
      <c r="U3690" s="388"/>
      <c r="V3690" s="426"/>
      <c r="Y3690" s="393">
        <f>+IFERROR((Y3658/Q3690*P3690),0)</f>
        <v>0</v>
      </c>
      <c r="Z3690" s="391">
        <f>Y3658*V3690</f>
        <v>0</v>
      </c>
      <c r="AA3690" s="86"/>
      <c r="AB3690" s="92">
        <f>+(U3690)*Y3690*P3690</f>
        <v>0</v>
      </c>
      <c r="AC3690" s="93">
        <f>+AB3690-Z3690</f>
        <v>0</v>
      </c>
      <c r="AD3690" s="94"/>
      <c r="AE3690" s="410" t="str">
        <f>+IF(V3690=0,"CERO","NO")</f>
        <v>CERO</v>
      </c>
    </row>
    <row r="3691" spans="3:31" s="260" customFormat="1" ht="15.75" thickBot="1" x14ac:dyDescent="0.3">
      <c r="C3691" s="84"/>
      <c r="D3691" s="375" t="s">
        <v>128</v>
      </c>
      <c r="E3691" s="376" t="s">
        <v>129</v>
      </c>
      <c r="F3691" s="376" t="s">
        <v>130</v>
      </c>
      <c r="G3691" s="376" t="s">
        <v>131</v>
      </c>
      <c r="H3691" s="376" t="s">
        <v>132</v>
      </c>
      <c r="I3691" s="376" t="s">
        <v>133</v>
      </c>
      <c r="J3691" s="377" t="s">
        <v>134</v>
      </c>
      <c r="K3691" s="88"/>
      <c r="M3691" s="534"/>
      <c r="N3691" s="536" t="s">
        <v>120</v>
      </c>
      <c r="O3691" s="536"/>
      <c r="P3691" s="536"/>
      <c r="Q3691" s="536"/>
      <c r="R3691" s="536"/>
      <c r="S3691" s="536"/>
      <c r="T3691" s="536"/>
      <c r="U3691" s="536"/>
      <c r="V3691" s="82">
        <f>+SUM(V3688:V3690)</f>
        <v>14593.900000000001</v>
      </c>
      <c r="Y3691" s="398" t="s">
        <v>135</v>
      </c>
      <c r="Z3691" s="397">
        <f>+SUM(Z3688:Z3690)</f>
        <v>14593.900000000001</v>
      </c>
      <c r="AA3691" s="86"/>
      <c r="AB3691" s="384"/>
      <c r="AC3691" s="385"/>
      <c r="AD3691" s="94"/>
      <c r="AE3691" s="399"/>
    </row>
    <row r="3692" spans="3:31" s="260" customFormat="1" ht="15.75" thickBot="1" x14ac:dyDescent="0.3">
      <c r="C3692" s="84"/>
      <c r="D3692" s="354"/>
      <c r="E3692" s="96"/>
      <c r="F3692" s="96"/>
      <c r="G3692" s="107">
        <f>+F3685</f>
        <v>3.26</v>
      </c>
      <c r="H3692" s="96"/>
      <c r="I3692" s="96"/>
      <c r="J3692" s="427"/>
      <c r="K3692" s="88"/>
      <c r="M3692" s="535"/>
      <c r="N3692" s="537" t="s">
        <v>121</v>
      </c>
      <c r="O3692" s="537"/>
      <c r="P3692" s="537"/>
      <c r="Q3692" s="537"/>
      <c r="R3692" s="537"/>
      <c r="S3692" s="537"/>
      <c r="T3692" s="537"/>
      <c r="U3692" s="537"/>
      <c r="V3692" s="413">
        <f>+ROUND(V3691,$AA$5)</f>
        <v>14593.9</v>
      </c>
      <c r="Y3692" s="401" t="s">
        <v>136</v>
      </c>
      <c r="Z3692" s="402">
        <f>+ROUND(Z3691,$AA$5)</f>
        <v>14593.9</v>
      </c>
      <c r="AA3692" s="86"/>
      <c r="AB3692" s="403">
        <f>+V3692*Y3658</f>
        <v>14593.9</v>
      </c>
      <c r="AC3692" s="404">
        <f>+AB3692-Z3692</f>
        <v>0</v>
      </c>
      <c r="AD3692" s="94"/>
      <c r="AE3692" s="405"/>
    </row>
    <row r="3693" spans="3:31" s="260" customFormat="1" ht="15.75" thickBot="1" x14ac:dyDescent="0.3">
      <c r="C3693" s="84"/>
      <c r="D3693" s="375" t="s">
        <v>128</v>
      </c>
      <c r="E3693" s="376" t="s">
        <v>129</v>
      </c>
      <c r="F3693" s="376" t="s">
        <v>130</v>
      </c>
      <c r="G3693" s="376" t="s">
        <v>131</v>
      </c>
      <c r="H3693" s="376" t="s">
        <v>132</v>
      </c>
      <c r="I3693" s="376" t="s">
        <v>133</v>
      </c>
      <c r="J3693" s="377" t="s">
        <v>134</v>
      </c>
      <c r="K3693" s="88"/>
      <c r="M3693" s="541"/>
      <c r="N3693" s="542"/>
      <c r="O3693" s="542"/>
      <c r="P3693" s="542"/>
      <c r="Q3693" s="542"/>
      <c r="R3693" s="542"/>
      <c r="S3693" s="542"/>
      <c r="T3693" s="542"/>
      <c r="U3693" s="542"/>
      <c r="V3693" s="543"/>
      <c r="Y3693" s="378"/>
      <c r="Z3693" s="121"/>
      <c r="AA3693" s="86"/>
      <c r="AB3693" s="409"/>
      <c r="AC3693" s="121"/>
      <c r="AD3693" s="94"/>
      <c r="AE3693" s="428"/>
    </row>
    <row r="3694" spans="3:31" s="260" customFormat="1" ht="15.75" thickBot="1" x14ac:dyDescent="0.3">
      <c r="C3694" s="84"/>
      <c r="D3694" s="355"/>
      <c r="E3694" s="367"/>
      <c r="F3694" s="367"/>
      <c r="G3694" s="367"/>
      <c r="H3694" s="412">
        <f>G3692</f>
        <v>3.26</v>
      </c>
      <c r="I3694" s="412"/>
      <c r="J3694" s="422"/>
      <c r="K3694" s="88"/>
      <c r="M3694" s="544" t="s">
        <v>122</v>
      </c>
      <c r="N3694" s="537"/>
      <c r="O3694" s="537"/>
      <c r="P3694" s="537"/>
      <c r="Q3694" s="537"/>
      <c r="R3694" s="537"/>
      <c r="S3694" s="537"/>
      <c r="T3694" s="537"/>
      <c r="U3694" s="545">
        <f>+V3692+V3685+V3677+V3668</f>
        <v>22870.82</v>
      </c>
      <c r="V3694" s="546"/>
      <c r="Y3694" s="429"/>
      <c r="Z3694" s="430">
        <f>+Z3692+Z3685+Z3677+Z3668</f>
        <v>22870.82</v>
      </c>
      <c r="AA3694" s="86"/>
      <c r="AB3694" s="431">
        <f>+AB3692+AB3685+AB3677+AB3668</f>
        <v>22870.82</v>
      </c>
      <c r="AC3694" s="404">
        <f>+AB3694-Z3694</f>
        <v>0</v>
      </c>
      <c r="AD3694" s="94"/>
      <c r="AE3694" s="432"/>
    </row>
    <row r="3695" spans="3:31" s="260" customFormat="1" ht="15.75" thickBot="1" x14ac:dyDescent="0.3"/>
    <row r="3696" spans="3:31" s="260" customFormat="1" x14ac:dyDescent="0.25">
      <c r="M3696" s="547" t="s">
        <v>348</v>
      </c>
      <c r="N3696" s="548"/>
      <c r="O3696" s="548"/>
      <c r="P3696" s="548"/>
      <c r="Q3696" s="548"/>
      <c r="R3696" s="548"/>
      <c r="S3696" s="548"/>
      <c r="T3696" s="548"/>
      <c r="U3696" s="548"/>
      <c r="V3696" s="549"/>
      <c r="Y3696" s="378"/>
      <c r="Z3696" s="121"/>
      <c r="AA3696" s="86"/>
      <c r="AB3696" s="94"/>
      <c r="AC3696" s="94"/>
      <c r="AD3696" s="94"/>
      <c r="AE3696" s="126" t="s">
        <v>133</v>
      </c>
    </row>
    <row r="3697" spans="3:31" s="260" customFormat="1" x14ac:dyDescent="0.25">
      <c r="M3697" s="515" t="s">
        <v>138</v>
      </c>
      <c r="N3697" s="516"/>
      <c r="O3697" s="516"/>
      <c r="P3697" s="516"/>
      <c r="Q3697" s="516"/>
      <c r="R3697" s="516"/>
      <c r="S3697" s="516"/>
      <c r="T3697" s="437">
        <v>0</v>
      </c>
      <c r="U3697" s="517">
        <f>+ROUND(U3694*T3697,$AA$5)</f>
        <v>0</v>
      </c>
      <c r="V3697" s="518"/>
      <c r="Y3697" s="390"/>
      <c r="Z3697" s="438">
        <f>+Z3694*T3697</f>
        <v>0</v>
      </c>
      <c r="AA3697" s="86"/>
      <c r="AB3697" s="94"/>
      <c r="AC3697" s="94"/>
      <c r="AD3697" s="94"/>
      <c r="AE3697" s="386" t="s">
        <v>133</v>
      </c>
    </row>
    <row r="3698" spans="3:31" s="260" customFormat="1" x14ac:dyDescent="0.25">
      <c r="M3698" s="515" t="s">
        <v>19</v>
      </c>
      <c r="N3698" s="516"/>
      <c r="O3698" s="516"/>
      <c r="P3698" s="516"/>
      <c r="Q3698" s="516"/>
      <c r="R3698" s="516"/>
      <c r="S3698" s="516"/>
      <c r="T3698" s="437">
        <v>0.05</v>
      </c>
      <c r="U3698" s="517">
        <f>+ROUND(U3694*T3698,$AA$5)</f>
        <v>1143.54</v>
      </c>
      <c r="V3698" s="518"/>
      <c r="Y3698" s="390"/>
      <c r="Z3698" s="438">
        <f>+Z3694*T3698</f>
        <v>1143.5409999999999</v>
      </c>
      <c r="AA3698" s="86"/>
      <c r="AB3698" s="94"/>
      <c r="AC3698" s="94"/>
      <c r="AD3698" s="94"/>
      <c r="AE3698" s="386" t="s">
        <v>133</v>
      </c>
    </row>
    <row r="3699" spans="3:31" s="260" customFormat="1" x14ac:dyDescent="0.25">
      <c r="M3699" s="515" t="s">
        <v>20</v>
      </c>
      <c r="N3699" s="516"/>
      <c r="O3699" s="516"/>
      <c r="P3699" s="516"/>
      <c r="Q3699" s="516"/>
      <c r="R3699" s="516"/>
      <c r="S3699" s="516"/>
      <c r="T3699" s="437">
        <v>0</v>
      </c>
      <c r="U3699" s="517">
        <f>+ROUND(U3694*T3699,$AA$5)</f>
        <v>0</v>
      </c>
      <c r="V3699" s="518"/>
      <c r="Y3699" s="390"/>
      <c r="Z3699" s="438">
        <f>+Z3694*T3699</f>
        <v>0</v>
      </c>
      <c r="AA3699" s="86"/>
      <c r="AB3699" s="94"/>
      <c r="AC3699" s="94"/>
      <c r="AD3699" s="94"/>
      <c r="AE3699" s="386" t="s">
        <v>133</v>
      </c>
    </row>
    <row r="3700" spans="3:31" s="260" customFormat="1" x14ac:dyDescent="0.25">
      <c r="M3700" s="515" t="s">
        <v>21</v>
      </c>
      <c r="N3700" s="516"/>
      <c r="O3700" s="516"/>
      <c r="P3700" s="516"/>
      <c r="Q3700" s="516"/>
      <c r="R3700" s="516"/>
      <c r="S3700" s="516"/>
      <c r="T3700" s="437">
        <f>$AA$9</f>
        <v>0</v>
      </c>
      <c r="U3700" s="517">
        <f>+ROUND(U3694*T3700,$AA$5)</f>
        <v>0</v>
      </c>
      <c r="V3700" s="518"/>
      <c r="Y3700" s="390"/>
      <c r="Z3700" s="438">
        <f>+Z3699*T3700</f>
        <v>0</v>
      </c>
      <c r="AA3700" s="86"/>
      <c r="AB3700" s="94"/>
      <c r="AC3700" s="94"/>
      <c r="AD3700" s="94"/>
      <c r="AE3700" s="386" t="s">
        <v>133</v>
      </c>
    </row>
    <row r="3701" spans="3:31" s="260" customFormat="1" ht="15.75" thickBot="1" x14ac:dyDescent="0.3">
      <c r="M3701" s="519" t="s">
        <v>349</v>
      </c>
      <c r="N3701" s="520"/>
      <c r="O3701" s="520"/>
      <c r="P3701" s="520"/>
      <c r="Q3701" s="520"/>
      <c r="R3701" s="520"/>
      <c r="S3701" s="520"/>
      <c r="T3701" s="520"/>
      <c r="U3701" s="521">
        <f>+SUM(U3697:V3700)</f>
        <v>1143.54</v>
      </c>
      <c r="V3701" s="522"/>
      <c r="Y3701" s="390"/>
      <c r="Z3701" s="439">
        <f>+SUM(Z3697:Z3700)</f>
        <v>1143.5409999999999</v>
      </c>
      <c r="AA3701" s="86"/>
      <c r="AB3701" s="94"/>
      <c r="AC3701" s="94"/>
      <c r="AD3701" s="94"/>
      <c r="AE3701" s="386" t="s">
        <v>133</v>
      </c>
    </row>
    <row r="3702" spans="3:31" s="260" customFormat="1" ht="15.75" thickBot="1" x14ac:dyDescent="0.3">
      <c r="D3702" s="375" t="s">
        <v>128</v>
      </c>
      <c r="E3702" s="376" t="s">
        <v>129</v>
      </c>
      <c r="F3702" s="376" t="s">
        <v>130</v>
      </c>
      <c r="G3702" s="376" t="s">
        <v>131</v>
      </c>
      <c r="H3702" s="376" t="s">
        <v>132</v>
      </c>
      <c r="I3702" s="376" t="s">
        <v>133</v>
      </c>
      <c r="J3702" s="377" t="s">
        <v>134</v>
      </c>
      <c r="M3702" s="86"/>
      <c r="N3702" s="94"/>
      <c r="O3702" s="94"/>
      <c r="P3702" s="94"/>
      <c r="Q3702" s="86"/>
      <c r="R3702" s="86"/>
      <c r="S3702" s="86"/>
      <c r="T3702" s="440"/>
      <c r="U3702" s="523"/>
      <c r="V3702" s="523"/>
      <c r="Y3702" s="390"/>
      <c r="Z3702" s="385"/>
      <c r="AA3702" s="86"/>
      <c r="AB3702" s="94"/>
      <c r="AC3702" s="94"/>
      <c r="AD3702" s="94"/>
      <c r="AE3702" s="386" t="s">
        <v>133</v>
      </c>
    </row>
    <row r="3703" spans="3:31" s="260" customFormat="1" ht="15.75" thickBot="1" x14ac:dyDescent="0.3">
      <c r="D3703" s="355"/>
      <c r="E3703" s="367"/>
      <c r="F3703" s="367"/>
      <c r="G3703" s="367"/>
      <c r="H3703" s="412"/>
      <c r="I3703" s="412">
        <f>H3694</f>
        <v>3.26</v>
      </c>
      <c r="J3703" s="422"/>
      <c r="M3703" s="524" t="s">
        <v>11</v>
      </c>
      <c r="N3703" s="525"/>
      <c r="O3703" s="525"/>
      <c r="P3703" s="525"/>
      <c r="Q3703" s="525"/>
      <c r="R3703" s="525"/>
      <c r="S3703" s="525"/>
      <c r="T3703" s="526"/>
      <c r="U3703" s="527">
        <f>+U3701+U3694</f>
        <v>24014.36</v>
      </c>
      <c r="V3703" s="528"/>
      <c r="Y3703" s="429"/>
      <c r="Z3703" s="441">
        <f>+Z3701+Z3694</f>
        <v>24014.361000000001</v>
      </c>
      <c r="AA3703" s="86"/>
      <c r="AB3703" s="94"/>
      <c r="AC3703" s="94"/>
      <c r="AD3703" s="94"/>
      <c r="AE3703" s="405" t="s">
        <v>133</v>
      </c>
    </row>
    <row r="3704" spans="3:31" s="260" customFormat="1" x14ac:dyDescent="0.25"/>
    <row r="3705" spans="3:31" s="260" customFormat="1" ht="15.75" thickBot="1" x14ac:dyDescent="0.3"/>
    <row r="3706" spans="3:31" s="260" customFormat="1" ht="15.75" thickBot="1" x14ac:dyDescent="0.3">
      <c r="M3706" s="363" t="s">
        <v>88</v>
      </c>
      <c r="N3706" s="436" t="str">
        <f>+N3657</f>
        <v>CAP.3</v>
      </c>
      <c r="O3706" s="550" t="str">
        <f>IFERROR(VLOOKUP(N3706,PPTO!C:H,2,0),"----")</f>
        <v>RED CONTRAINCENDIOS</v>
      </c>
      <c r="P3706" s="551"/>
      <c r="Q3706" s="551"/>
      <c r="R3706" s="551"/>
      <c r="S3706" s="551"/>
      <c r="T3706" s="551"/>
      <c r="U3706" s="552"/>
      <c r="V3706" s="74" t="s">
        <v>91</v>
      </c>
      <c r="Y3706" s="365" t="s">
        <v>104</v>
      </c>
      <c r="Z3706" s="94"/>
      <c r="AA3706" s="188"/>
      <c r="AB3706" s="553"/>
      <c r="AC3706" s="553"/>
      <c r="AD3706" s="553"/>
      <c r="AE3706" s="94"/>
    </row>
    <row r="3707" spans="3:31" s="260" customFormat="1" ht="15.75" thickBot="1" x14ac:dyDescent="0.3">
      <c r="C3707" s="369">
        <f>+N3707</f>
        <v>3.27</v>
      </c>
      <c r="D3707" s="86"/>
      <c r="E3707" s="86"/>
      <c r="F3707" s="86"/>
      <c r="G3707" s="86"/>
      <c r="H3707" s="86"/>
      <c r="I3707" s="86"/>
      <c r="J3707" s="86"/>
      <c r="K3707" s="370"/>
      <c r="M3707" s="75" t="s">
        <v>92</v>
      </c>
      <c r="N3707" s="371">
        <f>+ROUNDUP(N3658+0.01,2)</f>
        <v>3.27</v>
      </c>
      <c r="O3707" s="554" t="str">
        <f>IFERROR(VLOOKUP(N3707,PPTO!C:H,2,0),"----")</f>
        <v>Reduccion concéntrica ranurada Ø1 1/4" a Ø1"</v>
      </c>
      <c r="P3707" s="555"/>
      <c r="Q3707" s="555"/>
      <c r="R3707" s="555"/>
      <c r="S3707" s="555"/>
      <c r="T3707" s="555"/>
      <c r="U3707" s="556"/>
      <c r="V3707" s="76" t="str">
        <f>IFERROR(VLOOKUP(N3707,PPTO!C:H,3,0),"----")</f>
        <v>UND</v>
      </c>
      <c r="Y3707" s="373">
        <f>SUMIFS(PPTO!F:F,PPTO!C:C,APUS!N3707)</f>
        <v>1</v>
      </c>
      <c r="Z3707" s="94"/>
      <c r="AA3707" s="86"/>
      <c r="AB3707" s="94"/>
      <c r="AC3707" s="94"/>
      <c r="AD3707" s="94"/>
      <c r="AE3707" s="94"/>
    </row>
    <row r="3708" spans="3:31" s="260" customFormat="1" ht="15.75" thickBot="1" x14ac:dyDescent="0.3">
      <c r="C3708" s="84"/>
      <c r="D3708" s="86"/>
      <c r="E3708" s="86"/>
      <c r="F3708" s="86"/>
      <c r="G3708" s="86"/>
      <c r="H3708" s="86"/>
      <c r="I3708" s="86"/>
      <c r="J3708" s="86"/>
      <c r="K3708" s="88"/>
      <c r="M3708" s="557"/>
      <c r="N3708" s="557"/>
      <c r="O3708" s="557"/>
      <c r="P3708" s="557"/>
      <c r="Q3708" s="557"/>
      <c r="R3708" s="557"/>
      <c r="S3708" s="557"/>
      <c r="T3708" s="557"/>
      <c r="U3708" s="557"/>
      <c r="V3708" s="557"/>
      <c r="Y3708" s="374"/>
      <c r="Z3708" s="94"/>
      <c r="AA3708" s="86"/>
      <c r="AB3708" s="94"/>
      <c r="AC3708" s="94"/>
      <c r="AD3708" s="94"/>
      <c r="AE3708" s="94"/>
    </row>
    <row r="3709" spans="3:31" s="260" customFormat="1" ht="15.75" thickBot="1" x14ac:dyDescent="0.3">
      <c r="C3709" s="84"/>
      <c r="D3709" s="375" t="s">
        <v>128</v>
      </c>
      <c r="E3709" s="376" t="s">
        <v>129</v>
      </c>
      <c r="F3709" s="376" t="s">
        <v>130</v>
      </c>
      <c r="G3709" s="376" t="s">
        <v>131</v>
      </c>
      <c r="H3709" s="376" t="s">
        <v>132</v>
      </c>
      <c r="I3709" s="376" t="s">
        <v>133</v>
      </c>
      <c r="J3709" s="377" t="s">
        <v>134</v>
      </c>
      <c r="K3709" s="88"/>
      <c r="M3709" s="558" t="s">
        <v>93</v>
      </c>
      <c r="N3709" s="559"/>
      <c r="O3709" s="559"/>
      <c r="P3709" s="559"/>
      <c r="Q3709" s="559"/>
      <c r="R3709" s="559"/>
      <c r="S3709" s="559"/>
      <c r="T3709" s="559"/>
      <c r="U3709" s="559"/>
      <c r="V3709" s="560"/>
      <c r="Y3709" s="378"/>
      <c r="Z3709" s="121"/>
      <c r="AA3709" s="86"/>
      <c r="AB3709" s="513"/>
      <c r="AC3709" s="514"/>
      <c r="AD3709" s="94"/>
      <c r="AE3709" s="379"/>
    </row>
    <row r="3710" spans="3:31" s="260" customFormat="1" x14ac:dyDescent="0.25">
      <c r="C3710" s="84"/>
      <c r="D3710" s="380"/>
      <c r="E3710" s="381"/>
      <c r="F3710" s="381"/>
      <c r="G3710" s="381"/>
      <c r="H3710" s="381"/>
      <c r="I3710" s="381"/>
      <c r="J3710" s="382"/>
      <c r="K3710" s="88"/>
      <c r="M3710" s="99" t="s">
        <v>94</v>
      </c>
      <c r="N3710" s="561" t="s">
        <v>95</v>
      </c>
      <c r="O3710" s="561"/>
      <c r="P3710" s="561"/>
      <c r="Q3710" s="561"/>
      <c r="R3710" s="95" t="s">
        <v>96</v>
      </c>
      <c r="S3710" s="95" t="s">
        <v>97</v>
      </c>
      <c r="T3710" s="562" t="s">
        <v>8</v>
      </c>
      <c r="U3710" s="562"/>
      <c r="V3710" s="100" t="s">
        <v>98</v>
      </c>
      <c r="Y3710" s="383" t="s">
        <v>104</v>
      </c>
      <c r="Z3710" s="119" t="s">
        <v>9</v>
      </c>
      <c r="AA3710" s="86"/>
      <c r="AB3710" s="384"/>
      <c r="AC3710" s="385"/>
      <c r="AD3710" s="94"/>
      <c r="AE3710" s="386"/>
    </row>
    <row r="3711" spans="3:31" s="260" customFormat="1" x14ac:dyDescent="0.25">
      <c r="C3711" s="84"/>
      <c r="D3711" s="85"/>
      <c r="E3711" s="86"/>
      <c r="F3711" s="86"/>
      <c r="G3711" s="86"/>
      <c r="H3711" s="86"/>
      <c r="I3711" s="86"/>
      <c r="J3711" s="87"/>
      <c r="K3711" s="88"/>
      <c r="M3711" s="102"/>
      <c r="N3711" s="533" t="s">
        <v>99</v>
      </c>
      <c r="O3711" s="533"/>
      <c r="P3711" s="533"/>
      <c r="Q3711" s="533"/>
      <c r="R3711" s="78" t="s">
        <v>100</v>
      </c>
      <c r="S3711" s="387">
        <f>+$AA$10</f>
        <v>0.05</v>
      </c>
      <c r="T3711" s="563">
        <f>V3741</f>
        <v>14593.9</v>
      </c>
      <c r="U3711" s="563"/>
      <c r="V3711" s="389">
        <f>+IFERROR(T3711*S3711,0)</f>
        <v>729.69500000000005</v>
      </c>
      <c r="Y3711" s="390"/>
      <c r="Z3711" s="391">
        <f>Y3707*V3711</f>
        <v>729.69500000000005</v>
      </c>
      <c r="AA3711" s="86"/>
      <c r="AB3711" s="384"/>
      <c r="AC3711" s="385"/>
      <c r="AD3711" s="94"/>
      <c r="AE3711" s="386" t="str">
        <f>+IF(V3711=0,"CERO","NO")</f>
        <v>NO</v>
      </c>
    </row>
    <row r="3712" spans="3:31" s="260" customFormat="1" x14ac:dyDescent="0.25">
      <c r="C3712" s="84"/>
      <c r="D3712" s="85"/>
      <c r="E3712" s="86"/>
      <c r="F3712" s="86"/>
      <c r="G3712" s="86"/>
      <c r="H3712" s="86"/>
      <c r="I3712" s="86"/>
      <c r="J3712" s="87"/>
      <c r="K3712" s="88"/>
      <c r="M3712" s="106"/>
      <c r="N3712" s="533" t="str">
        <f>IFERROR(VLOOKUP(M3712,INSUMOS!$C$8:$K$928,2,0),"-----")</f>
        <v>-----</v>
      </c>
      <c r="O3712" s="533"/>
      <c r="P3712" s="533"/>
      <c r="Q3712" s="533"/>
      <c r="R3712" s="78" t="str">
        <f>IFERROR(VLOOKUP(M3712,INSUMOS!$C$8:$K$928,6,0),"-----")</f>
        <v>-----</v>
      </c>
      <c r="S3712" s="392"/>
      <c r="T3712" s="529" t="str">
        <f>IFERROR(VLOOKUP(M3712,INSUMOS!$C$8:$K$928,7,0),"0")</f>
        <v>0</v>
      </c>
      <c r="U3712" s="529"/>
      <c r="V3712" s="389">
        <f>+IFERROR(T3712*S3712,0)</f>
        <v>0</v>
      </c>
      <c r="Y3712" s="393">
        <f>+IFERROR(Y3707*S3712,0)</f>
        <v>0</v>
      </c>
      <c r="Z3712" s="391">
        <f>Y3707*V3712</f>
        <v>0</v>
      </c>
      <c r="AA3712" s="394"/>
      <c r="AB3712" s="395">
        <f>+Y3712*T3712</f>
        <v>0</v>
      </c>
      <c r="AC3712" s="93">
        <f>+AB3712-Z3712</f>
        <v>0</v>
      </c>
      <c r="AD3712" s="94"/>
      <c r="AE3712" s="386" t="str">
        <f>+IF(V3712=0,"CERO","NO")</f>
        <v>CERO</v>
      </c>
    </row>
    <row r="3713" spans="3:31" s="260" customFormat="1" x14ac:dyDescent="0.25">
      <c r="C3713" s="84"/>
      <c r="D3713" s="85"/>
      <c r="E3713" s="86"/>
      <c r="F3713" s="86"/>
      <c r="G3713" s="86"/>
      <c r="H3713" s="86"/>
      <c r="I3713" s="86"/>
      <c r="J3713" s="87"/>
      <c r="K3713" s="88"/>
      <c r="M3713" s="102">
        <v>0</v>
      </c>
      <c r="N3713" s="533"/>
      <c r="O3713" s="533"/>
      <c r="P3713" s="533"/>
      <c r="Q3713" s="533"/>
      <c r="R3713" s="78"/>
      <c r="S3713" s="396"/>
      <c r="T3713" s="529"/>
      <c r="U3713" s="529"/>
      <c r="V3713" s="397"/>
      <c r="Y3713" s="393">
        <f>+IFERROR(Y3707*S3713,0)</f>
        <v>0</v>
      </c>
      <c r="Z3713" s="391">
        <f>Y3707*V3713</f>
        <v>0</v>
      </c>
      <c r="AA3713" s="394"/>
      <c r="AB3713" s="395">
        <f>+Y3713*T3713</f>
        <v>0</v>
      </c>
      <c r="AC3713" s="93">
        <f>+AB3713-Z3713</f>
        <v>0</v>
      </c>
      <c r="AD3713" s="94"/>
      <c r="AE3713" s="386" t="str">
        <f>+IF(V3713=0,"CERO","NO")</f>
        <v>CERO</v>
      </c>
    </row>
    <row r="3714" spans="3:31" s="260" customFormat="1" x14ac:dyDescent="0.25">
      <c r="C3714" s="84"/>
      <c r="D3714" s="85"/>
      <c r="E3714" s="86"/>
      <c r="F3714" s="86"/>
      <c r="G3714" s="86"/>
      <c r="H3714" s="86"/>
      <c r="I3714" s="86"/>
      <c r="J3714" s="87"/>
      <c r="K3714" s="88"/>
      <c r="M3714" s="102">
        <v>0</v>
      </c>
      <c r="N3714" s="533"/>
      <c r="O3714" s="533"/>
      <c r="P3714" s="533"/>
      <c r="Q3714" s="533"/>
      <c r="R3714" s="78"/>
      <c r="S3714" s="396"/>
      <c r="T3714" s="529"/>
      <c r="U3714" s="529"/>
      <c r="V3714" s="397"/>
      <c r="Y3714" s="393">
        <f>+IFERROR(Y3707*S3714,0)</f>
        <v>0</v>
      </c>
      <c r="Z3714" s="391">
        <f>Y3707*V3714</f>
        <v>0</v>
      </c>
      <c r="AA3714" s="394"/>
      <c r="AB3714" s="395">
        <f>+Y3714*T3714</f>
        <v>0</v>
      </c>
      <c r="AC3714" s="93">
        <f>+AB3714-Z3714</f>
        <v>0</v>
      </c>
      <c r="AD3714" s="94"/>
      <c r="AE3714" s="386" t="str">
        <f>+IF(V3714=0,"CERO","NO")</f>
        <v>CERO</v>
      </c>
    </row>
    <row r="3715" spans="3:31" s="260" customFormat="1" ht="15.75" thickBot="1" x14ac:dyDescent="0.3">
      <c r="C3715" s="84"/>
      <c r="D3715" s="85"/>
      <c r="E3715" s="86"/>
      <c r="F3715" s="86"/>
      <c r="G3715" s="86"/>
      <c r="H3715" s="86"/>
      <c r="I3715" s="86"/>
      <c r="J3715" s="87"/>
      <c r="K3715" s="88"/>
      <c r="M3715" s="102">
        <v>0</v>
      </c>
      <c r="N3715" s="564"/>
      <c r="O3715" s="564"/>
      <c r="P3715" s="564"/>
      <c r="Q3715" s="564"/>
      <c r="R3715" s="96"/>
      <c r="S3715" s="96"/>
      <c r="T3715" s="565"/>
      <c r="U3715" s="565"/>
      <c r="V3715" s="101"/>
      <c r="Y3715" s="393">
        <f>+IFERROR(Y3707*S3715,0)</f>
        <v>0</v>
      </c>
      <c r="Z3715" s="391">
        <f>Y3707*V3715</f>
        <v>0</v>
      </c>
      <c r="AA3715" s="394"/>
      <c r="AB3715" s="395">
        <f>+Y3715*T3715</f>
        <v>0</v>
      </c>
      <c r="AC3715" s="93">
        <f>+AB3715-Z3715</f>
        <v>0</v>
      </c>
      <c r="AD3715" s="94"/>
      <c r="AE3715" s="386" t="str">
        <f>+IF(V3715=0,"CERO","NO")</f>
        <v>CERO</v>
      </c>
    </row>
    <row r="3716" spans="3:31" s="260" customFormat="1" ht="15.75" thickBot="1" x14ac:dyDescent="0.3">
      <c r="C3716" s="84"/>
      <c r="D3716" s="375" t="s">
        <v>128</v>
      </c>
      <c r="E3716" s="376" t="s">
        <v>129</v>
      </c>
      <c r="F3716" s="376" t="s">
        <v>130</v>
      </c>
      <c r="G3716" s="376" t="s">
        <v>131</v>
      </c>
      <c r="H3716" s="376" t="s">
        <v>132</v>
      </c>
      <c r="I3716" s="376" t="s">
        <v>133</v>
      </c>
      <c r="J3716" s="377" t="s">
        <v>134</v>
      </c>
      <c r="K3716" s="88"/>
      <c r="M3716" s="534"/>
      <c r="N3716" s="536" t="s">
        <v>101</v>
      </c>
      <c r="O3716" s="536"/>
      <c r="P3716" s="536"/>
      <c r="Q3716" s="536"/>
      <c r="R3716" s="536"/>
      <c r="S3716" s="536"/>
      <c r="T3716" s="536"/>
      <c r="U3716" s="536"/>
      <c r="V3716" s="389">
        <f>+SUM(V3711:V3715)</f>
        <v>729.69500000000005</v>
      </c>
      <c r="Y3716" s="398" t="s">
        <v>135</v>
      </c>
      <c r="Z3716" s="397">
        <f>+SUM(Z3711:Z3715)</f>
        <v>729.69500000000005</v>
      </c>
      <c r="AA3716" s="86"/>
      <c r="AB3716" s="384"/>
      <c r="AC3716" s="385"/>
      <c r="AD3716" s="94"/>
      <c r="AE3716" s="399"/>
    </row>
    <row r="3717" spans="3:31" s="260" customFormat="1" ht="15.75" thickBot="1" x14ac:dyDescent="0.3">
      <c r="C3717" s="84"/>
      <c r="D3717" s="375">
        <f>C3707</f>
        <v>3.27</v>
      </c>
      <c r="E3717" s="376"/>
      <c r="F3717" s="376"/>
      <c r="G3717" s="376"/>
      <c r="H3717" s="376"/>
      <c r="I3717" s="376"/>
      <c r="J3717" s="377"/>
      <c r="K3717" s="88"/>
      <c r="M3717" s="566"/>
      <c r="N3717" s="567" t="s">
        <v>102</v>
      </c>
      <c r="O3717" s="567"/>
      <c r="P3717" s="567"/>
      <c r="Q3717" s="567"/>
      <c r="R3717" s="567"/>
      <c r="S3717" s="567"/>
      <c r="T3717" s="567"/>
      <c r="U3717" s="567"/>
      <c r="V3717" s="400">
        <f>+ROUND(V3716,$AA$5)</f>
        <v>729.7</v>
      </c>
      <c r="Y3717" s="401" t="s">
        <v>136</v>
      </c>
      <c r="Z3717" s="402">
        <f>+ROUND(Z3716,$AA$5)</f>
        <v>729.7</v>
      </c>
      <c r="AA3717" s="86"/>
      <c r="AB3717" s="403">
        <f>+V3717*Y3707</f>
        <v>729.7</v>
      </c>
      <c r="AC3717" s="404">
        <f>+AB3717-Z3717</f>
        <v>0</v>
      </c>
      <c r="AD3717" s="94"/>
      <c r="AE3717" s="405"/>
    </row>
    <row r="3718" spans="3:31" s="260" customFormat="1" x14ac:dyDescent="0.25">
      <c r="C3718" s="84"/>
      <c r="D3718" s="380"/>
      <c r="E3718" s="381"/>
      <c r="F3718" s="381"/>
      <c r="G3718" s="381"/>
      <c r="H3718" s="381"/>
      <c r="I3718" s="381"/>
      <c r="J3718" s="382"/>
      <c r="K3718" s="88"/>
      <c r="M3718" s="510" t="s">
        <v>103</v>
      </c>
      <c r="N3718" s="511"/>
      <c r="O3718" s="511"/>
      <c r="P3718" s="511"/>
      <c r="Q3718" s="511"/>
      <c r="R3718" s="511"/>
      <c r="S3718" s="511"/>
      <c r="T3718" s="511"/>
      <c r="U3718" s="511"/>
      <c r="V3718" s="512"/>
      <c r="Y3718" s="378"/>
      <c r="Z3718" s="121"/>
      <c r="AA3718" s="86"/>
      <c r="AB3718" s="513"/>
      <c r="AC3718" s="514"/>
      <c r="AD3718" s="94"/>
      <c r="AE3718" s="126"/>
    </row>
    <row r="3719" spans="3:31" s="260" customFormat="1" x14ac:dyDescent="0.25">
      <c r="C3719" s="84"/>
      <c r="D3719" s="85"/>
      <c r="E3719" s="86"/>
      <c r="F3719" s="86"/>
      <c r="G3719" s="86"/>
      <c r="H3719" s="86"/>
      <c r="I3719" s="86"/>
      <c r="J3719" s="87"/>
      <c r="K3719" s="88"/>
      <c r="M3719" s="99" t="s">
        <v>94</v>
      </c>
      <c r="N3719" s="561" t="s">
        <v>95</v>
      </c>
      <c r="O3719" s="561"/>
      <c r="P3719" s="561"/>
      <c r="Q3719" s="561"/>
      <c r="R3719" s="95" t="s">
        <v>96</v>
      </c>
      <c r="S3719" s="95" t="s">
        <v>104</v>
      </c>
      <c r="T3719" s="356" t="s">
        <v>105</v>
      </c>
      <c r="U3719" s="356" t="s">
        <v>8</v>
      </c>
      <c r="V3719" s="100" t="s">
        <v>98</v>
      </c>
      <c r="Y3719" s="383" t="s">
        <v>104</v>
      </c>
      <c r="Z3719" s="119" t="s">
        <v>9</v>
      </c>
      <c r="AA3719" s="86"/>
      <c r="AB3719" s="384"/>
      <c r="AC3719" s="385"/>
      <c r="AD3719" s="94"/>
      <c r="AE3719" s="406"/>
    </row>
    <row r="3720" spans="3:31" s="260" customFormat="1" x14ac:dyDescent="0.25">
      <c r="C3720" s="84"/>
      <c r="D3720" s="85"/>
      <c r="E3720" s="86"/>
      <c r="F3720" s="86"/>
      <c r="G3720" s="86"/>
      <c r="H3720" s="86"/>
      <c r="I3720" s="86"/>
      <c r="J3720" s="87"/>
      <c r="K3720" s="88"/>
      <c r="M3720" s="102">
        <v>948</v>
      </c>
      <c r="N3720" s="533" t="str">
        <f>IFERROR(VLOOKUP(M3720,INSUMOS!$C$8:$K$928,2,0),"-----")</f>
        <v>REDUCCION RANURADA Ø1 1/4" A Ø1"</v>
      </c>
      <c r="O3720" s="533"/>
      <c r="P3720" s="533"/>
      <c r="Q3720" s="533"/>
      <c r="R3720" s="78" t="str">
        <f>IFERROR(VLOOKUP(M3720,INSUMOS!$C$8:$K$928,6,0),"-----")</f>
        <v>und</v>
      </c>
      <c r="S3720" s="396">
        <v>1</v>
      </c>
      <c r="T3720" s="387">
        <v>0</v>
      </c>
      <c r="U3720" s="388">
        <f>IFERROR(VLOOKUP(M3720,INSUMOS!$C$8:$K$928,7,0),"0")</f>
        <v>9350</v>
      </c>
      <c r="V3720" s="389">
        <f>+IFERROR(U3720*(S3720*(1+T3720)),0)</f>
        <v>9350</v>
      </c>
      <c r="Y3720" s="393">
        <f>+IFERROR(Y3707*(S3720*(1+T3720)),0)</f>
        <v>1</v>
      </c>
      <c r="Z3720" s="391">
        <f>Y3707*V3720</f>
        <v>9350</v>
      </c>
      <c r="AA3720" s="394"/>
      <c r="AB3720" s="395">
        <f>+Y3720*U3720</f>
        <v>9350</v>
      </c>
      <c r="AC3720" s="93">
        <f>+AB3720-Z3720</f>
        <v>0</v>
      </c>
      <c r="AD3720" s="94"/>
      <c r="AE3720" s="406" t="str">
        <f>+IF(V3720=0,"CERO","NO")</f>
        <v>NO</v>
      </c>
    </row>
    <row r="3721" spans="3:31" s="260" customFormat="1" x14ac:dyDescent="0.25">
      <c r="C3721" s="84"/>
      <c r="D3721" s="85"/>
      <c r="E3721" s="86"/>
      <c r="F3721" s="86"/>
      <c r="G3721" s="86"/>
      <c r="H3721" s="86"/>
      <c r="I3721" s="86"/>
      <c r="J3721" s="87"/>
      <c r="K3721" s="88"/>
      <c r="M3721" s="102"/>
      <c r="N3721" s="533" t="str">
        <f>IFERROR(VLOOKUP(M3721,INSUMOS!$C$8:$K$928,2,0),"-----")</f>
        <v>-----</v>
      </c>
      <c r="O3721" s="533"/>
      <c r="P3721" s="533"/>
      <c r="Q3721" s="533"/>
      <c r="R3721" s="78" t="str">
        <f>IFERROR(VLOOKUP(M3721,INSUMOS!$C$8:$K$928,6,0),"-----")</f>
        <v>-----</v>
      </c>
      <c r="S3721" s="392"/>
      <c r="T3721" s="387">
        <v>0</v>
      </c>
      <c r="U3721" s="388" t="str">
        <f>IFERROR(VLOOKUP(M3721,INSUMOS!$C$8:$K$928,7,0),"0")</f>
        <v>0</v>
      </c>
      <c r="V3721" s="389">
        <f>+IFERROR(U3721*(S3721*(1+T3721)),0)</f>
        <v>0</v>
      </c>
      <c r="Y3721" s="393">
        <f>+IFERROR(Y3707*(S3721*(1+T3721)),0)</f>
        <v>0</v>
      </c>
      <c r="Z3721" s="391">
        <f>Y3707*V3721</f>
        <v>0</v>
      </c>
      <c r="AA3721" s="394"/>
      <c r="AB3721" s="395">
        <f>+Y3721*U3721</f>
        <v>0</v>
      </c>
      <c r="AC3721" s="93">
        <f>+AB3721-Z3721</f>
        <v>0</v>
      </c>
      <c r="AD3721" s="94"/>
      <c r="AE3721" s="406" t="str">
        <f>+IF(V3721=0,"CERO","NO")</f>
        <v>CERO</v>
      </c>
    </row>
    <row r="3722" spans="3:31" s="260" customFormat="1" x14ac:dyDescent="0.25">
      <c r="C3722" s="84"/>
      <c r="D3722" s="85"/>
      <c r="E3722" s="86"/>
      <c r="F3722" s="86"/>
      <c r="G3722" s="86"/>
      <c r="H3722" s="86"/>
      <c r="I3722" s="86"/>
      <c r="J3722" s="87"/>
      <c r="K3722" s="88"/>
      <c r="M3722" s="102"/>
      <c r="N3722" s="533" t="str">
        <f>IFERROR(VLOOKUP(M3722,INSUMOS!$C$8:$K$928,2,0),"-----")</f>
        <v>-----</v>
      </c>
      <c r="O3722" s="533"/>
      <c r="P3722" s="533"/>
      <c r="Q3722" s="533"/>
      <c r="R3722" s="78" t="str">
        <f>IFERROR(VLOOKUP(M3722,INSUMOS!$C$8:$K$928,6,0),"-----")</f>
        <v>-----</v>
      </c>
      <c r="S3722" s="396"/>
      <c r="T3722" s="387">
        <v>0</v>
      </c>
      <c r="U3722" s="388" t="str">
        <f>IFERROR(VLOOKUP(M3722,INSUMOS!$C$8:$K$928,7,0),"0")</f>
        <v>0</v>
      </c>
      <c r="V3722" s="389">
        <f>+IFERROR(U3722*(S3722*(1+T3722)),0)</f>
        <v>0</v>
      </c>
      <c r="Y3722" s="393">
        <f>+IFERROR(Y3707*(S3722*(1+T3722)),0)</f>
        <v>0</v>
      </c>
      <c r="Z3722" s="391">
        <f>Y3707*V3722</f>
        <v>0</v>
      </c>
      <c r="AA3722" s="394"/>
      <c r="AB3722" s="395">
        <f>+Y3722*U3722</f>
        <v>0</v>
      </c>
      <c r="AC3722" s="93">
        <f>+AB3722-Z3722</f>
        <v>0</v>
      </c>
      <c r="AD3722" s="94"/>
      <c r="AE3722" s="406" t="str">
        <f>+IF(V3722=0,"CERO","NO")</f>
        <v>CERO</v>
      </c>
    </row>
    <row r="3723" spans="3:31" s="260" customFormat="1" x14ac:dyDescent="0.25">
      <c r="C3723" s="84"/>
      <c r="D3723" s="85"/>
      <c r="E3723" s="86"/>
      <c r="F3723" s="86"/>
      <c r="G3723" s="86"/>
      <c r="H3723" s="86"/>
      <c r="I3723" s="86"/>
      <c r="J3723" s="87"/>
      <c r="K3723" s="88"/>
      <c r="M3723" s="102">
        <v>0</v>
      </c>
      <c r="N3723" s="533" t="str">
        <f>IFERROR(VLOOKUP(M3723,INSUMOS!$C$8:$K$928,2,0),"-----")</f>
        <v>-----</v>
      </c>
      <c r="O3723" s="533"/>
      <c r="P3723" s="533"/>
      <c r="Q3723" s="533"/>
      <c r="R3723" s="78" t="str">
        <f>IFERROR(VLOOKUP(M3723,INSUMOS!$C$8:$K$928,6,0),"-----")</f>
        <v>-----</v>
      </c>
      <c r="S3723" s="396"/>
      <c r="T3723" s="387"/>
      <c r="U3723" s="388" t="str">
        <f>IFERROR(VLOOKUP(M3723,INSUMOS!$C$8:$K$928,7,0),"0")</f>
        <v>0</v>
      </c>
      <c r="V3723" s="389">
        <f>+IFERROR(U3723*(S3723*(1+T3723)),0)</f>
        <v>0</v>
      </c>
      <c r="Y3723" s="393">
        <f>+IFERROR(Y3707*(S3723*(1+T3723)),0)</f>
        <v>0</v>
      </c>
      <c r="Z3723" s="391">
        <f>Y3707*V3723</f>
        <v>0</v>
      </c>
      <c r="AA3723" s="394"/>
      <c r="AB3723" s="395">
        <f>+Y3723*U3723</f>
        <v>0</v>
      </c>
      <c r="AC3723" s="93">
        <f>+AB3723-Z3723</f>
        <v>0</v>
      </c>
      <c r="AD3723" s="94"/>
      <c r="AE3723" s="406" t="str">
        <f>+IF(V3723=0,"CERO","NO")</f>
        <v>CERO</v>
      </c>
    </row>
    <row r="3724" spans="3:31" s="260" customFormat="1" ht="15.75" thickBot="1" x14ac:dyDescent="0.3">
      <c r="C3724" s="84"/>
      <c r="D3724" s="85"/>
      <c r="E3724" s="86"/>
      <c r="F3724" s="86"/>
      <c r="G3724" s="86"/>
      <c r="H3724" s="86"/>
      <c r="I3724" s="86"/>
      <c r="J3724" s="87"/>
      <c r="K3724" s="88"/>
      <c r="M3724" s="102">
        <v>0</v>
      </c>
      <c r="N3724" s="564"/>
      <c r="O3724" s="564"/>
      <c r="P3724" s="564"/>
      <c r="Q3724" s="564"/>
      <c r="R3724" s="96"/>
      <c r="S3724" s="79"/>
      <c r="T3724" s="97"/>
      <c r="U3724" s="358"/>
      <c r="V3724" s="397"/>
      <c r="Y3724" s="393">
        <f>+IFERROR(Y3707*(S3724*(1+T3724)),0)</f>
        <v>0</v>
      </c>
      <c r="Z3724" s="391">
        <f>Y3707*V3724</f>
        <v>0</v>
      </c>
      <c r="AA3724" s="394"/>
      <c r="AB3724" s="395">
        <f>+Y3724*U3724</f>
        <v>0</v>
      </c>
      <c r="AC3724" s="93">
        <f>+AB3724-Z3724</f>
        <v>0</v>
      </c>
      <c r="AD3724" s="94"/>
      <c r="AE3724" s="406" t="str">
        <f>+IF(V3724=0,"CERO","NO")</f>
        <v>CERO</v>
      </c>
    </row>
    <row r="3725" spans="3:31" s="260" customFormat="1" ht="15.75" thickBot="1" x14ac:dyDescent="0.3">
      <c r="C3725" s="84"/>
      <c r="D3725" s="375" t="s">
        <v>128</v>
      </c>
      <c r="E3725" s="376" t="s">
        <v>129</v>
      </c>
      <c r="F3725" s="376" t="s">
        <v>130</v>
      </c>
      <c r="G3725" s="376" t="s">
        <v>131</v>
      </c>
      <c r="H3725" s="376" t="s">
        <v>132</v>
      </c>
      <c r="I3725" s="376" t="s">
        <v>133</v>
      </c>
      <c r="J3725" s="377" t="s">
        <v>134</v>
      </c>
      <c r="K3725" s="88"/>
      <c r="M3725" s="534"/>
      <c r="N3725" s="536" t="s">
        <v>106</v>
      </c>
      <c r="O3725" s="536"/>
      <c r="P3725" s="536"/>
      <c r="Q3725" s="536"/>
      <c r="R3725" s="536"/>
      <c r="S3725" s="536"/>
      <c r="T3725" s="536"/>
      <c r="U3725" s="536"/>
      <c r="V3725" s="389">
        <f>+SUM(V3720:V3724)</f>
        <v>9350</v>
      </c>
      <c r="Y3725" s="398" t="s">
        <v>135</v>
      </c>
      <c r="Z3725" s="397">
        <f>+SUM(Z3720:Z3724)</f>
        <v>9350</v>
      </c>
      <c r="AA3725" s="86"/>
      <c r="AB3725" s="384"/>
      <c r="AC3725" s="385"/>
      <c r="AD3725" s="94"/>
      <c r="AE3725" s="399"/>
    </row>
    <row r="3726" spans="3:31" s="260" customFormat="1" ht="15.75" thickBot="1" x14ac:dyDescent="0.3">
      <c r="C3726" s="84"/>
      <c r="D3726" s="375"/>
      <c r="E3726" s="407">
        <f>+D3717</f>
        <v>3.27</v>
      </c>
      <c r="F3726" s="376"/>
      <c r="G3726" s="376"/>
      <c r="H3726" s="376"/>
      <c r="I3726" s="376"/>
      <c r="J3726" s="377"/>
      <c r="K3726" s="88"/>
      <c r="M3726" s="535"/>
      <c r="N3726" s="537" t="s">
        <v>107</v>
      </c>
      <c r="O3726" s="537"/>
      <c r="P3726" s="537"/>
      <c r="Q3726" s="537"/>
      <c r="R3726" s="537"/>
      <c r="S3726" s="537"/>
      <c r="T3726" s="537"/>
      <c r="U3726" s="537"/>
      <c r="V3726" s="408">
        <f>+ROUND(V3725,$AA$5)</f>
        <v>9350</v>
      </c>
      <c r="Y3726" s="401" t="s">
        <v>136</v>
      </c>
      <c r="Z3726" s="402">
        <f>+ROUND(Z3725,$AA$5)</f>
        <v>9350</v>
      </c>
      <c r="AA3726" s="86"/>
      <c r="AB3726" s="403">
        <f>+V3726*Y3707</f>
        <v>9350</v>
      </c>
      <c r="AC3726" s="404">
        <f>+AB3726-Z3726</f>
        <v>0</v>
      </c>
      <c r="AD3726" s="94"/>
      <c r="AE3726" s="405"/>
    </row>
    <row r="3727" spans="3:31" s="260" customFormat="1" x14ac:dyDescent="0.25">
      <c r="C3727" s="84"/>
      <c r="D3727" s="380"/>
      <c r="E3727" s="381"/>
      <c r="F3727" s="381"/>
      <c r="G3727" s="381"/>
      <c r="H3727" s="381"/>
      <c r="I3727" s="381"/>
      <c r="J3727" s="382"/>
      <c r="K3727" s="88"/>
      <c r="M3727" s="568" t="s">
        <v>108</v>
      </c>
      <c r="N3727" s="569"/>
      <c r="O3727" s="569"/>
      <c r="P3727" s="569"/>
      <c r="Q3727" s="569"/>
      <c r="R3727" s="569"/>
      <c r="S3727" s="569"/>
      <c r="T3727" s="569"/>
      <c r="U3727" s="569"/>
      <c r="V3727" s="570"/>
      <c r="Y3727" s="378"/>
      <c r="Z3727" s="121"/>
      <c r="AA3727" s="86"/>
      <c r="AB3727" s="409"/>
      <c r="AC3727" s="121"/>
      <c r="AD3727" s="94"/>
      <c r="AE3727" s="126"/>
    </row>
    <row r="3728" spans="3:31" s="260" customFormat="1" ht="25.5" x14ac:dyDescent="0.25">
      <c r="C3728" s="84"/>
      <c r="D3728" s="85"/>
      <c r="E3728" s="86"/>
      <c r="F3728" s="86"/>
      <c r="G3728" s="86"/>
      <c r="H3728" s="86"/>
      <c r="I3728" s="86"/>
      <c r="J3728" s="87"/>
      <c r="K3728" s="88"/>
      <c r="M3728" s="99" t="s">
        <v>94</v>
      </c>
      <c r="N3728" s="561" t="s">
        <v>95</v>
      </c>
      <c r="O3728" s="561"/>
      <c r="P3728" s="561"/>
      <c r="Q3728" s="95" t="s">
        <v>109</v>
      </c>
      <c r="R3728" s="95" t="s">
        <v>110</v>
      </c>
      <c r="S3728" s="95" t="s">
        <v>111</v>
      </c>
      <c r="T3728" s="562" t="s">
        <v>112</v>
      </c>
      <c r="U3728" s="562"/>
      <c r="V3728" s="100" t="s">
        <v>98</v>
      </c>
      <c r="Y3728" s="383" t="s">
        <v>104</v>
      </c>
      <c r="Z3728" s="119" t="s">
        <v>9</v>
      </c>
      <c r="AA3728" s="86"/>
      <c r="AB3728" s="384"/>
      <c r="AC3728" s="385"/>
      <c r="AD3728" s="94"/>
      <c r="AE3728" s="410"/>
    </row>
    <row r="3729" spans="3:31" s="260" customFormat="1" x14ac:dyDescent="0.25">
      <c r="C3729" s="84"/>
      <c r="D3729" s="85"/>
      <c r="E3729" s="86"/>
      <c r="F3729" s="86"/>
      <c r="G3729" s="86"/>
      <c r="H3729" s="86"/>
      <c r="I3729" s="86"/>
      <c r="J3729" s="87"/>
      <c r="K3729" s="88"/>
      <c r="M3729" s="102"/>
      <c r="N3729" s="530" t="str">
        <f>IFERROR(VLOOKUP(M3729,INSUMOS!$C$8:$K$928,2,0),"-----")</f>
        <v>-----</v>
      </c>
      <c r="O3729" s="531"/>
      <c r="P3729" s="532"/>
      <c r="Q3729" s="78" t="str">
        <f>IFERROR(VLOOKUP(M3729,INSUMOS!$C$8:$K$928,5,0),"-----")</f>
        <v>-----</v>
      </c>
      <c r="R3729" s="80">
        <v>1</v>
      </c>
      <c r="S3729" s="80" t="str">
        <f>IFERROR(VLOOKUP(M3729,INSUMOS!$C$8:$K$928,6,0),"0")</f>
        <v>0</v>
      </c>
      <c r="T3729" s="529" t="str">
        <f>IFERROR(VLOOKUP(M3729,INSUMOS!$C$8:$K$928,7,0),"0")</f>
        <v>0</v>
      </c>
      <c r="U3729" s="529"/>
      <c r="V3729" s="82">
        <f>+T3729*S3729*R3729</f>
        <v>0</v>
      </c>
      <c r="Y3729" s="393">
        <f>+IFERROR((R3729*S3729)*Y3707,0)</f>
        <v>0</v>
      </c>
      <c r="Z3729" s="391">
        <f>Y3707*V3729</f>
        <v>0</v>
      </c>
      <c r="AA3729" s="86"/>
      <c r="AB3729" s="92">
        <f>+Y3729*T3729</f>
        <v>0</v>
      </c>
      <c r="AC3729" s="93">
        <f>+AB3729-Z3729</f>
        <v>0</v>
      </c>
      <c r="AD3729" s="94"/>
      <c r="AE3729" s="406" t="str">
        <f>+IF(V3729=0,"CERO","NO")</f>
        <v>CERO</v>
      </c>
    </row>
    <row r="3730" spans="3:31" s="260" customFormat="1" x14ac:dyDescent="0.25">
      <c r="C3730" s="84"/>
      <c r="D3730" s="85"/>
      <c r="E3730" s="86"/>
      <c r="F3730" s="86"/>
      <c r="G3730" s="86"/>
      <c r="H3730" s="86"/>
      <c r="I3730" s="86"/>
      <c r="J3730" s="87"/>
      <c r="K3730" s="88"/>
      <c r="M3730" s="102">
        <v>0</v>
      </c>
      <c r="N3730" s="530" t="str">
        <f>IFERROR(VLOOKUP(M3730,INSUMOS!$C$8:$K$928,2,0),"-----")</f>
        <v>-----</v>
      </c>
      <c r="O3730" s="531"/>
      <c r="P3730" s="532"/>
      <c r="Q3730" s="78" t="str">
        <f>IFERROR(VLOOKUP(M3730,INSUMOS!$C$8:$K$928,5,0),"-----")</f>
        <v>-----</v>
      </c>
      <c r="R3730" s="80"/>
      <c r="S3730" s="80" t="str">
        <f>IFERROR(VLOOKUP(M3730,INSUMOS!$C$8:$K$928,6,0),"0")</f>
        <v>0</v>
      </c>
      <c r="T3730" s="529" t="str">
        <f>IFERROR(VLOOKUP(M3730,INSUMOS!$C$8:$K$928,7,0),"0")</f>
        <v>0</v>
      </c>
      <c r="U3730" s="529"/>
      <c r="V3730" s="82">
        <f>+T3730*S3730*R3730</f>
        <v>0</v>
      </c>
      <c r="Y3730" s="393">
        <f>+IFERROR((R3730*S3730)*Y3707,0)</f>
        <v>0</v>
      </c>
      <c r="Z3730" s="391">
        <f>Y3707*V3730</f>
        <v>0</v>
      </c>
      <c r="AA3730" s="86"/>
      <c r="AB3730" s="92">
        <f>+Y3730*T3730</f>
        <v>0</v>
      </c>
      <c r="AC3730" s="93">
        <f>+AB3730-Z3730</f>
        <v>0</v>
      </c>
      <c r="AD3730" s="94"/>
      <c r="AE3730" s="406" t="str">
        <f>+IF(V3730=0,"CERO","NO")</f>
        <v>CERO</v>
      </c>
    </row>
    <row r="3731" spans="3:31" s="260" customFormat="1" x14ac:dyDescent="0.25">
      <c r="C3731" s="84"/>
      <c r="D3731" s="85"/>
      <c r="E3731" s="86"/>
      <c r="F3731" s="86"/>
      <c r="G3731" s="86"/>
      <c r="H3731" s="86"/>
      <c r="I3731" s="86"/>
      <c r="J3731" s="87"/>
      <c r="K3731" s="88"/>
      <c r="M3731" s="102">
        <v>0</v>
      </c>
      <c r="N3731" s="530" t="str">
        <f>IFERROR(VLOOKUP(M3731,INSUMOS!$C$8:$K$928,2,0),"-----")</f>
        <v>-----</v>
      </c>
      <c r="O3731" s="531"/>
      <c r="P3731" s="532"/>
      <c r="Q3731" s="78" t="str">
        <f>IFERROR(VLOOKUP(M3731,INSUMOS!$C$8:$K$928,5,0),"-----")</f>
        <v>-----</v>
      </c>
      <c r="R3731" s="80"/>
      <c r="S3731" s="80" t="str">
        <f>IFERROR(VLOOKUP(M3731,INSUMOS!$C$8:$K$928,6,0),"0")</f>
        <v>0</v>
      </c>
      <c r="T3731" s="529" t="str">
        <f>IFERROR(VLOOKUP(M3731,INSUMOS!$C$8:$K$928,7,0),"0")</f>
        <v>0</v>
      </c>
      <c r="U3731" s="529"/>
      <c r="V3731" s="82">
        <f>+T3731*S3731*R3731</f>
        <v>0</v>
      </c>
      <c r="Y3731" s="393">
        <f>+IFERROR((R3731*S3731)*Y3707,0)</f>
        <v>0</v>
      </c>
      <c r="Z3731" s="391">
        <f>Y3707*V3731</f>
        <v>0</v>
      </c>
      <c r="AA3731" s="86"/>
      <c r="AB3731" s="92">
        <f>+Y3731*T3731</f>
        <v>0</v>
      </c>
      <c r="AC3731" s="93">
        <f>+AB3731-Z3731</f>
        <v>0</v>
      </c>
      <c r="AD3731" s="94"/>
      <c r="AE3731" s="406" t="str">
        <f>+IF(V3731=0,"CERO","NO")</f>
        <v>CERO</v>
      </c>
    </row>
    <row r="3732" spans="3:31" s="260" customFormat="1" ht="15.75" thickBot="1" x14ac:dyDescent="0.3">
      <c r="C3732" s="84"/>
      <c r="D3732" s="89"/>
      <c r="E3732" s="90"/>
      <c r="F3732" s="90"/>
      <c r="G3732" s="90"/>
      <c r="H3732" s="90"/>
      <c r="I3732" s="90"/>
      <c r="J3732" s="91"/>
      <c r="K3732" s="88"/>
      <c r="M3732" s="102">
        <v>0</v>
      </c>
      <c r="N3732" s="533"/>
      <c r="O3732" s="533"/>
      <c r="P3732" s="533"/>
      <c r="Q3732" s="79"/>
      <c r="R3732" s="78"/>
      <c r="S3732" s="81"/>
      <c r="T3732" s="529"/>
      <c r="U3732" s="529"/>
      <c r="V3732" s="82"/>
      <c r="Y3732" s="393">
        <f>+IFERROR((R3732*S3732)*Y3707,0)</f>
        <v>0</v>
      </c>
      <c r="Z3732" s="391">
        <f>Y3707*V3732</f>
        <v>0</v>
      </c>
      <c r="AA3732" s="86"/>
      <c r="AB3732" s="92">
        <f>+Y3732*T3732</f>
        <v>0</v>
      </c>
      <c r="AC3732" s="93">
        <f>+AB3732-Z3732</f>
        <v>0</v>
      </c>
      <c r="AD3732" s="94"/>
      <c r="AE3732" s="406" t="str">
        <f>+IF(V3732=0,"CERO","NO")</f>
        <v>CERO</v>
      </c>
    </row>
    <row r="3733" spans="3:31" s="260" customFormat="1" ht="15.75" thickBot="1" x14ac:dyDescent="0.3">
      <c r="C3733" s="84"/>
      <c r="D3733" s="375" t="s">
        <v>128</v>
      </c>
      <c r="E3733" s="376" t="s">
        <v>129</v>
      </c>
      <c r="F3733" s="376" t="s">
        <v>130</v>
      </c>
      <c r="G3733" s="376" t="s">
        <v>131</v>
      </c>
      <c r="H3733" s="376" t="s">
        <v>132</v>
      </c>
      <c r="I3733" s="376" t="s">
        <v>133</v>
      </c>
      <c r="J3733" s="377" t="s">
        <v>134</v>
      </c>
      <c r="K3733" s="88"/>
      <c r="M3733" s="534"/>
      <c r="N3733" s="536" t="s">
        <v>113</v>
      </c>
      <c r="O3733" s="536"/>
      <c r="P3733" s="536"/>
      <c r="Q3733" s="536"/>
      <c r="R3733" s="536"/>
      <c r="S3733" s="536"/>
      <c r="T3733" s="536"/>
      <c r="U3733" s="536"/>
      <c r="V3733" s="411">
        <f>+SUM(V3729:V3732)</f>
        <v>0</v>
      </c>
      <c r="Y3733" s="398" t="s">
        <v>135</v>
      </c>
      <c r="Z3733" s="397">
        <f>+SUM(Z3729:Z3732)</f>
        <v>0</v>
      </c>
      <c r="AA3733" s="86"/>
      <c r="AB3733" s="384"/>
      <c r="AC3733" s="385"/>
      <c r="AD3733" s="94"/>
      <c r="AE3733" s="399"/>
    </row>
    <row r="3734" spans="3:31" s="260" customFormat="1" ht="15.75" thickBot="1" x14ac:dyDescent="0.3">
      <c r="C3734" s="84"/>
      <c r="D3734" s="355"/>
      <c r="E3734" s="367"/>
      <c r="F3734" s="412">
        <f>+E3726</f>
        <v>3.27</v>
      </c>
      <c r="G3734" s="367"/>
      <c r="H3734" s="367"/>
      <c r="I3734" s="367"/>
      <c r="J3734" s="368"/>
      <c r="K3734" s="88"/>
      <c r="M3734" s="535"/>
      <c r="N3734" s="537" t="s">
        <v>114</v>
      </c>
      <c r="O3734" s="537"/>
      <c r="P3734" s="537"/>
      <c r="Q3734" s="537"/>
      <c r="R3734" s="537"/>
      <c r="S3734" s="537"/>
      <c r="T3734" s="537"/>
      <c r="U3734" s="537"/>
      <c r="V3734" s="413">
        <f>+ROUND(V3733,$AA$5)</f>
        <v>0</v>
      </c>
      <c r="Y3734" s="401" t="s">
        <v>136</v>
      </c>
      <c r="Z3734" s="402">
        <f>+ROUND(Z3733,$AA$5)</f>
        <v>0</v>
      </c>
      <c r="AA3734" s="86"/>
      <c r="AB3734" s="403">
        <f>+V3734*Y3707</f>
        <v>0</v>
      </c>
      <c r="AC3734" s="414"/>
      <c r="AD3734" s="94"/>
      <c r="AE3734" s="405"/>
    </row>
    <row r="3735" spans="3:31" s="260" customFormat="1" ht="15.75" thickBot="1" x14ac:dyDescent="0.3">
      <c r="C3735" s="84"/>
      <c r="D3735" s="415"/>
      <c r="E3735" s="416"/>
      <c r="F3735" s="416"/>
      <c r="G3735" s="416"/>
      <c r="H3735" s="416"/>
      <c r="I3735" s="416"/>
      <c r="J3735" s="417"/>
      <c r="K3735" s="88"/>
      <c r="M3735" s="538" t="s">
        <v>115</v>
      </c>
      <c r="N3735" s="539"/>
      <c r="O3735" s="539"/>
      <c r="P3735" s="539"/>
      <c r="Q3735" s="539"/>
      <c r="R3735" s="539"/>
      <c r="S3735" s="539"/>
      <c r="T3735" s="539"/>
      <c r="U3735" s="539"/>
      <c r="V3735" s="540"/>
      <c r="Y3735" s="378"/>
      <c r="Z3735" s="121"/>
      <c r="AA3735" s="86"/>
      <c r="AB3735" s="409"/>
      <c r="AC3735" s="121"/>
      <c r="AD3735" s="94"/>
      <c r="AE3735" s="126"/>
    </row>
    <row r="3736" spans="3:31" s="260" customFormat="1" ht="15.75" thickBot="1" x14ac:dyDescent="0.3">
      <c r="C3736" s="84"/>
      <c r="D3736" s="375" t="s">
        <v>128</v>
      </c>
      <c r="E3736" s="376" t="s">
        <v>129</v>
      </c>
      <c r="F3736" s="376" t="s">
        <v>130</v>
      </c>
      <c r="G3736" s="376" t="s">
        <v>131</v>
      </c>
      <c r="H3736" s="376" t="s">
        <v>132</v>
      </c>
      <c r="I3736" s="376" t="s">
        <v>133</v>
      </c>
      <c r="J3736" s="377" t="s">
        <v>134</v>
      </c>
      <c r="K3736" s="88"/>
      <c r="M3736" s="99" t="s">
        <v>94</v>
      </c>
      <c r="N3736" s="98" t="s">
        <v>95</v>
      </c>
      <c r="O3736" s="95" t="s">
        <v>96</v>
      </c>
      <c r="P3736" s="359" t="s">
        <v>104</v>
      </c>
      <c r="Q3736" s="95" t="s">
        <v>116</v>
      </c>
      <c r="R3736" s="418" t="s">
        <v>117</v>
      </c>
      <c r="S3736" s="95" t="s">
        <v>347</v>
      </c>
      <c r="T3736" s="419" t="s">
        <v>118</v>
      </c>
      <c r="U3736" s="189" t="s">
        <v>119</v>
      </c>
      <c r="V3736" s="100" t="s">
        <v>98</v>
      </c>
      <c r="Y3736" s="383" t="s">
        <v>104</v>
      </c>
      <c r="Z3736" s="119" t="s">
        <v>9</v>
      </c>
      <c r="AA3736" s="86"/>
      <c r="AB3736" s="384"/>
      <c r="AC3736" s="385"/>
      <c r="AD3736" s="94"/>
      <c r="AE3736" s="410"/>
    </row>
    <row r="3737" spans="3:31" s="260" customFormat="1" ht="25.5" x14ac:dyDescent="0.25">
      <c r="C3737" s="84"/>
      <c r="D3737" s="354"/>
      <c r="E3737" s="96"/>
      <c r="F3737" s="96"/>
      <c r="G3737" s="96"/>
      <c r="H3737" s="96"/>
      <c r="I3737" s="96"/>
      <c r="J3737" s="420">
        <f>+F3734</f>
        <v>3.27</v>
      </c>
      <c r="K3737" s="88"/>
      <c r="M3737" s="102">
        <v>207</v>
      </c>
      <c r="N3737" s="347" t="str">
        <f>IFERROR(VLOOKUP(M3737,INSUMOS!$C$8:$K$928,2,0),"-----")</f>
        <v>Oficial Hidrosanitario</v>
      </c>
      <c r="O3737" s="78" t="str">
        <f>IFERROR(VLOOKUP(M3737,INSUMOS!$C$8:$K$928,3,0),"-----")</f>
        <v>JORNAL+PS</v>
      </c>
      <c r="P3737" s="80">
        <v>1</v>
      </c>
      <c r="Q3737" s="79">
        <v>20</v>
      </c>
      <c r="R3737" s="190">
        <f>IFERROR(VLOOKUP(M3737,INSUMOS!$C$8:$K$928,4,0),"-----")</f>
        <v>92983</v>
      </c>
      <c r="S3737" s="190">
        <f>IFERROR(VLOOKUP(M3737,INSUMOS!$C$8:$K$928,6,0),"-----")</f>
        <v>74386</v>
      </c>
      <c r="T3737" s="190">
        <f>IFERROR(VLOOKUP(M3737,INSUMOS!$C$8:$K$928,5,0),"-----")</f>
        <v>0</v>
      </c>
      <c r="U3737" s="388">
        <f>SUM(R3737:T3737)</f>
        <v>167369</v>
      </c>
      <c r="V3737" s="82">
        <f>+IFERROR((P3737/Q3737)*U3737,0)</f>
        <v>8368.4500000000007</v>
      </c>
      <c r="Y3737" s="393">
        <f>+IFERROR((Y3707/Q3737*P3737),0)</f>
        <v>0.05</v>
      </c>
      <c r="Z3737" s="391">
        <f>Y3707*V3737</f>
        <v>8368.4500000000007</v>
      </c>
      <c r="AA3737" s="86"/>
      <c r="AB3737" s="92">
        <f>+(U3737)*Y3737</f>
        <v>8368.4500000000007</v>
      </c>
      <c r="AC3737" s="93">
        <f>+AB3737-Z3737</f>
        <v>0</v>
      </c>
      <c r="AD3737" s="421"/>
      <c r="AE3737" s="410" t="str">
        <f>+IF(V3737=0,"CERO","NO")</f>
        <v>NO</v>
      </c>
    </row>
    <row r="3738" spans="3:31" s="260" customFormat="1" ht="26.25" thickBot="1" x14ac:dyDescent="0.3">
      <c r="C3738" s="84"/>
      <c r="D3738" s="355"/>
      <c r="E3738" s="367"/>
      <c r="F3738" s="367"/>
      <c r="G3738" s="367"/>
      <c r="H3738" s="367"/>
      <c r="I3738" s="367"/>
      <c r="J3738" s="422">
        <f>+J3737</f>
        <v>3.27</v>
      </c>
      <c r="K3738" s="88"/>
      <c r="M3738" s="102">
        <v>208</v>
      </c>
      <c r="N3738" s="347" t="str">
        <f>IFERROR(VLOOKUP(M3738,INSUMOS!$C$8:$K$928,2,0),"-----")</f>
        <v>Ayudante Hidrosanitario</v>
      </c>
      <c r="O3738" s="78" t="str">
        <f>IFERROR(VLOOKUP(M3738,INSUMOS!$C$8:$K$928,3,0),"-----")</f>
        <v>JORNAL+PS</v>
      </c>
      <c r="P3738" s="80">
        <v>1</v>
      </c>
      <c r="Q3738" s="79">
        <v>20</v>
      </c>
      <c r="R3738" s="190">
        <f>IFERROR(VLOOKUP(M3738,INSUMOS!$C$8:$K$928,4,0),"-----")</f>
        <v>69172</v>
      </c>
      <c r="S3738" s="190">
        <f>IFERROR(VLOOKUP(M3738,INSUMOS!$C$8:$K$928,6,0),"-----")</f>
        <v>55337</v>
      </c>
      <c r="T3738" s="190">
        <f>IFERROR(VLOOKUP(M3738,INSUMOS!$C$8:$K$928,5,0),"-----")</f>
        <v>0</v>
      </c>
      <c r="U3738" s="388">
        <f>SUM(R3738:T3738)</f>
        <v>124509</v>
      </c>
      <c r="V3738" s="82">
        <f>+IFERROR((P3738/Q3738)*U3738,0)</f>
        <v>6225.4500000000007</v>
      </c>
      <c r="Y3738" s="393">
        <f>+IFERROR((Y3707/Q3738*P3738),0)</f>
        <v>0.05</v>
      </c>
      <c r="Z3738" s="391">
        <f>Y3707*V3738</f>
        <v>6225.4500000000007</v>
      </c>
      <c r="AA3738" s="86"/>
      <c r="AB3738" s="92">
        <f>+U3738*Y3738</f>
        <v>6225.4500000000007</v>
      </c>
      <c r="AC3738" s="93">
        <f>+AB3738-Z3738</f>
        <v>0</v>
      </c>
      <c r="AD3738" s="94"/>
      <c r="AE3738" s="410" t="str">
        <f>+IF(V3738=0,"CERO","NO")</f>
        <v>NO</v>
      </c>
    </row>
    <row r="3739" spans="3:31" s="260" customFormat="1" ht="15.75" thickBot="1" x14ac:dyDescent="0.3">
      <c r="C3739" s="84"/>
      <c r="D3739" s="380"/>
      <c r="E3739" s="381"/>
      <c r="F3739" s="381"/>
      <c r="G3739" s="381"/>
      <c r="H3739" s="381"/>
      <c r="I3739" s="381"/>
      <c r="J3739" s="382"/>
      <c r="K3739" s="88"/>
      <c r="M3739" s="102">
        <v>0</v>
      </c>
      <c r="N3739" s="347"/>
      <c r="O3739" s="79"/>
      <c r="P3739" s="423"/>
      <c r="Q3739" s="81"/>
      <c r="R3739" s="111"/>
      <c r="S3739" s="357"/>
      <c r="T3739" s="111"/>
      <c r="U3739" s="388"/>
      <c r="V3739" s="426"/>
      <c r="Y3739" s="393">
        <f>+IFERROR((Y3707/Q3739*P3739),0)</f>
        <v>0</v>
      </c>
      <c r="Z3739" s="391">
        <f>Y3707*V3739</f>
        <v>0</v>
      </c>
      <c r="AA3739" s="86"/>
      <c r="AB3739" s="92">
        <f>+(U3739)*Y3739*P3739</f>
        <v>0</v>
      </c>
      <c r="AC3739" s="93">
        <f>+AB3739-Z3739</f>
        <v>0</v>
      </c>
      <c r="AD3739" s="94"/>
      <c r="AE3739" s="410" t="str">
        <f>+IF(V3739=0,"CERO","NO")</f>
        <v>CERO</v>
      </c>
    </row>
    <row r="3740" spans="3:31" s="260" customFormat="1" ht="15.75" thickBot="1" x14ac:dyDescent="0.3">
      <c r="C3740" s="84"/>
      <c r="D3740" s="375" t="s">
        <v>128</v>
      </c>
      <c r="E3740" s="376" t="s">
        <v>129</v>
      </c>
      <c r="F3740" s="376" t="s">
        <v>130</v>
      </c>
      <c r="G3740" s="376" t="s">
        <v>131</v>
      </c>
      <c r="H3740" s="376" t="s">
        <v>132</v>
      </c>
      <c r="I3740" s="376" t="s">
        <v>133</v>
      </c>
      <c r="J3740" s="377" t="s">
        <v>134</v>
      </c>
      <c r="K3740" s="88"/>
      <c r="M3740" s="534"/>
      <c r="N3740" s="536" t="s">
        <v>120</v>
      </c>
      <c r="O3740" s="536"/>
      <c r="P3740" s="536"/>
      <c r="Q3740" s="536"/>
      <c r="R3740" s="536"/>
      <c r="S3740" s="536"/>
      <c r="T3740" s="536"/>
      <c r="U3740" s="536"/>
      <c r="V3740" s="82">
        <f>+SUM(V3737:V3739)</f>
        <v>14593.900000000001</v>
      </c>
      <c r="Y3740" s="398" t="s">
        <v>135</v>
      </c>
      <c r="Z3740" s="397">
        <f>+SUM(Z3737:Z3739)</f>
        <v>14593.900000000001</v>
      </c>
      <c r="AA3740" s="86"/>
      <c r="AB3740" s="384"/>
      <c r="AC3740" s="385"/>
      <c r="AD3740" s="94"/>
      <c r="AE3740" s="399"/>
    </row>
    <row r="3741" spans="3:31" s="260" customFormat="1" ht="15.75" thickBot="1" x14ac:dyDescent="0.3">
      <c r="C3741" s="84"/>
      <c r="D3741" s="354"/>
      <c r="E3741" s="96"/>
      <c r="F3741" s="96"/>
      <c r="G3741" s="107">
        <f>+F3734</f>
        <v>3.27</v>
      </c>
      <c r="H3741" s="96"/>
      <c r="I3741" s="96"/>
      <c r="J3741" s="427"/>
      <c r="K3741" s="88"/>
      <c r="M3741" s="535"/>
      <c r="N3741" s="537" t="s">
        <v>121</v>
      </c>
      <c r="O3741" s="537"/>
      <c r="P3741" s="537"/>
      <c r="Q3741" s="537"/>
      <c r="R3741" s="537"/>
      <c r="S3741" s="537"/>
      <c r="T3741" s="537"/>
      <c r="U3741" s="537"/>
      <c r="V3741" s="413">
        <f>+ROUND(V3740,$AA$5)</f>
        <v>14593.9</v>
      </c>
      <c r="Y3741" s="401" t="s">
        <v>136</v>
      </c>
      <c r="Z3741" s="402">
        <f>+ROUND(Z3740,$AA$5)</f>
        <v>14593.9</v>
      </c>
      <c r="AA3741" s="86"/>
      <c r="AB3741" s="403">
        <f>+V3741*Y3707</f>
        <v>14593.9</v>
      </c>
      <c r="AC3741" s="404">
        <f>+AB3741-Z3741</f>
        <v>0</v>
      </c>
      <c r="AD3741" s="94"/>
      <c r="AE3741" s="405"/>
    </row>
    <row r="3742" spans="3:31" s="260" customFormat="1" ht="15.75" thickBot="1" x14ac:dyDescent="0.3">
      <c r="C3742" s="84"/>
      <c r="D3742" s="375" t="s">
        <v>128</v>
      </c>
      <c r="E3742" s="376" t="s">
        <v>129</v>
      </c>
      <c r="F3742" s="376" t="s">
        <v>130</v>
      </c>
      <c r="G3742" s="376" t="s">
        <v>131</v>
      </c>
      <c r="H3742" s="376" t="s">
        <v>132</v>
      </c>
      <c r="I3742" s="376" t="s">
        <v>133</v>
      </c>
      <c r="J3742" s="377" t="s">
        <v>134</v>
      </c>
      <c r="K3742" s="88"/>
      <c r="M3742" s="541"/>
      <c r="N3742" s="542"/>
      <c r="O3742" s="542"/>
      <c r="P3742" s="542"/>
      <c r="Q3742" s="542"/>
      <c r="R3742" s="542"/>
      <c r="S3742" s="542"/>
      <c r="T3742" s="542"/>
      <c r="U3742" s="542"/>
      <c r="V3742" s="543"/>
      <c r="Y3742" s="378"/>
      <c r="Z3742" s="121"/>
      <c r="AA3742" s="86"/>
      <c r="AB3742" s="409"/>
      <c r="AC3742" s="121"/>
      <c r="AD3742" s="94"/>
      <c r="AE3742" s="428"/>
    </row>
    <row r="3743" spans="3:31" s="260" customFormat="1" ht="15.75" thickBot="1" x14ac:dyDescent="0.3">
      <c r="C3743" s="84"/>
      <c r="D3743" s="355"/>
      <c r="E3743" s="367"/>
      <c r="F3743" s="367"/>
      <c r="G3743" s="367"/>
      <c r="H3743" s="412">
        <f>G3741</f>
        <v>3.27</v>
      </c>
      <c r="I3743" s="412"/>
      <c r="J3743" s="422"/>
      <c r="K3743" s="88"/>
      <c r="M3743" s="544" t="s">
        <v>122</v>
      </c>
      <c r="N3743" s="537"/>
      <c r="O3743" s="537"/>
      <c r="P3743" s="537"/>
      <c r="Q3743" s="537"/>
      <c r="R3743" s="537"/>
      <c r="S3743" s="537"/>
      <c r="T3743" s="537"/>
      <c r="U3743" s="545">
        <f>+V3741+V3734+V3726+V3717</f>
        <v>24673.600000000002</v>
      </c>
      <c r="V3743" s="546"/>
      <c r="Y3743" s="429"/>
      <c r="Z3743" s="430">
        <f>+Z3741+Z3734+Z3726+Z3717</f>
        <v>24673.600000000002</v>
      </c>
      <c r="AA3743" s="86"/>
      <c r="AB3743" s="431">
        <f>+AB3741+AB3734+AB3726+AB3717</f>
        <v>24673.600000000002</v>
      </c>
      <c r="AC3743" s="404">
        <f>+AB3743-Z3743</f>
        <v>0</v>
      </c>
      <c r="AD3743" s="94"/>
      <c r="AE3743" s="432"/>
    </row>
    <row r="3744" spans="3:31" s="260" customFormat="1" ht="15.75" thickBot="1" x14ac:dyDescent="0.3"/>
    <row r="3745" spans="3:31" s="260" customFormat="1" x14ac:dyDescent="0.25">
      <c r="M3745" s="547" t="s">
        <v>348</v>
      </c>
      <c r="N3745" s="548"/>
      <c r="O3745" s="548"/>
      <c r="P3745" s="548"/>
      <c r="Q3745" s="548"/>
      <c r="R3745" s="548"/>
      <c r="S3745" s="548"/>
      <c r="T3745" s="548"/>
      <c r="U3745" s="548"/>
      <c r="V3745" s="549"/>
      <c r="Y3745" s="378"/>
      <c r="Z3745" s="121"/>
      <c r="AA3745" s="86"/>
      <c r="AB3745" s="94"/>
      <c r="AC3745" s="94"/>
      <c r="AD3745" s="94"/>
      <c r="AE3745" s="126" t="s">
        <v>133</v>
      </c>
    </row>
    <row r="3746" spans="3:31" s="260" customFormat="1" x14ac:dyDescent="0.25">
      <c r="M3746" s="515" t="s">
        <v>138</v>
      </c>
      <c r="N3746" s="516"/>
      <c r="O3746" s="516"/>
      <c r="P3746" s="516"/>
      <c r="Q3746" s="516"/>
      <c r="R3746" s="516"/>
      <c r="S3746" s="516"/>
      <c r="T3746" s="437">
        <v>0</v>
      </c>
      <c r="U3746" s="517">
        <f>+ROUND(U3743*T3746,$AA$5)</f>
        <v>0</v>
      </c>
      <c r="V3746" s="518"/>
      <c r="Y3746" s="390"/>
      <c r="Z3746" s="438">
        <f>+Z3743*T3746</f>
        <v>0</v>
      </c>
      <c r="AA3746" s="86"/>
      <c r="AB3746" s="94"/>
      <c r="AC3746" s="94"/>
      <c r="AD3746" s="94"/>
      <c r="AE3746" s="386" t="s">
        <v>133</v>
      </c>
    </row>
    <row r="3747" spans="3:31" s="260" customFormat="1" x14ac:dyDescent="0.25">
      <c r="M3747" s="515" t="s">
        <v>19</v>
      </c>
      <c r="N3747" s="516"/>
      <c r="O3747" s="516"/>
      <c r="P3747" s="516"/>
      <c r="Q3747" s="516"/>
      <c r="R3747" s="516"/>
      <c r="S3747" s="516"/>
      <c r="T3747" s="437">
        <v>0.05</v>
      </c>
      <c r="U3747" s="517">
        <f>+ROUND(U3743*T3747,$AA$5)</f>
        <v>1233.68</v>
      </c>
      <c r="V3747" s="518"/>
      <c r="Y3747" s="390"/>
      <c r="Z3747" s="438">
        <f>+Z3743*T3747</f>
        <v>1233.6800000000003</v>
      </c>
      <c r="AA3747" s="86"/>
      <c r="AB3747" s="94"/>
      <c r="AC3747" s="94"/>
      <c r="AD3747" s="94"/>
      <c r="AE3747" s="386" t="s">
        <v>133</v>
      </c>
    </row>
    <row r="3748" spans="3:31" s="260" customFormat="1" x14ac:dyDescent="0.25">
      <c r="M3748" s="515" t="s">
        <v>20</v>
      </c>
      <c r="N3748" s="516"/>
      <c r="O3748" s="516"/>
      <c r="P3748" s="516"/>
      <c r="Q3748" s="516"/>
      <c r="R3748" s="516"/>
      <c r="S3748" s="516"/>
      <c r="T3748" s="437">
        <v>0</v>
      </c>
      <c r="U3748" s="517">
        <f>+ROUND(U3743*T3748,$AA$5)</f>
        <v>0</v>
      </c>
      <c r="V3748" s="518"/>
      <c r="Y3748" s="390"/>
      <c r="Z3748" s="438">
        <f>+Z3743*T3748</f>
        <v>0</v>
      </c>
      <c r="AA3748" s="86"/>
      <c r="AB3748" s="94"/>
      <c r="AC3748" s="94"/>
      <c r="AD3748" s="94"/>
      <c r="AE3748" s="386" t="s">
        <v>133</v>
      </c>
    </row>
    <row r="3749" spans="3:31" s="260" customFormat="1" x14ac:dyDescent="0.25">
      <c r="M3749" s="515" t="s">
        <v>21</v>
      </c>
      <c r="N3749" s="516"/>
      <c r="O3749" s="516"/>
      <c r="P3749" s="516"/>
      <c r="Q3749" s="516"/>
      <c r="R3749" s="516"/>
      <c r="S3749" s="516"/>
      <c r="T3749" s="437">
        <f>$AA$9</f>
        <v>0</v>
      </c>
      <c r="U3749" s="517">
        <f>+ROUND(U3743*T3749,$AA$5)</f>
        <v>0</v>
      </c>
      <c r="V3749" s="518"/>
      <c r="Y3749" s="390"/>
      <c r="Z3749" s="438">
        <f>+Z3748*T3749</f>
        <v>0</v>
      </c>
      <c r="AA3749" s="86"/>
      <c r="AB3749" s="94"/>
      <c r="AC3749" s="94"/>
      <c r="AD3749" s="94"/>
      <c r="AE3749" s="386" t="s">
        <v>133</v>
      </c>
    </row>
    <row r="3750" spans="3:31" s="260" customFormat="1" ht="15.75" thickBot="1" x14ac:dyDescent="0.3">
      <c r="M3750" s="519" t="s">
        <v>349</v>
      </c>
      <c r="N3750" s="520"/>
      <c r="O3750" s="520"/>
      <c r="P3750" s="520"/>
      <c r="Q3750" s="520"/>
      <c r="R3750" s="520"/>
      <c r="S3750" s="520"/>
      <c r="T3750" s="520"/>
      <c r="U3750" s="521">
        <f>+SUM(U3746:V3749)</f>
        <v>1233.68</v>
      </c>
      <c r="V3750" s="522"/>
      <c r="Y3750" s="390"/>
      <c r="Z3750" s="439">
        <f>+SUM(Z3746:Z3749)</f>
        <v>1233.6800000000003</v>
      </c>
      <c r="AA3750" s="86"/>
      <c r="AB3750" s="94"/>
      <c r="AC3750" s="94"/>
      <c r="AD3750" s="94"/>
      <c r="AE3750" s="386" t="s">
        <v>133</v>
      </c>
    </row>
    <row r="3751" spans="3:31" s="260" customFormat="1" ht="15.75" thickBot="1" x14ac:dyDescent="0.3">
      <c r="D3751" s="375" t="s">
        <v>128</v>
      </c>
      <c r="E3751" s="376" t="s">
        <v>129</v>
      </c>
      <c r="F3751" s="376" t="s">
        <v>130</v>
      </c>
      <c r="G3751" s="376" t="s">
        <v>131</v>
      </c>
      <c r="H3751" s="376" t="s">
        <v>132</v>
      </c>
      <c r="I3751" s="376" t="s">
        <v>133</v>
      </c>
      <c r="J3751" s="377" t="s">
        <v>134</v>
      </c>
      <c r="M3751" s="86"/>
      <c r="N3751" s="94"/>
      <c r="O3751" s="94"/>
      <c r="P3751" s="94"/>
      <c r="Q3751" s="86"/>
      <c r="R3751" s="86"/>
      <c r="S3751" s="86"/>
      <c r="T3751" s="440"/>
      <c r="U3751" s="523"/>
      <c r="V3751" s="523"/>
      <c r="Y3751" s="390"/>
      <c r="Z3751" s="385"/>
      <c r="AA3751" s="86"/>
      <c r="AB3751" s="94"/>
      <c r="AC3751" s="94"/>
      <c r="AD3751" s="94"/>
      <c r="AE3751" s="386" t="s">
        <v>133</v>
      </c>
    </row>
    <row r="3752" spans="3:31" s="260" customFormat="1" ht="15.75" thickBot="1" x14ac:dyDescent="0.3">
      <c r="D3752" s="355"/>
      <c r="E3752" s="367"/>
      <c r="F3752" s="367"/>
      <c r="G3752" s="367"/>
      <c r="H3752" s="412"/>
      <c r="I3752" s="412">
        <f>H3743</f>
        <v>3.27</v>
      </c>
      <c r="J3752" s="422"/>
      <c r="M3752" s="524" t="s">
        <v>11</v>
      </c>
      <c r="N3752" s="525"/>
      <c r="O3752" s="525"/>
      <c r="P3752" s="525"/>
      <c r="Q3752" s="525"/>
      <c r="R3752" s="525"/>
      <c r="S3752" s="525"/>
      <c r="T3752" s="526"/>
      <c r="U3752" s="527">
        <f>+U3750+U3743</f>
        <v>25907.280000000002</v>
      </c>
      <c r="V3752" s="528"/>
      <c r="Y3752" s="429"/>
      <c r="Z3752" s="441">
        <f>+Z3750+Z3743</f>
        <v>25907.280000000002</v>
      </c>
      <c r="AA3752" s="86"/>
      <c r="AB3752" s="94"/>
      <c r="AC3752" s="94"/>
      <c r="AD3752" s="94"/>
      <c r="AE3752" s="405" t="s">
        <v>133</v>
      </c>
    </row>
    <row r="3753" spans="3:31" s="260" customFormat="1" x14ac:dyDescent="0.25"/>
    <row r="3754" spans="3:31" s="260" customFormat="1" ht="15.75" thickBot="1" x14ac:dyDescent="0.3"/>
    <row r="3755" spans="3:31" s="260" customFormat="1" ht="15.75" thickBot="1" x14ac:dyDescent="0.3">
      <c r="M3755" s="363" t="s">
        <v>88</v>
      </c>
      <c r="N3755" s="436" t="str">
        <f>+N3706</f>
        <v>CAP.3</v>
      </c>
      <c r="O3755" s="550" t="str">
        <f>IFERROR(VLOOKUP(N3755,PPTO!C:H,2,0),"----")</f>
        <v>RED CONTRAINCENDIOS</v>
      </c>
      <c r="P3755" s="551"/>
      <c r="Q3755" s="551"/>
      <c r="R3755" s="551"/>
      <c r="S3755" s="551"/>
      <c r="T3755" s="551"/>
      <c r="U3755" s="552"/>
      <c r="V3755" s="74" t="s">
        <v>91</v>
      </c>
      <c r="Y3755" s="365" t="s">
        <v>104</v>
      </c>
      <c r="Z3755" s="94"/>
      <c r="AA3755" s="188"/>
      <c r="AB3755" s="553"/>
      <c r="AC3755" s="553"/>
      <c r="AD3755" s="553"/>
      <c r="AE3755" s="94"/>
    </row>
    <row r="3756" spans="3:31" s="260" customFormat="1" ht="15.75" thickBot="1" x14ac:dyDescent="0.3">
      <c r="C3756" s="369">
        <f>+N3756</f>
        <v>3.28</v>
      </c>
      <c r="D3756" s="86"/>
      <c r="E3756" s="86"/>
      <c r="F3756" s="86"/>
      <c r="G3756" s="86"/>
      <c r="H3756" s="86"/>
      <c r="I3756" s="86"/>
      <c r="J3756" s="86"/>
      <c r="K3756" s="370"/>
      <c r="M3756" s="75" t="s">
        <v>92</v>
      </c>
      <c r="N3756" s="371">
        <f>+ROUNDUP(N3707+0.01,2)</f>
        <v>3.28</v>
      </c>
      <c r="O3756" s="554" t="str">
        <f>IFERROR(VLOOKUP(N3756,PPTO!C:H,2,0),"----")</f>
        <v>Codo 90° ranurado AG Ø1 1/2"</v>
      </c>
      <c r="P3756" s="555"/>
      <c r="Q3756" s="555"/>
      <c r="R3756" s="555"/>
      <c r="S3756" s="555"/>
      <c r="T3756" s="555"/>
      <c r="U3756" s="556"/>
      <c r="V3756" s="76" t="str">
        <f>IFERROR(VLOOKUP(N3756,PPTO!C:H,3,0),"----")</f>
        <v>UND</v>
      </c>
      <c r="Y3756" s="373">
        <f>SUMIFS(PPTO!F:F,PPTO!C:C,APUS!N3756)</f>
        <v>10</v>
      </c>
      <c r="Z3756" s="94"/>
      <c r="AA3756" s="86"/>
      <c r="AB3756" s="94"/>
      <c r="AC3756" s="94"/>
      <c r="AD3756" s="94"/>
      <c r="AE3756" s="94"/>
    </row>
    <row r="3757" spans="3:31" s="260" customFormat="1" ht="15.75" thickBot="1" x14ac:dyDescent="0.3">
      <c r="C3757" s="84"/>
      <c r="D3757" s="86"/>
      <c r="E3757" s="86"/>
      <c r="F3757" s="86"/>
      <c r="G3757" s="86"/>
      <c r="H3757" s="86"/>
      <c r="I3757" s="86"/>
      <c r="J3757" s="86"/>
      <c r="K3757" s="88"/>
      <c r="M3757" s="557"/>
      <c r="N3757" s="557"/>
      <c r="O3757" s="557"/>
      <c r="P3757" s="557"/>
      <c r="Q3757" s="557"/>
      <c r="R3757" s="557"/>
      <c r="S3757" s="557"/>
      <c r="T3757" s="557"/>
      <c r="U3757" s="557"/>
      <c r="V3757" s="557"/>
      <c r="Y3757" s="374"/>
      <c r="Z3757" s="94"/>
      <c r="AA3757" s="86"/>
      <c r="AB3757" s="94"/>
      <c r="AC3757" s="94"/>
      <c r="AD3757" s="94"/>
      <c r="AE3757" s="94"/>
    </row>
    <row r="3758" spans="3:31" s="260" customFormat="1" ht="15.75" thickBot="1" x14ac:dyDescent="0.3">
      <c r="C3758" s="84"/>
      <c r="D3758" s="375" t="s">
        <v>128</v>
      </c>
      <c r="E3758" s="376" t="s">
        <v>129</v>
      </c>
      <c r="F3758" s="376" t="s">
        <v>130</v>
      </c>
      <c r="G3758" s="376" t="s">
        <v>131</v>
      </c>
      <c r="H3758" s="376" t="s">
        <v>132</v>
      </c>
      <c r="I3758" s="376" t="s">
        <v>133</v>
      </c>
      <c r="J3758" s="377" t="s">
        <v>134</v>
      </c>
      <c r="K3758" s="88"/>
      <c r="M3758" s="558" t="s">
        <v>93</v>
      </c>
      <c r="N3758" s="559"/>
      <c r="O3758" s="559"/>
      <c r="P3758" s="559"/>
      <c r="Q3758" s="559"/>
      <c r="R3758" s="559"/>
      <c r="S3758" s="559"/>
      <c r="T3758" s="559"/>
      <c r="U3758" s="559"/>
      <c r="V3758" s="560"/>
      <c r="Y3758" s="378"/>
      <c r="Z3758" s="121"/>
      <c r="AA3758" s="86"/>
      <c r="AB3758" s="513"/>
      <c r="AC3758" s="514"/>
      <c r="AD3758" s="94"/>
      <c r="AE3758" s="379"/>
    </row>
    <row r="3759" spans="3:31" s="260" customFormat="1" x14ac:dyDescent="0.25">
      <c r="C3759" s="84"/>
      <c r="D3759" s="380"/>
      <c r="E3759" s="381"/>
      <c r="F3759" s="381"/>
      <c r="G3759" s="381"/>
      <c r="H3759" s="381"/>
      <c r="I3759" s="381"/>
      <c r="J3759" s="382"/>
      <c r="K3759" s="88"/>
      <c r="M3759" s="99" t="s">
        <v>94</v>
      </c>
      <c r="N3759" s="561" t="s">
        <v>95</v>
      </c>
      <c r="O3759" s="561"/>
      <c r="P3759" s="561"/>
      <c r="Q3759" s="561"/>
      <c r="R3759" s="95" t="s">
        <v>96</v>
      </c>
      <c r="S3759" s="95" t="s">
        <v>97</v>
      </c>
      <c r="T3759" s="562" t="s">
        <v>8</v>
      </c>
      <c r="U3759" s="562"/>
      <c r="V3759" s="100" t="s">
        <v>98</v>
      </c>
      <c r="Y3759" s="383" t="s">
        <v>104</v>
      </c>
      <c r="Z3759" s="119" t="s">
        <v>9</v>
      </c>
      <c r="AA3759" s="86"/>
      <c r="AB3759" s="384"/>
      <c r="AC3759" s="385"/>
      <c r="AD3759" s="94"/>
      <c r="AE3759" s="386"/>
    </row>
    <row r="3760" spans="3:31" s="260" customFormat="1" x14ac:dyDescent="0.25">
      <c r="C3760" s="84"/>
      <c r="D3760" s="85"/>
      <c r="E3760" s="86"/>
      <c r="F3760" s="86"/>
      <c r="G3760" s="86"/>
      <c r="H3760" s="86"/>
      <c r="I3760" s="86"/>
      <c r="J3760" s="87"/>
      <c r="K3760" s="88"/>
      <c r="M3760" s="102"/>
      <c r="N3760" s="533" t="s">
        <v>99</v>
      </c>
      <c r="O3760" s="533"/>
      <c r="P3760" s="533"/>
      <c r="Q3760" s="533"/>
      <c r="R3760" s="78" t="s">
        <v>100</v>
      </c>
      <c r="S3760" s="387">
        <f>+$AA$10</f>
        <v>0.05</v>
      </c>
      <c r="T3760" s="563">
        <f>V3790</f>
        <v>14593.9</v>
      </c>
      <c r="U3760" s="563"/>
      <c r="V3760" s="389">
        <f>+IFERROR(T3760*S3760,0)</f>
        <v>729.69500000000005</v>
      </c>
      <c r="Y3760" s="390"/>
      <c r="Z3760" s="391">
        <f>Y3756*V3760</f>
        <v>7296.9500000000007</v>
      </c>
      <c r="AA3760" s="86"/>
      <c r="AB3760" s="384"/>
      <c r="AC3760" s="385"/>
      <c r="AD3760" s="94"/>
      <c r="AE3760" s="386" t="str">
        <f>+IF(V3760=0,"CERO","NO")</f>
        <v>NO</v>
      </c>
    </row>
    <row r="3761" spans="3:31" s="260" customFormat="1" x14ac:dyDescent="0.25">
      <c r="C3761" s="84"/>
      <c r="D3761" s="85"/>
      <c r="E3761" s="86"/>
      <c r="F3761" s="86"/>
      <c r="G3761" s="86"/>
      <c r="H3761" s="86"/>
      <c r="I3761" s="86"/>
      <c r="J3761" s="87"/>
      <c r="K3761" s="88"/>
      <c r="M3761" s="106"/>
      <c r="N3761" s="533" t="str">
        <f>IFERROR(VLOOKUP(M3761,INSUMOS!$C$8:$K$928,2,0),"-----")</f>
        <v>-----</v>
      </c>
      <c r="O3761" s="533"/>
      <c r="P3761" s="533"/>
      <c r="Q3761" s="533"/>
      <c r="R3761" s="78" t="str">
        <f>IFERROR(VLOOKUP(M3761,INSUMOS!$C$8:$K$928,6,0),"-----")</f>
        <v>-----</v>
      </c>
      <c r="S3761" s="392"/>
      <c r="T3761" s="529" t="str">
        <f>IFERROR(VLOOKUP(M3761,INSUMOS!$C$8:$K$928,7,0),"0")</f>
        <v>0</v>
      </c>
      <c r="U3761" s="529"/>
      <c r="V3761" s="389">
        <f>+IFERROR(T3761*S3761,0)</f>
        <v>0</v>
      </c>
      <c r="Y3761" s="393">
        <f>+IFERROR(Y3756*S3761,0)</f>
        <v>0</v>
      </c>
      <c r="Z3761" s="391">
        <f>Y3756*V3761</f>
        <v>0</v>
      </c>
      <c r="AA3761" s="394"/>
      <c r="AB3761" s="395">
        <f>+Y3761*T3761</f>
        <v>0</v>
      </c>
      <c r="AC3761" s="93">
        <f>+AB3761-Z3761</f>
        <v>0</v>
      </c>
      <c r="AD3761" s="94"/>
      <c r="AE3761" s="386" t="str">
        <f>+IF(V3761=0,"CERO","NO")</f>
        <v>CERO</v>
      </c>
    </row>
    <row r="3762" spans="3:31" s="260" customFormat="1" x14ac:dyDescent="0.25">
      <c r="C3762" s="84"/>
      <c r="D3762" s="85"/>
      <c r="E3762" s="86"/>
      <c r="F3762" s="86"/>
      <c r="G3762" s="86"/>
      <c r="H3762" s="86"/>
      <c r="I3762" s="86"/>
      <c r="J3762" s="87"/>
      <c r="K3762" s="88"/>
      <c r="M3762" s="102">
        <v>0</v>
      </c>
      <c r="N3762" s="533"/>
      <c r="O3762" s="533"/>
      <c r="P3762" s="533"/>
      <c r="Q3762" s="533"/>
      <c r="R3762" s="78"/>
      <c r="S3762" s="396"/>
      <c r="T3762" s="529"/>
      <c r="U3762" s="529"/>
      <c r="V3762" s="397"/>
      <c r="Y3762" s="393">
        <f>+IFERROR(Y3756*S3762,0)</f>
        <v>0</v>
      </c>
      <c r="Z3762" s="391">
        <f>Y3756*V3762</f>
        <v>0</v>
      </c>
      <c r="AA3762" s="394"/>
      <c r="AB3762" s="395">
        <f>+Y3762*T3762</f>
        <v>0</v>
      </c>
      <c r="AC3762" s="93">
        <f>+AB3762-Z3762</f>
        <v>0</v>
      </c>
      <c r="AD3762" s="94"/>
      <c r="AE3762" s="386" t="str">
        <f>+IF(V3762=0,"CERO","NO")</f>
        <v>CERO</v>
      </c>
    </row>
    <row r="3763" spans="3:31" s="260" customFormat="1" x14ac:dyDescent="0.25">
      <c r="C3763" s="84"/>
      <c r="D3763" s="85"/>
      <c r="E3763" s="86"/>
      <c r="F3763" s="86"/>
      <c r="G3763" s="86"/>
      <c r="H3763" s="86"/>
      <c r="I3763" s="86"/>
      <c r="J3763" s="87"/>
      <c r="K3763" s="88"/>
      <c r="M3763" s="102">
        <v>0</v>
      </c>
      <c r="N3763" s="533"/>
      <c r="O3763" s="533"/>
      <c r="P3763" s="533"/>
      <c r="Q3763" s="533"/>
      <c r="R3763" s="78"/>
      <c r="S3763" s="396"/>
      <c r="T3763" s="529"/>
      <c r="U3763" s="529"/>
      <c r="V3763" s="397"/>
      <c r="Y3763" s="393">
        <f>+IFERROR(Y3756*S3763,0)</f>
        <v>0</v>
      </c>
      <c r="Z3763" s="391">
        <f>Y3756*V3763</f>
        <v>0</v>
      </c>
      <c r="AA3763" s="394"/>
      <c r="AB3763" s="395">
        <f>+Y3763*T3763</f>
        <v>0</v>
      </c>
      <c r="AC3763" s="93">
        <f>+AB3763-Z3763</f>
        <v>0</v>
      </c>
      <c r="AD3763" s="94"/>
      <c r="AE3763" s="386" t="str">
        <f>+IF(V3763=0,"CERO","NO")</f>
        <v>CERO</v>
      </c>
    </row>
    <row r="3764" spans="3:31" s="260" customFormat="1" ht="15.75" thickBot="1" x14ac:dyDescent="0.3">
      <c r="C3764" s="84"/>
      <c r="D3764" s="85"/>
      <c r="E3764" s="86"/>
      <c r="F3764" s="86"/>
      <c r="G3764" s="86"/>
      <c r="H3764" s="86"/>
      <c r="I3764" s="86"/>
      <c r="J3764" s="87"/>
      <c r="K3764" s="88"/>
      <c r="M3764" s="102">
        <v>0</v>
      </c>
      <c r="N3764" s="564"/>
      <c r="O3764" s="564"/>
      <c r="P3764" s="564"/>
      <c r="Q3764" s="564"/>
      <c r="R3764" s="96"/>
      <c r="S3764" s="96"/>
      <c r="T3764" s="565"/>
      <c r="U3764" s="565"/>
      <c r="V3764" s="101"/>
      <c r="Y3764" s="393">
        <f>+IFERROR(Y3756*S3764,0)</f>
        <v>0</v>
      </c>
      <c r="Z3764" s="391">
        <f>Y3756*V3764</f>
        <v>0</v>
      </c>
      <c r="AA3764" s="394"/>
      <c r="AB3764" s="395">
        <f>+Y3764*T3764</f>
        <v>0</v>
      </c>
      <c r="AC3764" s="93">
        <f>+AB3764-Z3764</f>
        <v>0</v>
      </c>
      <c r="AD3764" s="94"/>
      <c r="AE3764" s="386" t="str">
        <f>+IF(V3764=0,"CERO","NO")</f>
        <v>CERO</v>
      </c>
    </row>
    <row r="3765" spans="3:31" s="260" customFormat="1" ht="15.75" thickBot="1" x14ac:dyDescent="0.3">
      <c r="C3765" s="84"/>
      <c r="D3765" s="375" t="s">
        <v>128</v>
      </c>
      <c r="E3765" s="376" t="s">
        <v>129</v>
      </c>
      <c r="F3765" s="376" t="s">
        <v>130</v>
      </c>
      <c r="G3765" s="376" t="s">
        <v>131</v>
      </c>
      <c r="H3765" s="376" t="s">
        <v>132</v>
      </c>
      <c r="I3765" s="376" t="s">
        <v>133</v>
      </c>
      <c r="J3765" s="377" t="s">
        <v>134</v>
      </c>
      <c r="K3765" s="88"/>
      <c r="M3765" s="534"/>
      <c r="N3765" s="536" t="s">
        <v>101</v>
      </c>
      <c r="O3765" s="536"/>
      <c r="P3765" s="536"/>
      <c r="Q3765" s="536"/>
      <c r="R3765" s="536"/>
      <c r="S3765" s="536"/>
      <c r="T3765" s="536"/>
      <c r="U3765" s="536"/>
      <c r="V3765" s="389">
        <f>+SUM(V3760:V3764)</f>
        <v>729.69500000000005</v>
      </c>
      <c r="Y3765" s="398" t="s">
        <v>135</v>
      </c>
      <c r="Z3765" s="397">
        <f>+SUM(Z3760:Z3764)</f>
        <v>7296.9500000000007</v>
      </c>
      <c r="AA3765" s="86"/>
      <c r="AB3765" s="384"/>
      <c r="AC3765" s="385"/>
      <c r="AD3765" s="94"/>
      <c r="AE3765" s="399"/>
    </row>
    <row r="3766" spans="3:31" s="260" customFormat="1" ht="15.75" thickBot="1" x14ac:dyDescent="0.3">
      <c r="C3766" s="84"/>
      <c r="D3766" s="375">
        <f>C3756</f>
        <v>3.28</v>
      </c>
      <c r="E3766" s="376"/>
      <c r="F3766" s="376"/>
      <c r="G3766" s="376"/>
      <c r="H3766" s="376"/>
      <c r="I3766" s="376"/>
      <c r="J3766" s="377"/>
      <c r="K3766" s="88"/>
      <c r="M3766" s="566"/>
      <c r="N3766" s="567" t="s">
        <v>102</v>
      </c>
      <c r="O3766" s="567"/>
      <c r="P3766" s="567"/>
      <c r="Q3766" s="567"/>
      <c r="R3766" s="567"/>
      <c r="S3766" s="567"/>
      <c r="T3766" s="567"/>
      <c r="U3766" s="567"/>
      <c r="V3766" s="400">
        <f>+ROUND(V3765,$AA$5)</f>
        <v>729.7</v>
      </c>
      <c r="Y3766" s="401" t="s">
        <v>136</v>
      </c>
      <c r="Z3766" s="402">
        <f>+ROUND(Z3765,$AA$5)</f>
        <v>7296.95</v>
      </c>
      <c r="AA3766" s="86"/>
      <c r="AB3766" s="403">
        <f>+V3766*Y3756</f>
        <v>7297</v>
      </c>
      <c r="AC3766" s="404">
        <f>+AB3766-Z3766</f>
        <v>5.0000000000181899E-2</v>
      </c>
      <c r="AD3766" s="94"/>
      <c r="AE3766" s="405"/>
    </row>
    <row r="3767" spans="3:31" s="260" customFormat="1" x14ac:dyDescent="0.25">
      <c r="C3767" s="84"/>
      <c r="D3767" s="380"/>
      <c r="E3767" s="381"/>
      <c r="F3767" s="381"/>
      <c r="G3767" s="381"/>
      <c r="H3767" s="381"/>
      <c r="I3767" s="381"/>
      <c r="J3767" s="382"/>
      <c r="K3767" s="88"/>
      <c r="M3767" s="510" t="s">
        <v>103</v>
      </c>
      <c r="N3767" s="511"/>
      <c r="O3767" s="511"/>
      <c r="P3767" s="511"/>
      <c r="Q3767" s="511"/>
      <c r="R3767" s="511"/>
      <c r="S3767" s="511"/>
      <c r="T3767" s="511"/>
      <c r="U3767" s="511"/>
      <c r="V3767" s="512"/>
      <c r="Y3767" s="378"/>
      <c r="Z3767" s="121"/>
      <c r="AA3767" s="86"/>
      <c r="AB3767" s="513"/>
      <c r="AC3767" s="514"/>
      <c r="AD3767" s="94"/>
      <c r="AE3767" s="126"/>
    </row>
    <row r="3768" spans="3:31" s="260" customFormat="1" x14ac:dyDescent="0.25">
      <c r="C3768" s="84"/>
      <c r="D3768" s="85"/>
      <c r="E3768" s="86"/>
      <c r="F3768" s="86"/>
      <c r="G3768" s="86"/>
      <c r="H3768" s="86"/>
      <c r="I3768" s="86"/>
      <c r="J3768" s="87"/>
      <c r="K3768" s="88"/>
      <c r="M3768" s="99" t="s">
        <v>94</v>
      </c>
      <c r="N3768" s="561" t="s">
        <v>95</v>
      </c>
      <c r="O3768" s="561"/>
      <c r="P3768" s="561"/>
      <c r="Q3768" s="561"/>
      <c r="R3768" s="95" t="s">
        <v>96</v>
      </c>
      <c r="S3768" s="95" t="s">
        <v>104</v>
      </c>
      <c r="T3768" s="356" t="s">
        <v>105</v>
      </c>
      <c r="U3768" s="356" t="s">
        <v>8</v>
      </c>
      <c r="V3768" s="100" t="s">
        <v>98</v>
      </c>
      <c r="Y3768" s="383" t="s">
        <v>104</v>
      </c>
      <c r="Z3768" s="119" t="s">
        <v>9</v>
      </c>
      <c r="AA3768" s="86"/>
      <c r="AB3768" s="384"/>
      <c r="AC3768" s="385"/>
      <c r="AD3768" s="94"/>
      <c r="AE3768" s="406"/>
    </row>
    <row r="3769" spans="3:31" s="260" customFormat="1" x14ac:dyDescent="0.25">
      <c r="C3769" s="84"/>
      <c r="D3769" s="85"/>
      <c r="E3769" s="86"/>
      <c r="F3769" s="86"/>
      <c r="G3769" s="86"/>
      <c r="H3769" s="86"/>
      <c r="I3769" s="86"/>
      <c r="J3769" s="87"/>
      <c r="K3769" s="88"/>
      <c r="M3769" s="102">
        <v>949</v>
      </c>
      <c r="N3769" s="533" t="str">
        <f>IFERROR(VLOOKUP(M3769,INSUMOS!$C$8:$K$928,2,0),"-----")</f>
        <v>CODO RANURADO Ø1 1/2"</v>
      </c>
      <c r="O3769" s="533"/>
      <c r="P3769" s="533"/>
      <c r="Q3769" s="533"/>
      <c r="R3769" s="78" t="str">
        <f>IFERROR(VLOOKUP(M3769,INSUMOS!$C$8:$K$928,6,0),"-----")</f>
        <v>und</v>
      </c>
      <c r="S3769" s="396">
        <v>1</v>
      </c>
      <c r="T3769" s="387">
        <v>0</v>
      </c>
      <c r="U3769" s="388">
        <f>IFERROR(VLOOKUP(M3769,INSUMOS!$C$8:$K$928,7,0),"0")</f>
        <v>17900</v>
      </c>
      <c r="V3769" s="389">
        <f>+IFERROR(U3769*(S3769*(1+T3769)),0)</f>
        <v>17900</v>
      </c>
      <c r="Y3769" s="393">
        <f>+IFERROR(Y3756*(S3769*(1+T3769)),0)</f>
        <v>10</v>
      </c>
      <c r="Z3769" s="391">
        <f>Y3756*V3769</f>
        <v>179000</v>
      </c>
      <c r="AA3769" s="394"/>
      <c r="AB3769" s="395">
        <f>+Y3769*U3769</f>
        <v>179000</v>
      </c>
      <c r="AC3769" s="93">
        <f>+AB3769-Z3769</f>
        <v>0</v>
      </c>
      <c r="AD3769" s="94"/>
      <c r="AE3769" s="406" t="str">
        <f>+IF(V3769=0,"CERO","NO")</f>
        <v>NO</v>
      </c>
    </row>
    <row r="3770" spans="3:31" s="260" customFormat="1" x14ac:dyDescent="0.25">
      <c r="C3770" s="84"/>
      <c r="D3770" s="85"/>
      <c r="E3770" s="86"/>
      <c r="F3770" s="86"/>
      <c r="G3770" s="86"/>
      <c r="H3770" s="86"/>
      <c r="I3770" s="86"/>
      <c r="J3770" s="87"/>
      <c r="K3770" s="88"/>
      <c r="M3770" s="102"/>
      <c r="N3770" s="533" t="str">
        <f>IFERROR(VLOOKUP(M3770,INSUMOS!$C$8:$K$928,2,0),"-----")</f>
        <v>-----</v>
      </c>
      <c r="O3770" s="533"/>
      <c r="P3770" s="533"/>
      <c r="Q3770" s="533"/>
      <c r="R3770" s="78" t="str">
        <f>IFERROR(VLOOKUP(M3770,INSUMOS!$C$8:$K$928,6,0),"-----")</f>
        <v>-----</v>
      </c>
      <c r="S3770" s="392"/>
      <c r="T3770" s="387">
        <v>0</v>
      </c>
      <c r="U3770" s="388" t="str">
        <f>IFERROR(VLOOKUP(M3770,INSUMOS!$C$8:$K$928,7,0),"0")</f>
        <v>0</v>
      </c>
      <c r="V3770" s="389">
        <f>+IFERROR(U3770*(S3770*(1+T3770)),0)</f>
        <v>0</v>
      </c>
      <c r="Y3770" s="393">
        <f>+IFERROR(Y3756*(S3770*(1+T3770)),0)</f>
        <v>0</v>
      </c>
      <c r="Z3770" s="391">
        <f>Y3756*V3770</f>
        <v>0</v>
      </c>
      <c r="AA3770" s="394"/>
      <c r="AB3770" s="395">
        <f>+Y3770*U3770</f>
        <v>0</v>
      </c>
      <c r="AC3770" s="93">
        <f>+AB3770-Z3770</f>
        <v>0</v>
      </c>
      <c r="AD3770" s="94"/>
      <c r="AE3770" s="406" t="str">
        <f>+IF(V3770=0,"CERO","NO")</f>
        <v>CERO</v>
      </c>
    </row>
    <row r="3771" spans="3:31" s="260" customFormat="1" x14ac:dyDescent="0.25">
      <c r="C3771" s="84"/>
      <c r="D3771" s="85"/>
      <c r="E3771" s="86"/>
      <c r="F3771" s="86"/>
      <c r="G3771" s="86"/>
      <c r="H3771" s="86"/>
      <c r="I3771" s="86"/>
      <c r="J3771" s="87"/>
      <c r="K3771" s="88"/>
      <c r="M3771" s="102"/>
      <c r="N3771" s="533" t="str">
        <f>IFERROR(VLOOKUP(M3771,INSUMOS!$C$8:$K$928,2,0),"-----")</f>
        <v>-----</v>
      </c>
      <c r="O3771" s="533"/>
      <c r="P3771" s="533"/>
      <c r="Q3771" s="533"/>
      <c r="R3771" s="78" t="str">
        <f>IFERROR(VLOOKUP(M3771,INSUMOS!$C$8:$K$928,6,0),"-----")</f>
        <v>-----</v>
      </c>
      <c r="S3771" s="396"/>
      <c r="T3771" s="387">
        <v>0</v>
      </c>
      <c r="U3771" s="388" t="str">
        <f>IFERROR(VLOOKUP(M3771,INSUMOS!$C$8:$K$928,7,0),"0")</f>
        <v>0</v>
      </c>
      <c r="V3771" s="389">
        <f>+IFERROR(U3771*(S3771*(1+T3771)),0)</f>
        <v>0</v>
      </c>
      <c r="Y3771" s="393">
        <f>+IFERROR(Y3756*(S3771*(1+T3771)),0)</f>
        <v>0</v>
      </c>
      <c r="Z3771" s="391">
        <f>Y3756*V3771</f>
        <v>0</v>
      </c>
      <c r="AA3771" s="394"/>
      <c r="AB3771" s="395">
        <f>+Y3771*U3771</f>
        <v>0</v>
      </c>
      <c r="AC3771" s="93">
        <f>+AB3771-Z3771</f>
        <v>0</v>
      </c>
      <c r="AD3771" s="94"/>
      <c r="AE3771" s="406" t="str">
        <f>+IF(V3771=0,"CERO","NO")</f>
        <v>CERO</v>
      </c>
    </row>
    <row r="3772" spans="3:31" s="260" customFormat="1" x14ac:dyDescent="0.25">
      <c r="C3772" s="84"/>
      <c r="D3772" s="85"/>
      <c r="E3772" s="86"/>
      <c r="F3772" s="86"/>
      <c r="G3772" s="86"/>
      <c r="H3772" s="86"/>
      <c r="I3772" s="86"/>
      <c r="J3772" s="87"/>
      <c r="K3772" s="88"/>
      <c r="M3772" s="102">
        <v>0</v>
      </c>
      <c r="N3772" s="533" t="str">
        <f>IFERROR(VLOOKUP(M3772,INSUMOS!$C$8:$K$928,2,0),"-----")</f>
        <v>-----</v>
      </c>
      <c r="O3772" s="533"/>
      <c r="P3772" s="533"/>
      <c r="Q3772" s="533"/>
      <c r="R3772" s="78" t="str">
        <f>IFERROR(VLOOKUP(M3772,INSUMOS!$C$8:$K$928,6,0),"-----")</f>
        <v>-----</v>
      </c>
      <c r="S3772" s="396"/>
      <c r="T3772" s="387"/>
      <c r="U3772" s="388" t="str">
        <f>IFERROR(VLOOKUP(M3772,INSUMOS!$C$8:$K$928,7,0),"0")</f>
        <v>0</v>
      </c>
      <c r="V3772" s="389">
        <f>+IFERROR(U3772*(S3772*(1+T3772)),0)</f>
        <v>0</v>
      </c>
      <c r="Y3772" s="393">
        <f>+IFERROR(Y3756*(S3772*(1+T3772)),0)</f>
        <v>0</v>
      </c>
      <c r="Z3772" s="391">
        <f>Y3756*V3772</f>
        <v>0</v>
      </c>
      <c r="AA3772" s="394"/>
      <c r="AB3772" s="395">
        <f>+Y3772*U3772</f>
        <v>0</v>
      </c>
      <c r="AC3772" s="93">
        <f>+AB3772-Z3772</f>
        <v>0</v>
      </c>
      <c r="AD3772" s="94"/>
      <c r="AE3772" s="406" t="str">
        <f>+IF(V3772=0,"CERO","NO")</f>
        <v>CERO</v>
      </c>
    </row>
    <row r="3773" spans="3:31" s="260" customFormat="1" ht="15.75" thickBot="1" x14ac:dyDescent="0.3">
      <c r="C3773" s="84"/>
      <c r="D3773" s="85"/>
      <c r="E3773" s="86"/>
      <c r="F3773" s="86"/>
      <c r="G3773" s="86"/>
      <c r="H3773" s="86"/>
      <c r="I3773" s="86"/>
      <c r="J3773" s="87"/>
      <c r="K3773" s="88"/>
      <c r="M3773" s="102">
        <v>0</v>
      </c>
      <c r="N3773" s="564"/>
      <c r="O3773" s="564"/>
      <c r="P3773" s="564"/>
      <c r="Q3773" s="564"/>
      <c r="R3773" s="96"/>
      <c r="S3773" s="79"/>
      <c r="T3773" s="97"/>
      <c r="U3773" s="358"/>
      <c r="V3773" s="397"/>
      <c r="Y3773" s="393">
        <f>+IFERROR(Y3756*(S3773*(1+T3773)),0)</f>
        <v>0</v>
      </c>
      <c r="Z3773" s="391">
        <f>Y3756*V3773</f>
        <v>0</v>
      </c>
      <c r="AA3773" s="394"/>
      <c r="AB3773" s="395">
        <f>+Y3773*U3773</f>
        <v>0</v>
      </c>
      <c r="AC3773" s="93">
        <f>+AB3773-Z3773</f>
        <v>0</v>
      </c>
      <c r="AD3773" s="94"/>
      <c r="AE3773" s="406" t="str">
        <f>+IF(V3773=0,"CERO","NO")</f>
        <v>CERO</v>
      </c>
    </row>
    <row r="3774" spans="3:31" s="260" customFormat="1" ht="15.75" thickBot="1" x14ac:dyDescent="0.3">
      <c r="C3774" s="84"/>
      <c r="D3774" s="375" t="s">
        <v>128</v>
      </c>
      <c r="E3774" s="376" t="s">
        <v>129</v>
      </c>
      <c r="F3774" s="376" t="s">
        <v>130</v>
      </c>
      <c r="G3774" s="376" t="s">
        <v>131</v>
      </c>
      <c r="H3774" s="376" t="s">
        <v>132</v>
      </c>
      <c r="I3774" s="376" t="s">
        <v>133</v>
      </c>
      <c r="J3774" s="377" t="s">
        <v>134</v>
      </c>
      <c r="K3774" s="88"/>
      <c r="M3774" s="534"/>
      <c r="N3774" s="536" t="s">
        <v>106</v>
      </c>
      <c r="O3774" s="536"/>
      <c r="P3774" s="536"/>
      <c r="Q3774" s="536"/>
      <c r="R3774" s="536"/>
      <c r="S3774" s="536"/>
      <c r="T3774" s="536"/>
      <c r="U3774" s="536"/>
      <c r="V3774" s="389">
        <f>+SUM(V3769:V3773)</f>
        <v>17900</v>
      </c>
      <c r="Y3774" s="398" t="s">
        <v>135</v>
      </c>
      <c r="Z3774" s="397">
        <f>+SUM(Z3769:Z3773)</f>
        <v>179000</v>
      </c>
      <c r="AA3774" s="86"/>
      <c r="AB3774" s="384"/>
      <c r="AC3774" s="385"/>
      <c r="AD3774" s="94"/>
      <c r="AE3774" s="399"/>
    </row>
    <row r="3775" spans="3:31" s="260" customFormat="1" ht="15.75" thickBot="1" x14ac:dyDescent="0.3">
      <c r="C3775" s="84"/>
      <c r="D3775" s="375"/>
      <c r="E3775" s="407">
        <f>+D3766</f>
        <v>3.28</v>
      </c>
      <c r="F3775" s="376"/>
      <c r="G3775" s="376"/>
      <c r="H3775" s="376"/>
      <c r="I3775" s="376"/>
      <c r="J3775" s="377"/>
      <c r="K3775" s="88"/>
      <c r="M3775" s="535"/>
      <c r="N3775" s="537" t="s">
        <v>107</v>
      </c>
      <c r="O3775" s="537"/>
      <c r="P3775" s="537"/>
      <c r="Q3775" s="537"/>
      <c r="R3775" s="537"/>
      <c r="S3775" s="537"/>
      <c r="T3775" s="537"/>
      <c r="U3775" s="537"/>
      <c r="V3775" s="408">
        <f>+ROUND(V3774,$AA$5)</f>
        <v>17900</v>
      </c>
      <c r="Y3775" s="401" t="s">
        <v>136</v>
      </c>
      <c r="Z3775" s="402">
        <f>+ROUND(Z3774,$AA$5)</f>
        <v>179000</v>
      </c>
      <c r="AA3775" s="86"/>
      <c r="AB3775" s="403">
        <f>+V3775*Y3756</f>
        <v>179000</v>
      </c>
      <c r="AC3775" s="404">
        <f>+AB3775-Z3775</f>
        <v>0</v>
      </c>
      <c r="AD3775" s="94"/>
      <c r="AE3775" s="405"/>
    </row>
    <row r="3776" spans="3:31" s="260" customFormat="1" x14ac:dyDescent="0.25">
      <c r="C3776" s="84"/>
      <c r="D3776" s="380"/>
      <c r="E3776" s="381"/>
      <c r="F3776" s="381"/>
      <c r="G3776" s="381"/>
      <c r="H3776" s="381"/>
      <c r="I3776" s="381"/>
      <c r="J3776" s="382"/>
      <c r="K3776" s="88"/>
      <c r="M3776" s="568" t="s">
        <v>108</v>
      </c>
      <c r="N3776" s="569"/>
      <c r="O3776" s="569"/>
      <c r="P3776" s="569"/>
      <c r="Q3776" s="569"/>
      <c r="R3776" s="569"/>
      <c r="S3776" s="569"/>
      <c r="T3776" s="569"/>
      <c r="U3776" s="569"/>
      <c r="V3776" s="570"/>
      <c r="Y3776" s="378"/>
      <c r="Z3776" s="121"/>
      <c r="AA3776" s="86"/>
      <c r="AB3776" s="409"/>
      <c r="AC3776" s="121"/>
      <c r="AD3776" s="94"/>
      <c r="AE3776" s="126"/>
    </row>
    <row r="3777" spans="3:31" s="260" customFormat="1" ht="25.5" x14ac:dyDescent="0.25">
      <c r="C3777" s="84"/>
      <c r="D3777" s="85"/>
      <c r="E3777" s="86"/>
      <c r="F3777" s="86"/>
      <c r="G3777" s="86"/>
      <c r="H3777" s="86"/>
      <c r="I3777" s="86"/>
      <c r="J3777" s="87"/>
      <c r="K3777" s="88"/>
      <c r="M3777" s="99" t="s">
        <v>94</v>
      </c>
      <c r="N3777" s="561" t="s">
        <v>95</v>
      </c>
      <c r="O3777" s="561"/>
      <c r="P3777" s="561"/>
      <c r="Q3777" s="95" t="s">
        <v>109</v>
      </c>
      <c r="R3777" s="95" t="s">
        <v>110</v>
      </c>
      <c r="S3777" s="95" t="s">
        <v>111</v>
      </c>
      <c r="T3777" s="562" t="s">
        <v>112</v>
      </c>
      <c r="U3777" s="562"/>
      <c r="V3777" s="100" t="s">
        <v>98</v>
      </c>
      <c r="Y3777" s="383" t="s">
        <v>104</v>
      </c>
      <c r="Z3777" s="119" t="s">
        <v>9</v>
      </c>
      <c r="AA3777" s="86"/>
      <c r="AB3777" s="384"/>
      <c r="AC3777" s="385"/>
      <c r="AD3777" s="94"/>
      <c r="AE3777" s="410"/>
    </row>
    <row r="3778" spans="3:31" s="260" customFormat="1" x14ac:dyDescent="0.25">
      <c r="C3778" s="84"/>
      <c r="D3778" s="85"/>
      <c r="E3778" s="86"/>
      <c r="F3778" s="86"/>
      <c r="G3778" s="86"/>
      <c r="H3778" s="86"/>
      <c r="I3778" s="86"/>
      <c r="J3778" s="87"/>
      <c r="K3778" s="88"/>
      <c r="M3778" s="102">
        <v>129</v>
      </c>
      <c r="N3778" s="530" t="str">
        <f>IFERROR(VLOOKUP(M3778,INSUMOS!$C$8:$K$928,2,0),"-----")</f>
        <v>transporte materiales en general</v>
      </c>
      <c r="O3778" s="531"/>
      <c r="P3778" s="532"/>
      <c r="Q3778" s="78" t="str">
        <f>IFERROR(VLOOKUP(M3778,INSUMOS!$C$8:$K$928,5,0),"-----")</f>
        <v>Km</v>
      </c>
      <c r="R3778" s="80">
        <v>1</v>
      </c>
      <c r="S3778" s="80">
        <f>IFERROR(VLOOKUP(M3778,INSUMOS!$C$8:$K$928,6,0),"0")</f>
        <v>348</v>
      </c>
      <c r="T3778" s="529">
        <f>IFERROR(VLOOKUP(M3778,INSUMOS!$C$8:$K$928,7,0),"0")</f>
        <v>0.99776362060288992</v>
      </c>
      <c r="U3778" s="529"/>
      <c r="V3778" s="82">
        <f>+T3778*S3778*R3778</f>
        <v>347.2217399698057</v>
      </c>
      <c r="Y3778" s="393">
        <f>+IFERROR((R3778*S3778)*Y3756,0)</f>
        <v>3480</v>
      </c>
      <c r="Z3778" s="391">
        <f>Y3756*V3778</f>
        <v>3472.2173996980569</v>
      </c>
      <c r="AA3778" s="86"/>
      <c r="AB3778" s="92">
        <f>+Y3778*T3778</f>
        <v>3472.2173996980569</v>
      </c>
      <c r="AC3778" s="93">
        <f>+AB3778-Z3778</f>
        <v>0</v>
      </c>
      <c r="AD3778" s="94"/>
      <c r="AE3778" s="406" t="str">
        <f>+IF(V3778=0,"CERO","NO")</f>
        <v>NO</v>
      </c>
    </row>
    <row r="3779" spans="3:31" s="260" customFormat="1" x14ac:dyDescent="0.25">
      <c r="C3779" s="84"/>
      <c r="D3779" s="85"/>
      <c r="E3779" s="86"/>
      <c r="F3779" s="86"/>
      <c r="G3779" s="86"/>
      <c r="H3779" s="86"/>
      <c r="I3779" s="86"/>
      <c r="J3779" s="87"/>
      <c r="K3779" s="88"/>
      <c r="M3779" s="102">
        <v>0</v>
      </c>
      <c r="N3779" s="530" t="str">
        <f>IFERROR(VLOOKUP(M3779,INSUMOS!$C$8:$K$928,2,0),"-----")</f>
        <v>-----</v>
      </c>
      <c r="O3779" s="531"/>
      <c r="P3779" s="532"/>
      <c r="Q3779" s="78" t="str">
        <f>IFERROR(VLOOKUP(M3779,INSUMOS!$C$8:$K$928,5,0),"-----")</f>
        <v>-----</v>
      </c>
      <c r="R3779" s="80"/>
      <c r="S3779" s="80" t="str">
        <f>IFERROR(VLOOKUP(M3779,INSUMOS!$C$8:$K$928,6,0),"0")</f>
        <v>0</v>
      </c>
      <c r="T3779" s="529" t="str">
        <f>IFERROR(VLOOKUP(M3779,INSUMOS!$C$8:$K$928,7,0),"0")</f>
        <v>0</v>
      </c>
      <c r="U3779" s="529"/>
      <c r="V3779" s="82">
        <f>+T3779*S3779*R3779</f>
        <v>0</v>
      </c>
      <c r="Y3779" s="393">
        <f>+IFERROR((R3779*S3779)*Y3756,0)</f>
        <v>0</v>
      </c>
      <c r="Z3779" s="391">
        <f>Y3756*V3779</f>
        <v>0</v>
      </c>
      <c r="AA3779" s="86"/>
      <c r="AB3779" s="92">
        <f>+Y3779*T3779</f>
        <v>0</v>
      </c>
      <c r="AC3779" s="93">
        <f>+AB3779-Z3779</f>
        <v>0</v>
      </c>
      <c r="AD3779" s="94"/>
      <c r="AE3779" s="406" t="str">
        <f>+IF(V3779=0,"CERO","NO")</f>
        <v>CERO</v>
      </c>
    </row>
    <row r="3780" spans="3:31" s="260" customFormat="1" x14ac:dyDescent="0.25">
      <c r="C3780" s="84"/>
      <c r="D3780" s="85"/>
      <c r="E3780" s="86"/>
      <c r="F3780" s="86"/>
      <c r="G3780" s="86"/>
      <c r="H3780" s="86"/>
      <c r="I3780" s="86"/>
      <c r="J3780" s="87"/>
      <c r="K3780" s="88"/>
      <c r="M3780" s="102">
        <v>0</v>
      </c>
      <c r="N3780" s="530" t="str">
        <f>IFERROR(VLOOKUP(M3780,INSUMOS!$C$8:$K$928,2,0),"-----")</f>
        <v>-----</v>
      </c>
      <c r="O3780" s="531"/>
      <c r="P3780" s="532"/>
      <c r="Q3780" s="78" t="str">
        <f>IFERROR(VLOOKUP(M3780,INSUMOS!$C$8:$K$928,5,0),"-----")</f>
        <v>-----</v>
      </c>
      <c r="R3780" s="80"/>
      <c r="S3780" s="80" t="str">
        <f>IFERROR(VLOOKUP(M3780,INSUMOS!$C$8:$K$928,6,0),"0")</f>
        <v>0</v>
      </c>
      <c r="T3780" s="529" t="str">
        <f>IFERROR(VLOOKUP(M3780,INSUMOS!$C$8:$K$928,7,0),"0")</f>
        <v>0</v>
      </c>
      <c r="U3780" s="529"/>
      <c r="V3780" s="82">
        <f>+T3780*S3780*R3780</f>
        <v>0</v>
      </c>
      <c r="Y3780" s="393">
        <f>+IFERROR((R3780*S3780)*Y3756,0)</f>
        <v>0</v>
      </c>
      <c r="Z3780" s="391">
        <f>Y3756*V3780</f>
        <v>0</v>
      </c>
      <c r="AA3780" s="86"/>
      <c r="AB3780" s="92">
        <f>+Y3780*T3780</f>
        <v>0</v>
      </c>
      <c r="AC3780" s="93">
        <f>+AB3780-Z3780</f>
        <v>0</v>
      </c>
      <c r="AD3780" s="94"/>
      <c r="AE3780" s="406" t="str">
        <f>+IF(V3780=0,"CERO","NO")</f>
        <v>CERO</v>
      </c>
    </row>
    <row r="3781" spans="3:31" s="260" customFormat="1" ht="15.75" thickBot="1" x14ac:dyDescent="0.3">
      <c r="C3781" s="84"/>
      <c r="D3781" s="89"/>
      <c r="E3781" s="90"/>
      <c r="F3781" s="90"/>
      <c r="G3781" s="90"/>
      <c r="H3781" s="90"/>
      <c r="I3781" s="90"/>
      <c r="J3781" s="91"/>
      <c r="K3781" s="88"/>
      <c r="M3781" s="102">
        <v>0</v>
      </c>
      <c r="N3781" s="533"/>
      <c r="O3781" s="533"/>
      <c r="P3781" s="533"/>
      <c r="Q3781" s="79"/>
      <c r="R3781" s="78"/>
      <c r="S3781" s="81"/>
      <c r="T3781" s="529"/>
      <c r="U3781" s="529"/>
      <c r="V3781" s="82"/>
      <c r="Y3781" s="393">
        <f>+IFERROR((R3781*S3781)*Y3756,0)</f>
        <v>0</v>
      </c>
      <c r="Z3781" s="391">
        <f>Y3756*V3781</f>
        <v>0</v>
      </c>
      <c r="AA3781" s="86"/>
      <c r="AB3781" s="92">
        <f>+Y3781*T3781</f>
        <v>0</v>
      </c>
      <c r="AC3781" s="93">
        <f>+AB3781-Z3781</f>
        <v>0</v>
      </c>
      <c r="AD3781" s="94"/>
      <c r="AE3781" s="406" t="str">
        <f>+IF(V3781=0,"CERO","NO")</f>
        <v>CERO</v>
      </c>
    </row>
    <row r="3782" spans="3:31" s="260" customFormat="1" ht="15.75" thickBot="1" x14ac:dyDescent="0.3">
      <c r="C3782" s="84"/>
      <c r="D3782" s="375" t="s">
        <v>128</v>
      </c>
      <c r="E3782" s="376" t="s">
        <v>129</v>
      </c>
      <c r="F3782" s="376" t="s">
        <v>130</v>
      </c>
      <c r="G3782" s="376" t="s">
        <v>131</v>
      </c>
      <c r="H3782" s="376" t="s">
        <v>132</v>
      </c>
      <c r="I3782" s="376" t="s">
        <v>133</v>
      </c>
      <c r="J3782" s="377" t="s">
        <v>134</v>
      </c>
      <c r="K3782" s="88"/>
      <c r="M3782" s="534"/>
      <c r="N3782" s="536" t="s">
        <v>113</v>
      </c>
      <c r="O3782" s="536"/>
      <c r="P3782" s="536"/>
      <c r="Q3782" s="536"/>
      <c r="R3782" s="536"/>
      <c r="S3782" s="536"/>
      <c r="T3782" s="536"/>
      <c r="U3782" s="536"/>
      <c r="V3782" s="411">
        <f>+SUM(V3778:V3781)</f>
        <v>347.2217399698057</v>
      </c>
      <c r="Y3782" s="398" t="s">
        <v>135</v>
      </c>
      <c r="Z3782" s="397">
        <f>+SUM(Z3778:Z3781)</f>
        <v>3472.2173996980569</v>
      </c>
      <c r="AA3782" s="86"/>
      <c r="AB3782" s="384"/>
      <c r="AC3782" s="385"/>
      <c r="AD3782" s="94"/>
      <c r="AE3782" s="399"/>
    </row>
    <row r="3783" spans="3:31" s="260" customFormat="1" ht="15.75" thickBot="1" x14ac:dyDescent="0.3">
      <c r="C3783" s="84"/>
      <c r="D3783" s="355"/>
      <c r="E3783" s="367"/>
      <c r="F3783" s="412">
        <f>+E3775</f>
        <v>3.28</v>
      </c>
      <c r="G3783" s="367"/>
      <c r="H3783" s="367"/>
      <c r="I3783" s="367"/>
      <c r="J3783" s="368"/>
      <c r="K3783" s="88"/>
      <c r="M3783" s="535"/>
      <c r="N3783" s="537" t="s">
        <v>114</v>
      </c>
      <c r="O3783" s="537"/>
      <c r="P3783" s="537"/>
      <c r="Q3783" s="537"/>
      <c r="R3783" s="537"/>
      <c r="S3783" s="537"/>
      <c r="T3783" s="537"/>
      <c r="U3783" s="537"/>
      <c r="V3783" s="413">
        <f>+ROUND(V3782,$AA$5)</f>
        <v>347.22</v>
      </c>
      <c r="Y3783" s="401" t="s">
        <v>136</v>
      </c>
      <c r="Z3783" s="402">
        <f>+ROUND(Z3782,$AA$5)</f>
        <v>3472.22</v>
      </c>
      <c r="AA3783" s="86"/>
      <c r="AB3783" s="403">
        <f>+V3783*Y3756</f>
        <v>3472.2000000000003</v>
      </c>
      <c r="AC3783" s="414"/>
      <c r="AD3783" s="94"/>
      <c r="AE3783" s="405"/>
    </row>
    <row r="3784" spans="3:31" s="260" customFormat="1" ht="15.75" thickBot="1" x14ac:dyDescent="0.3">
      <c r="C3784" s="84"/>
      <c r="D3784" s="415"/>
      <c r="E3784" s="416"/>
      <c r="F3784" s="416"/>
      <c r="G3784" s="416"/>
      <c r="H3784" s="416"/>
      <c r="I3784" s="416"/>
      <c r="J3784" s="417"/>
      <c r="K3784" s="88"/>
      <c r="M3784" s="538" t="s">
        <v>115</v>
      </c>
      <c r="N3784" s="539"/>
      <c r="O3784" s="539"/>
      <c r="P3784" s="539"/>
      <c r="Q3784" s="539"/>
      <c r="R3784" s="539"/>
      <c r="S3784" s="539"/>
      <c r="T3784" s="539"/>
      <c r="U3784" s="539"/>
      <c r="V3784" s="540"/>
      <c r="Y3784" s="378"/>
      <c r="Z3784" s="121"/>
      <c r="AA3784" s="86"/>
      <c r="AB3784" s="409"/>
      <c r="AC3784" s="121"/>
      <c r="AD3784" s="94"/>
      <c r="AE3784" s="126"/>
    </row>
    <row r="3785" spans="3:31" s="260" customFormat="1" ht="15.75" thickBot="1" x14ac:dyDescent="0.3">
      <c r="C3785" s="84"/>
      <c r="D3785" s="375" t="s">
        <v>128</v>
      </c>
      <c r="E3785" s="376" t="s">
        <v>129</v>
      </c>
      <c r="F3785" s="376" t="s">
        <v>130</v>
      </c>
      <c r="G3785" s="376" t="s">
        <v>131</v>
      </c>
      <c r="H3785" s="376" t="s">
        <v>132</v>
      </c>
      <c r="I3785" s="376" t="s">
        <v>133</v>
      </c>
      <c r="J3785" s="377" t="s">
        <v>134</v>
      </c>
      <c r="K3785" s="88"/>
      <c r="M3785" s="99" t="s">
        <v>94</v>
      </c>
      <c r="N3785" s="98" t="s">
        <v>95</v>
      </c>
      <c r="O3785" s="95" t="s">
        <v>96</v>
      </c>
      <c r="P3785" s="359" t="s">
        <v>104</v>
      </c>
      <c r="Q3785" s="95" t="s">
        <v>116</v>
      </c>
      <c r="R3785" s="418" t="s">
        <v>117</v>
      </c>
      <c r="S3785" s="95" t="s">
        <v>347</v>
      </c>
      <c r="T3785" s="419" t="s">
        <v>118</v>
      </c>
      <c r="U3785" s="189" t="s">
        <v>119</v>
      </c>
      <c r="V3785" s="100" t="s">
        <v>98</v>
      </c>
      <c r="Y3785" s="383" t="s">
        <v>104</v>
      </c>
      <c r="Z3785" s="119" t="s">
        <v>9</v>
      </c>
      <c r="AA3785" s="86"/>
      <c r="AB3785" s="384"/>
      <c r="AC3785" s="385"/>
      <c r="AD3785" s="94"/>
      <c r="AE3785" s="410"/>
    </row>
    <row r="3786" spans="3:31" s="260" customFormat="1" ht="25.5" x14ac:dyDescent="0.25">
      <c r="C3786" s="84"/>
      <c r="D3786" s="354"/>
      <c r="E3786" s="96"/>
      <c r="F3786" s="96"/>
      <c r="G3786" s="96"/>
      <c r="H3786" s="96"/>
      <c r="I3786" s="96"/>
      <c r="J3786" s="420">
        <f>+F3783</f>
        <v>3.28</v>
      </c>
      <c r="K3786" s="88"/>
      <c r="M3786" s="102">
        <v>207</v>
      </c>
      <c r="N3786" s="347" t="str">
        <f>IFERROR(VLOOKUP(M3786,INSUMOS!$C$8:$K$928,2,0),"-----")</f>
        <v>Oficial Hidrosanitario</v>
      </c>
      <c r="O3786" s="78" t="str">
        <f>IFERROR(VLOOKUP(M3786,INSUMOS!$C$8:$K$928,3,0),"-----")</f>
        <v>JORNAL+PS</v>
      </c>
      <c r="P3786" s="80">
        <v>1</v>
      </c>
      <c r="Q3786" s="79">
        <v>20</v>
      </c>
      <c r="R3786" s="190">
        <f>IFERROR(VLOOKUP(M3786,INSUMOS!$C$8:$K$928,4,0),"-----")</f>
        <v>92983</v>
      </c>
      <c r="S3786" s="190">
        <f>IFERROR(VLOOKUP(M3786,INSUMOS!$C$8:$K$928,6,0),"-----")</f>
        <v>74386</v>
      </c>
      <c r="T3786" s="190">
        <f>IFERROR(VLOOKUP(M3786,INSUMOS!$C$8:$K$928,5,0),"-----")</f>
        <v>0</v>
      </c>
      <c r="U3786" s="388">
        <f>SUM(R3786:T3786)</f>
        <v>167369</v>
      </c>
      <c r="V3786" s="82">
        <f>+IFERROR((P3786/Q3786)*U3786,0)</f>
        <v>8368.4500000000007</v>
      </c>
      <c r="Y3786" s="393">
        <f>+IFERROR((Y3756/Q3786*P3786),0)</f>
        <v>0.5</v>
      </c>
      <c r="Z3786" s="391">
        <f>Y3756*V3786</f>
        <v>83684.5</v>
      </c>
      <c r="AA3786" s="86"/>
      <c r="AB3786" s="92">
        <f>+(U3786)*Y3786</f>
        <v>83684.5</v>
      </c>
      <c r="AC3786" s="93">
        <f>+AB3786-Z3786</f>
        <v>0</v>
      </c>
      <c r="AD3786" s="421"/>
      <c r="AE3786" s="410" t="str">
        <f>+IF(V3786=0,"CERO","NO")</f>
        <v>NO</v>
      </c>
    </row>
    <row r="3787" spans="3:31" s="260" customFormat="1" ht="26.25" thickBot="1" x14ac:dyDescent="0.3">
      <c r="C3787" s="84"/>
      <c r="D3787" s="355"/>
      <c r="E3787" s="367"/>
      <c r="F3787" s="367"/>
      <c r="G3787" s="367"/>
      <c r="H3787" s="367"/>
      <c r="I3787" s="367"/>
      <c r="J3787" s="422">
        <f>+J3786</f>
        <v>3.28</v>
      </c>
      <c r="K3787" s="88"/>
      <c r="M3787" s="102">
        <v>208</v>
      </c>
      <c r="N3787" s="347" t="str">
        <f>IFERROR(VLOOKUP(M3787,INSUMOS!$C$8:$K$928,2,0),"-----")</f>
        <v>Ayudante Hidrosanitario</v>
      </c>
      <c r="O3787" s="78" t="str">
        <f>IFERROR(VLOOKUP(M3787,INSUMOS!$C$8:$K$928,3,0),"-----")</f>
        <v>JORNAL+PS</v>
      </c>
      <c r="P3787" s="80">
        <v>1</v>
      </c>
      <c r="Q3787" s="79">
        <v>20</v>
      </c>
      <c r="R3787" s="190">
        <f>IFERROR(VLOOKUP(M3787,INSUMOS!$C$8:$K$928,4,0),"-----")</f>
        <v>69172</v>
      </c>
      <c r="S3787" s="190">
        <f>IFERROR(VLOOKUP(M3787,INSUMOS!$C$8:$K$928,6,0),"-----")</f>
        <v>55337</v>
      </c>
      <c r="T3787" s="190">
        <f>IFERROR(VLOOKUP(M3787,INSUMOS!$C$8:$K$928,5,0),"-----")</f>
        <v>0</v>
      </c>
      <c r="U3787" s="388">
        <f>SUM(R3787:T3787)</f>
        <v>124509</v>
      </c>
      <c r="V3787" s="82">
        <f>+IFERROR((P3787/Q3787)*U3787,0)</f>
        <v>6225.4500000000007</v>
      </c>
      <c r="Y3787" s="393">
        <f>+IFERROR((Y3756/Q3787*P3787),0)</f>
        <v>0.5</v>
      </c>
      <c r="Z3787" s="391">
        <f>Y3756*V3787</f>
        <v>62254.500000000007</v>
      </c>
      <c r="AA3787" s="86"/>
      <c r="AB3787" s="92">
        <f>+U3787*Y3787</f>
        <v>62254.5</v>
      </c>
      <c r="AC3787" s="93">
        <f>+AB3787-Z3787</f>
        <v>0</v>
      </c>
      <c r="AD3787" s="94"/>
      <c r="AE3787" s="410" t="str">
        <f>+IF(V3787=0,"CERO","NO")</f>
        <v>NO</v>
      </c>
    </row>
    <row r="3788" spans="3:31" s="260" customFormat="1" ht="15.75" thickBot="1" x14ac:dyDescent="0.3">
      <c r="C3788" s="84"/>
      <c r="D3788" s="380"/>
      <c r="E3788" s="381"/>
      <c r="F3788" s="381"/>
      <c r="G3788" s="381"/>
      <c r="H3788" s="381"/>
      <c r="I3788" s="381"/>
      <c r="J3788" s="382"/>
      <c r="K3788" s="88"/>
      <c r="M3788" s="102">
        <v>0</v>
      </c>
      <c r="N3788" s="347"/>
      <c r="O3788" s="79"/>
      <c r="P3788" s="423"/>
      <c r="Q3788" s="81"/>
      <c r="R3788" s="111"/>
      <c r="S3788" s="357"/>
      <c r="T3788" s="111"/>
      <c r="U3788" s="388"/>
      <c r="V3788" s="426"/>
      <c r="Y3788" s="393">
        <f>+IFERROR((Y3756/Q3788*P3788),0)</f>
        <v>0</v>
      </c>
      <c r="Z3788" s="391">
        <f>Y3756*V3788</f>
        <v>0</v>
      </c>
      <c r="AA3788" s="86"/>
      <c r="AB3788" s="92">
        <f>+(U3788)*Y3788*P3788</f>
        <v>0</v>
      </c>
      <c r="AC3788" s="93">
        <f>+AB3788-Z3788</f>
        <v>0</v>
      </c>
      <c r="AD3788" s="94"/>
      <c r="AE3788" s="410" t="str">
        <f>+IF(V3788=0,"CERO","NO")</f>
        <v>CERO</v>
      </c>
    </row>
    <row r="3789" spans="3:31" s="260" customFormat="1" ht="15.75" thickBot="1" x14ac:dyDescent="0.3">
      <c r="C3789" s="84"/>
      <c r="D3789" s="375" t="s">
        <v>128</v>
      </c>
      <c r="E3789" s="376" t="s">
        <v>129</v>
      </c>
      <c r="F3789" s="376" t="s">
        <v>130</v>
      </c>
      <c r="G3789" s="376" t="s">
        <v>131</v>
      </c>
      <c r="H3789" s="376" t="s">
        <v>132</v>
      </c>
      <c r="I3789" s="376" t="s">
        <v>133</v>
      </c>
      <c r="J3789" s="377" t="s">
        <v>134</v>
      </c>
      <c r="K3789" s="88"/>
      <c r="M3789" s="534"/>
      <c r="N3789" s="536" t="s">
        <v>120</v>
      </c>
      <c r="O3789" s="536"/>
      <c r="P3789" s="536"/>
      <c r="Q3789" s="536"/>
      <c r="R3789" s="536"/>
      <c r="S3789" s="536"/>
      <c r="T3789" s="536"/>
      <c r="U3789" s="536"/>
      <c r="V3789" s="82">
        <f>+SUM(V3786:V3788)</f>
        <v>14593.900000000001</v>
      </c>
      <c r="Y3789" s="398" t="s">
        <v>135</v>
      </c>
      <c r="Z3789" s="397">
        <f>+SUM(Z3786:Z3788)</f>
        <v>145939</v>
      </c>
      <c r="AA3789" s="86"/>
      <c r="AB3789" s="384"/>
      <c r="AC3789" s="385"/>
      <c r="AD3789" s="94"/>
      <c r="AE3789" s="399"/>
    </row>
    <row r="3790" spans="3:31" s="260" customFormat="1" ht="15.75" thickBot="1" x14ac:dyDescent="0.3">
      <c r="C3790" s="84"/>
      <c r="D3790" s="354"/>
      <c r="E3790" s="96"/>
      <c r="F3790" s="96"/>
      <c r="G3790" s="107">
        <f>+F3783</f>
        <v>3.28</v>
      </c>
      <c r="H3790" s="96"/>
      <c r="I3790" s="96"/>
      <c r="J3790" s="427"/>
      <c r="K3790" s="88"/>
      <c r="M3790" s="535"/>
      <c r="N3790" s="537" t="s">
        <v>121</v>
      </c>
      <c r="O3790" s="537"/>
      <c r="P3790" s="537"/>
      <c r="Q3790" s="537"/>
      <c r="R3790" s="537"/>
      <c r="S3790" s="537"/>
      <c r="T3790" s="537"/>
      <c r="U3790" s="537"/>
      <c r="V3790" s="413">
        <f>+ROUND(V3789,$AA$5)</f>
        <v>14593.9</v>
      </c>
      <c r="Y3790" s="401" t="s">
        <v>136</v>
      </c>
      <c r="Z3790" s="402">
        <f>+ROUND(Z3789,$AA$5)</f>
        <v>145939</v>
      </c>
      <c r="AA3790" s="86"/>
      <c r="AB3790" s="403">
        <f>+V3790*Y3756</f>
        <v>145939</v>
      </c>
      <c r="AC3790" s="404">
        <f>+AB3790-Z3790</f>
        <v>0</v>
      </c>
      <c r="AD3790" s="94"/>
      <c r="AE3790" s="405"/>
    </row>
    <row r="3791" spans="3:31" s="260" customFormat="1" ht="15.75" thickBot="1" x14ac:dyDescent="0.3">
      <c r="C3791" s="84"/>
      <c r="D3791" s="375" t="s">
        <v>128</v>
      </c>
      <c r="E3791" s="376" t="s">
        <v>129</v>
      </c>
      <c r="F3791" s="376" t="s">
        <v>130</v>
      </c>
      <c r="G3791" s="376" t="s">
        <v>131</v>
      </c>
      <c r="H3791" s="376" t="s">
        <v>132</v>
      </c>
      <c r="I3791" s="376" t="s">
        <v>133</v>
      </c>
      <c r="J3791" s="377" t="s">
        <v>134</v>
      </c>
      <c r="K3791" s="88"/>
      <c r="M3791" s="541"/>
      <c r="N3791" s="542"/>
      <c r="O3791" s="542"/>
      <c r="P3791" s="542"/>
      <c r="Q3791" s="542"/>
      <c r="R3791" s="542"/>
      <c r="S3791" s="542"/>
      <c r="T3791" s="542"/>
      <c r="U3791" s="542"/>
      <c r="V3791" s="543"/>
      <c r="Y3791" s="378"/>
      <c r="Z3791" s="121"/>
      <c r="AA3791" s="86"/>
      <c r="AB3791" s="409"/>
      <c r="AC3791" s="121"/>
      <c r="AD3791" s="94"/>
      <c r="AE3791" s="428"/>
    </row>
    <row r="3792" spans="3:31" s="260" customFormat="1" ht="15.75" thickBot="1" x14ac:dyDescent="0.3">
      <c r="C3792" s="84"/>
      <c r="D3792" s="355"/>
      <c r="E3792" s="367"/>
      <c r="F3792" s="367"/>
      <c r="G3792" s="367"/>
      <c r="H3792" s="412">
        <f>G3790</f>
        <v>3.28</v>
      </c>
      <c r="I3792" s="412"/>
      <c r="J3792" s="422"/>
      <c r="K3792" s="88"/>
      <c r="M3792" s="544" t="s">
        <v>122</v>
      </c>
      <c r="N3792" s="537"/>
      <c r="O3792" s="537"/>
      <c r="P3792" s="537"/>
      <c r="Q3792" s="537"/>
      <c r="R3792" s="537"/>
      <c r="S3792" s="537"/>
      <c r="T3792" s="537"/>
      <c r="U3792" s="545">
        <f>+V3790+V3783+V3775+V3766</f>
        <v>33570.819999999992</v>
      </c>
      <c r="V3792" s="546"/>
      <c r="Y3792" s="429"/>
      <c r="Z3792" s="430">
        <f>+Z3790+Z3783+Z3775+Z3766</f>
        <v>335708.17</v>
      </c>
      <c r="AA3792" s="86"/>
      <c r="AB3792" s="431">
        <f>+AB3790+AB3783+AB3775+AB3766</f>
        <v>335708.2</v>
      </c>
      <c r="AC3792" s="404">
        <f>+AB3792-Z3792</f>
        <v>3.0000000027939677E-2</v>
      </c>
      <c r="AD3792" s="94"/>
      <c r="AE3792" s="432"/>
    </row>
    <row r="3793" spans="3:31" s="260" customFormat="1" ht="15.75" thickBot="1" x14ac:dyDescent="0.3"/>
    <row r="3794" spans="3:31" s="260" customFormat="1" x14ac:dyDescent="0.25">
      <c r="M3794" s="547" t="s">
        <v>348</v>
      </c>
      <c r="N3794" s="548"/>
      <c r="O3794" s="548"/>
      <c r="P3794" s="548"/>
      <c r="Q3794" s="548"/>
      <c r="R3794" s="548"/>
      <c r="S3794" s="548"/>
      <c r="T3794" s="548"/>
      <c r="U3794" s="548"/>
      <c r="V3794" s="549"/>
      <c r="Y3794" s="378"/>
      <c r="Z3794" s="121"/>
      <c r="AA3794" s="86"/>
      <c r="AB3794" s="94"/>
      <c r="AC3794" s="94"/>
      <c r="AD3794" s="94"/>
      <c r="AE3794" s="126" t="s">
        <v>133</v>
      </c>
    </row>
    <row r="3795" spans="3:31" s="260" customFormat="1" x14ac:dyDescent="0.25">
      <c r="M3795" s="515" t="s">
        <v>138</v>
      </c>
      <c r="N3795" s="516"/>
      <c r="O3795" s="516"/>
      <c r="P3795" s="516"/>
      <c r="Q3795" s="516"/>
      <c r="R3795" s="516"/>
      <c r="S3795" s="516"/>
      <c r="T3795" s="437">
        <v>0</v>
      </c>
      <c r="U3795" s="517">
        <f>+ROUND(U3792*T3795,$AA$5)</f>
        <v>0</v>
      </c>
      <c r="V3795" s="518"/>
      <c r="Y3795" s="390"/>
      <c r="Z3795" s="438">
        <f>+Z3792*T3795</f>
        <v>0</v>
      </c>
      <c r="AA3795" s="86"/>
      <c r="AB3795" s="94"/>
      <c r="AC3795" s="94"/>
      <c r="AD3795" s="94"/>
      <c r="AE3795" s="386" t="s">
        <v>133</v>
      </c>
    </row>
    <row r="3796" spans="3:31" s="260" customFormat="1" x14ac:dyDescent="0.25">
      <c r="M3796" s="515" t="s">
        <v>19</v>
      </c>
      <c r="N3796" s="516"/>
      <c r="O3796" s="516"/>
      <c r="P3796" s="516"/>
      <c r="Q3796" s="516"/>
      <c r="R3796" s="516"/>
      <c r="S3796" s="516"/>
      <c r="T3796" s="437">
        <v>0.05</v>
      </c>
      <c r="U3796" s="517">
        <f>+ROUND(U3792*T3796,$AA$5)</f>
        <v>1678.54</v>
      </c>
      <c r="V3796" s="518"/>
      <c r="Y3796" s="390"/>
      <c r="Z3796" s="438">
        <f>+Z3792*T3796</f>
        <v>16785.408500000001</v>
      </c>
      <c r="AA3796" s="86"/>
      <c r="AB3796" s="94"/>
      <c r="AC3796" s="94"/>
      <c r="AD3796" s="94"/>
      <c r="AE3796" s="386" t="s">
        <v>133</v>
      </c>
    </row>
    <row r="3797" spans="3:31" s="260" customFormat="1" x14ac:dyDescent="0.25">
      <c r="M3797" s="515" t="s">
        <v>20</v>
      </c>
      <c r="N3797" s="516"/>
      <c r="O3797" s="516"/>
      <c r="P3797" s="516"/>
      <c r="Q3797" s="516"/>
      <c r="R3797" s="516"/>
      <c r="S3797" s="516"/>
      <c r="T3797" s="437">
        <v>0</v>
      </c>
      <c r="U3797" s="517">
        <f>+ROUND(U3792*T3797,$AA$5)</f>
        <v>0</v>
      </c>
      <c r="V3797" s="518"/>
      <c r="Y3797" s="390"/>
      <c r="Z3797" s="438">
        <f>+Z3792*T3797</f>
        <v>0</v>
      </c>
      <c r="AA3797" s="86"/>
      <c r="AB3797" s="94"/>
      <c r="AC3797" s="94"/>
      <c r="AD3797" s="94"/>
      <c r="AE3797" s="386" t="s">
        <v>133</v>
      </c>
    </row>
    <row r="3798" spans="3:31" s="260" customFormat="1" x14ac:dyDescent="0.25">
      <c r="M3798" s="515" t="s">
        <v>21</v>
      </c>
      <c r="N3798" s="516"/>
      <c r="O3798" s="516"/>
      <c r="P3798" s="516"/>
      <c r="Q3798" s="516"/>
      <c r="R3798" s="516"/>
      <c r="S3798" s="516"/>
      <c r="T3798" s="437">
        <f>$AA$9</f>
        <v>0</v>
      </c>
      <c r="U3798" s="517">
        <f>+ROUND(U3792*T3798,$AA$5)</f>
        <v>0</v>
      </c>
      <c r="V3798" s="518"/>
      <c r="Y3798" s="390"/>
      <c r="Z3798" s="438">
        <f>+Z3797*T3798</f>
        <v>0</v>
      </c>
      <c r="AA3798" s="86"/>
      <c r="AB3798" s="94"/>
      <c r="AC3798" s="94"/>
      <c r="AD3798" s="94"/>
      <c r="AE3798" s="386" t="s">
        <v>133</v>
      </c>
    </row>
    <row r="3799" spans="3:31" s="260" customFormat="1" ht="15.75" thickBot="1" x14ac:dyDescent="0.3">
      <c r="M3799" s="519" t="s">
        <v>349</v>
      </c>
      <c r="N3799" s="520"/>
      <c r="O3799" s="520"/>
      <c r="P3799" s="520"/>
      <c r="Q3799" s="520"/>
      <c r="R3799" s="520"/>
      <c r="S3799" s="520"/>
      <c r="T3799" s="520"/>
      <c r="U3799" s="521">
        <f>+SUM(U3795:V3798)</f>
        <v>1678.54</v>
      </c>
      <c r="V3799" s="522"/>
      <c r="Y3799" s="390"/>
      <c r="Z3799" s="439">
        <f>+SUM(Z3795:Z3798)</f>
        <v>16785.408500000001</v>
      </c>
      <c r="AA3799" s="86"/>
      <c r="AB3799" s="94"/>
      <c r="AC3799" s="94"/>
      <c r="AD3799" s="94"/>
      <c r="AE3799" s="386" t="s">
        <v>133</v>
      </c>
    </row>
    <row r="3800" spans="3:31" s="260" customFormat="1" ht="15.75" thickBot="1" x14ac:dyDescent="0.3">
      <c r="D3800" s="375" t="s">
        <v>128</v>
      </c>
      <c r="E3800" s="376" t="s">
        <v>129</v>
      </c>
      <c r="F3800" s="376" t="s">
        <v>130</v>
      </c>
      <c r="G3800" s="376" t="s">
        <v>131</v>
      </c>
      <c r="H3800" s="376" t="s">
        <v>132</v>
      </c>
      <c r="I3800" s="376" t="s">
        <v>133</v>
      </c>
      <c r="J3800" s="377" t="s">
        <v>134</v>
      </c>
      <c r="M3800" s="86"/>
      <c r="N3800" s="94"/>
      <c r="O3800" s="94"/>
      <c r="P3800" s="94"/>
      <c r="Q3800" s="86"/>
      <c r="R3800" s="86"/>
      <c r="S3800" s="86"/>
      <c r="T3800" s="440"/>
      <c r="U3800" s="523"/>
      <c r="V3800" s="523"/>
      <c r="Y3800" s="390"/>
      <c r="Z3800" s="385"/>
      <c r="AA3800" s="86"/>
      <c r="AB3800" s="94"/>
      <c r="AC3800" s="94"/>
      <c r="AD3800" s="94"/>
      <c r="AE3800" s="386" t="s">
        <v>133</v>
      </c>
    </row>
    <row r="3801" spans="3:31" s="260" customFormat="1" ht="15.75" thickBot="1" x14ac:dyDescent="0.3">
      <c r="D3801" s="355"/>
      <c r="E3801" s="367"/>
      <c r="F3801" s="367"/>
      <c r="G3801" s="367"/>
      <c r="H3801" s="412"/>
      <c r="I3801" s="412">
        <f>H3792</f>
        <v>3.28</v>
      </c>
      <c r="J3801" s="422"/>
      <c r="M3801" s="524" t="s">
        <v>11</v>
      </c>
      <c r="N3801" s="525"/>
      <c r="O3801" s="525"/>
      <c r="P3801" s="525"/>
      <c r="Q3801" s="525"/>
      <c r="R3801" s="525"/>
      <c r="S3801" s="525"/>
      <c r="T3801" s="526"/>
      <c r="U3801" s="527">
        <f>+U3799+U3792</f>
        <v>35249.359999999993</v>
      </c>
      <c r="V3801" s="528"/>
      <c r="Y3801" s="429"/>
      <c r="Z3801" s="441">
        <f>+Z3799+Z3792</f>
        <v>352493.5785</v>
      </c>
      <c r="AA3801" s="86"/>
      <c r="AB3801" s="94"/>
      <c r="AC3801" s="94"/>
      <c r="AD3801" s="94"/>
      <c r="AE3801" s="405" t="s">
        <v>133</v>
      </c>
    </row>
    <row r="3802" spans="3:31" s="260" customFormat="1" x14ac:dyDescent="0.25"/>
    <row r="3803" spans="3:31" s="260" customFormat="1" ht="15.75" thickBot="1" x14ac:dyDescent="0.3"/>
    <row r="3804" spans="3:31" s="260" customFormat="1" ht="15.75" thickBot="1" x14ac:dyDescent="0.3">
      <c r="M3804" s="363" t="s">
        <v>88</v>
      </c>
      <c r="N3804" s="436" t="s">
        <v>37</v>
      </c>
      <c r="O3804" s="550" t="str">
        <f>IFERROR(VLOOKUP(N3804,PPTO!C:H,2,0),"----")</f>
        <v>RED SANITARIA</v>
      </c>
      <c r="P3804" s="551"/>
      <c r="Q3804" s="551"/>
      <c r="R3804" s="551"/>
      <c r="S3804" s="551"/>
      <c r="T3804" s="551"/>
      <c r="U3804" s="552"/>
      <c r="V3804" s="74" t="s">
        <v>91</v>
      </c>
      <c r="Y3804" s="365" t="s">
        <v>104</v>
      </c>
      <c r="Z3804" s="94"/>
      <c r="AA3804" s="188"/>
      <c r="AB3804" s="553"/>
      <c r="AC3804" s="553"/>
      <c r="AD3804" s="553"/>
      <c r="AE3804" s="94"/>
    </row>
    <row r="3805" spans="3:31" s="260" customFormat="1" ht="15.75" thickBot="1" x14ac:dyDescent="0.3">
      <c r="C3805" s="369">
        <f>+N3805</f>
        <v>4.01</v>
      </c>
      <c r="D3805" s="86"/>
      <c r="E3805" s="86"/>
      <c r="F3805" s="86"/>
      <c r="G3805" s="86"/>
      <c r="H3805" s="86"/>
      <c r="I3805" s="86"/>
      <c r="J3805" s="86"/>
      <c r="K3805" s="370"/>
      <c r="M3805" s="75" t="s">
        <v>92</v>
      </c>
      <c r="N3805" s="371">
        <v>4.01</v>
      </c>
      <c r="O3805" s="554" t="str">
        <f>IFERROR(VLOOKUP(N3805,PPTO!C:H,2,0),"----")</f>
        <v>Tubería Sanitaria PVC Ø4"</v>
      </c>
      <c r="P3805" s="555"/>
      <c r="Q3805" s="555"/>
      <c r="R3805" s="555"/>
      <c r="S3805" s="555"/>
      <c r="T3805" s="555"/>
      <c r="U3805" s="556"/>
      <c r="V3805" s="76" t="str">
        <f>IFERROR(VLOOKUP(N3805,PPTO!C:H,3,0),"----")</f>
        <v>ML</v>
      </c>
      <c r="Y3805" s="373">
        <f>SUMIFS(PPTO!F:F,PPTO!C:C,APUS!N3805)</f>
        <v>144.43</v>
      </c>
      <c r="Z3805" s="94"/>
      <c r="AA3805" s="86"/>
      <c r="AB3805" s="94"/>
      <c r="AC3805" s="94"/>
      <c r="AD3805" s="94"/>
      <c r="AE3805" s="94"/>
    </row>
    <row r="3806" spans="3:31" s="260" customFormat="1" ht="15.75" thickBot="1" x14ac:dyDescent="0.3">
      <c r="C3806" s="84"/>
      <c r="D3806" s="86"/>
      <c r="E3806" s="86"/>
      <c r="F3806" s="86"/>
      <c r="G3806" s="86"/>
      <c r="H3806" s="86"/>
      <c r="I3806" s="86"/>
      <c r="J3806" s="86"/>
      <c r="K3806" s="88"/>
      <c r="M3806" s="572"/>
      <c r="N3806" s="572"/>
      <c r="O3806" s="572"/>
      <c r="P3806" s="572"/>
      <c r="Q3806" s="572"/>
      <c r="R3806" s="572"/>
      <c r="S3806" s="572"/>
      <c r="T3806" s="572"/>
      <c r="U3806" s="572"/>
      <c r="V3806" s="572"/>
      <c r="Y3806" s="374"/>
      <c r="Z3806" s="94"/>
      <c r="AA3806" s="86"/>
      <c r="AB3806" s="94"/>
      <c r="AC3806" s="94"/>
      <c r="AD3806" s="94"/>
      <c r="AE3806" s="94"/>
    </row>
    <row r="3807" spans="3:31" s="260" customFormat="1" ht="15.75" thickBot="1" x14ac:dyDescent="0.3">
      <c r="C3807" s="84"/>
      <c r="D3807" s="375" t="s">
        <v>128</v>
      </c>
      <c r="E3807" s="376" t="s">
        <v>129</v>
      </c>
      <c r="F3807" s="376" t="s">
        <v>130</v>
      </c>
      <c r="G3807" s="376" t="s">
        <v>131</v>
      </c>
      <c r="H3807" s="376" t="s">
        <v>132</v>
      </c>
      <c r="I3807" s="376" t="s">
        <v>133</v>
      </c>
      <c r="J3807" s="377" t="s">
        <v>134</v>
      </c>
      <c r="K3807" s="88"/>
      <c r="M3807" s="573" t="s">
        <v>93</v>
      </c>
      <c r="N3807" s="574"/>
      <c r="O3807" s="574"/>
      <c r="P3807" s="574"/>
      <c r="Q3807" s="574"/>
      <c r="R3807" s="574"/>
      <c r="S3807" s="574"/>
      <c r="T3807" s="574"/>
      <c r="U3807" s="574"/>
      <c r="V3807" s="575"/>
      <c r="Y3807" s="378"/>
      <c r="Z3807" s="121"/>
      <c r="AA3807" s="86"/>
      <c r="AB3807" s="576"/>
      <c r="AC3807" s="577"/>
      <c r="AD3807" s="94"/>
      <c r="AE3807" s="379"/>
    </row>
    <row r="3808" spans="3:31" s="260" customFormat="1" x14ac:dyDescent="0.25">
      <c r="C3808" s="84"/>
      <c r="D3808" s="380"/>
      <c r="E3808" s="381"/>
      <c r="F3808" s="381"/>
      <c r="G3808" s="381"/>
      <c r="H3808" s="381"/>
      <c r="I3808" s="381"/>
      <c r="J3808" s="382"/>
      <c r="K3808" s="88"/>
      <c r="M3808" s="99" t="s">
        <v>94</v>
      </c>
      <c r="N3808" s="578" t="s">
        <v>95</v>
      </c>
      <c r="O3808" s="579"/>
      <c r="P3808" s="579"/>
      <c r="Q3808" s="580"/>
      <c r="R3808" s="95" t="s">
        <v>96</v>
      </c>
      <c r="S3808" s="95" t="s">
        <v>97</v>
      </c>
      <c r="T3808" s="581" t="s">
        <v>8</v>
      </c>
      <c r="U3808" s="582"/>
      <c r="V3808" s="100" t="s">
        <v>98</v>
      </c>
      <c r="Y3808" s="383" t="s">
        <v>104</v>
      </c>
      <c r="Z3808" s="119" t="s">
        <v>9</v>
      </c>
      <c r="AA3808" s="86"/>
      <c r="AB3808" s="384"/>
      <c r="AC3808" s="385"/>
      <c r="AD3808" s="94"/>
      <c r="AE3808" s="386"/>
    </row>
    <row r="3809" spans="3:31" s="260" customFormat="1" x14ac:dyDescent="0.25">
      <c r="C3809" s="84"/>
      <c r="D3809" s="85"/>
      <c r="E3809" s="86"/>
      <c r="F3809" s="86"/>
      <c r="G3809" s="86"/>
      <c r="H3809" s="86"/>
      <c r="I3809" s="86"/>
      <c r="J3809" s="87"/>
      <c r="K3809" s="88"/>
      <c r="M3809" s="102"/>
      <c r="N3809" s="530" t="s">
        <v>99</v>
      </c>
      <c r="O3809" s="531"/>
      <c r="P3809" s="531"/>
      <c r="Q3809" s="532"/>
      <c r="R3809" s="78" t="s">
        <v>100</v>
      </c>
      <c r="S3809" s="387">
        <f>+$AA$10</f>
        <v>0.05</v>
      </c>
      <c r="T3809" s="583">
        <f>V3839</f>
        <v>11157.93</v>
      </c>
      <c r="U3809" s="584"/>
      <c r="V3809" s="389">
        <f>+IFERROR(T3809*S3809,0)</f>
        <v>557.89650000000006</v>
      </c>
      <c r="Y3809" s="390"/>
      <c r="Z3809" s="391">
        <f>Y3805*V3809</f>
        <v>80576.991495000009</v>
      </c>
      <c r="AA3809" s="86"/>
      <c r="AB3809" s="384"/>
      <c r="AC3809" s="385"/>
      <c r="AD3809" s="94"/>
      <c r="AE3809" s="386" t="str">
        <f>+IF(V3809=0,"CERO","NO")</f>
        <v>NO</v>
      </c>
    </row>
    <row r="3810" spans="3:31" s="260" customFormat="1" x14ac:dyDescent="0.25">
      <c r="C3810" s="84"/>
      <c r="D3810" s="85"/>
      <c r="E3810" s="86"/>
      <c r="F3810" s="86"/>
      <c r="G3810" s="86"/>
      <c r="H3810" s="86"/>
      <c r="I3810" s="86"/>
      <c r="J3810" s="87"/>
      <c r="K3810" s="88"/>
      <c r="M3810" s="106"/>
      <c r="N3810" s="530" t="str">
        <f>IFERROR(VLOOKUP(M3810,INSUMOS!$C$8:$K$928,2,0),"-----")</f>
        <v>-----</v>
      </c>
      <c r="O3810" s="531"/>
      <c r="P3810" s="531"/>
      <c r="Q3810" s="532"/>
      <c r="R3810" s="78" t="str">
        <f>IFERROR(VLOOKUP(M3810,INSUMOS!$C$8:$K$928,6,0),"-----")</f>
        <v>-----</v>
      </c>
      <c r="S3810" s="392"/>
      <c r="T3810" s="585" t="str">
        <f>IFERROR(VLOOKUP(M3810,INSUMOS!$C$8:$K$928,7,0),"0")</f>
        <v>0</v>
      </c>
      <c r="U3810" s="586"/>
      <c r="V3810" s="389">
        <f>+IFERROR(T3810*S3810,0)</f>
        <v>0</v>
      </c>
      <c r="Y3810" s="393">
        <f>+IFERROR(Y3805*S3810,0)</f>
        <v>0</v>
      </c>
      <c r="Z3810" s="391">
        <f>Y3805*V3810</f>
        <v>0</v>
      </c>
      <c r="AA3810" s="394"/>
      <c r="AB3810" s="395">
        <f>+Y3810*T3810</f>
        <v>0</v>
      </c>
      <c r="AC3810" s="93">
        <f>+AB3810-Z3810</f>
        <v>0</v>
      </c>
      <c r="AD3810" s="94"/>
      <c r="AE3810" s="386" t="str">
        <f>+IF(V3810=0,"CERO","NO")</f>
        <v>CERO</v>
      </c>
    </row>
    <row r="3811" spans="3:31" s="260" customFormat="1" x14ac:dyDescent="0.25">
      <c r="C3811" s="84"/>
      <c r="D3811" s="85"/>
      <c r="E3811" s="86"/>
      <c r="F3811" s="86"/>
      <c r="G3811" s="86"/>
      <c r="H3811" s="86"/>
      <c r="I3811" s="86"/>
      <c r="J3811" s="87"/>
      <c r="K3811" s="88"/>
      <c r="M3811" s="102"/>
      <c r="N3811" s="530" t="str">
        <f>IFERROR(VLOOKUP(M3811,INSUMOS!$C$8:$K$928,2,0),"-----")</f>
        <v>-----</v>
      </c>
      <c r="O3811" s="531"/>
      <c r="P3811" s="531"/>
      <c r="Q3811" s="532"/>
      <c r="R3811" s="78" t="str">
        <f>IFERROR(VLOOKUP(M3811,INSUMOS!$C$8:$K$928,6,0),"-----")</f>
        <v>-----</v>
      </c>
      <c r="S3811" s="392"/>
      <c r="T3811" s="585" t="str">
        <f>IFERROR(VLOOKUP(M3811,INSUMOS!$C$8:$K$928,7,0),"0")</f>
        <v>0</v>
      </c>
      <c r="U3811" s="586"/>
      <c r="V3811" s="389">
        <f>+IFERROR(T3811*S3811,0)</f>
        <v>0</v>
      </c>
      <c r="Y3811" s="393">
        <f>+IFERROR(Y3805*S3811,0)</f>
        <v>0</v>
      </c>
      <c r="Z3811" s="391">
        <f>Y3805*V3811</f>
        <v>0</v>
      </c>
      <c r="AA3811" s="394"/>
      <c r="AB3811" s="395">
        <f>+Y3811*T3811</f>
        <v>0</v>
      </c>
      <c r="AC3811" s="93">
        <f>+AB3811-Z3811</f>
        <v>0</v>
      </c>
      <c r="AD3811" s="94"/>
      <c r="AE3811" s="386" t="str">
        <f>+IF(V3811=0,"CERO","NO")</f>
        <v>CERO</v>
      </c>
    </row>
    <row r="3812" spans="3:31" s="260" customFormat="1" x14ac:dyDescent="0.25">
      <c r="C3812" s="84"/>
      <c r="D3812" s="85"/>
      <c r="E3812" s="86"/>
      <c r="F3812" s="86"/>
      <c r="G3812" s="86"/>
      <c r="H3812" s="86"/>
      <c r="I3812" s="86"/>
      <c r="J3812" s="87"/>
      <c r="K3812" s="88"/>
      <c r="M3812" s="102">
        <v>0</v>
      </c>
      <c r="N3812" s="530" t="str">
        <f>IFERROR(VLOOKUP(M3812,INSUMOS!$C$8:$K$928,2,0),"-----")</f>
        <v>-----</v>
      </c>
      <c r="O3812" s="531"/>
      <c r="P3812" s="531"/>
      <c r="Q3812" s="532"/>
      <c r="R3812" s="78" t="str">
        <f>IFERROR(VLOOKUP(M3812,INSUMOS!$C$8:$K$928,6,0),"-----")</f>
        <v>-----</v>
      </c>
      <c r="S3812" s="396"/>
      <c r="T3812" s="585"/>
      <c r="U3812" s="586"/>
      <c r="V3812" s="389">
        <f>+IFERROR(T3812*S3812,0)</f>
        <v>0</v>
      </c>
      <c r="Y3812" s="393">
        <f>+IFERROR(Y3805*S3812,0)</f>
        <v>0</v>
      </c>
      <c r="Z3812" s="391">
        <f>Y3805*V3812</f>
        <v>0</v>
      </c>
      <c r="AA3812" s="394"/>
      <c r="AB3812" s="395">
        <f>+Y3812*T3812</f>
        <v>0</v>
      </c>
      <c r="AC3812" s="93">
        <f>+AB3812-Z3812</f>
        <v>0</v>
      </c>
      <c r="AD3812" s="94"/>
      <c r="AE3812" s="386" t="str">
        <f>+IF(V3812=0,"CERO","NO")</f>
        <v>CERO</v>
      </c>
    </row>
    <row r="3813" spans="3:31" s="260" customFormat="1" ht="15.75" thickBot="1" x14ac:dyDescent="0.3">
      <c r="C3813" s="84"/>
      <c r="D3813" s="85"/>
      <c r="E3813" s="86"/>
      <c r="F3813" s="86"/>
      <c r="G3813" s="86"/>
      <c r="H3813" s="86"/>
      <c r="I3813" s="86"/>
      <c r="J3813" s="87"/>
      <c r="K3813" s="88"/>
      <c r="M3813" s="102">
        <v>0</v>
      </c>
      <c r="N3813" s="625"/>
      <c r="O3813" s="626"/>
      <c r="P3813" s="626"/>
      <c r="Q3813" s="627"/>
      <c r="R3813" s="96"/>
      <c r="S3813" s="96"/>
      <c r="T3813" s="635"/>
      <c r="U3813" s="636"/>
      <c r="V3813" s="101"/>
      <c r="Y3813" s="393">
        <f>+IFERROR(Y3805*S3813,0)</f>
        <v>0</v>
      </c>
      <c r="Z3813" s="391">
        <f>Y3805*V3813</f>
        <v>0</v>
      </c>
      <c r="AA3813" s="394"/>
      <c r="AB3813" s="395">
        <f>+Y3813*T3813</f>
        <v>0</v>
      </c>
      <c r="AC3813" s="93">
        <f>+AB3813-Z3813</f>
        <v>0</v>
      </c>
      <c r="AD3813" s="94"/>
      <c r="AE3813" s="386" t="str">
        <f>+IF(V3813=0,"CERO","NO")</f>
        <v>CERO</v>
      </c>
    </row>
    <row r="3814" spans="3:31" s="260" customFormat="1" ht="15.75" thickBot="1" x14ac:dyDescent="0.3">
      <c r="C3814" s="84"/>
      <c r="D3814" s="375" t="s">
        <v>128</v>
      </c>
      <c r="E3814" s="376" t="s">
        <v>129</v>
      </c>
      <c r="F3814" s="376" t="s">
        <v>130</v>
      </c>
      <c r="G3814" s="376" t="s">
        <v>131</v>
      </c>
      <c r="H3814" s="376" t="s">
        <v>132</v>
      </c>
      <c r="I3814" s="376" t="s">
        <v>133</v>
      </c>
      <c r="J3814" s="377" t="s">
        <v>134</v>
      </c>
      <c r="K3814" s="88"/>
      <c r="M3814" s="566"/>
      <c r="N3814" s="629" t="s">
        <v>101</v>
      </c>
      <c r="O3814" s="630"/>
      <c r="P3814" s="630"/>
      <c r="Q3814" s="630"/>
      <c r="R3814" s="630"/>
      <c r="S3814" s="630"/>
      <c r="T3814" s="630"/>
      <c r="U3814" s="631"/>
      <c r="V3814" s="389">
        <f>+SUM(V3809:V3813)</f>
        <v>557.89650000000006</v>
      </c>
      <c r="Y3814" s="398" t="s">
        <v>135</v>
      </c>
      <c r="Z3814" s="397">
        <f>+SUM(Z3809:Z3813)</f>
        <v>80576.991495000009</v>
      </c>
      <c r="AA3814" s="86"/>
      <c r="AB3814" s="384"/>
      <c r="AC3814" s="385"/>
      <c r="AD3814" s="94"/>
      <c r="AE3814" s="399"/>
    </row>
    <row r="3815" spans="3:31" s="260" customFormat="1" ht="15.75" thickBot="1" x14ac:dyDescent="0.3">
      <c r="C3815" s="84"/>
      <c r="D3815" s="375">
        <f>C3805</f>
        <v>4.01</v>
      </c>
      <c r="E3815" s="376"/>
      <c r="F3815" s="376"/>
      <c r="G3815" s="376"/>
      <c r="H3815" s="376"/>
      <c r="I3815" s="376"/>
      <c r="J3815" s="377"/>
      <c r="K3815" s="88"/>
      <c r="M3815" s="628"/>
      <c r="N3815" s="632" t="s">
        <v>102</v>
      </c>
      <c r="O3815" s="633"/>
      <c r="P3815" s="633"/>
      <c r="Q3815" s="633"/>
      <c r="R3815" s="633"/>
      <c r="S3815" s="633"/>
      <c r="T3815" s="633"/>
      <c r="U3815" s="634"/>
      <c r="V3815" s="400">
        <f>+ROUND(V3814,$AA$5)</f>
        <v>557.9</v>
      </c>
      <c r="Y3815" s="401" t="s">
        <v>136</v>
      </c>
      <c r="Z3815" s="402">
        <f>+ROUND(Z3814,$AA$5)</f>
        <v>80576.990000000005</v>
      </c>
      <c r="AA3815" s="86"/>
      <c r="AB3815" s="403">
        <f>+V3815*Y3805</f>
        <v>80577.497000000003</v>
      </c>
      <c r="AC3815" s="404">
        <f>+AB3815-Z3815</f>
        <v>0.50699999999778811</v>
      </c>
      <c r="AD3815" s="94"/>
      <c r="AE3815" s="405"/>
    </row>
    <row r="3816" spans="3:31" s="260" customFormat="1" x14ac:dyDescent="0.25">
      <c r="C3816" s="84"/>
      <c r="D3816" s="380"/>
      <c r="E3816" s="381"/>
      <c r="F3816" s="381"/>
      <c r="G3816" s="381"/>
      <c r="H3816" s="381"/>
      <c r="I3816" s="381"/>
      <c r="J3816" s="382"/>
      <c r="K3816" s="88"/>
      <c r="M3816" s="587" t="s">
        <v>103</v>
      </c>
      <c r="N3816" s="588"/>
      <c r="O3816" s="588"/>
      <c r="P3816" s="588"/>
      <c r="Q3816" s="588"/>
      <c r="R3816" s="588"/>
      <c r="S3816" s="588"/>
      <c r="T3816" s="588"/>
      <c r="U3816" s="588"/>
      <c r="V3816" s="589"/>
      <c r="Y3816" s="378"/>
      <c r="Z3816" s="121"/>
      <c r="AA3816" s="86"/>
      <c r="AB3816" s="576"/>
      <c r="AC3816" s="577"/>
      <c r="AD3816" s="94"/>
      <c r="AE3816" s="126"/>
    </row>
    <row r="3817" spans="3:31" s="260" customFormat="1" x14ac:dyDescent="0.25">
      <c r="C3817" s="84"/>
      <c r="D3817" s="85"/>
      <c r="E3817" s="86"/>
      <c r="F3817" s="86"/>
      <c r="G3817" s="86"/>
      <c r="H3817" s="86"/>
      <c r="I3817" s="86"/>
      <c r="J3817" s="87"/>
      <c r="K3817" s="88"/>
      <c r="M3817" s="99" t="s">
        <v>94</v>
      </c>
      <c r="N3817" s="578" t="s">
        <v>95</v>
      </c>
      <c r="O3817" s="579"/>
      <c r="P3817" s="579"/>
      <c r="Q3817" s="580"/>
      <c r="R3817" s="95" t="s">
        <v>96</v>
      </c>
      <c r="S3817" s="95" t="s">
        <v>104</v>
      </c>
      <c r="T3817" s="356" t="s">
        <v>105</v>
      </c>
      <c r="U3817" s="356" t="s">
        <v>8</v>
      </c>
      <c r="V3817" s="100" t="s">
        <v>98</v>
      </c>
      <c r="Y3817" s="383" t="s">
        <v>104</v>
      </c>
      <c r="Z3817" s="119" t="s">
        <v>9</v>
      </c>
      <c r="AA3817" s="86"/>
      <c r="AB3817" s="384"/>
      <c r="AC3817" s="385"/>
      <c r="AD3817" s="94"/>
      <c r="AE3817" s="406"/>
    </row>
    <row r="3818" spans="3:31" s="260" customFormat="1" x14ac:dyDescent="0.25">
      <c r="C3818" s="84"/>
      <c r="D3818" s="85"/>
      <c r="E3818" s="86"/>
      <c r="F3818" s="86"/>
      <c r="G3818" s="86"/>
      <c r="H3818" s="86"/>
      <c r="I3818" s="86"/>
      <c r="J3818" s="87"/>
      <c r="K3818" s="88"/>
      <c r="M3818" s="102">
        <v>551</v>
      </c>
      <c r="N3818" s="530" t="str">
        <f>IFERROR(VLOOKUP(M3818,INSUMOS!$C$8:$K$928,2,0),"-----")</f>
        <v xml:space="preserve">TUBERIA PVC SANITARIO 4" </v>
      </c>
      <c r="O3818" s="531"/>
      <c r="P3818" s="531"/>
      <c r="Q3818" s="532"/>
      <c r="R3818" s="78" t="str">
        <f>IFERROR(VLOOKUP(M3818,INSUMOS!$C$8:$K$928,6,0),"-----")</f>
        <v>ml</v>
      </c>
      <c r="S3818" s="396">
        <v>1</v>
      </c>
      <c r="T3818" s="387">
        <v>0</v>
      </c>
      <c r="U3818" s="388">
        <f>IFERROR(VLOOKUP(M3818,INSUMOS!$C$8:$K$928,7,0),"0")</f>
        <v>34941.333333333336</v>
      </c>
      <c r="V3818" s="389">
        <f>+IFERROR(U3818*(S3818*(1+T3818)),0)</f>
        <v>34941.333333333336</v>
      </c>
      <c r="Y3818" s="393">
        <f>+IFERROR(Y3805*(S3818*(1+T3818)),0)</f>
        <v>144.43</v>
      </c>
      <c r="Z3818" s="391">
        <f>Y3805*V3818</f>
        <v>5046576.7733333344</v>
      </c>
      <c r="AA3818" s="394"/>
      <c r="AB3818" s="395">
        <f>+Y3818*U3818</f>
        <v>5046576.7733333344</v>
      </c>
      <c r="AC3818" s="93">
        <f>+AB3818-Z3818</f>
        <v>0</v>
      </c>
      <c r="AD3818" s="94"/>
      <c r="AE3818" s="406" t="str">
        <f>+IF(V3818=0,"CERO","NO")</f>
        <v>NO</v>
      </c>
    </row>
    <row r="3819" spans="3:31" s="260" customFormat="1" x14ac:dyDescent="0.25">
      <c r="C3819" s="84"/>
      <c r="D3819" s="85"/>
      <c r="E3819" s="86"/>
      <c r="F3819" s="86"/>
      <c r="G3819" s="86"/>
      <c r="H3819" s="86"/>
      <c r="I3819" s="86"/>
      <c r="J3819" s="87"/>
      <c r="K3819" s="88"/>
      <c r="M3819" s="102">
        <v>699</v>
      </c>
      <c r="N3819" s="530" t="str">
        <f>IFERROR(VLOOKUP(M3819,INSUMOS!$C$8:$K$928,2,0),"-----")</f>
        <v>SOLDADURA PVC LIQUIDA 1/4"</v>
      </c>
      <c r="O3819" s="531"/>
      <c r="P3819" s="531"/>
      <c r="Q3819" s="532"/>
      <c r="R3819" s="78" t="str">
        <f>IFERROR(VLOOKUP(M3819,INSUMOS!$C$8:$K$928,6,0),"-----")</f>
        <v>und</v>
      </c>
      <c r="S3819" s="392">
        <v>0.1</v>
      </c>
      <c r="T3819" s="387">
        <v>0.02</v>
      </c>
      <c r="U3819" s="388">
        <f>IFERROR(VLOOKUP(M3819,INSUMOS!$C$8:$K$928,7,0),"0")</f>
        <v>146569</v>
      </c>
      <c r="V3819" s="389">
        <f>+IFERROR(U3819*(S3819*(1+T3819)),0)</f>
        <v>14950.038</v>
      </c>
      <c r="Y3819" s="393">
        <f>+IFERROR(Y3805*(S3819*(1+T3819)),0)</f>
        <v>14.731860000000001</v>
      </c>
      <c r="Z3819" s="391">
        <f>Y3805*V3819</f>
        <v>2159233.9883400002</v>
      </c>
      <c r="AA3819" s="394"/>
      <c r="AB3819" s="395">
        <f>+Y3819*U3819</f>
        <v>2159233.9883400002</v>
      </c>
      <c r="AC3819" s="93">
        <f>+AB3819-Z3819</f>
        <v>0</v>
      </c>
      <c r="AD3819" s="94"/>
      <c r="AE3819" s="406" t="str">
        <f>+IF(V3819=0,"CERO","NO")</f>
        <v>NO</v>
      </c>
    </row>
    <row r="3820" spans="3:31" s="260" customFormat="1" x14ac:dyDescent="0.25">
      <c r="C3820" s="84"/>
      <c r="D3820" s="85"/>
      <c r="E3820" s="86"/>
      <c r="F3820" s="86"/>
      <c r="G3820" s="86"/>
      <c r="H3820" s="86"/>
      <c r="I3820" s="86"/>
      <c r="J3820" s="87"/>
      <c r="K3820" s="88"/>
      <c r="M3820" s="102">
        <v>700</v>
      </c>
      <c r="N3820" s="530" t="str">
        <f>IFERROR(VLOOKUP(M3820,INSUMOS!$C$8:$K$928,2,0),"-----")</f>
        <v>LIMPIADOR PVC 1/4</v>
      </c>
      <c r="O3820" s="531"/>
      <c r="P3820" s="531"/>
      <c r="Q3820" s="532"/>
      <c r="R3820" s="78" t="str">
        <f>IFERROR(VLOOKUP(M3820,INSUMOS!$C$8:$K$928,6,0),"-----")</f>
        <v>und</v>
      </c>
      <c r="S3820" s="396">
        <v>0.1</v>
      </c>
      <c r="T3820" s="387">
        <v>0.02</v>
      </c>
      <c r="U3820" s="388">
        <f>IFERROR(VLOOKUP(M3820,INSUMOS!$C$8:$K$928,7,0),"0")</f>
        <v>65913</v>
      </c>
      <c r="V3820" s="389">
        <f>+IFERROR(U3820*(S3820*(1+T3820)),0)</f>
        <v>6723.1260000000002</v>
      </c>
      <c r="Y3820" s="393">
        <f>+IFERROR(Y3805*(S3820*(1+T3820)),0)</f>
        <v>14.731860000000001</v>
      </c>
      <c r="Z3820" s="391">
        <f>Y3805*V3820</f>
        <v>971021.08818000008</v>
      </c>
      <c r="AA3820" s="394"/>
      <c r="AB3820" s="395">
        <f>+Y3820*U3820</f>
        <v>971021.08818000008</v>
      </c>
      <c r="AC3820" s="93">
        <f>+AB3820-Z3820</f>
        <v>0</v>
      </c>
      <c r="AD3820" s="94"/>
      <c r="AE3820" s="406" t="str">
        <f>+IF(V3820=0,"CERO","NO")</f>
        <v>NO</v>
      </c>
    </row>
    <row r="3821" spans="3:31" s="260" customFormat="1" x14ac:dyDescent="0.25">
      <c r="C3821" s="84"/>
      <c r="D3821" s="85"/>
      <c r="E3821" s="86"/>
      <c r="F3821" s="86"/>
      <c r="G3821" s="86"/>
      <c r="H3821" s="86"/>
      <c r="I3821" s="86"/>
      <c r="J3821" s="87"/>
      <c r="K3821" s="88"/>
      <c r="M3821" s="102">
        <v>0</v>
      </c>
      <c r="N3821" s="530" t="str">
        <f>IFERROR(VLOOKUP(M3821,INSUMOS!$C$8:$K$928,2,0),"-----")</f>
        <v>-----</v>
      </c>
      <c r="O3821" s="531"/>
      <c r="P3821" s="531"/>
      <c r="Q3821" s="532"/>
      <c r="R3821" s="78" t="str">
        <f>IFERROR(VLOOKUP(M3821,INSUMOS!$C$8:$K$928,6,0),"-----")</f>
        <v>-----</v>
      </c>
      <c r="S3821" s="396"/>
      <c r="T3821" s="387"/>
      <c r="U3821" s="388" t="str">
        <f>IFERROR(VLOOKUP(M3821,INSUMOS!$C$8:$K$928,7,0),"0")</f>
        <v>0</v>
      </c>
      <c r="V3821" s="389">
        <f>+IFERROR(U3821*(S3821*(1+T3821)),0)</f>
        <v>0</v>
      </c>
      <c r="Y3821" s="393">
        <f>+IFERROR(Y3805*(S3821*(1+T3821)),0)</f>
        <v>0</v>
      </c>
      <c r="Z3821" s="391">
        <f>Y3805*V3821</f>
        <v>0</v>
      </c>
      <c r="AA3821" s="394"/>
      <c r="AB3821" s="395">
        <f>+Y3821*U3821</f>
        <v>0</v>
      </c>
      <c r="AC3821" s="93">
        <f>+AB3821-Z3821</f>
        <v>0</v>
      </c>
      <c r="AD3821" s="94"/>
      <c r="AE3821" s="406" t="str">
        <f>+IF(V3821=0,"CERO","NO")</f>
        <v>CERO</v>
      </c>
    </row>
    <row r="3822" spans="3:31" s="260" customFormat="1" ht="15.75" thickBot="1" x14ac:dyDescent="0.3">
      <c r="C3822" s="84"/>
      <c r="D3822" s="85"/>
      <c r="E3822" s="86"/>
      <c r="F3822" s="86"/>
      <c r="G3822" s="86"/>
      <c r="H3822" s="86"/>
      <c r="I3822" s="86"/>
      <c r="J3822" s="87"/>
      <c r="K3822" s="88"/>
      <c r="M3822" s="102">
        <v>0</v>
      </c>
      <c r="N3822" s="625"/>
      <c r="O3822" s="626"/>
      <c r="P3822" s="626"/>
      <c r="Q3822" s="627"/>
      <c r="R3822" s="96"/>
      <c r="S3822" s="79"/>
      <c r="T3822" s="97"/>
      <c r="U3822" s="358"/>
      <c r="V3822" s="397"/>
      <c r="Y3822" s="393">
        <f>+IFERROR(Y3805*(S3822*(1+T3822)),0)</f>
        <v>0</v>
      </c>
      <c r="Z3822" s="391">
        <f>Y3805*V3822</f>
        <v>0</v>
      </c>
      <c r="AA3822" s="394"/>
      <c r="AB3822" s="395">
        <f>+Y3822*U3822</f>
        <v>0</v>
      </c>
      <c r="AC3822" s="93">
        <f>+AB3822-Z3822</f>
        <v>0</v>
      </c>
      <c r="AD3822" s="94"/>
      <c r="AE3822" s="406" t="str">
        <f>+IF(V3822=0,"CERO","NO")</f>
        <v>CERO</v>
      </c>
    </row>
    <row r="3823" spans="3:31" s="260" customFormat="1" ht="15.75" thickBot="1" x14ac:dyDescent="0.3">
      <c r="C3823" s="84"/>
      <c r="D3823" s="375" t="s">
        <v>128</v>
      </c>
      <c r="E3823" s="376" t="s">
        <v>129</v>
      </c>
      <c r="F3823" s="376" t="s">
        <v>130</v>
      </c>
      <c r="G3823" s="376" t="s">
        <v>131</v>
      </c>
      <c r="H3823" s="376" t="s">
        <v>132</v>
      </c>
      <c r="I3823" s="376" t="s">
        <v>133</v>
      </c>
      <c r="J3823" s="377" t="s">
        <v>134</v>
      </c>
      <c r="K3823" s="88"/>
      <c r="M3823" s="566"/>
      <c r="N3823" s="629" t="s">
        <v>106</v>
      </c>
      <c r="O3823" s="630"/>
      <c r="P3823" s="630"/>
      <c r="Q3823" s="630"/>
      <c r="R3823" s="630"/>
      <c r="S3823" s="630"/>
      <c r="T3823" s="630"/>
      <c r="U3823" s="631"/>
      <c r="V3823" s="389">
        <f>+SUM(V3818:V3822)</f>
        <v>56614.497333333333</v>
      </c>
      <c r="Y3823" s="398" t="s">
        <v>135</v>
      </c>
      <c r="Z3823" s="397">
        <f>+SUM(Z3818:Z3822)</f>
        <v>8176831.8498533349</v>
      </c>
      <c r="AA3823" s="86"/>
      <c r="AB3823" s="384"/>
      <c r="AC3823" s="385"/>
      <c r="AD3823" s="94"/>
      <c r="AE3823" s="399"/>
    </row>
    <row r="3824" spans="3:31" s="260" customFormat="1" ht="15.75" thickBot="1" x14ac:dyDescent="0.3">
      <c r="C3824" s="84"/>
      <c r="D3824" s="375"/>
      <c r="E3824" s="407">
        <f>+D3815</f>
        <v>4.01</v>
      </c>
      <c r="F3824" s="376"/>
      <c r="G3824" s="376"/>
      <c r="H3824" s="376"/>
      <c r="I3824" s="376"/>
      <c r="J3824" s="377"/>
      <c r="K3824" s="88"/>
      <c r="M3824" s="628"/>
      <c r="N3824" s="632" t="s">
        <v>107</v>
      </c>
      <c r="O3824" s="633"/>
      <c r="P3824" s="633"/>
      <c r="Q3824" s="633"/>
      <c r="R3824" s="633"/>
      <c r="S3824" s="633"/>
      <c r="T3824" s="633"/>
      <c r="U3824" s="634"/>
      <c r="V3824" s="408">
        <f>+ROUND(V3823,$AA$5)</f>
        <v>56614.5</v>
      </c>
      <c r="Y3824" s="401" t="s">
        <v>136</v>
      </c>
      <c r="Z3824" s="402">
        <f>+ROUND(Z3823,$AA$5)</f>
        <v>8176831.8499999996</v>
      </c>
      <c r="AA3824" s="86"/>
      <c r="AB3824" s="403">
        <f>+V3824*Y3805</f>
        <v>8176832.2350000003</v>
      </c>
      <c r="AC3824" s="404">
        <f>+AB3824-Z3824</f>
        <v>0.38500000070780516</v>
      </c>
      <c r="AD3824" s="94"/>
      <c r="AE3824" s="405"/>
    </row>
    <row r="3825" spans="3:31" s="260" customFormat="1" x14ac:dyDescent="0.25">
      <c r="C3825" s="84"/>
      <c r="D3825" s="380"/>
      <c r="E3825" s="381"/>
      <c r="F3825" s="381"/>
      <c r="G3825" s="381"/>
      <c r="H3825" s="381"/>
      <c r="I3825" s="381"/>
      <c r="J3825" s="382"/>
      <c r="K3825" s="88"/>
      <c r="M3825" s="640" t="s">
        <v>108</v>
      </c>
      <c r="N3825" s="641"/>
      <c r="O3825" s="641"/>
      <c r="P3825" s="641"/>
      <c r="Q3825" s="641"/>
      <c r="R3825" s="641"/>
      <c r="S3825" s="641"/>
      <c r="T3825" s="641"/>
      <c r="U3825" s="641"/>
      <c r="V3825" s="642"/>
      <c r="Y3825" s="378"/>
      <c r="Z3825" s="121"/>
      <c r="AA3825" s="86"/>
      <c r="AB3825" s="409"/>
      <c r="AC3825" s="121"/>
      <c r="AD3825" s="94"/>
      <c r="AE3825" s="126"/>
    </row>
    <row r="3826" spans="3:31" s="260" customFormat="1" ht="25.5" x14ac:dyDescent="0.25">
      <c r="C3826" s="84"/>
      <c r="D3826" s="85"/>
      <c r="E3826" s="86"/>
      <c r="F3826" s="86"/>
      <c r="G3826" s="86"/>
      <c r="H3826" s="86"/>
      <c r="I3826" s="86"/>
      <c r="J3826" s="87"/>
      <c r="K3826" s="88"/>
      <c r="M3826" s="99" t="s">
        <v>94</v>
      </c>
      <c r="N3826" s="578" t="s">
        <v>95</v>
      </c>
      <c r="O3826" s="579"/>
      <c r="P3826" s="580"/>
      <c r="Q3826" s="95" t="s">
        <v>109</v>
      </c>
      <c r="R3826" s="95" t="s">
        <v>110</v>
      </c>
      <c r="S3826" s="95" t="s">
        <v>111</v>
      </c>
      <c r="T3826" s="581" t="s">
        <v>112</v>
      </c>
      <c r="U3826" s="582"/>
      <c r="V3826" s="100" t="s">
        <v>98</v>
      </c>
      <c r="Y3826" s="383" t="s">
        <v>104</v>
      </c>
      <c r="Z3826" s="119" t="s">
        <v>9</v>
      </c>
      <c r="AA3826" s="86"/>
      <c r="AB3826" s="384"/>
      <c r="AC3826" s="385"/>
      <c r="AD3826" s="94"/>
      <c r="AE3826" s="410"/>
    </row>
    <row r="3827" spans="3:31" s="260" customFormat="1" x14ac:dyDescent="0.25">
      <c r="C3827" s="84"/>
      <c r="D3827" s="85"/>
      <c r="E3827" s="86"/>
      <c r="F3827" s="86"/>
      <c r="G3827" s="86"/>
      <c r="H3827" s="86"/>
      <c r="I3827" s="86"/>
      <c r="J3827" s="87"/>
      <c r="K3827" s="88"/>
      <c r="M3827" s="102">
        <v>129</v>
      </c>
      <c r="N3827" s="530" t="str">
        <f>IFERROR(VLOOKUP(M3827,INSUMOS!$C$8:$K$928,2,0),"-----")</f>
        <v>transporte materiales en general</v>
      </c>
      <c r="O3827" s="531"/>
      <c r="P3827" s="532"/>
      <c r="Q3827" s="78" t="str">
        <f>IFERROR(VLOOKUP(M3827,INSUMOS!$C$8:$K$928,5,0),"-----")</f>
        <v>Km</v>
      </c>
      <c r="R3827" s="80">
        <v>1</v>
      </c>
      <c r="S3827" s="80">
        <f>IFERROR(VLOOKUP(M3827,INSUMOS!$C$8:$K$928,6,0),"0")</f>
        <v>348</v>
      </c>
      <c r="T3827" s="585">
        <f>IFERROR(VLOOKUP(M3827,INSUMOS!$C$8:$K$928,7,0),"0")</f>
        <v>0.99776362060288992</v>
      </c>
      <c r="U3827" s="586"/>
      <c r="V3827" s="82">
        <f>+T3827*S3827*R3827</f>
        <v>347.2217399698057</v>
      </c>
      <c r="Y3827" s="393">
        <f>+IFERROR((R3827*S3827)*Y3805,0)</f>
        <v>50261.64</v>
      </c>
      <c r="Z3827" s="391">
        <f>Y3805*V3827</f>
        <v>50149.235903839042</v>
      </c>
      <c r="AA3827" s="86"/>
      <c r="AB3827" s="92">
        <f>+Y3827*T3827</f>
        <v>50149.235903839035</v>
      </c>
      <c r="AC3827" s="93">
        <f>+AB3827-Z3827</f>
        <v>0</v>
      </c>
      <c r="AD3827" s="94"/>
      <c r="AE3827" s="406" t="str">
        <f>+IF(V3827=0,"CERO","NO")</f>
        <v>NO</v>
      </c>
    </row>
    <row r="3828" spans="3:31" s="260" customFormat="1" x14ac:dyDescent="0.25">
      <c r="C3828" s="84"/>
      <c r="D3828" s="85"/>
      <c r="E3828" s="86"/>
      <c r="F3828" s="86"/>
      <c r="G3828" s="86"/>
      <c r="H3828" s="86"/>
      <c r="I3828" s="86"/>
      <c r="J3828" s="87"/>
      <c r="K3828" s="88"/>
      <c r="M3828" s="102">
        <v>0</v>
      </c>
      <c r="N3828" s="530" t="str">
        <f>IFERROR(VLOOKUP(M3828,INSUMOS!$C$8:$K$928,2,0),"-----")</f>
        <v>-----</v>
      </c>
      <c r="O3828" s="531"/>
      <c r="P3828" s="532"/>
      <c r="Q3828" s="78" t="str">
        <f>IFERROR(VLOOKUP(M3828,INSUMOS!$C$8:$K$928,5,0),"-----")</f>
        <v>-----</v>
      </c>
      <c r="R3828" s="80"/>
      <c r="S3828" s="80" t="str">
        <f>IFERROR(VLOOKUP(M3828,INSUMOS!$C$8:$K$928,6,0),"0")</f>
        <v>0</v>
      </c>
      <c r="T3828" s="585" t="str">
        <f>IFERROR(VLOOKUP(M3828,INSUMOS!$C$8:$K$928,7,0),"0")</f>
        <v>0</v>
      </c>
      <c r="U3828" s="586"/>
      <c r="V3828" s="82">
        <f>+T3828*S3828*R3828</f>
        <v>0</v>
      </c>
      <c r="Y3828" s="393">
        <f>+IFERROR((R3828*S3828)*Y3805,0)</f>
        <v>0</v>
      </c>
      <c r="Z3828" s="391">
        <f>Y3805*V3828</f>
        <v>0</v>
      </c>
      <c r="AA3828" s="86"/>
      <c r="AB3828" s="92">
        <f>+Y3828*T3828</f>
        <v>0</v>
      </c>
      <c r="AC3828" s="93">
        <f>+AB3828-Z3828</f>
        <v>0</v>
      </c>
      <c r="AD3828" s="94"/>
      <c r="AE3828" s="406" t="str">
        <f>+IF(V3828=0,"CERO","NO")</f>
        <v>CERO</v>
      </c>
    </row>
    <row r="3829" spans="3:31" s="260" customFormat="1" x14ac:dyDescent="0.25">
      <c r="C3829" s="84"/>
      <c r="D3829" s="85"/>
      <c r="E3829" s="86"/>
      <c r="F3829" s="86"/>
      <c r="G3829" s="86"/>
      <c r="H3829" s="86"/>
      <c r="I3829" s="86"/>
      <c r="J3829" s="87"/>
      <c r="K3829" s="88"/>
      <c r="M3829" s="102">
        <v>0</v>
      </c>
      <c r="N3829" s="530" t="str">
        <f>IFERROR(VLOOKUP(M3829,INSUMOS!$C$8:$K$928,2,0),"-----")</f>
        <v>-----</v>
      </c>
      <c r="O3829" s="531"/>
      <c r="P3829" s="532"/>
      <c r="Q3829" s="78" t="str">
        <f>IFERROR(VLOOKUP(M3829,INSUMOS!$C$8:$K$928,5,0),"-----")</f>
        <v>-----</v>
      </c>
      <c r="R3829" s="80"/>
      <c r="S3829" s="80" t="str">
        <f>IFERROR(VLOOKUP(M3829,INSUMOS!$C$8:$K$928,6,0),"0")</f>
        <v>0</v>
      </c>
      <c r="T3829" s="585" t="str">
        <f>IFERROR(VLOOKUP(M3829,INSUMOS!$C$8:$K$928,7,0),"0")</f>
        <v>0</v>
      </c>
      <c r="U3829" s="586"/>
      <c r="V3829" s="82">
        <f>+T3829*S3829*R3829</f>
        <v>0</v>
      </c>
      <c r="Y3829" s="393">
        <f>+IFERROR((R3829*S3829)*Y3805,0)</f>
        <v>0</v>
      </c>
      <c r="Z3829" s="391">
        <f>Y3805*V3829</f>
        <v>0</v>
      </c>
      <c r="AA3829" s="86"/>
      <c r="AB3829" s="92">
        <f>+Y3829*T3829</f>
        <v>0</v>
      </c>
      <c r="AC3829" s="93">
        <f>+AB3829-Z3829</f>
        <v>0</v>
      </c>
      <c r="AD3829" s="94"/>
      <c r="AE3829" s="406" t="str">
        <f>+IF(V3829=0,"CERO","NO")</f>
        <v>CERO</v>
      </c>
    </row>
    <row r="3830" spans="3:31" s="260" customFormat="1" ht="15.75" thickBot="1" x14ac:dyDescent="0.3">
      <c r="C3830" s="84"/>
      <c r="D3830" s="89"/>
      <c r="E3830" s="90"/>
      <c r="F3830" s="90"/>
      <c r="G3830" s="90"/>
      <c r="H3830" s="90"/>
      <c r="I3830" s="90"/>
      <c r="J3830" s="91"/>
      <c r="K3830" s="88"/>
      <c r="M3830" s="102">
        <v>0</v>
      </c>
      <c r="N3830" s="530"/>
      <c r="O3830" s="531"/>
      <c r="P3830" s="532"/>
      <c r="Q3830" s="79"/>
      <c r="R3830" s="78"/>
      <c r="S3830" s="81"/>
      <c r="T3830" s="585"/>
      <c r="U3830" s="586"/>
      <c r="V3830" s="82"/>
      <c r="Y3830" s="393">
        <f>+IFERROR((R3830*S3830)*Y3805,0)</f>
        <v>0</v>
      </c>
      <c r="Z3830" s="391">
        <f>Y3805*V3830</f>
        <v>0</v>
      </c>
      <c r="AA3830" s="86"/>
      <c r="AB3830" s="92">
        <f>+Y3830*T3830</f>
        <v>0</v>
      </c>
      <c r="AC3830" s="93">
        <f>+AB3830-Z3830</f>
        <v>0</v>
      </c>
      <c r="AD3830" s="94"/>
      <c r="AE3830" s="406" t="str">
        <f>+IF(V3830=0,"CERO","NO")</f>
        <v>CERO</v>
      </c>
    </row>
    <row r="3831" spans="3:31" s="260" customFormat="1" ht="15.75" thickBot="1" x14ac:dyDescent="0.3">
      <c r="C3831" s="84"/>
      <c r="D3831" s="375" t="s">
        <v>128</v>
      </c>
      <c r="E3831" s="376" t="s">
        <v>129</v>
      </c>
      <c r="F3831" s="376" t="s">
        <v>130</v>
      </c>
      <c r="G3831" s="376" t="s">
        <v>131</v>
      </c>
      <c r="H3831" s="376" t="s">
        <v>132</v>
      </c>
      <c r="I3831" s="376" t="s">
        <v>133</v>
      </c>
      <c r="J3831" s="377" t="s">
        <v>134</v>
      </c>
      <c r="K3831" s="88"/>
      <c r="M3831" s="566"/>
      <c r="N3831" s="629" t="s">
        <v>113</v>
      </c>
      <c r="O3831" s="630"/>
      <c r="P3831" s="630"/>
      <c r="Q3831" s="630"/>
      <c r="R3831" s="630"/>
      <c r="S3831" s="630"/>
      <c r="T3831" s="630"/>
      <c r="U3831" s="631"/>
      <c r="V3831" s="411">
        <f>+SUM(V3827:V3830)</f>
        <v>347.2217399698057</v>
      </c>
      <c r="Y3831" s="398" t="s">
        <v>135</v>
      </c>
      <c r="Z3831" s="397">
        <f>+SUM(Z3827:Z3830)</f>
        <v>50149.235903839042</v>
      </c>
      <c r="AA3831" s="86"/>
      <c r="AB3831" s="384"/>
      <c r="AC3831" s="385"/>
      <c r="AD3831" s="94"/>
      <c r="AE3831" s="399"/>
    </row>
    <row r="3832" spans="3:31" s="260" customFormat="1" ht="15.75" thickBot="1" x14ac:dyDescent="0.3">
      <c r="C3832" s="84"/>
      <c r="D3832" s="355"/>
      <c r="E3832" s="367"/>
      <c r="F3832" s="412">
        <f>+E3824</f>
        <v>4.01</v>
      </c>
      <c r="G3832" s="367"/>
      <c r="H3832" s="367"/>
      <c r="I3832" s="367"/>
      <c r="J3832" s="368"/>
      <c r="K3832" s="88"/>
      <c r="M3832" s="628"/>
      <c r="N3832" s="632" t="s">
        <v>114</v>
      </c>
      <c r="O3832" s="633"/>
      <c r="P3832" s="633"/>
      <c r="Q3832" s="633"/>
      <c r="R3832" s="633"/>
      <c r="S3832" s="633"/>
      <c r="T3832" s="633"/>
      <c r="U3832" s="634"/>
      <c r="V3832" s="413">
        <f>+ROUND(V3831,$AA$5)</f>
        <v>347.22</v>
      </c>
      <c r="Y3832" s="401" t="s">
        <v>136</v>
      </c>
      <c r="Z3832" s="402">
        <f>+ROUND(Z3831,$AA$5)</f>
        <v>50149.24</v>
      </c>
      <c r="AA3832" s="86"/>
      <c r="AB3832" s="403">
        <f>+V3832*Y3805</f>
        <v>50148.984600000003</v>
      </c>
      <c r="AC3832" s="414"/>
      <c r="AD3832" s="94"/>
      <c r="AE3832" s="405"/>
    </row>
    <row r="3833" spans="3:31" s="260" customFormat="1" ht="15.75" thickBot="1" x14ac:dyDescent="0.3">
      <c r="C3833" s="84"/>
      <c r="D3833" s="415"/>
      <c r="E3833" s="416"/>
      <c r="F3833" s="416"/>
      <c r="G3833" s="416"/>
      <c r="H3833" s="416"/>
      <c r="I3833" s="416"/>
      <c r="J3833" s="417"/>
      <c r="K3833" s="88"/>
      <c r="M3833" s="637" t="s">
        <v>115</v>
      </c>
      <c r="N3833" s="638"/>
      <c r="O3833" s="638"/>
      <c r="P3833" s="638"/>
      <c r="Q3833" s="638"/>
      <c r="R3833" s="638"/>
      <c r="S3833" s="638"/>
      <c r="T3833" s="638"/>
      <c r="U3833" s="638"/>
      <c r="V3833" s="639"/>
      <c r="Y3833" s="378"/>
      <c r="Z3833" s="121"/>
      <c r="AA3833" s="86"/>
      <c r="AB3833" s="409"/>
      <c r="AC3833" s="121"/>
      <c r="AD3833" s="94"/>
      <c r="AE3833" s="126"/>
    </row>
    <row r="3834" spans="3:31" s="260" customFormat="1" ht="15.75" thickBot="1" x14ac:dyDescent="0.3">
      <c r="C3834" s="84"/>
      <c r="D3834" s="375" t="s">
        <v>128</v>
      </c>
      <c r="E3834" s="376" t="s">
        <v>129</v>
      </c>
      <c r="F3834" s="376" t="s">
        <v>130</v>
      </c>
      <c r="G3834" s="376" t="s">
        <v>131</v>
      </c>
      <c r="H3834" s="376" t="s">
        <v>132</v>
      </c>
      <c r="I3834" s="376" t="s">
        <v>133</v>
      </c>
      <c r="J3834" s="377" t="s">
        <v>134</v>
      </c>
      <c r="K3834" s="88"/>
      <c r="M3834" s="99" t="s">
        <v>94</v>
      </c>
      <c r="N3834" s="98" t="s">
        <v>95</v>
      </c>
      <c r="O3834" s="95" t="s">
        <v>96</v>
      </c>
      <c r="P3834" s="359" t="s">
        <v>104</v>
      </c>
      <c r="Q3834" s="95" t="s">
        <v>116</v>
      </c>
      <c r="R3834" s="418" t="s">
        <v>117</v>
      </c>
      <c r="S3834" s="95" t="s">
        <v>347</v>
      </c>
      <c r="T3834" s="419" t="s">
        <v>118</v>
      </c>
      <c r="U3834" s="189" t="s">
        <v>119</v>
      </c>
      <c r="V3834" s="100" t="s">
        <v>98</v>
      </c>
      <c r="Y3834" s="383" t="s">
        <v>104</v>
      </c>
      <c r="Z3834" s="119" t="s">
        <v>9</v>
      </c>
      <c r="AA3834" s="86"/>
      <c r="AB3834" s="384"/>
      <c r="AC3834" s="385"/>
      <c r="AD3834" s="94"/>
      <c r="AE3834" s="410"/>
    </row>
    <row r="3835" spans="3:31" s="260" customFormat="1" ht="25.5" x14ac:dyDescent="0.25">
      <c r="C3835" s="84"/>
      <c r="D3835" s="354"/>
      <c r="E3835" s="96"/>
      <c r="F3835" s="96"/>
      <c r="G3835" s="96"/>
      <c r="H3835" s="96"/>
      <c r="I3835" s="96"/>
      <c r="J3835" s="420">
        <f>+F3832</f>
        <v>4.01</v>
      </c>
      <c r="K3835" s="88"/>
      <c r="M3835" s="102">
        <v>207</v>
      </c>
      <c r="N3835" s="347" t="str">
        <f>IFERROR(VLOOKUP(M3835,INSUMOS!$C$8:$K$928,2,0),"-----")</f>
        <v>Oficial Hidrosanitario</v>
      </c>
      <c r="O3835" s="78" t="str">
        <f>IFERROR(VLOOKUP(M3835,INSUMOS!$C$8:$K$928,3,0),"-----")</f>
        <v>JORNAL+PS</v>
      </c>
      <c r="P3835" s="80">
        <v>1</v>
      </c>
      <c r="Q3835" s="79">
        <v>15</v>
      </c>
      <c r="R3835" s="190">
        <f>IFERROR(VLOOKUP(M3835,INSUMOS!$C$8:$K$928,4,0),"-----")</f>
        <v>92983</v>
      </c>
      <c r="S3835" s="190">
        <f>IFERROR(VLOOKUP(M3835,INSUMOS!$C$8:$K$928,6,0),"-----")</f>
        <v>74386</v>
      </c>
      <c r="T3835" s="190">
        <f>IFERROR(VLOOKUP(M3835,INSUMOS!$C$8:$K$928,5,0),"-----")</f>
        <v>0</v>
      </c>
      <c r="U3835" s="388">
        <f>SUM(R3835:T3835)</f>
        <v>167369</v>
      </c>
      <c r="V3835" s="82">
        <f>+IFERROR((P3835/Q3835)*U3835,0)</f>
        <v>11157.933333333332</v>
      </c>
      <c r="Y3835" s="393">
        <f>+IFERROR((Y3805/Q3835*P3835),0)</f>
        <v>9.6286666666666676</v>
      </c>
      <c r="Z3835" s="391">
        <f>Y3805*V3835</f>
        <v>1611540.3113333334</v>
      </c>
      <c r="AA3835" s="86"/>
      <c r="AB3835" s="92">
        <f>+(U3835)*Y3835</f>
        <v>1611540.3113333334</v>
      </c>
      <c r="AC3835" s="93">
        <f>+AB3835-Z3835</f>
        <v>0</v>
      </c>
      <c r="AD3835" s="421"/>
      <c r="AE3835" s="410" t="str">
        <f>+IF(V3835=0,"CERO","NO")</f>
        <v>NO</v>
      </c>
    </row>
    <row r="3836" spans="3:31" s="260" customFormat="1" ht="15.75" thickBot="1" x14ac:dyDescent="0.3">
      <c r="C3836" s="84"/>
      <c r="D3836" s="355"/>
      <c r="E3836" s="367"/>
      <c r="F3836" s="367"/>
      <c r="G3836" s="367"/>
      <c r="H3836" s="367"/>
      <c r="I3836" s="367"/>
      <c r="J3836" s="422">
        <f>+J3835</f>
        <v>4.01</v>
      </c>
      <c r="K3836" s="88"/>
      <c r="M3836" s="102"/>
      <c r="N3836" s="347" t="str">
        <f>IFERROR(VLOOKUP(M3836,INSUMOS!$C$8:$K$928,2,0),"-----")</f>
        <v>-----</v>
      </c>
      <c r="O3836" s="78" t="str">
        <f>IFERROR(VLOOKUP(M3836,INSUMOS!$C$8:$K$928,3,0),"-----")</f>
        <v>-----</v>
      </c>
      <c r="P3836" s="80"/>
      <c r="Q3836" s="79"/>
      <c r="R3836" s="190" t="str">
        <f>IFERROR(VLOOKUP(M3836,INSUMOS!$C$8:$K$928,4,0),"-----")</f>
        <v>-----</v>
      </c>
      <c r="S3836" s="190" t="str">
        <f>IFERROR(VLOOKUP(M3836,INSUMOS!$C$8:$K$928,6,0),"-----")</f>
        <v>-----</v>
      </c>
      <c r="T3836" s="190" t="str">
        <f>IFERROR(VLOOKUP(M3836,INSUMOS!$C$8:$K$928,5,0),"-----")</f>
        <v>-----</v>
      </c>
      <c r="U3836" s="388">
        <f>SUM(R3836:T3836)</f>
        <v>0</v>
      </c>
      <c r="V3836" s="82">
        <f>+IFERROR((P3836/Q3836)*U3836,0)</f>
        <v>0</v>
      </c>
      <c r="Y3836" s="393">
        <f>+IFERROR((Y3805/Q3836*P3836),0)</f>
        <v>0</v>
      </c>
      <c r="Z3836" s="391">
        <f>Y3805*V3836</f>
        <v>0</v>
      </c>
      <c r="AA3836" s="86"/>
      <c r="AB3836" s="92">
        <f>+U3836*Y3836</f>
        <v>0</v>
      </c>
      <c r="AC3836" s="93">
        <f>+AB3836-Z3836</f>
        <v>0</v>
      </c>
      <c r="AD3836" s="94"/>
      <c r="AE3836" s="410" t="str">
        <f>+IF(V3836=0,"CERO","NO")</f>
        <v>CERO</v>
      </c>
    </row>
    <row r="3837" spans="3:31" s="260" customFormat="1" ht="15.75" thickBot="1" x14ac:dyDescent="0.3">
      <c r="C3837" s="84"/>
      <c r="D3837" s="380"/>
      <c r="E3837" s="381"/>
      <c r="F3837" s="381"/>
      <c r="G3837" s="381"/>
      <c r="H3837" s="381"/>
      <c r="I3837" s="381"/>
      <c r="J3837" s="382"/>
      <c r="K3837" s="88"/>
      <c r="M3837" s="102">
        <v>0</v>
      </c>
      <c r="N3837" s="347"/>
      <c r="O3837" s="79"/>
      <c r="P3837" s="423"/>
      <c r="Q3837" s="81"/>
      <c r="R3837" s="111"/>
      <c r="S3837" s="357"/>
      <c r="T3837" s="111"/>
      <c r="U3837" s="388"/>
      <c r="V3837" s="426"/>
      <c r="Y3837" s="393">
        <f>+IFERROR((Y3805/Q3837*P3837),0)</f>
        <v>0</v>
      </c>
      <c r="Z3837" s="391">
        <f>Y3805*V3837</f>
        <v>0</v>
      </c>
      <c r="AA3837" s="86"/>
      <c r="AB3837" s="92">
        <f>+(U3837)*Y3837*P3837</f>
        <v>0</v>
      </c>
      <c r="AC3837" s="93">
        <f>+AB3837-Z3837</f>
        <v>0</v>
      </c>
      <c r="AD3837" s="94"/>
      <c r="AE3837" s="410" t="str">
        <f>+IF(V3837=0,"CERO","NO")</f>
        <v>CERO</v>
      </c>
    </row>
    <row r="3838" spans="3:31" s="260" customFormat="1" ht="15.75" thickBot="1" x14ac:dyDescent="0.3">
      <c r="C3838" s="84"/>
      <c r="D3838" s="375" t="s">
        <v>128</v>
      </c>
      <c r="E3838" s="376" t="s">
        <v>129</v>
      </c>
      <c r="F3838" s="376" t="s">
        <v>130</v>
      </c>
      <c r="G3838" s="376" t="s">
        <v>131</v>
      </c>
      <c r="H3838" s="376" t="s">
        <v>132</v>
      </c>
      <c r="I3838" s="376" t="s">
        <v>133</v>
      </c>
      <c r="J3838" s="377" t="s">
        <v>134</v>
      </c>
      <c r="K3838" s="88"/>
      <c r="M3838" s="566"/>
      <c r="N3838" s="629" t="s">
        <v>120</v>
      </c>
      <c r="O3838" s="630"/>
      <c r="P3838" s="630"/>
      <c r="Q3838" s="630"/>
      <c r="R3838" s="630"/>
      <c r="S3838" s="630"/>
      <c r="T3838" s="630"/>
      <c r="U3838" s="631"/>
      <c r="V3838" s="82">
        <f>+SUM(V3835:V3837)</f>
        <v>11157.933333333332</v>
      </c>
      <c r="Y3838" s="398" t="s">
        <v>135</v>
      </c>
      <c r="Z3838" s="397">
        <f>+SUM(Z3835:Z3837)</f>
        <v>1611540.3113333334</v>
      </c>
      <c r="AA3838" s="86"/>
      <c r="AB3838" s="384"/>
      <c r="AC3838" s="385"/>
      <c r="AD3838" s="94"/>
      <c r="AE3838" s="399"/>
    </row>
    <row r="3839" spans="3:31" s="260" customFormat="1" ht="15.75" thickBot="1" x14ac:dyDescent="0.3">
      <c r="C3839" s="84"/>
      <c r="D3839" s="354"/>
      <c r="E3839" s="96"/>
      <c r="F3839" s="96"/>
      <c r="G3839" s="107">
        <f>+F3832</f>
        <v>4.01</v>
      </c>
      <c r="H3839" s="96"/>
      <c r="I3839" s="96"/>
      <c r="J3839" s="427"/>
      <c r="K3839" s="88"/>
      <c r="M3839" s="628"/>
      <c r="N3839" s="632" t="s">
        <v>121</v>
      </c>
      <c r="O3839" s="633"/>
      <c r="P3839" s="633"/>
      <c r="Q3839" s="633"/>
      <c r="R3839" s="633"/>
      <c r="S3839" s="633"/>
      <c r="T3839" s="633"/>
      <c r="U3839" s="634"/>
      <c r="V3839" s="413">
        <f>+ROUND(V3838,$AA$5)</f>
        <v>11157.93</v>
      </c>
      <c r="Y3839" s="401" t="s">
        <v>136</v>
      </c>
      <c r="Z3839" s="402">
        <f>+ROUND(Z3838,$AA$5)</f>
        <v>1611540.31</v>
      </c>
      <c r="AA3839" s="86"/>
      <c r="AB3839" s="403">
        <f>+V3839*Y3805</f>
        <v>1611539.8299</v>
      </c>
      <c r="AC3839" s="404">
        <f>+AB3839-Z3839</f>
        <v>-0.48010000004433095</v>
      </c>
      <c r="AD3839" s="94"/>
      <c r="AE3839" s="405"/>
    </row>
    <row r="3840" spans="3:31" s="260" customFormat="1" ht="15.75" thickBot="1" x14ac:dyDescent="0.3">
      <c r="C3840" s="84"/>
      <c r="D3840" s="375" t="s">
        <v>128</v>
      </c>
      <c r="E3840" s="376" t="s">
        <v>129</v>
      </c>
      <c r="F3840" s="376" t="s">
        <v>130</v>
      </c>
      <c r="G3840" s="376" t="s">
        <v>131</v>
      </c>
      <c r="H3840" s="376" t="s">
        <v>132</v>
      </c>
      <c r="I3840" s="376" t="s">
        <v>133</v>
      </c>
      <c r="J3840" s="377" t="s">
        <v>134</v>
      </c>
      <c r="K3840" s="88"/>
      <c r="M3840" s="654"/>
      <c r="N3840" s="655"/>
      <c r="O3840" s="655"/>
      <c r="P3840" s="655"/>
      <c r="Q3840" s="655"/>
      <c r="R3840" s="655"/>
      <c r="S3840" s="655"/>
      <c r="T3840" s="655"/>
      <c r="U3840" s="655"/>
      <c r="V3840" s="656"/>
      <c r="Y3840" s="378"/>
      <c r="Z3840" s="121"/>
      <c r="AA3840" s="86"/>
      <c r="AB3840" s="409"/>
      <c r="AC3840" s="121"/>
      <c r="AD3840" s="94"/>
      <c r="AE3840" s="428"/>
    </row>
    <row r="3841" spans="3:31" s="260" customFormat="1" ht="15.75" thickBot="1" x14ac:dyDescent="0.3">
      <c r="C3841" s="84"/>
      <c r="D3841" s="355"/>
      <c r="E3841" s="367"/>
      <c r="F3841" s="367"/>
      <c r="G3841" s="367"/>
      <c r="H3841" s="412">
        <f>G3839</f>
        <v>4.01</v>
      </c>
      <c r="I3841" s="412"/>
      <c r="J3841" s="422"/>
      <c r="K3841" s="88"/>
      <c r="M3841" s="657" t="s">
        <v>122</v>
      </c>
      <c r="N3841" s="633"/>
      <c r="O3841" s="633"/>
      <c r="P3841" s="633"/>
      <c r="Q3841" s="633"/>
      <c r="R3841" s="633"/>
      <c r="S3841" s="633"/>
      <c r="T3841" s="634"/>
      <c r="U3841" s="658">
        <f>+V3839+V3832+V3824+V3815</f>
        <v>68677.549999999988</v>
      </c>
      <c r="V3841" s="659"/>
      <c r="Y3841" s="429"/>
      <c r="Z3841" s="430">
        <f>+Z3839+Z3832+Z3824+Z3815</f>
        <v>9919098.3900000006</v>
      </c>
      <c r="AA3841" s="86"/>
      <c r="AB3841" s="431">
        <f>+AB3839+AB3832+AB3824+AB3815</f>
        <v>9919098.5464999992</v>
      </c>
      <c r="AC3841" s="404">
        <f>+AB3841-Z3841</f>
        <v>0.15649999864399433</v>
      </c>
      <c r="AD3841" s="94"/>
      <c r="AE3841" s="432"/>
    </row>
    <row r="3842" spans="3:31" s="260" customFormat="1" ht="15.75" thickBot="1" x14ac:dyDescent="0.3"/>
    <row r="3843" spans="3:31" s="260" customFormat="1" x14ac:dyDescent="0.25">
      <c r="M3843" s="660" t="s">
        <v>348</v>
      </c>
      <c r="N3843" s="661"/>
      <c r="O3843" s="661"/>
      <c r="P3843" s="661"/>
      <c r="Q3843" s="661"/>
      <c r="R3843" s="661"/>
      <c r="S3843" s="661"/>
      <c r="T3843" s="661"/>
      <c r="U3843" s="661"/>
      <c r="V3843" s="662"/>
      <c r="Y3843" s="378"/>
      <c r="Z3843" s="121"/>
      <c r="AA3843" s="86"/>
      <c r="AB3843" s="94"/>
      <c r="AC3843" s="94"/>
      <c r="AD3843" s="94"/>
      <c r="AE3843" s="126" t="s">
        <v>133</v>
      </c>
    </row>
    <row r="3844" spans="3:31" s="260" customFormat="1" x14ac:dyDescent="0.25">
      <c r="M3844" s="643" t="s">
        <v>138</v>
      </c>
      <c r="N3844" s="644"/>
      <c r="O3844" s="644"/>
      <c r="P3844" s="644"/>
      <c r="Q3844" s="644"/>
      <c r="R3844" s="644"/>
      <c r="S3844" s="645"/>
      <c r="T3844" s="437">
        <v>0</v>
      </c>
      <c r="U3844" s="646">
        <f>+ROUND(U3841*T3844,$AA$5)</f>
        <v>0</v>
      </c>
      <c r="V3844" s="647"/>
      <c r="Y3844" s="390"/>
      <c r="Z3844" s="438">
        <f>+Z3841*T3844</f>
        <v>0</v>
      </c>
      <c r="AA3844" s="86"/>
      <c r="AB3844" s="94"/>
      <c r="AC3844" s="94"/>
      <c r="AD3844" s="94"/>
      <c r="AE3844" s="386" t="s">
        <v>133</v>
      </c>
    </row>
    <row r="3845" spans="3:31" s="260" customFormat="1" x14ac:dyDescent="0.25">
      <c r="M3845" s="643" t="s">
        <v>19</v>
      </c>
      <c r="N3845" s="644"/>
      <c r="O3845" s="644"/>
      <c r="P3845" s="644"/>
      <c r="Q3845" s="644"/>
      <c r="R3845" s="644"/>
      <c r="S3845" s="645"/>
      <c r="T3845" s="437">
        <v>0.05</v>
      </c>
      <c r="U3845" s="646">
        <f>+ROUND(U3841*T3845,$AA$5)</f>
        <v>3433.88</v>
      </c>
      <c r="V3845" s="647"/>
      <c r="Y3845" s="390"/>
      <c r="Z3845" s="438">
        <f>+Z3841*T3845</f>
        <v>495954.91950000008</v>
      </c>
      <c r="AA3845" s="86"/>
      <c r="AB3845" s="94"/>
      <c r="AC3845" s="94"/>
      <c r="AD3845" s="94"/>
      <c r="AE3845" s="386" t="s">
        <v>133</v>
      </c>
    </row>
    <row r="3846" spans="3:31" s="260" customFormat="1" x14ac:dyDescent="0.25">
      <c r="M3846" s="643" t="s">
        <v>20</v>
      </c>
      <c r="N3846" s="644"/>
      <c r="O3846" s="644"/>
      <c r="P3846" s="644"/>
      <c r="Q3846" s="644"/>
      <c r="R3846" s="644"/>
      <c r="S3846" s="645"/>
      <c r="T3846" s="437">
        <v>0</v>
      </c>
      <c r="U3846" s="646">
        <f>+ROUND(U3841*T3846,$AA$5)</f>
        <v>0</v>
      </c>
      <c r="V3846" s="647"/>
      <c r="Y3846" s="390"/>
      <c r="Z3846" s="438">
        <f>+Z3841*T3846</f>
        <v>0</v>
      </c>
      <c r="AA3846" s="86"/>
      <c r="AB3846" s="94"/>
      <c r="AC3846" s="94"/>
      <c r="AD3846" s="94"/>
      <c r="AE3846" s="386" t="s">
        <v>133</v>
      </c>
    </row>
    <row r="3847" spans="3:31" s="260" customFormat="1" x14ac:dyDescent="0.25">
      <c r="M3847" s="643" t="s">
        <v>21</v>
      </c>
      <c r="N3847" s="644"/>
      <c r="O3847" s="644"/>
      <c r="P3847" s="644"/>
      <c r="Q3847" s="644"/>
      <c r="R3847" s="644"/>
      <c r="S3847" s="645"/>
      <c r="T3847" s="437">
        <f>$AA$9</f>
        <v>0</v>
      </c>
      <c r="U3847" s="646">
        <f>+ROUND(U3841*T3847,$AA$5)</f>
        <v>0</v>
      </c>
      <c r="V3847" s="647"/>
      <c r="Y3847" s="390"/>
      <c r="Z3847" s="438">
        <f>+Z3846*T3847</f>
        <v>0</v>
      </c>
      <c r="AA3847" s="86"/>
      <c r="AB3847" s="94"/>
      <c r="AC3847" s="94"/>
      <c r="AD3847" s="94"/>
      <c r="AE3847" s="386" t="s">
        <v>133</v>
      </c>
    </row>
    <row r="3848" spans="3:31" s="260" customFormat="1" ht="15.75" thickBot="1" x14ac:dyDescent="0.3">
      <c r="M3848" s="648" t="s">
        <v>349</v>
      </c>
      <c r="N3848" s="649"/>
      <c r="O3848" s="649"/>
      <c r="P3848" s="649"/>
      <c r="Q3848" s="649"/>
      <c r="R3848" s="649"/>
      <c r="S3848" s="649"/>
      <c r="T3848" s="650"/>
      <c r="U3848" s="651">
        <f>+SUM(U3844:V3847)</f>
        <v>3433.88</v>
      </c>
      <c r="V3848" s="652"/>
      <c r="Y3848" s="390"/>
      <c r="Z3848" s="439">
        <f>+SUM(Z3844:Z3847)</f>
        <v>495954.91950000008</v>
      </c>
      <c r="AA3848" s="86"/>
      <c r="AB3848" s="94"/>
      <c r="AC3848" s="94"/>
      <c r="AD3848" s="94"/>
      <c r="AE3848" s="386" t="s">
        <v>133</v>
      </c>
    </row>
    <row r="3849" spans="3:31" s="260" customFormat="1" ht="15.75" thickBot="1" x14ac:dyDescent="0.3">
      <c r="D3849" s="375" t="s">
        <v>128</v>
      </c>
      <c r="E3849" s="376" t="s">
        <v>129</v>
      </c>
      <c r="F3849" s="376" t="s">
        <v>130</v>
      </c>
      <c r="G3849" s="376" t="s">
        <v>131</v>
      </c>
      <c r="H3849" s="376" t="s">
        <v>132</v>
      </c>
      <c r="I3849" s="376" t="s">
        <v>133</v>
      </c>
      <c r="J3849" s="377" t="s">
        <v>134</v>
      </c>
      <c r="M3849" s="86"/>
      <c r="N3849" s="94"/>
      <c r="O3849" s="94"/>
      <c r="P3849" s="94"/>
      <c r="Q3849" s="86"/>
      <c r="R3849" s="86"/>
      <c r="S3849" s="86"/>
      <c r="T3849" s="440"/>
      <c r="U3849" s="653"/>
      <c r="V3849" s="653"/>
      <c r="Y3849" s="390"/>
      <c r="Z3849" s="385"/>
      <c r="AA3849" s="86"/>
      <c r="AB3849" s="94"/>
      <c r="AC3849" s="94"/>
      <c r="AD3849" s="94"/>
      <c r="AE3849" s="386" t="s">
        <v>133</v>
      </c>
    </row>
    <row r="3850" spans="3:31" s="260" customFormat="1" ht="15.75" thickBot="1" x14ac:dyDescent="0.3">
      <c r="D3850" s="355"/>
      <c r="E3850" s="367"/>
      <c r="F3850" s="367"/>
      <c r="G3850" s="367"/>
      <c r="H3850" s="412"/>
      <c r="I3850" s="412">
        <f>H3841</f>
        <v>4.01</v>
      </c>
      <c r="J3850" s="422"/>
      <c r="M3850" s="524" t="s">
        <v>11</v>
      </c>
      <c r="N3850" s="525"/>
      <c r="O3850" s="525"/>
      <c r="P3850" s="525"/>
      <c r="Q3850" s="525"/>
      <c r="R3850" s="525"/>
      <c r="S3850" s="525"/>
      <c r="T3850" s="526"/>
      <c r="U3850" s="527">
        <f>+U3848+U3841</f>
        <v>72111.429999999993</v>
      </c>
      <c r="V3850" s="528"/>
      <c r="Y3850" s="429"/>
      <c r="Z3850" s="441">
        <f>+Z3848+Z3841</f>
        <v>10415053.309500001</v>
      </c>
      <c r="AA3850" s="86"/>
      <c r="AB3850" s="94"/>
      <c r="AC3850" s="94"/>
      <c r="AD3850" s="94"/>
      <c r="AE3850" s="405" t="s">
        <v>133</v>
      </c>
    </row>
    <row r="3851" spans="3:31" s="260" customFormat="1" x14ac:dyDescent="0.25"/>
    <row r="3852" spans="3:31" s="260" customFormat="1" ht="15.75" thickBot="1" x14ac:dyDescent="0.3"/>
    <row r="3853" spans="3:31" s="260" customFormat="1" ht="15.75" thickBot="1" x14ac:dyDescent="0.3">
      <c r="M3853" s="363" t="s">
        <v>88</v>
      </c>
      <c r="N3853" s="436" t="str">
        <f>+N3804</f>
        <v>CAP.4</v>
      </c>
      <c r="O3853" s="550" t="str">
        <f>IFERROR(VLOOKUP(N3853,PPTO!C:H,2,0),"----")</f>
        <v>RED SANITARIA</v>
      </c>
      <c r="P3853" s="551"/>
      <c r="Q3853" s="551"/>
      <c r="R3853" s="551"/>
      <c r="S3853" s="551"/>
      <c r="T3853" s="551"/>
      <c r="U3853" s="552"/>
      <c r="V3853" s="74" t="s">
        <v>91</v>
      </c>
      <c r="Y3853" s="365" t="s">
        <v>104</v>
      </c>
      <c r="Z3853" s="94"/>
      <c r="AA3853" s="188"/>
      <c r="AB3853" s="553"/>
      <c r="AC3853" s="553"/>
      <c r="AD3853" s="553"/>
      <c r="AE3853" s="94"/>
    </row>
    <row r="3854" spans="3:31" s="260" customFormat="1" ht="15.75" thickBot="1" x14ac:dyDescent="0.3">
      <c r="C3854" s="369">
        <f>+N3854</f>
        <v>4.0199999999999996</v>
      </c>
      <c r="D3854" s="86"/>
      <c r="E3854" s="86"/>
      <c r="F3854" s="86"/>
      <c r="G3854" s="86"/>
      <c r="H3854" s="86"/>
      <c r="I3854" s="86"/>
      <c r="J3854" s="86"/>
      <c r="K3854" s="370"/>
      <c r="M3854" s="75" t="s">
        <v>92</v>
      </c>
      <c r="N3854" s="371">
        <f>+ROUNDUP(N3805+0.01,2)</f>
        <v>4.0199999999999996</v>
      </c>
      <c r="O3854" s="554" t="str">
        <f>IFERROR(VLOOKUP(N3854,PPTO!C:H,2,0),"----")</f>
        <v>Tubería Sanitaria PVC Ø2"</v>
      </c>
      <c r="P3854" s="555"/>
      <c r="Q3854" s="555"/>
      <c r="R3854" s="555"/>
      <c r="S3854" s="555"/>
      <c r="T3854" s="555"/>
      <c r="U3854" s="556"/>
      <c r="V3854" s="76" t="str">
        <f>IFERROR(VLOOKUP(N3854,PPTO!C:H,3,0),"----")</f>
        <v>ML</v>
      </c>
      <c r="Y3854" s="373">
        <f>SUMIFS(PPTO!F:F,PPTO!C:C,APUS!N3854)</f>
        <v>64.27</v>
      </c>
      <c r="Z3854" s="94"/>
      <c r="AA3854" s="86"/>
      <c r="AB3854" s="94"/>
      <c r="AC3854" s="94"/>
      <c r="AD3854" s="94"/>
      <c r="AE3854" s="94"/>
    </row>
    <row r="3855" spans="3:31" s="260" customFormat="1" ht="15.75" thickBot="1" x14ac:dyDescent="0.3">
      <c r="C3855" s="84"/>
      <c r="D3855" s="86"/>
      <c r="E3855" s="86"/>
      <c r="F3855" s="86"/>
      <c r="G3855" s="86"/>
      <c r="H3855" s="86"/>
      <c r="I3855" s="86"/>
      <c r="J3855" s="86"/>
      <c r="K3855" s="88"/>
      <c r="M3855" s="557"/>
      <c r="N3855" s="557"/>
      <c r="O3855" s="557"/>
      <c r="P3855" s="557"/>
      <c r="Q3855" s="557"/>
      <c r="R3855" s="557"/>
      <c r="S3855" s="557"/>
      <c r="T3855" s="557"/>
      <c r="U3855" s="557"/>
      <c r="V3855" s="557"/>
      <c r="Y3855" s="374"/>
      <c r="Z3855" s="94"/>
      <c r="AA3855" s="86"/>
      <c r="AB3855" s="94"/>
      <c r="AC3855" s="94"/>
      <c r="AD3855" s="94"/>
      <c r="AE3855" s="94"/>
    </row>
    <row r="3856" spans="3:31" s="260" customFormat="1" ht="15.75" thickBot="1" x14ac:dyDescent="0.3">
      <c r="C3856" s="84"/>
      <c r="D3856" s="375" t="s">
        <v>128</v>
      </c>
      <c r="E3856" s="376" t="s">
        <v>129</v>
      </c>
      <c r="F3856" s="376" t="s">
        <v>130</v>
      </c>
      <c r="G3856" s="376" t="s">
        <v>131</v>
      </c>
      <c r="H3856" s="376" t="s">
        <v>132</v>
      </c>
      <c r="I3856" s="376" t="s">
        <v>133</v>
      </c>
      <c r="J3856" s="377" t="s">
        <v>134</v>
      </c>
      <c r="K3856" s="88"/>
      <c r="M3856" s="558" t="s">
        <v>93</v>
      </c>
      <c r="N3856" s="559"/>
      <c r="O3856" s="559"/>
      <c r="P3856" s="559"/>
      <c r="Q3856" s="559"/>
      <c r="R3856" s="559"/>
      <c r="S3856" s="559"/>
      <c r="T3856" s="559"/>
      <c r="U3856" s="559"/>
      <c r="V3856" s="560"/>
      <c r="Y3856" s="378"/>
      <c r="Z3856" s="121"/>
      <c r="AA3856" s="86"/>
      <c r="AB3856" s="513"/>
      <c r="AC3856" s="514"/>
      <c r="AD3856" s="94"/>
      <c r="AE3856" s="379"/>
    </row>
    <row r="3857" spans="3:31" s="260" customFormat="1" x14ac:dyDescent="0.25">
      <c r="C3857" s="84"/>
      <c r="D3857" s="380"/>
      <c r="E3857" s="381"/>
      <c r="F3857" s="381"/>
      <c r="G3857" s="381"/>
      <c r="H3857" s="381"/>
      <c r="I3857" s="381"/>
      <c r="J3857" s="382"/>
      <c r="K3857" s="88"/>
      <c r="M3857" s="99" t="s">
        <v>94</v>
      </c>
      <c r="N3857" s="561" t="s">
        <v>95</v>
      </c>
      <c r="O3857" s="561"/>
      <c r="P3857" s="561"/>
      <c r="Q3857" s="561"/>
      <c r="R3857" s="95" t="s">
        <v>96</v>
      </c>
      <c r="S3857" s="95" t="s">
        <v>97</v>
      </c>
      <c r="T3857" s="562" t="s">
        <v>8</v>
      </c>
      <c r="U3857" s="562"/>
      <c r="V3857" s="100" t="s">
        <v>98</v>
      </c>
      <c r="Y3857" s="383" t="s">
        <v>104</v>
      </c>
      <c r="Z3857" s="119" t="s">
        <v>9</v>
      </c>
      <c r="AA3857" s="86"/>
      <c r="AB3857" s="384"/>
      <c r="AC3857" s="385"/>
      <c r="AD3857" s="94"/>
      <c r="AE3857" s="386"/>
    </row>
    <row r="3858" spans="3:31" s="260" customFormat="1" x14ac:dyDescent="0.25">
      <c r="C3858" s="84"/>
      <c r="D3858" s="85"/>
      <c r="E3858" s="86"/>
      <c r="F3858" s="86"/>
      <c r="G3858" s="86"/>
      <c r="H3858" s="86"/>
      <c r="I3858" s="86"/>
      <c r="J3858" s="87"/>
      <c r="K3858" s="88"/>
      <c r="M3858" s="102"/>
      <c r="N3858" s="533" t="s">
        <v>99</v>
      </c>
      <c r="O3858" s="533"/>
      <c r="P3858" s="533"/>
      <c r="Q3858" s="533"/>
      <c r="R3858" s="78" t="s">
        <v>100</v>
      </c>
      <c r="S3858" s="387">
        <f>+$AA$10</f>
        <v>0.05</v>
      </c>
      <c r="T3858" s="563">
        <f>V3888</f>
        <v>11157.93</v>
      </c>
      <c r="U3858" s="563"/>
      <c r="V3858" s="389">
        <f>+IFERROR(T3858*S3858,0)</f>
        <v>557.89650000000006</v>
      </c>
      <c r="Y3858" s="390"/>
      <c r="Z3858" s="391">
        <f>Y3854*V3858</f>
        <v>35856.008054999998</v>
      </c>
      <c r="AA3858" s="86"/>
      <c r="AB3858" s="384"/>
      <c r="AC3858" s="385"/>
      <c r="AD3858" s="94"/>
      <c r="AE3858" s="386" t="str">
        <f>+IF(V3858=0,"CERO","NO")</f>
        <v>NO</v>
      </c>
    </row>
    <row r="3859" spans="3:31" s="260" customFormat="1" x14ac:dyDescent="0.25">
      <c r="C3859" s="84"/>
      <c r="D3859" s="85"/>
      <c r="E3859" s="86"/>
      <c r="F3859" s="86"/>
      <c r="G3859" s="86"/>
      <c r="H3859" s="86"/>
      <c r="I3859" s="86"/>
      <c r="J3859" s="87"/>
      <c r="K3859" s="88"/>
      <c r="M3859" s="106"/>
      <c r="N3859" s="533" t="str">
        <f>IFERROR(VLOOKUP(M3859,INSUMOS!$C$8:$K$928,2,0),"-----")</f>
        <v>-----</v>
      </c>
      <c r="O3859" s="533"/>
      <c r="P3859" s="533"/>
      <c r="Q3859" s="533"/>
      <c r="R3859" s="78" t="str">
        <f>IFERROR(VLOOKUP(M3859,INSUMOS!$C$8:$K$928,6,0),"-----")</f>
        <v>-----</v>
      </c>
      <c r="S3859" s="392"/>
      <c r="T3859" s="529" t="str">
        <f>IFERROR(VLOOKUP(M3859,INSUMOS!$C$8:$K$928,7,0),"0")</f>
        <v>0</v>
      </c>
      <c r="U3859" s="529"/>
      <c r="V3859" s="389">
        <f>+IFERROR(T3859*S3859,0)</f>
        <v>0</v>
      </c>
      <c r="Y3859" s="393">
        <f>+IFERROR(Y3854*S3859,0)</f>
        <v>0</v>
      </c>
      <c r="Z3859" s="391">
        <f>Y3854*V3859</f>
        <v>0</v>
      </c>
      <c r="AA3859" s="394"/>
      <c r="AB3859" s="395">
        <f>+Y3859*T3859</f>
        <v>0</v>
      </c>
      <c r="AC3859" s="93">
        <f>+AB3859-Z3859</f>
        <v>0</v>
      </c>
      <c r="AD3859" s="94"/>
      <c r="AE3859" s="386" t="str">
        <f>+IF(V3859=0,"CERO","NO")</f>
        <v>CERO</v>
      </c>
    </row>
    <row r="3860" spans="3:31" s="260" customFormat="1" x14ac:dyDescent="0.25">
      <c r="C3860" s="84"/>
      <c r="D3860" s="85"/>
      <c r="E3860" s="86"/>
      <c r="F3860" s="86"/>
      <c r="G3860" s="86"/>
      <c r="H3860" s="86"/>
      <c r="I3860" s="86"/>
      <c r="J3860" s="87"/>
      <c r="K3860" s="88"/>
      <c r="M3860" s="102">
        <v>0</v>
      </c>
      <c r="N3860" s="533"/>
      <c r="O3860" s="533"/>
      <c r="P3860" s="533"/>
      <c r="Q3860" s="533"/>
      <c r="R3860" s="78" t="str">
        <f>IFERROR(VLOOKUP(M3860,INSUMOS!$C$8:$K$928,6,0),"-----")</f>
        <v>-----</v>
      </c>
      <c r="S3860" s="396"/>
      <c r="T3860" s="529"/>
      <c r="U3860" s="529"/>
      <c r="V3860" s="397"/>
      <c r="Y3860" s="393">
        <f>+IFERROR(Y3854*S3860,0)</f>
        <v>0</v>
      </c>
      <c r="Z3860" s="391">
        <f>Y3854*V3860</f>
        <v>0</v>
      </c>
      <c r="AA3860" s="394"/>
      <c r="AB3860" s="395">
        <f>+Y3860*T3860</f>
        <v>0</v>
      </c>
      <c r="AC3860" s="93">
        <f>+AB3860-Z3860</f>
        <v>0</v>
      </c>
      <c r="AD3860" s="94"/>
      <c r="AE3860" s="386" t="str">
        <f>+IF(V3860=0,"CERO","NO")</f>
        <v>CERO</v>
      </c>
    </row>
    <row r="3861" spans="3:31" s="260" customFormat="1" x14ac:dyDescent="0.25">
      <c r="C3861" s="84"/>
      <c r="D3861" s="85"/>
      <c r="E3861" s="86"/>
      <c r="F3861" s="86"/>
      <c r="G3861" s="86"/>
      <c r="H3861" s="86"/>
      <c r="I3861" s="86"/>
      <c r="J3861" s="87"/>
      <c r="K3861" s="88"/>
      <c r="M3861" s="102">
        <v>0</v>
      </c>
      <c r="N3861" s="533"/>
      <c r="O3861" s="533"/>
      <c r="P3861" s="533"/>
      <c r="Q3861" s="533"/>
      <c r="R3861" s="78" t="str">
        <f>IFERROR(VLOOKUP(M3861,INSUMOS!$C$8:$K$928,6,0),"-----")</f>
        <v>-----</v>
      </c>
      <c r="S3861" s="396"/>
      <c r="T3861" s="529"/>
      <c r="U3861" s="529"/>
      <c r="V3861" s="397"/>
      <c r="Y3861" s="393">
        <f>+IFERROR(Y3854*S3861,0)</f>
        <v>0</v>
      </c>
      <c r="Z3861" s="391">
        <f>Y3854*V3861</f>
        <v>0</v>
      </c>
      <c r="AA3861" s="394"/>
      <c r="AB3861" s="395">
        <f>+Y3861*T3861</f>
        <v>0</v>
      </c>
      <c r="AC3861" s="93">
        <f>+AB3861-Z3861</f>
        <v>0</v>
      </c>
      <c r="AD3861" s="94"/>
      <c r="AE3861" s="386" t="str">
        <f>+IF(V3861=0,"CERO","NO")</f>
        <v>CERO</v>
      </c>
    </row>
    <row r="3862" spans="3:31" s="260" customFormat="1" ht="15.75" thickBot="1" x14ac:dyDescent="0.3">
      <c r="C3862" s="84"/>
      <c r="D3862" s="85"/>
      <c r="E3862" s="86"/>
      <c r="F3862" s="86"/>
      <c r="G3862" s="86"/>
      <c r="H3862" s="86"/>
      <c r="I3862" s="86"/>
      <c r="J3862" s="87"/>
      <c r="K3862" s="88"/>
      <c r="M3862" s="102">
        <v>0</v>
      </c>
      <c r="N3862" s="564"/>
      <c r="O3862" s="564"/>
      <c r="P3862" s="564"/>
      <c r="Q3862" s="564"/>
      <c r="R3862" s="78" t="str">
        <f>IFERROR(VLOOKUP(M3862,INSUMOS!$C$8:$K$928,6,0),"-----")</f>
        <v>-----</v>
      </c>
      <c r="S3862" s="96"/>
      <c r="T3862" s="565"/>
      <c r="U3862" s="565"/>
      <c r="V3862" s="101"/>
      <c r="Y3862" s="393">
        <f>+IFERROR(Y3854*S3862,0)</f>
        <v>0</v>
      </c>
      <c r="Z3862" s="391">
        <f>Y3854*V3862</f>
        <v>0</v>
      </c>
      <c r="AA3862" s="394"/>
      <c r="AB3862" s="395">
        <f>+Y3862*T3862</f>
        <v>0</v>
      </c>
      <c r="AC3862" s="93">
        <f>+AB3862-Z3862</f>
        <v>0</v>
      </c>
      <c r="AD3862" s="94"/>
      <c r="AE3862" s="386" t="str">
        <f>+IF(V3862=0,"CERO","NO")</f>
        <v>CERO</v>
      </c>
    </row>
    <row r="3863" spans="3:31" s="260" customFormat="1" ht="15.75" thickBot="1" x14ac:dyDescent="0.3">
      <c r="C3863" s="84"/>
      <c r="D3863" s="375" t="s">
        <v>128</v>
      </c>
      <c r="E3863" s="376" t="s">
        <v>129</v>
      </c>
      <c r="F3863" s="376" t="s">
        <v>130</v>
      </c>
      <c r="G3863" s="376" t="s">
        <v>131</v>
      </c>
      <c r="H3863" s="376" t="s">
        <v>132</v>
      </c>
      <c r="I3863" s="376" t="s">
        <v>133</v>
      </c>
      <c r="J3863" s="377" t="s">
        <v>134</v>
      </c>
      <c r="K3863" s="88"/>
      <c r="M3863" s="534"/>
      <c r="N3863" s="536" t="s">
        <v>101</v>
      </c>
      <c r="O3863" s="536"/>
      <c r="P3863" s="536"/>
      <c r="Q3863" s="536"/>
      <c r="R3863" s="536"/>
      <c r="S3863" s="536"/>
      <c r="T3863" s="536"/>
      <c r="U3863" s="536"/>
      <c r="V3863" s="389">
        <f>+SUM(V3858:V3862)</f>
        <v>557.89650000000006</v>
      </c>
      <c r="Y3863" s="398" t="s">
        <v>135</v>
      </c>
      <c r="Z3863" s="397">
        <f>+SUM(Z3858:Z3862)</f>
        <v>35856.008054999998</v>
      </c>
      <c r="AA3863" s="86"/>
      <c r="AB3863" s="384"/>
      <c r="AC3863" s="385"/>
      <c r="AD3863" s="94"/>
      <c r="AE3863" s="399"/>
    </row>
    <row r="3864" spans="3:31" s="260" customFormat="1" ht="15.75" thickBot="1" x14ac:dyDescent="0.3">
      <c r="C3864" s="84"/>
      <c r="D3864" s="375">
        <f>C3854</f>
        <v>4.0199999999999996</v>
      </c>
      <c r="E3864" s="376"/>
      <c r="F3864" s="376"/>
      <c r="G3864" s="376"/>
      <c r="H3864" s="376"/>
      <c r="I3864" s="376"/>
      <c r="J3864" s="377"/>
      <c r="K3864" s="88"/>
      <c r="M3864" s="566"/>
      <c r="N3864" s="567" t="s">
        <v>102</v>
      </c>
      <c r="O3864" s="567"/>
      <c r="P3864" s="567"/>
      <c r="Q3864" s="567"/>
      <c r="R3864" s="567"/>
      <c r="S3864" s="567"/>
      <c r="T3864" s="567"/>
      <c r="U3864" s="567"/>
      <c r="V3864" s="400">
        <f>+ROUND(V3863,$AA$5)</f>
        <v>557.9</v>
      </c>
      <c r="Y3864" s="401" t="s">
        <v>136</v>
      </c>
      <c r="Z3864" s="402">
        <f>+ROUND(Z3863,$AA$5)</f>
        <v>35856.01</v>
      </c>
      <c r="AA3864" s="86"/>
      <c r="AB3864" s="403">
        <f>+V3864*Y3854</f>
        <v>35856.232999999993</v>
      </c>
      <c r="AC3864" s="404">
        <f>+AB3864-Z3864</f>
        <v>0.2229999999908614</v>
      </c>
      <c r="AD3864" s="94"/>
      <c r="AE3864" s="405"/>
    </row>
    <row r="3865" spans="3:31" s="260" customFormat="1" x14ac:dyDescent="0.25">
      <c r="C3865" s="84"/>
      <c r="D3865" s="380"/>
      <c r="E3865" s="381"/>
      <c r="F3865" s="381"/>
      <c r="G3865" s="381"/>
      <c r="H3865" s="381"/>
      <c r="I3865" s="381"/>
      <c r="J3865" s="382"/>
      <c r="K3865" s="88"/>
      <c r="M3865" s="510" t="s">
        <v>103</v>
      </c>
      <c r="N3865" s="511"/>
      <c r="O3865" s="511"/>
      <c r="P3865" s="511"/>
      <c r="Q3865" s="511"/>
      <c r="R3865" s="511"/>
      <c r="S3865" s="511"/>
      <c r="T3865" s="511"/>
      <c r="U3865" s="511"/>
      <c r="V3865" s="512"/>
      <c r="Y3865" s="378"/>
      <c r="Z3865" s="121"/>
      <c r="AA3865" s="86"/>
      <c r="AB3865" s="513"/>
      <c r="AC3865" s="514"/>
      <c r="AD3865" s="94"/>
      <c r="AE3865" s="126"/>
    </row>
    <row r="3866" spans="3:31" s="260" customFormat="1" x14ac:dyDescent="0.25">
      <c r="C3866" s="84"/>
      <c r="D3866" s="85"/>
      <c r="E3866" s="86"/>
      <c r="F3866" s="86"/>
      <c r="G3866" s="86"/>
      <c r="H3866" s="86"/>
      <c r="I3866" s="86"/>
      <c r="J3866" s="87"/>
      <c r="K3866" s="88"/>
      <c r="M3866" s="99" t="s">
        <v>94</v>
      </c>
      <c r="N3866" s="561" t="s">
        <v>95</v>
      </c>
      <c r="O3866" s="561"/>
      <c r="P3866" s="561"/>
      <c r="Q3866" s="561"/>
      <c r="R3866" s="95" t="s">
        <v>96</v>
      </c>
      <c r="S3866" s="95" t="s">
        <v>104</v>
      </c>
      <c r="T3866" s="356" t="s">
        <v>105</v>
      </c>
      <c r="U3866" s="356" t="s">
        <v>8</v>
      </c>
      <c r="V3866" s="100" t="s">
        <v>98</v>
      </c>
      <c r="Y3866" s="383" t="s">
        <v>104</v>
      </c>
      <c r="Z3866" s="119" t="s">
        <v>9</v>
      </c>
      <c r="AA3866" s="86"/>
      <c r="AB3866" s="384"/>
      <c r="AC3866" s="385"/>
      <c r="AD3866" s="94"/>
      <c r="AE3866" s="406"/>
    </row>
    <row r="3867" spans="3:31" s="260" customFormat="1" x14ac:dyDescent="0.25">
      <c r="C3867" s="84"/>
      <c r="D3867" s="85"/>
      <c r="E3867" s="86"/>
      <c r="F3867" s="86"/>
      <c r="G3867" s="86"/>
      <c r="H3867" s="86"/>
      <c r="I3867" s="86"/>
      <c r="J3867" s="87"/>
      <c r="K3867" s="88"/>
      <c r="M3867" s="102">
        <v>548</v>
      </c>
      <c r="N3867" s="533" t="str">
        <f>IFERROR(VLOOKUP(M3867,INSUMOS!$C$8:$K$928,2,0),"-----")</f>
        <v>TUBERIA PVC SANITARIO 2"</v>
      </c>
      <c r="O3867" s="533"/>
      <c r="P3867" s="533"/>
      <c r="Q3867" s="533"/>
      <c r="R3867" s="78" t="str">
        <f>IFERROR(VLOOKUP(M3867,INSUMOS!$C$8:$K$928,6,0),"-----")</f>
        <v>ml</v>
      </c>
      <c r="S3867" s="396">
        <v>1</v>
      </c>
      <c r="T3867" s="387">
        <v>0</v>
      </c>
      <c r="U3867" s="388">
        <f>IFERROR(VLOOKUP(M3867,INSUMOS!$C$8:$K$928,7,0),"0")</f>
        <v>16633.666666666668</v>
      </c>
      <c r="V3867" s="389">
        <f>+IFERROR(U3867*(S3867*(1+T3867)),0)</f>
        <v>16633.666666666668</v>
      </c>
      <c r="Y3867" s="393">
        <f>+IFERROR(Y3854*(S3867*(1+T3867)),0)</f>
        <v>64.27</v>
      </c>
      <c r="Z3867" s="391">
        <f>Y3854*V3867</f>
        <v>1069045.7566666666</v>
      </c>
      <c r="AA3867" s="394"/>
      <c r="AB3867" s="395">
        <f>+Y3867*U3867</f>
        <v>1069045.7566666666</v>
      </c>
      <c r="AC3867" s="93">
        <f>+AB3867-Z3867</f>
        <v>0</v>
      </c>
      <c r="AD3867" s="94"/>
      <c r="AE3867" s="406" t="str">
        <f>+IF(V3867=0,"CERO","NO")</f>
        <v>NO</v>
      </c>
    </row>
    <row r="3868" spans="3:31" s="260" customFormat="1" x14ac:dyDescent="0.25">
      <c r="C3868" s="84"/>
      <c r="D3868" s="85"/>
      <c r="E3868" s="86"/>
      <c r="F3868" s="86"/>
      <c r="G3868" s="86"/>
      <c r="H3868" s="86"/>
      <c r="I3868" s="86"/>
      <c r="J3868" s="87"/>
      <c r="K3868" s="88"/>
      <c r="M3868" s="102">
        <v>699</v>
      </c>
      <c r="N3868" s="533" t="str">
        <f>IFERROR(VLOOKUP(M3868,INSUMOS!$C$8:$K$928,2,0),"-----")</f>
        <v>SOLDADURA PVC LIQUIDA 1/4"</v>
      </c>
      <c r="O3868" s="533"/>
      <c r="P3868" s="533"/>
      <c r="Q3868" s="533"/>
      <c r="R3868" s="78" t="str">
        <f>IFERROR(VLOOKUP(M3868,INSUMOS!$C$8:$K$928,6,0),"-----")</f>
        <v>und</v>
      </c>
      <c r="S3868" s="396">
        <v>0.05</v>
      </c>
      <c r="T3868" s="387">
        <v>0.02</v>
      </c>
      <c r="U3868" s="388">
        <f>IFERROR(VLOOKUP(M3868,INSUMOS!$C$8:$K$928,7,0),"0")</f>
        <v>146569</v>
      </c>
      <c r="V3868" s="389">
        <f>+IFERROR(U3868*(S3868*(1+T3868)),0)</f>
        <v>7475.0190000000002</v>
      </c>
      <c r="Y3868" s="393">
        <f>+IFERROR(Y3854*(S3868*(1+T3868)),0)</f>
        <v>3.2777699999999999</v>
      </c>
      <c r="Z3868" s="391">
        <f>Y3854*V3868</f>
        <v>480419.47112999996</v>
      </c>
      <c r="AA3868" s="394"/>
      <c r="AB3868" s="395">
        <f>+Y3868*U3868</f>
        <v>480419.47112999996</v>
      </c>
      <c r="AC3868" s="93">
        <f>+AB3868-Z3868</f>
        <v>0</v>
      </c>
      <c r="AD3868" s="94"/>
      <c r="AE3868" s="406" t="str">
        <f>+IF(V3868=0,"CERO","NO")</f>
        <v>NO</v>
      </c>
    </row>
    <row r="3869" spans="3:31" s="260" customFormat="1" x14ac:dyDescent="0.25">
      <c r="C3869" s="84"/>
      <c r="D3869" s="85"/>
      <c r="E3869" s="86"/>
      <c r="F3869" s="86"/>
      <c r="G3869" s="86"/>
      <c r="H3869" s="86"/>
      <c r="I3869" s="86"/>
      <c r="J3869" s="87"/>
      <c r="K3869" s="88"/>
      <c r="M3869" s="102">
        <v>700</v>
      </c>
      <c r="N3869" s="533" t="str">
        <f>IFERROR(VLOOKUP(M3869,INSUMOS!$C$8:$K$928,2,0),"-----")</f>
        <v>LIMPIADOR PVC 1/4</v>
      </c>
      <c r="O3869" s="533"/>
      <c r="P3869" s="533"/>
      <c r="Q3869" s="533"/>
      <c r="R3869" s="78" t="str">
        <f>IFERROR(VLOOKUP(M3869,INSUMOS!$C$8:$K$928,6,0),"-----")</f>
        <v>und</v>
      </c>
      <c r="S3869" s="396">
        <v>0.05</v>
      </c>
      <c r="T3869" s="387">
        <v>0.02</v>
      </c>
      <c r="U3869" s="388">
        <f>IFERROR(VLOOKUP(M3869,INSUMOS!$C$8:$K$928,7,0),"0")</f>
        <v>65913</v>
      </c>
      <c r="V3869" s="389">
        <f>+IFERROR(U3869*(S3869*(1+T3869)),0)</f>
        <v>3361.5630000000001</v>
      </c>
      <c r="Y3869" s="393">
        <f>+IFERROR(Y3854*(S3869*(1+T3869)),0)</f>
        <v>3.2777699999999999</v>
      </c>
      <c r="Z3869" s="391">
        <f>Y3854*V3869</f>
        <v>216047.65401</v>
      </c>
      <c r="AA3869" s="394"/>
      <c r="AB3869" s="395">
        <f>+Y3869*U3869</f>
        <v>216047.65401</v>
      </c>
      <c r="AC3869" s="93">
        <f>+AB3869-Z3869</f>
        <v>0</v>
      </c>
      <c r="AD3869" s="94"/>
      <c r="AE3869" s="406" t="str">
        <f>+IF(V3869=0,"CERO","NO")</f>
        <v>NO</v>
      </c>
    </row>
    <row r="3870" spans="3:31" s="260" customFormat="1" x14ac:dyDescent="0.25">
      <c r="C3870" s="84"/>
      <c r="D3870" s="85"/>
      <c r="E3870" s="86"/>
      <c r="F3870" s="86"/>
      <c r="G3870" s="86"/>
      <c r="H3870" s="86"/>
      <c r="I3870" s="86"/>
      <c r="J3870" s="87"/>
      <c r="K3870" s="88"/>
      <c r="M3870" s="102">
        <v>0</v>
      </c>
      <c r="N3870" s="533" t="str">
        <f>IFERROR(VLOOKUP(M3870,INSUMOS!$C$8:$K$928,2,0),"-----")</f>
        <v>-----</v>
      </c>
      <c r="O3870" s="533"/>
      <c r="P3870" s="533"/>
      <c r="Q3870" s="533"/>
      <c r="R3870" s="78" t="str">
        <f>IFERROR(VLOOKUP(M3870,INSUMOS!$C$8:$K$928,6,0),"-----")</f>
        <v>-----</v>
      </c>
      <c r="S3870" s="396"/>
      <c r="T3870" s="387"/>
      <c r="U3870" s="388" t="str">
        <f>IFERROR(VLOOKUP(M3870,INSUMOS!$C$8:$K$928,7,0),"0")</f>
        <v>0</v>
      </c>
      <c r="V3870" s="389">
        <f>+IFERROR(U3870*(S3870*(1+T3870)),0)</f>
        <v>0</v>
      </c>
      <c r="Y3870" s="393">
        <f>+IFERROR(Y3854*(S3870*(1+T3870)),0)</f>
        <v>0</v>
      </c>
      <c r="Z3870" s="391">
        <f>Y3854*V3870</f>
        <v>0</v>
      </c>
      <c r="AA3870" s="394"/>
      <c r="AB3870" s="395">
        <f>+Y3870*U3870</f>
        <v>0</v>
      </c>
      <c r="AC3870" s="93">
        <f>+AB3870-Z3870</f>
        <v>0</v>
      </c>
      <c r="AD3870" s="94"/>
      <c r="AE3870" s="406" t="str">
        <f>+IF(V3870=0,"CERO","NO")</f>
        <v>CERO</v>
      </c>
    </row>
    <row r="3871" spans="3:31" s="260" customFormat="1" ht="15.75" thickBot="1" x14ac:dyDescent="0.3">
      <c r="C3871" s="84"/>
      <c r="D3871" s="85"/>
      <c r="E3871" s="86"/>
      <c r="F3871" s="86"/>
      <c r="G3871" s="86"/>
      <c r="H3871" s="86"/>
      <c r="I3871" s="86"/>
      <c r="J3871" s="87"/>
      <c r="K3871" s="88"/>
      <c r="M3871" s="102">
        <v>0</v>
      </c>
      <c r="N3871" s="564"/>
      <c r="O3871" s="564"/>
      <c r="P3871" s="564"/>
      <c r="Q3871" s="564"/>
      <c r="R3871" s="96"/>
      <c r="S3871" s="79"/>
      <c r="T3871" s="97"/>
      <c r="U3871" s="358"/>
      <c r="V3871" s="397"/>
      <c r="Y3871" s="393">
        <f>+IFERROR(Y3854*(S3871*(1+T3871)),0)</f>
        <v>0</v>
      </c>
      <c r="Z3871" s="391">
        <f>Y3854*V3871</f>
        <v>0</v>
      </c>
      <c r="AA3871" s="394"/>
      <c r="AB3871" s="395">
        <f>+Y3871*U3871</f>
        <v>0</v>
      </c>
      <c r="AC3871" s="93">
        <f>+AB3871-Z3871</f>
        <v>0</v>
      </c>
      <c r="AD3871" s="94"/>
      <c r="AE3871" s="406" t="str">
        <f>+IF(V3871=0,"CERO","NO")</f>
        <v>CERO</v>
      </c>
    </row>
    <row r="3872" spans="3:31" s="260" customFormat="1" ht="15.75" thickBot="1" x14ac:dyDescent="0.3">
      <c r="C3872" s="84"/>
      <c r="D3872" s="375" t="s">
        <v>128</v>
      </c>
      <c r="E3872" s="376" t="s">
        <v>129</v>
      </c>
      <c r="F3872" s="376" t="s">
        <v>130</v>
      </c>
      <c r="G3872" s="376" t="s">
        <v>131</v>
      </c>
      <c r="H3872" s="376" t="s">
        <v>132</v>
      </c>
      <c r="I3872" s="376" t="s">
        <v>133</v>
      </c>
      <c r="J3872" s="377" t="s">
        <v>134</v>
      </c>
      <c r="K3872" s="88"/>
      <c r="M3872" s="534"/>
      <c r="N3872" s="536" t="s">
        <v>106</v>
      </c>
      <c r="O3872" s="536"/>
      <c r="P3872" s="536"/>
      <c r="Q3872" s="536"/>
      <c r="R3872" s="536"/>
      <c r="S3872" s="536"/>
      <c r="T3872" s="536"/>
      <c r="U3872" s="536"/>
      <c r="V3872" s="389">
        <f>+SUM(V3867:V3871)</f>
        <v>27470.248666666666</v>
      </c>
      <c r="Y3872" s="398" t="s">
        <v>135</v>
      </c>
      <c r="Z3872" s="397">
        <f>+SUM(Z3867:Z3871)</f>
        <v>1765512.8818066665</v>
      </c>
      <c r="AA3872" s="86"/>
      <c r="AB3872" s="384"/>
      <c r="AC3872" s="385"/>
      <c r="AD3872" s="94"/>
      <c r="AE3872" s="399"/>
    </row>
    <row r="3873" spans="3:31" s="260" customFormat="1" ht="15.75" thickBot="1" x14ac:dyDescent="0.3">
      <c r="C3873" s="84"/>
      <c r="D3873" s="375"/>
      <c r="E3873" s="407">
        <f>+D3864</f>
        <v>4.0199999999999996</v>
      </c>
      <c r="F3873" s="376"/>
      <c r="G3873" s="376"/>
      <c r="H3873" s="376"/>
      <c r="I3873" s="376"/>
      <c r="J3873" s="377"/>
      <c r="K3873" s="88"/>
      <c r="M3873" s="535"/>
      <c r="N3873" s="537" t="s">
        <v>107</v>
      </c>
      <c r="O3873" s="537"/>
      <c r="P3873" s="537"/>
      <c r="Q3873" s="537"/>
      <c r="R3873" s="537"/>
      <c r="S3873" s="537"/>
      <c r="T3873" s="537"/>
      <c r="U3873" s="537"/>
      <c r="V3873" s="408">
        <f>+ROUND(V3872,$AA$5)</f>
        <v>27470.25</v>
      </c>
      <c r="Y3873" s="401" t="s">
        <v>136</v>
      </c>
      <c r="Z3873" s="402">
        <f>+ROUND(Z3872,$AA$5)</f>
        <v>1765512.88</v>
      </c>
      <c r="AA3873" s="86"/>
      <c r="AB3873" s="403">
        <f>+V3873*Y3854</f>
        <v>1765512.9674999998</v>
      </c>
      <c r="AC3873" s="404">
        <f>+AB3873-Z3873</f>
        <v>8.7499999906867743E-2</v>
      </c>
      <c r="AD3873" s="94"/>
      <c r="AE3873" s="405"/>
    </row>
    <row r="3874" spans="3:31" s="260" customFormat="1" x14ac:dyDescent="0.25">
      <c r="C3874" s="84"/>
      <c r="D3874" s="380"/>
      <c r="E3874" s="381"/>
      <c r="F3874" s="381"/>
      <c r="G3874" s="381"/>
      <c r="H3874" s="381"/>
      <c r="I3874" s="381"/>
      <c r="J3874" s="382"/>
      <c r="K3874" s="88"/>
      <c r="M3874" s="568" t="s">
        <v>108</v>
      </c>
      <c r="N3874" s="569"/>
      <c r="O3874" s="569"/>
      <c r="P3874" s="569"/>
      <c r="Q3874" s="569"/>
      <c r="R3874" s="569"/>
      <c r="S3874" s="569"/>
      <c r="T3874" s="569"/>
      <c r="U3874" s="569"/>
      <c r="V3874" s="570"/>
      <c r="Y3874" s="378"/>
      <c r="Z3874" s="121"/>
      <c r="AA3874" s="86"/>
      <c r="AB3874" s="409"/>
      <c r="AC3874" s="121"/>
      <c r="AD3874" s="94"/>
      <c r="AE3874" s="126"/>
    </row>
    <row r="3875" spans="3:31" s="260" customFormat="1" ht="25.5" x14ac:dyDescent="0.25">
      <c r="C3875" s="84"/>
      <c r="D3875" s="85"/>
      <c r="E3875" s="86"/>
      <c r="F3875" s="86"/>
      <c r="G3875" s="86"/>
      <c r="H3875" s="86"/>
      <c r="I3875" s="86"/>
      <c r="J3875" s="87"/>
      <c r="K3875" s="88"/>
      <c r="M3875" s="99" t="s">
        <v>94</v>
      </c>
      <c r="N3875" s="561" t="s">
        <v>95</v>
      </c>
      <c r="O3875" s="561"/>
      <c r="P3875" s="561"/>
      <c r="Q3875" s="95" t="s">
        <v>109</v>
      </c>
      <c r="R3875" s="95" t="s">
        <v>110</v>
      </c>
      <c r="S3875" s="95" t="s">
        <v>111</v>
      </c>
      <c r="T3875" s="562" t="s">
        <v>112</v>
      </c>
      <c r="U3875" s="562"/>
      <c r="V3875" s="100" t="s">
        <v>98</v>
      </c>
      <c r="Y3875" s="383" t="s">
        <v>104</v>
      </c>
      <c r="Z3875" s="119" t="s">
        <v>9</v>
      </c>
      <c r="AA3875" s="86"/>
      <c r="AB3875" s="384"/>
      <c r="AC3875" s="385"/>
      <c r="AD3875" s="94"/>
      <c r="AE3875" s="410"/>
    </row>
    <row r="3876" spans="3:31" s="260" customFormat="1" x14ac:dyDescent="0.25">
      <c r="C3876" s="84"/>
      <c r="D3876" s="85"/>
      <c r="E3876" s="86"/>
      <c r="F3876" s="86"/>
      <c r="G3876" s="86"/>
      <c r="H3876" s="86"/>
      <c r="I3876" s="86"/>
      <c r="J3876" s="87"/>
      <c r="K3876" s="88"/>
      <c r="M3876" s="102">
        <v>129</v>
      </c>
      <c r="N3876" s="530" t="str">
        <f>IFERROR(VLOOKUP(M3876,INSUMOS!$C$8:$K$928,2,0),"-----")</f>
        <v>transporte materiales en general</v>
      </c>
      <c r="O3876" s="531"/>
      <c r="P3876" s="532"/>
      <c r="Q3876" s="78" t="str">
        <f>IFERROR(VLOOKUP(M3876,INSUMOS!$C$8:$K$928,5,0),"-----")</f>
        <v>Km</v>
      </c>
      <c r="R3876" s="80">
        <v>1</v>
      </c>
      <c r="S3876" s="80">
        <f>IFERROR(VLOOKUP(M3876,INSUMOS!$C$8:$K$928,6,0),"0")</f>
        <v>348</v>
      </c>
      <c r="T3876" s="529">
        <f>IFERROR(VLOOKUP(M3876,INSUMOS!$C$8:$K$928,7,0),"0")</f>
        <v>0.99776362060288992</v>
      </c>
      <c r="U3876" s="529"/>
      <c r="V3876" s="82">
        <f>+T3876*S3876*R3876</f>
        <v>347.2217399698057</v>
      </c>
      <c r="Y3876" s="393">
        <f>+IFERROR((R3876*S3876)*Y3854,0)</f>
        <v>22365.96</v>
      </c>
      <c r="Z3876" s="391">
        <f>Y3854*V3876</f>
        <v>22315.94122785941</v>
      </c>
      <c r="AA3876" s="86"/>
      <c r="AB3876" s="92">
        <f>+Y3876*T3876</f>
        <v>22315.94122785941</v>
      </c>
      <c r="AC3876" s="93">
        <f>+AB3876-Z3876</f>
        <v>0</v>
      </c>
      <c r="AD3876" s="94"/>
      <c r="AE3876" s="406" t="str">
        <f>+IF(V3876=0,"CERO","NO")</f>
        <v>NO</v>
      </c>
    </row>
    <row r="3877" spans="3:31" s="260" customFormat="1" x14ac:dyDescent="0.25">
      <c r="C3877" s="84"/>
      <c r="D3877" s="85"/>
      <c r="E3877" s="86"/>
      <c r="F3877" s="86"/>
      <c r="G3877" s="86"/>
      <c r="H3877" s="86"/>
      <c r="I3877" s="86"/>
      <c r="J3877" s="87"/>
      <c r="K3877" s="88"/>
      <c r="M3877" s="102">
        <v>0</v>
      </c>
      <c r="N3877" s="530" t="str">
        <f>IFERROR(VLOOKUP(M3877,INSUMOS!$C$8:$K$928,2,0),"-----")</f>
        <v>-----</v>
      </c>
      <c r="O3877" s="531"/>
      <c r="P3877" s="532"/>
      <c r="Q3877" s="78" t="str">
        <f>IFERROR(VLOOKUP(M3877,INSUMOS!$C$8:$K$928,5,0),"-----")</f>
        <v>-----</v>
      </c>
      <c r="R3877" s="80"/>
      <c r="S3877" s="80" t="str">
        <f>IFERROR(VLOOKUP(M3877,INSUMOS!$C$8:$K$928,6,0),"0")</f>
        <v>0</v>
      </c>
      <c r="T3877" s="529" t="str">
        <f>IFERROR(VLOOKUP(M3877,INSUMOS!$C$8:$K$928,7,0),"0")</f>
        <v>0</v>
      </c>
      <c r="U3877" s="529"/>
      <c r="V3877" s="82">
        <f>+T3877*S3877*R3877</f>
        <v>0</v>
      </c>
      <c r="Y3877" s="393">
        <f>+IFERROR((R3877*S3877)*Y3854,0)</f>
        <v>0</v>
      </c>
      <c r="Z3877" s="391">
        <f>Y3854*V3877</f>
        <v>0</v>
      </c>
      <c r="AA3877" s="86"/>
      <c r="AB3877" s="92">
        <f>+Y3877*T3877</f>
        <v>0</v>
      </c>
      <c r="AC3877" s="93">
        <f>+AB3877-Z3877</f>
        <v>0</v>
      </c>
      <c r="AD3877" s="94"/>
      <c r="AE3877" s="406" t="str">
        <f>+IF(V3877=0,"CERO","NO")</f>
        <v>CERO</v>
      </c>
    </row>
    <row r="3878" spans="3:31" s="260" customFormat="1" x14ac:dyDescent="0.25">
      <c r="C3878" s="84"/>
      <c r="D3878" s="85"/>
      <c r="E3878" s="86"/>
      <c r="F3878" s="86"/>
      <c r="G3878" s="86"/>
      <c r="H3878" s="86"/>
      <c r="I3878" s="86"/>
      <c r="J3878" s="87"/>
      <c r="K3878" s="88"/>
      <c r="M3878" s="102">
        <v>0</v>
      </c>
      <c r="N3878" s="530" t="str">
        <f>IFERROR(VLOOKUP(M3878,INSUMOS!$C$8:$K$928,2,0),"-----")</f>
        <v>-----</v>
      </c>
      <c r="O3878" s="531"/>
      <c r="P3878" s="532"/>
      <c r="Q3878" s="78" t="str">
        <f>IFERROR(VLOOKUP(M3878,INSUMOS!$C$8:$K$928,5,0),"-----")</f>
        <v>-----</v>
      </c>
      <c r="R3878" s="80"/>
      <c r="S3878" s="80" t="str">
        <f>IFERROR(VLOOKUP(M3878,INSUMOS!$C$8:$K$928,6,0),"0")</f>
        <v>0</v>
      </c>
      <c r="T3878" s="529" t="str">
        <f>IFERROR(VLOOKUP(M3878,INSUMOS!$C$8:$K$928,7,0),"0")</f>
        <v>0</v>
      </c>
      <c r="U3878" s="529"/>
      <c r="V3878" s="82">
        <f>+T3878*S3878*R3878</f>
        <v>0</v>
      </c>
      <c r="Y3878" s="393">
        <f>+IFERROR((R3878*S3878)*Y3854,0)</f>
        <v>0</v>
      </c>
      <c r="Z3878" s="391">
        <f>Y3854*V3878</f>
        <v>0</v>
      </c>
      <c r="AA3878" s="86"/>
      <c r="AB3878" s="92">
        <f>+Y3878*T3878</f>
        <v>0</v>
      </c>
      <c r="AC3878" s="93">
        <f>+AB3878-Z3878</f>
        <v>0</v>
      </c>
      <c r="AD3878" s="94"/>
      <c r="AE3878" s="406" t="str">
        <f>+IF(V3878=0,"CERO","NO")</f>
        <v>CERO</v>
      </c>
    </row>
    <row r="3879" spans="3:31" s="260" customFormat="1" ht="15.75" thickBot="1" x14ac:dyDescent="0.3">
      <c r="C3879" s="84"/>
      <c r="D3879" s="89"/>
      <c r="E3879" s="90"/>
      <c r="F3879" s="90"/>
      <c r="G3879" s="90"/>
      <c r="H3879" s="90"/>
      <c r="I3879" s="90"/>
      <c r="J3879" s="91"/>
      <c r="K3879" s="88"/>
      <c r="M3879" s="102">
        <v>0</v>
      </c>
      <c r="N3879" s="533"/>
      <c r="O3879" s="533"/>
      <c r="P3879" s="533"/>
      <c r="Q3879" s="79"/>
      <c r="R3879" s="78"/>
      <c r="S3879" s="81"/>
      <c r="T3879" s="529"/>
      <c r="U3879" s="529"/>
      <c r="V3879" s="82"/>
      <c r="Y3879" s="393">
        <f>+IFERROR((R3879*S3879)*Y3854,0)</f>
        <v>0</v>
      </c>
      <c r="Z3879" s="391">
        <f>Y3854*V3879</f>
        <v>0</v>
      </c>
      <c r="AA3879" s="86"/>
      <c r="AB3879" s="92">
        <f>+Y3879*T3879</f>
        <v>0</v>
      </c>
      <c r="AC3879" s="93">
        <f>+AB3879-Z3879</f>
        <v>0</v>
      </c>
      <c r="AD3879" s="94"/>
      <c r="AE3879" s="406" t="str">
        <f>+IF(V3879=0,"CERO","NO")</f>
        <v>CERO</v>
      </c>
    </row>
    <row r="3880" spans="3:31" s="260" customFormat="1" ht="15.75" thickBot="1" x14ac:dyDescent="0.3">
      <c r="C3880" s="84"/>
      <c r="D3880" s="375" t="s">
        <v>128</v>
      </c>
      <c r="E3880" s="376" t="s">
        <v>129</v>
      </c>
      <c r="F3880" s="376" t="s">
        <v>130</v>
      </c>
      <c r="G3880" s="376" t="s">
        <v>131</v>
      </c>
      <c r="H3880" s="376" t="s">
        <v>132</v>
      </c>
      <c r="I3880" s="376" t="s">
        <v>133</v>
      </c>
      <c r="J3880" s="377" t="s">
        <v>134</v>
      </c>
      <c r="K3880" s="88"/>
      <c r="M3880" s="534"/>
      <c r="N3880" s="536" t="s">
        <v>113</v>
      </c>
      <c r="O3880" s="536"/>
      <c r="P3880" s="536"/>
      <c r="Q3880" s="536"/>
      <c r="R3880" s="536"/>
      <c r="S3880" s="536"/>
      <c r="T3880" s="536"/>
      <c r="U3880" s="536"/>
      <c r="V3880" s="411">
        <f>+SUM(V3876:V3879)</f>
        <v>347.2217399698057</v>
      </c>
      <c r="Y3880" s="398" t="s">
        <v>135</v>
      </c>
      <c r="Z3880" s="397">
        <f>+SUM(Z3876:Z3879)</f>
        <v>22315.94122785941</v>
      </c>
      <c r="AA3880" s="86"/>
      <c r="AB3880" s="384"/>
      <c r="AC3880" s="385"/>
      <c r="AD3880" s="94"/>
      <c r="AE3880" s="399"/>
    </row>
    <row r="3881" spans="3:31" s="260" customFormat="1" ht="15.75" thickBot="1" x14ac:dyDescent="0.3">
      <c r="C3881" s="84"/>
      <c r="D3881" s="355"/>
      <c r="E3881" s="367"/>
      <c r="F3881" s="412">
        <f>+E3873</f>
        <v>4.0199999999999996</v>
      </c>
      <c r="G3881" s="367"/>
      <c r="H3881" s="367"/>
      <c r="I3881" s="367"/>
      <c r="J3881" s="368"/>
      <c r="K3881" s="88"/>
      <c r="M3881" s="535"/>
      <c r="N3881" s="537" t="s">
        <v>114</v>
      </c>
      <c r="O3881" s="537"/>
      <c r="P3881" s="537"/>
      <c r="Q3881" s="537"/>
      <c r="R3881" s="537"/>
      <c r="S3881" s="537"/>
      <c r="T3881" s="537"/>
      <c r="U3881" s="537"/>
      <c r="V3881" s="413">
        <f>+ROUND(V3880,$AA$5)</f>
        <v>347.22</v>
      </c>
      <c r="Y3881" s="401" t="s">
        <v>136</v>
      </c>
      <c r="Z3881" s="402">
        <f>+ROUND(Z3880,$AA$5)</f>
        <v>22315.94</v>
      </c>
      <c r="AA3881" s="86"/>
      <c r="AB3881" s="403">
        <f>+V3881*Y3854</f>
        <v>22315.829399999999</v>
      </c>
      <c r="AC3881" s="414"/>
      <c r="AD3881" s="94"/>
      <c r="AE3881" s="405"/>
    </row>
    <row r="3882" spans="3:31" s="260" customFormat="1" ht="15.75" thickBot="1" x14ac:dyDescent="0.3">
      <c r="C3882" s="84"/>
      <c r="D3882" s="415"/>
      <c r="E3882" s="416"/>
      <c r="F3882" s="416"/>
      <c r="G3882" s="416"/>
      <c r="H3882" s="416"/>
      <c r="I3882" s="416"/>
      <c r="J3882" s="417"/>
      <c r="K3882" s="88"/>
      <c r="M3882" s="538" t="s">
        <v>115</v>
      </c>
      <c r="N3882" s="539"/>
      <c r="O3882" s="539"/>
      <c r="P3882" s="539"/>
      <c r="Q3882" s="539"/>
      <c r="R3882" s="539"/>
      <c r="S3882" s="539"/>
      <c r="T3882" s="539"/>
      <c r="U3882" s="539"/>
      <c r="V3882" s="540"/>
      <c r="Y3882" s="378"/>
      <c r="Z3882" s="121"/>
      <c r="AA3882" s="86"/>
      <c r="AB3882" s="409"/>
      <c r="AC3882" s="121"/>
      <c r="AD3882" s="94"/>
      <c r="AE3882" s="126"/>
    </row>
    <row r="3883" spans="3:31" s="260" customFormat="1" ht="15.75" thickBot="1" x14ac:dyDescent="0.3">
      <c r="C3883" s="84"/>
      <c r="D3883" s="375" t="s">
        <v>128</v>
      </c>
      <c r="E3883" s="376" t="s">
        <v>129</v>
      </c>
      <c r="F3883" s="376" t="s">
        <v>130</v>
      </c>
      <c r="G3883" s="376" t="s">
        <v>131</v>
      </c>
      <c r="H3883" s="376" t="s">
        <v>132</v>
      </c>
      <c r="I3883" s="376" t="s">
        <v>133</v>
      </c>
      <c r="J3883" s="377" t="s">
        <v>134</v>
      </c>
      <c r="K3883" s="88"/>
      <c r="M3883" s="99" t="s">
        <v>94</v>
      </c>
      <c r="N3883" s="98" t="s">
        <v>95</v>
      </c>
      <c r="O3883" s="95" t="s">
        <v>96</v>
      </c>
      <c r="P3883" s="359" t="s">
        <v>104</v>
      </c>
      <c r="Q3883" s="95" t="s">
        <v>116</v>
      </c>
      <c r="R3883" s="418" t="s">
        <v>117</v>
      </c>
      <c r="S3883" s="95" t="s">
        <v>347</v>
      </c>
      <c r="T3883" s="419" t="s">
        <v>118</v>
      </c>
      <c r="U3883" s="189" t="s">
        <v>119</v>
      </c>
      <c r="V3883" s="100" t="s">
        <v>98</v>
      </c>
      <c r="Y3883" s="383" t="s">
        <v>104</v>
      </c>
      <c r="Z3883" s="119" t="s">
        <v>9</v>
      </c>
      <c r="AA3883" s="86"/>
      <c r="AB3883" s="384"/>
      <c r="AC3883" s="385"/>
      <c r="AD3883" s="94"/>
      <c r="AE3883" s="410"/>
    </row>
    <row r="3884" spans="3:31" s="260" customFormat="1" ht="25.5" x14ac:dyDescent="0.25">
      <c r="C3884" s="84"/>
      <c r="D3884" s="354"/>
      <c r="E3884" s="96"/>
      <c r="F3884" s="96"/>
      <c r="G3884" s="96"/>
      <c r="H3884" s="96"/>
      <c r="I3884" s="96"/>
      <c r="J3884" s="420">
        <f>+F3881</f>
        <v>4.0199999999999996</v>
      </c>
      <c r="K3884" s="88"/>
      <c r="M3884" s="102">
        <v>207</v>
      </c>
      <c r="N3884" s="347" t="str">
        <f>IFERROR(VLOOKUP(M3884,INSUMOS!$C$8:$K$928,2,0),"-----")</f>
        <v>Oficial Hidrosanitario</v>
      </c>
      <c r="O3884" s="78" t="str">
        <f>IFERROR(VLOOKUP(M3884,INSUMOS!$C$8:$K$928,3,0),"-----")</f>
        <v>JORNAL+PS</v>
      </c>
      <c r="P3884" s="80">
        <v>1</v>
      </c>
      <c r="Q3884" s="79">
        <v>15</v>
      </c>
      <c r="R3884" s="190">
        <f>IFERROR(VLOOKUP(M3884,INSUMOS!$C$8:$K$928,4,0),"-----")</f>
        <v>92983</v>
      </c>
      <c r="S3884" s="190">
        <f>IFERROR(VLOOKUP(M3884,INSUMOS!$C$8:$K$928,6,0),"-----")</f>
        <v>74386</v>
      </c>
      <c r="T3884" s="190">
        <f>IFERROR(VLOOKUP(M3884,INSUMOS!$C$8:$K$928,5,0),"-----")</f>
        <v>0</v>
      </c>
      <c r="U3884" s="388">
        <f>SUM(R3884:T3884)</f>
        <v>167369</v>
      </c>
      <c r="V3884" s="82">
        <f>+IFERROR((P3884/Q3884)*U3884,0)</f>
        <v>11157.933333333332</v>
      </c>
      <c r="Y3884" s="393">
        <f>+IFERROR((Y3854/Q3884*P3884),0)</f>
        <v>4.2846666666666664</v>
      </c>
      <c r="Z3884" s="391">
        <f>Y3854*V3884</f>
        <v>717120.37533333327</v>
      </c>
      <c r="AA3884" s="86"/>
      <c r="AB3884" s="92">
        <f>+(U3884)*Y3884</f>
        <v>717120.37533333327</v>
      </c>
      <c r="AC3884" s="93">
        <f>+AB3884-Z3884</f>
        <v>0</v>
      </c>
      <c r="AD3884" s="421"/>
      <c r="AE3884" s="410" t="str">
        <f>+IF(V3884=0,"CERO","NO")</f>
        <v>NO</v>
      </c>
    </row>
    <row r="3885" spans="3:31" s="260" customFormat="1" ht="15.75" thickBot="1" x14ac:dyDescent="0.3">
      <c r="C3885" s="84"/>
      <c r="D3885" s="355"/>
      <c r="E3885" s="367"/>
      <c r="F3885" s="367"/>
      <c r="G3885" s="367"/>
      <c r="H3885" s="367"/>
      <c r="I3885" s="367"/>
      <c r="J3885" s="422">
        <f>+J3884</f>
        <v>4.0199999999999996</v>
      </c>
      <c r="K3885" s="88"/>
      <c r="M3885" s="102"/>
      <c r="N3885" s="347" t="str">
        <f>IFERROR(VLOOKUP(M3885,INSUMOS!$C$8:$K$928,2,0),"-----")</f>
        <v>-----</v>
      </c>
      <c r="O3885" s="78" t="str">
        <f>IFERROR(VLOOKUP(M3885,INSUMOS!$C$8:$K$928,3,0),"-----")</f>
        <v>-----</v>
      </c>
      <c r="P3885" s="80"/>
      <c r="Q3885" s="79"/>
      <c r="R3885" s="190" t="str">
        <f>IFERROR(VLOOKUP(M3885,INSUMOS!$C$8:$K$928,4,0),"-----")</f>
        <v>-----</v>
      </c>
      <c r="S3885" s="190" t="str">
        <f>IFERROR(VLOOKUP(M3885,INSUMOS!$C$8:$K$928,6,0),"-----")</f>
        <v>-----</v>
      </c>
      <c r="T3885" s="190" t="str">
        <f>IFERROR(VLOOKUP(M3885,INSUMOS!$C$8:$K$928,5,0),"-----")</f>
        <v>-----</v>
      </c>
      <c r="U3885" s="388">
        <f>SUM(R3885:T3885)</f>
        <v>0</v>
      </c>
      <c r="V3885" s="82">
        <f>+IFERROR((P3885/Q3885)*U3885,0)</f>
        <v>0</v>
      </c>
      <c r="Y3885" s="393">
        <f>+IFERROR((Y3854/Q3885*P3885),0)</f>
        <v>0</v>
      </c>
      <c r="Z3885" s="391">
        <f>Y3854*V3885</f>
        <v>0</v>
      </c>
      <c r="AA3885" s="86"/>
      <c r="AB3885" s="92">
        <f>+U3885*Y3885</f>
        <v>0</v>
      </c>
      <c r="AC3885" s="93">
        <f>+AB3885-Z3885</f>
        <v>0</v>
      </c>
      <c r="AD3885" s="94"/>
      <c r="AE3885" s="410" t="str">
        <f>+IF(V3885=0,"CERO","NO")</f>
        <v>CERO</v>
      </c>
    </row>
    <row r="3886" spans="3:31" s="260" customFormat="1" ht="15.75" thickBot="1" x14ac:dyDescent="0.3">
      <c r="C3886" s="84"/>
      <c r="D3886" s="380"/>
      <c r="E3886" s="381"/>
      <c r="F3886" s="381"/>
      <c r="G3886" s="381"/>
      <c r="H3886" s="381"/>
      <c r="I3886" s="381"/>
      <c r="J3886" s="382"/>
      <c r="K3886" s="88"/>
      <c r="M3886" s="102">
        <v>0</v>
      </c>
      <c r="N3886" s="347"/>
      <c r="O3886" s="79"/>
      <c r="P3886" s="423"/>
      <c r="Q3886" s="81"/>
      <c r="R3886" s="111"/>
      <c r="S3886" s="357"/>
      <c r="T3886" s="111"/>
      <c r="U3886" s="388"/>
      <c r="V3886" s="426"/>
      <c r="Y3886" s="393">
        <f>+IFERROR((Y3854/Q3886*P3886),0)</f>
        <v>0</v>
      </c>
      <c r="Z3886" s="391">
        <f>Y3854*V3886</f>
        <v>0</v>
      </c>
      <c r="AA3886" s="86"/>
      <c r="AB3886" s="92">
        <f>+(U3886)*Y3886*P3886</f>
        <v>0</v>
      </c>
      <c r="AC3886" s="93">
        <f>+AB3886-Z3886</f>
        <v>0</v>
      </c>
      <c r="AD3886" s="94"/>
      <c r="AE3886" s="410" t="str">
        <f>+IF(V3886=0,"CERO","NO")</f>
        <v>CERO</v>
      </c>
    </row>
    <row r="3887" spans="3:31" s="260" customFormat="1" ht="15.75" thickBot="1" x14ac:dyDescent="0.3">
      <c r="C3887" s="84"/>
      <c r="D3887" s="375" t="s">
        <v>128</v>
      </c>
      <c r="E3887" s="376" t="s">
        <v>129</v>
      </c>
      <c r="F3887" s="376" t="s">
        <v>130</v>
      </c>
      <c r="G3887" s="376" t="s">
        <v>131</v>
      </c>
      <c r="H3887" s="376" t="s">
        <v>132</v>
      </c>
      <c r="I3887" s="376" t="s">
        <v>133</v>
      </c>
      <c r="J3887" s="377" t="s">
        <v>134</v>
      </c>
      <c r="K3887" s="88"/>
      <c r="M3887" s="534"/>
      <c r="N3887" s="536" t="s">
        <v>120</v>
      </c>
      <c r="O3887" s="536"/>
      <c r="P3887" s="536"/>
      <c r="Q3887" s="536"/>
      <c r="R3887" s="536"/>
      <c r="S3887" s="536"/>
      <c r="T3887" s="536"/>
      <c r="U3887" s="536"/>
      <c r="V3887" s="82">
        <f>+SUM(V3884:V3886)</f>
        <v>11157.933333333332</v>
      </c>
      <c r="Y3887" s="398" t="s">
        <v>135</v>
      </c>
      <c r="Z3887" s="397">
        <f>+SUM(Z3884:Z3886)</f>
        <v>717120.37533333327</v>
      </c>
      <c r="AA3887" s="86"/>
      <c r="AB3887" s="384"/>
      <c r="AC3887" s="385"/>
      <c r="AD3887" s="94"/>
      <c r="AE3887" s="399"/>
    </row>
    <row r="3888" spans="3:31" s="260" customFormat="1" ht="15.75" thickBot="1" x14ac:dyDescent="0.3">
      <c r="C3888" s="84"/>
      <c r="D3888" s="354"/>
      <c r="E3888" s="96"/>
      <c r="F3888" s="96"/>
      <c r="G3888" s="107">
        <f>+F3881</f>
        <v>4.0199999999999996</v>
      </c>
      <c r="H3888" s="96"/>
      <c r="I3888" s="96"/>
      <c r="J3888" s="427"/>
      <c r="K3888" s="88"/>
      <c r="M3888" s="535"/>
      <c r="N3888" s="537" t="s">
        <v>121</v>
      </c>
      <c r="O3888" s="537"/>
      <c r="P3888" s="537"/>
      <c r="Q3888" s="537"/>
      <c r="R3888" s="537"/>
      <c r="S3888" s="537"/>
      <c r="T3888" s="537"/>
      <c r="U3888" s="537"/>
      <c r="V3888" s="413">
        <f>+ROUND(V3887,$AA$5)</f>
        <v>11157.93</v>
      </c>
      <c r="Y3888" s="401" t="s">
        <v>136</v>
      </c>
      <c r="Z3888" s="402">
        <f>+ROUND(Z3887,$AA$5)</f>
        <v>717120.38</v>
      </c>
      <c r="AA3888" s="86"/>
      <c r="AB3888" s="403">
        <f>+V3888*Y3854</f>
        <v>717120.16110000003</v>
      </c>
      <c r="AC3888" s="404">
        <f>+AB3888-Z3888</f>
        <v>-0.21889999997802079</v>
      </c>
      <c r="AD3888" s="94"/>
      <c r="AE3888" s="405"/>
    </row>
    <row r="3889" spans="3:31" s="260" customFormat="1" ht="15.75" thickBot="1" x14ac:dyDescent="0.3">
      <c r="C3889" s="84"/>
      <c r="D3889" s="375" t="s">
        <v>128</v>
      </c>
      <c r="E3889" s="376" t="s">
        <v>129</v>
      </c>
      <c r="F3889" s="376" t="s">
        <v>130</v>
      </c>
      <c r="G3889" s="376" t="s">
        <v>131</v>
      </c>
      <c r="H3889" s="376" t="s">
        <v>132</v>
      </c>
      <c r="I3889" s="376" t="s">
        <v>133</v>
      </c>
      <c r="J3889" s="377" t="s">
        <v>134</v>
      </c>
      <c r="K3889" s="88"/>
      <c r="M3889" s="541"/>
      <c r="N3889" s="542"/>
      <c r="O3889" s="542"/>
      <c r="P3889" s="542"/>
      <c r="Q3889" s="542"/>
      <c r="R3889" s="542"/>
      <c r="S3889" s="542"/>
      <c r="T3889" s="542"/>
      <c r="U3889" s="542"/>
      <c r="V3889" s="543"/>
      <c r="Y3889" s="378"/>
      <c r="Z3889" s="121"/>
      <c r="AA3889" s="86"/>
      <c r="AB3889" s="409"/>
      <c r="AC3889" s="121"/>
      <c r="AD3889" s="94"/>
      <c r="AE3889" s="428"/>
    </row>
    <row r="3890" spans="3:31" s="260" customFormat="1" ht="15.75" thickBot="1" x14ac:dyDescent="0.3">
      <c r="C3890" s="84"/>
      <c r="D3890" s="355"/>
      <c r="E3890" s="367"/>
      <c r="F3890" s="367"/>
      <c r="G3890" s="367"/>
      <c r="H3890" s="412">
        <f>G3888</f>
        <v>4.0199999999999996</v>
      </c>
      <c r="I3890" s="412"/>
      <c r="J3890" s="422"/>
      <c r="K3890" s="88"/>
      <c r="M3890" s="544" t="s">
        <v>122</v>
      </c>
      <c r="N3890" s="537"/>
      <c r="O3890" s="537"/>
      <c r="P3890" s="537"/>
      <c r="Q3890" s="537"/>
      <c r="R3890" s="537"/>
      <c r="S3890" s="537"/>
      <c r="T3890" s="537"/>
      <c r="U3890" s="545">
        <f>+V3888+V3881+V3873+V3864</f>
        <v>39533.300000000003</v>
      </c>
      <c r="V3890" s="546"/>
      <c r="Y3890" s="429"/>
      <c r="Z3890" s="430">
        <f>+Z3888+Z3881+Z3873+Z3864</f>
        <v>2540805.2099999995</v>
      </c>
      <c r="AA3890" s="86"/>
      <c r="AB3890" s="431">
        <f>+AB3888+AB3881+AB3873+AB3864</f>
        <v>2540805.1909999996</v>
      </c>
      <c r="AC3890" s="404">
        <f>+AB3890-Z3890</f>
        <v>-1.8999999854713678E-2</v>
      </c>
      <c r="AD3890" s="94"/>
      <c r="AE3890" s="432"/>
    </row>
    <row r="3891" spans="3:31" s="260" customFormat="1" ht="15.75" thickBot="1" x14ac:dyDescent="0.3"/>
    <row r="3892" spans="3:31" s="260" customFormat="1" x14ac:dyDescent="0.25">
      <c r="M3892" s="547" t="s">
        <v>348</v>
      </c>
      <c r="N3892" s="548"/>
      <c r="O3892" s="548"/>
      <c r="P3892" s="548"/>
      <c r="Q3892" s="548"/>
      <c r="R3892" s="548"/>
      <c r="S3892" s="548"/>
      <c r="T3892" s="548"/>
      <c r="U3892" s="548"/>
      <c r="V3892" s="549"/>
      <c r="Y3892" s="378"/>
      <c r="Z3892" s="121"/>
      <c r="AA3892" s="86"/>
      <c r="AB3892" s="94"/>
      <c r="AC3892" s="94"/>
      <c r="AD3892" s="94"/>
      <c r="AE3892" s="126" t="s">
        <v>133</v>
      </c>
    </row>
    <row r="3893" spans="3:31" s="260" customFormat="1" x14ac:dyDescent="0.25">
      <c r="M3893" s="515" t="s">
        <v>138</v>
      </c>
      <c r="N3893" s="516"/>
      <c r="O3893" s="516"/>
      <c r="P3893" s="516"/>
      <c r="Q3893" s="516"/>
      <c r="R3893" s="516"/>
      <c r="S3893" s="516"/>
      <c r="T3893" s="437">
        <v>0</v>
      </c>
      <c r="U3893" s="517">
        <f>+ROUND(U3890*T3893,$AA$5)</f>
        <v>0</v>
      </c>
      <c r="V3893" s="518"/>
      <c r="Y3893" s="390"/>
      <c r="Z3893" s="438">
        <f>+Z3890*T3893</f>
        <v>0</v>
      </c>
      <c r="AA3893" s="86"/>
      <c r="AB3893" s="94"/>
      <c r="AC3893" s="94"/>
      <c r="AD3893" s="94"/>
      <c r="AE3893" s="386" t="s">
        <v>133</v>
      </c>
    </row>
    <row r="3894" spans="3:31" s="260" customFormat="1" x14ac:dyDescent="0.25">
      <c r="M3894" s="515" t="s">
        <v>19</v>
      </c>
      <c r="N3894" s="516"/>
      <c r="O3894" s="516"/>
      <c r="P3894" s="516"/>
      <c r="Q3894" s="516"/>
      <c r="R3894" s="516"/>
      <c r="S3894" s="516"/>
      <c r="T3894" s="437">
        <v>0.05</v>
      </c>
      <c r="U3894" s="517">
        <f>+ROUND(U3890*T3894,$AA$5)</f>
        <v>1976.67</v>
      </c>
      <c r="V3894" s="518"/>
      <c r="Y3894" s="390"/>
      <c r="Z3894" s="438">
        <f>+Z3890*T3894</f>
        <v>127040.26049999997</v>
      </c>
      <c r="AA3894" s="86"/>
      <c r="AB3894" s="94"/>
      <c r="AC3894" s="94"/>
      <c r="AD3894" s="94"/>
      <c r="AE3894" s="386" t="s">
        <v>133</v>
      </c>
    </row>
    <row r="3895" spans="3:31" s="260" customFormat="1" x14ac:dyDescent="0.25">
      <c r="M3895" s="515" t="s">
        <v>20</v>
      </c>
      <c r="N3895" s="516"/>
      <c r="O3895" s="516"/>
      <c r="P3895" s="516"/>
      <c r="Q3895" s="516"/>
      <c r="R3895" s="516"/>
      <c r="S3895" s="516"/>
      <c r="T3895" s="437">
        <v>0</v>
      </c>
      <c r="U3895" s="517">
        <f>+ROUND(U3890*T3895,$AA$5)</f>
        <v>0</v>
      </c>
      <c r="V3895" s="518"/>
      <c r="Y3895" s="390"/>
      <c r="Z3895" s="438">
        <f>+Z3890*T3895</f>
        <v>0</v>
      </c>
      <c r="AA3895" s="86"/>
      <c r="AB3895" s="94"/>
      <c r="AC3895" s="94"/>
      <c r="AD3895" s="94"/>
      <c r="AE3895" s="386" t="s">
        <v>133</v>
      </c>
    </row>
    <row r="3896" spans="3:31" s="260" customFormat="1" x14ac:dyDescent="0.25">
      <c r="M3896" s="515" t="s">
        <v>21</v>
      </c>
      <c r="N3896" s="516"/>
      <c r="O3896" s="516"/>
      <c r="P3896" s="516"/>
      <c r="Q3896" s="516"/>
      <c r="R3896" s="516"/>
      <c r="S3896" s="516"/>
      <c r="T3896" s="437">
        <f>$AA$9</f>
        <v>0</v>
      </c>
      <c r="U3896" s="517">
        <f>+ROUND(U3890*T3896,$AA$5)</f>
        <v>0</v>
      </c>
      <c r="V3896" s="518"/>
      <c r="Y3896" s="390"/>
      <c r="Z3896" s="438">
        <f>+Z3895*T3896</f>
        <v>0</v>
      </c>
      <c r="AA3896" s="86"/>
      <c r="AB3896" s="94"/>
      <c r="AC3896" s="94"/>
      <c r="AD3896" s="94"/>
      <c r="AE3896" s="386" t="s">
        <v>133</v>
      </c>
    </row>
    <row r="3897" spans="3:31" s="260" customFormat="1" ht="15.75" thickBot="1" x14ac:dyDescent="0.3">
      <c r="M3897" s="519" t="s">
        <v>349</v>
      </c>
      <c r="N3897" s="520"/>
      <c r="O3897" s="520"/>
      <c r="P3897" s="520"/>
      <c r="Q3897" s="520"/>
      <c r="R3897" s="520"/>
      <c r="S3897" s="520"/>
      <c r="T3897" s="520"/>
      <c r="U3897" s="521">
        <f>+SUM(U3893:V3896)</f>
        <v>1976.67</v>
      </c>
      <c r="V3897" s="522"/>
      <c r="Y3897" s="390"/>
      <c r="Z3897" s="439">
        <f>+SUM(Z3893:Z3896)</f>
        <v>127040.26049999997</v>
      </c>
      <c r="AA3897" s="86"/>
      <c r="AB3897" s="94"/>
      <c r="AC3897" s="94"/>
      <c r="AD3897" s="94"/>
      <c r="AE3897" s="386" t="s">
        <v>133</v>
      </c>
    </row>
    <row r="3898" spans="3:31" s="260" customFormat="1" ht="15.75" thickBot="1" x14ac:dyDescent="0.3">
      <c r="D3898" s="375" t="s">
        <v>128</v>
      </c>
      <c r="E3898" s="376" t="s">
        <v>129</v>
      </c>
      <c r="F3898" s="376" t="s">
        <v>130</v>
      </c>
      <c r="G3898" s="376" t="s">
        <v>131</v>
      </c>
      <c r="H3898" s="376" t="s">
        <v>132</v>
      </c>
      <c r="I3898" s="376" t="s">
        <v>133</v>
      </c>
      <c r="J3898" s="377" t="s">
        <v>134</v>
      </c>
      <c r="M3898" s="86"/>
      <c r="N3898" s="94"/>
      <c r="O3898" s="94"/>
      <c r="P3898" s="94"/>
      <c r="Q3898" s="86"/>
      <c r="R3898" s="86"/>
      <c r="S3898" s="86"/>
      <c r="T3898" s="440"/>
      <c r="U3898" s="523"/>
      <c r="V3898" s="523"/>
      <c r="Y3898" s="390"/>
      <c r="Z3898" s="385"/>
      <c r="AA3898" s="86"/>
      <c r="AB3898" s="94"/>
      <c r="AC3898" s="94"/>
      <c r="AD3898" s="94"/>
      <c r="AE3898" s="386" t="s">
        <v>133</v>
      </c>
    </row>
    <row r="3899" spans="3:31" s="260" customFormat="1" ht="15.75" thickBot="1" x14ac:dyDescent="0.3">
      <c r="D3899" s="355"/>
      <c r="E3899" s="367"/>
      <c r="F3899" s="367"/>
      <c r="G3899" s="367"/>
      <c r="H3899" s="412"/>
      <c r="I3899" s="412">
        <f>H3890</f>
        <v>4.0199999999999996</v>
      </c>
      <c r="J3899" s="422"/>
      <c r="M3899" s="524" t="s">
        <v>11</v>
      </c>
      <c r="N3899" s="525"/>
      <c r="O3899" s="525"/>
      <c r="P3899" s="525"/>
      <c r="Q3899" s="525"/>
      <c r="R3899" s="525"/>
      <c r="S3899" s="525"/>
      <c r="T3899" s="526"/>
      <c r="U3899" s="527">
        <f>+U3897+U3890</f>
        <v>41509.97</v>
      </c>
      <c r="V3899" s="528"/>
      <c r="Y3899" s="429"/>
      <c r="Z3899" s="441">
        <f>+Z3897+Z3890</f>
        <v>2667845.4704999994</v>
      </c>
      <c r="AA3899" s="86"/>
      <c r="AB3899" s="94"/>
      <c r="AC3899" s="94"/>
      <c r="AD3899" s="94"/>
      <c r="AE3899" s="405" t="s">
        <v>133</v>
      </c>
    </row>
    <row r="3900" spans="3:31" s="260" customFormat="1" x14ac:dyDescent="0.25"/>
    <row r="3901" spans="3:31" s="260" customFormat="1" ht="15.75" thickBot="1" x14ac:dyDescent="0.3"/>
    <row r="3902" spans="3:31" s="260" customFormat="1" ht="15.75" thickBot="1" x14ac:dyDescent="0.3">
      <c r="M3902" s="363" t="s">
        <v>88</v>
      </c>
      <c r="N3902" s="436" t="str">
        <f>+N3853</f>
        <v>CAP.4</v>
      </c>
      <c r="O3902" s="550" t="str">
        <f>IFERROR(VLOOKUP(N3902,PPTO!C:H,2,0),"----")</f>
        <v>RED SANITARIA</v>
      </c>
      <c r="P3902" s="551"/>
      <c r="Q3902" s="551"/>
      <c r="R3902" s="551"/>
      <c r="S3902" s="551"/>
      <c r="T3902" s="551"/>
      <c r="U3902" s="552"/>
      <c r="V3902" s="74" t="s">
        <v>91</v>
      </c>
      <c r="Y3902" s="365" t="s">
        <v>104</v>
      </c>
      <c r="Z3902" s="94"/>
      <c r="AA3902" s="188"/>
      <c r="AB3902" s="553"/>
      <c r="AC3902" s="553"/>
      <c r="AD3902" s="553"/>
      <c r="AE3902" s="94"/>
    </row>
    <row r="3903" spans="3:31" s="260" customFormat="1" ht="15.75" thickBot="1" x14ac:dyDescent="0.3">
      <c r="C3903" s="369">
        <f>+N3903</f>
        <v>4.03</v>
      </c>
      <c r="D3903" s="86"/>
      <c r="E3903" s="86"/>
      <c r="F3903" s="86"/>
      <c r="G3903" s="86"/>
      <c r="H3903" s="86"/>
      <c r="I3903" s="86"/>
      <c r="J3903" s="86"/>
      <c r="K3903" s="370"/>
      <c r="M3903" s="75" t="s">
        <v>92</v>
      </c>
      <c r="N3903" s="371">
        <f>+ROUNDUP(N3854+0.01,2)</f>
        <v>4.03</v>
      </c>
      <c r="O3903" s="554" t="str">
        <f>IFERROR(VLOOKUP(N3903,PPTO!C:H,2,0),"----")</f>
        <v>Tubería Sanitaria HD Ø3"</v>
      </c>
      <c r="P3903" s="555"/>
      <c r="Q3903" s="555"/>
      <c r="R3903" s="555"/>
      <c r="S3903" s="555"/>
      <c r="T3903" s="555"/>
      <c r="U3903" s="556"/>
      <c r="V3903" s="76" t="str">
        <f>IFERROR(VLOOKUP(N3903,PPTO!C:H,3,0),"----")</f>
        <v>ML</v>
      </c>
      <c r="Y3903" s="373">
        <f>SUMIFS(PPTO!F:F,PPTO!C:C,APUS!N3903)</f>
        <v>3.6</v>
      </c>
      <c r="Z3903" s="94"/>
      <c r="AA3903" s="86"/>
      <c r="AB3903" s="94"/>
      <c r="AC3903" s="94"/>
      <c r="AD3903" s="94"/>
      <c r="AE3903" s="94"/>
    </row>
    <row r="3904" spans="3:31" s="260" customFormat="1" ht="15.75" thickBot="1" x14ac:dyDescent="0.3">
      <c r="C3904" s="84"/>
      <c r="D3904" s="86"/>
      <c r="E3904" s="86"/>
      <c r="F3904" s="86"/>
      <c r="G3904" s="86"/>
      <c r="H3904" s="86"/>
      <c r="I3904" s="86"/>
      <c r="J3904" s="86"/>
      <c r="K3904" s="88"/>
      <c r="M3904" s="557"/>
      <c r="N3904" s="557"/>
      <c r="O3904" s="557"/>
      <c r="P3904" s="557"/>
      <c r="Q3904" s="557"/>
      <c r="R3904" s="557"/>
      <c r="S3904" s="557"/>
      <c r="T3904" s="557"/>
      <c r="U3904" s="557"/>
      <c r="V3904" s="557"/>
      <c r="Y3904" s="374"/>
      <c r="Z3904" s="94"/>
      <c r="AA3904" s="86"/>
      <c r="AB3904" s="94"/>
      <c r="AC3904" s="94"/>
      <c r="AD3904" s="94"/>
      <c r="AE3904" s="94"/>
    </row>
    <row r="3905" spans="3:31" s="260" customFormat="1" ht="15.75" thickBot="1" x14ac:dyDescent="0.3">
      <c r="C3905" s="84"/>
      <c r="D3905" s="375" t="s">
        <v>128</v>
      </c>
      <c r="E3905" s="376" t="s">
        <v>129</v>
      </c>
      <c r="F3905" s="376" t="s">
        <v>130</v>
      </c>
      <c r="G3905" s="376" t="s">
        <v>131</v>
      </c>
      <c r="H3905" s="376" t="s">
        <v>132</v>
      </c>
      <c r="I3905" s="376" t="s">
        <v>133</v>
      </c>
      <c r="J3905" s="377" t="s">
        <v>134</v>
      </c>
      <c r="K3905" s="88"/>
      <c r="M3905" s="558" t="s">
        <v>93</v>
      </c>
      <c r="N3905" s="559"/>
      <c r="O3905" s="559"/>
      <c r="P3905" s="559"/>
      <c r="Q3905" s="559"/>
      <c r="R3905" s="559"/>
      <c r="S3905" s="559"/>
      <c r="T3905" s="559"/>
      <c r="U3905" s="559"/>
      <c r="V3905" s="560"/>
      <c r="Y3905" s="378"/>
      <c r="Z3905" s="121"/>
      <c r="AA3905" s="86"/>
      <c r="AB3905" s="513"/>
      <c r="AC3905" s="514"/>
      <c r="AD3905" s="94"/>
      <c r="AE3905" s="379"/>
    </row>
    <row r="3906" spans="3:31" s="260" customFormat="1" x14ac:dyDescent="0.25">
      <c r="C3906" s="84"/>
      <c r="D3906" s="380"/>
      <c r="E3906" s="381"/>
      <c r="F3906" s="381"/>
      <c r="G3906" s="381"/>
      <c r="H3906" s="381"/>
      <c r="I3906" s="381"/>
      <c r="J3906" s="382"/>
      <c r="K3906" s="88"/>
      <c r="M3906" s="99" t="s">
        <v>94</v>
      </c>
      <c r="N3906" s="561" t="s">
        <v>95</v>
      </c>
      <c r="O3906" s="561"/>
      <c r="P3906" s="561"/>
      <c r="Q3906" s="561"/>
      <c r="R3906" s="95" t="s">
        <v>96</v>
      </c>
      <c r="S3906" s="95" t="s">
        <v>97</v>
      </c>
      <c r="T3906" s="562" t="s">
        <v>8</v>
      </c>
      <c r="U3906" s="562"/>
      <c r="V3906" s="100" t="s">
        <v>98</v>
      </c>
      <c r="Y3906" s="383" t="s">
        <v>104</v>
      </c>
      <c r="Z3906" s="119" t="s">
        <v>9</v>
      </c>
      <c r="AA3906" s="86"/>
      <c r="AB3906" s="384"/>
      <c r="AC3906" s="385"/>
      <c r="AD3906" s="94"/>
      <c r="AE3906" s="386"/>
    </row>
    <row r="3907" spans="3:31" s="260" customFormat="1" x14ac:dyDescent="0.25">
      <c r="C3907" s="84"/>
      <c r="D3907" s="85"/>
      <c r="E3907" s="86"/>
      <c r="F3907" s="86"/>
      <c r="G3907" s="86"/>
      <c r="H3907" s="86"/>
      <c r="I3907" s="86"/>
      <c r="J3907" s="87"/>
      <c r="K3907" s="88"/>
      <c r="M3907" s="102"/>
      <c r="N3907" s="533" t="s">
        <v>99</v>
      </c>
      <c r="O3907" s="533"/>
      <c r="P3907" s="533"/>
      <c r="Q3907" s="533"/>
      <c r="R3907" s="78" t="s">
        <v>100</v>
      </c>
      <c r="S3907" s="387">
        <f>+$AA$10</f>
        <v>0.05</v>
      </c>
      <c r="T3907" s="563">
        <f>V3937</f>
        <v>11157.93</v>
      </c>
      <c r="U3907" s="563"/>
      <c r="V3907" s="389">
        <f>+IFERROR(T3907*S3907,0)</f>
        <v>557.89650000000006</v>
      </c>
      <c r="Y3907" s="390"/>
      <c r="Z3907" s="391">
        <f>Y3903*V3907</f>
        <v>2008.4274000000003</v>
      </c>
      <c r="AA3907" s="86"/>
      <c r="AB3907" s="384"/>
      <c r="AC3907" s="385"/>
      <c r="AD3907" s="94"/>
      <c r="AE3907" s="386" t="str">
        <f>+IF(V3907=0,"CERO","NO")</f>
        <v>NO</v>
      </c>
    </row>
    <row r="3908" spans="3:31" s="260" customFormat="1" x14ac:dyDescent="0.25">
      <c r="C3908" s="84"/>
      <c r="D3908" s="85"/>
      <c r="E3908" s="86"/>
      <c r="F3908" s="86"/>
      <c r="G3908" s="86"/>
      <c r="H3908" s="86"/>
      <c r="I3908" s="86"/>
      <c r="J3908" s="87"/>
      <c r="K3908" s="88"/>
      <c r="M3908" s="106"/>
      <c r="N3908" s="533" t="str">
        <f>IFERROR(VLOOKUP(M3908,INSUMOS!$C$8:$K$928,2,0),"-----")</f>
        <v>-----</v>
      </c>
      <c r="O3908" s="533"/>
      <c r="P3908" s="533"/>
      <c r="Q3908" s="533"/>
      <c r="R3908" s="78" t="str">
        <f>IFERROR(VLOOKUP(M3908,INSUMOS!$C$8:$K$928,6,0),"-----")</f>
        <v>-----</v>
      </c>
      <c r="S3908" s="392"/>
      <c r="T3908" s="529" t="str">
        <f>IFERROR(VLOOKUP(M3908,INSUMOS!$C$8:$K$928,7,0),"0")</f>
        <v>0</v>
      </c>
      <c r="U3908" s="529"/>
      <c r="V3908" s="389">
        <f>+IFERROR(T3908*S3908,0)</f>
        <v>0</v>
      </c>
      <c r="Y3908" s="393">
        <f>+IFERROR(Y3903*S3908,0)</f>
        <v>0</v>
      </c>
      <c r="Z3908" s="391">
        <f>Y3903*V3908</f>
        <v>0</v>
      </c>
      <c r="AA3908" s="394"/>
      <c r="AB3908" s="395">
        <f>+Y3908*T3908</f>
        <v>0</v>
      </c>
      <c r="AC3908" s="93">
        <f>+AB3908-Z3908</f>
        <v>0</v>
      </c>
      <c r="AD3908" s="94"/>
      <c r="AE3908" s="386" t="str">
        <f>+IF(V3908=0,"CERO","NO")</f>
        <v>CERO</v>
      </c>
    </row>
    <row r="3909" spans="3:31" s="260" customFormat="1" x14ac:dyDescent="0.25">
      <c r="C3909" s="84"/>
      <c r="D3909" s="85"/>
      <c r="E3909" s="86"/>
      <c r="F3909" s="86"/>
      <c r="G3909" s="86"/>
      <c r="H3909" s="86"/>
      <c r="I3909" s="86"/>
      <c r="J3909" s="87"/>
      <c r="K3909" s="88"/>
      <c r="M3909" s="102">
        <v>0</v>
      </c>
      <c r="N3909" s="533"/>
      <c r="O3909" s="533"/>
      <c r="P3909" s="533"/>
      <c r="Q3909" s="533"/>
      <c r="R3909" s="78"/>
      <c r="S3909" s="396"/>
      <c r="T3909" s="529"/>
      <c r="U3909" s="529"/>
      <c r="V3909" s="397"/>
      <c r="Y3909" s="393">
        <f>+IFERROR(Y3903*S3909,0)</f>
        <v>0</v>
      </c>
      <c r="Z3909" s="391">
        <f>Y3903*V3909</f>
        <v>0</v>
      </c>
      <c r="AA3909" s="394"/>
      <c r="AB3909" s="395">
        <f>+Y3909*T3909</f>
        <v>0</v>
      </c>
      <c r="AC3909" s="93">
        <f>+AB3909-Z3909</f>
        <v>0</v>
      </c>
      <c r="AD3909" s="94"/>
      <c r="AE3909" s="386" t="str">
        <f>+IF(V3909=0,"CERO","NO")</f>
        <v>CERO</v>
      </c>
    </row>
    <row r="3910" spans="3:31" s="260" customFormat="1" x14ac:dyDescent="0.25">
      <c r="C3910" s="84"/>
      <c r="D3910" s="85"/>
      <c r="E3910" s="86"/>
      <c r="F3910" s="86"/>
      <c r="G3910" s="86"/>
      <c r="H3910" s="86"/>
      <c r="I3910" s="86"/>
      <c r="J3910" s="87"/>
      <c r="K3910" s="88"/>
      <c r="M3910" s="102">
        <v>0</v>
      </c>
      <c r="N3910" s="533"/>
      <c r="O3910" s="533"/>
      <c r="P3910" s="533"/>
      <c r="Q3910" s="533"/>
      <c r="R3910" s="78"/>
      <c r="S3910" s="396"/>
      <c r="T3910" s="529"/>
      <c r="U3910" s="529"/>
      <c r="V3910" s="397"/>
      <c r="Y3910" s="393">
        <f>+IFERROR(Y3903*S3910,0)</f>
        <v>0</v>
      </c>
      <c r="Z3910" s="391">
        <f>Y3903*V3910</f>
        <v>0</v>
      </c>
      <c r="AA3910" s="394"/>
      <c r="AB3910" s="395">
        <f>+Y3910*T3910</f>
        <v>0</v>
      </c>
      <c r="AC3910" s="93">
        <f>+AB3910-Z3910</f>
        <v>0</v>
      </c>
      <c r="AD3910" s="94"/>
      <c r="AE3910" s="386" t="str">
        <f>+IF(V3910=0,"CERO","NO")</f>
        <v>CERO</v>
      </c>
    </row>
    <row r="3911" spans="3:31" s="260" customFormat="1" ht="15.75" thickBot="1" x14ac:dyDescent="0.3">
      <c r="C3911" s="84"/>
      <c r="D3911" s="85"/>
      <c r="E3911" s="86"/>
      <c r="F3911" s="86"/>
      <c r="G3911" s="86"/>
      <c r="H3911" s="86"/>
      <c r="I3911" s="86"/>
      <c r="J3911" s="87"/>
      <c r="K3911" s="88"/>
      <c r="M3911" s="102">
        <v>0</v>
      </c>
      <c r="N3911" s="564"/>
      <c r="O3911" s="564"/>
      <c r="P3911" s="564"/>
      <c r="Q3911" s="564"/>
      <c r="R3911" s="96"/>
      <c r="S3911" s="96"/>
      <c r="T3911" s="565"/>
      <c r="U3911" s="565"/>
      <c r="V3911" s="101"/>
      <c r="Y3911" s="393">
        <f>+IFERROR(Y3903*S3911,0)</f>
        <v>0</v>
      </c>
      <c r="Z3911" s="391">
        <f>Y3903*V3911</f>
        <v>0</v>
      </c>
      <c r="AA3911" s="394"/>
      <c r="AB3911" s="395">
        <f>+Y3911*T3911</f>
        <v>0</v>
      </c>
      <c r="AC3911" s="93">
        <f>+AB3911-Z3911</f>
        <v>0</v>
      </c>
      <c r="AD3911" s="94"/>
      <c r="AE3911" s="386" t="str">
        <f>+IF(V3911=0,"CERO","NO")</f>
        <v>CERO</v>
      </c>
    </row>
    <row r="3912" spans="3:31" s="260" customFormat="1" ht="15.75" thickBot="1" x14ac:dyDescent="0.3">
      <c r="C3912" s="84"/>
      <c r="D3912" s="375" t="s">
        <v>128</v>
      </c>
      <c r="E3912" s="376" t="s">
        <v>129</v>
      </c>
      <c r="F3912" s="376" t="s">
        <v>130</v>
      </c>
      <c r="G3912" s="376" t="s">
        <v>131</v>
      </c>
      <c r="H3912" s="376" t="s">
        <v>132</v>
      </c>
      <c r="I3912" s="376" t="s">
        <v>133</v>
      </c>
      <c r="J3912" s="377" t="s">
        <v>134</v>
      </c>
      <c r="K3912" s="88"/>
      <c r="M3912" s="534"/>
      <c r="N3912" s="536" t="s">
        <v>101</v>
      </c>
      <c r="O3912" s="536"/>
      <c r="P3912" s="536"/>
      <c r="Q3912" s="536"/>
      <c r="R3912" s="536"/>
      <c r="S3912" s="536"/>
      <c r="T3912" s="536"/>
      <c r="U3912" s="536"/>
      <c r="V3912" s="389">
        <f>+SUM(V3907:V3911)</f>
        <v>557.89650000000006</v>
      </c>
      <c r="Y3912" s="398" t="s">
        <v>135</v>
      </c>
      <c r="Z3912" s="397">
        <f>+SUM(Z3907:Z3911)</f>
        <v>2008.4274000000003</v>
      </c>
      <c r="AA3912" s="86"/>
      <c r="AB3912" s="384"/>
      <c r="AC3912" s="385"/>
      <c r="AD3912" s="94"/>
      <c r="AE3912" s="399"/>
    </row>
    <row r="3913" spans="3:31" s="260" customFormat="1" ht="15.75" thickBot="1" x14ac:dyDescent="0.3">
      <c r="C3913" s="84"/>
      <c r="D3913" s="375">
        <f>C3903</f>
        <v>4.03</v>
      </c>
      <c r="E3913" s="376"/>
      <c r="F3913" s="376"/>
      <c r="G3913" s="376"/>
      <c r="H3913" s="376"/>
      <c r="I3913" s="376"/>
      <c r="J3913" s="377"/>
      <c r="K3913" s="88"/>
      <c r="M3913" s="566"/>
      <c r="N3913" s="567" t="s">
        <v>102</v>
      </c>
      <c r="O3913" s="567"/>
      <c r="P3913" s="567"/>
      <c r="Q3913" s="567"/>
      <c r="R3913" s="567"/>
      <c r="S3913" s="567"/>
      <c r="T3913" s="567"/>
      <c r="U3913" s="567"/>
      <c r="V3913" s="400">
        <f>+ROUND(V3912,$AA$5)</f>
        <v>557.9</v>
      </c>
      <c r="Y3913" s="401" t="s">
        <v>136</v>
      </c>
      <c r="Z3913" s="402">
        <f>+ROUND(Z3912,$AA$5)</f>
        <v>2008.43</v>
      </c>
      <c r="AA3913" s="86"/>
      <c r="AB3913" s="403">
        <f>+V3913*Y3903</f>
        <v>2008.44</v>
      </c>
      <c r="AC3913" s="404">
        <f>+AB3913-Z3913</f>
        <v>9.9999999999909051E-3</v>
      </c>
      <c r="AD3913" s="94"/>
      <c r="AE3913" s="405"/>
    </row>
    <row r="3914" spans="3:31" s="260" customFormat="1" x14ac:dyDescent="0.25">
      <c r="C3914" s="84"/>
      <c r="D3914" s="380"/>
      <c r="E3914" s="381"/>
      <c r="F3914" s="381"/>
      <c r="G3914" s="381"/>
      <c r="H3914" s="381"/>
      <c r="I3914" s="381"/>
      <c r="J3914" s="382"/>
      <c r="K3914" s="88"/>
      <c r="M3914" s="510" t="s">
        <v>103</v>
      </c>
      <c r="N3914" s="511"/>
      <c r="O3914" s="511"/>
      <c r="P3914" s="511"/>
      <c r="Q3914" s="511"/>
      <c r="R3914" s="511"/>
      <c r="S3914" s="511"/>
      <c r="T3914" s="511"/>
      <c r="U3914" s="511"/>
      <c r="V3914" s="512"/>
      <c r="Y3914" s="378"/>
      <c r="Z3914" s="121"/>
      <c r="AA3914" s="86"/>
      <c r="AB3914" s="513"/>
      <c r="AC3914" s="514"/>
      <c r="AD3914" s="94"/>
      <c r="AE3914" s="126"/>
    </row>
    <row r="3915" spans="3:31" s="260" customFormat="1" x14ac:dyDescent="0.25">
      <c r="C3915" s="84"/>
      <c r="D3915" s="85"/>
      <c r="E3915" s="86"/>
      <c r="F3915" s="86"/>
      <c r="G3915" s="86"/>
      <c r="H3915" s="86"/>
      <c r="I3915" s="86"/>
      <c r="J3915" s="87"/>
      <c r="K3915" s="88"/>
      <c r="M3915" s="99" t="s">
        <v>94</v>
      </c>
      <c r="N3915" s="561" t="s">
        <v>95</v>
      </c>
      <c r="O3915" s="561"/>
      <c r="P3915" s="561"/>
      <c r="Q3915" s="561"/>
      <c r="R3915" s="95" t="s">
        <v>96</v>
      </c>
      <c r="S3915" s="95" t="s">
        <v>104</v>
      </c>
      <c r="T3915" s="356" t="s">
        <v>105</v>
      </c>
      <c r="U3915" s="356" t="s">
        <v>8</v>
      </c>
      <c r="V3915" s="100" t="s">
        <v>98</v>
      </c>
      <c r="Y3915" s="383" t="s">
        <v>104</v>
      </c>
      <c r="Z3915" s="119" t="s">
        <v>9</v>
      </c>
      <c r="AA3915" s="86"/>
      <c r="AB3915" s="384"/>
      <c r="AC3915" s="385"/>
      <c r="AD3915" s="94"/>
      <c r="AE3915" s="406"/>
    </row>
    <row r="3916" spans="3:31" s="260" customFormat="1" x14ac:dyDescent="0.25">
      <c r="C3916" s="84"/>
      <c r="D3916" s="85"/>
      <c r="E3916" s="86"/>
      <c r="F3916" s="86"/>
      <c r="G3916" s="86"/>
      <c r="H3916" s="86"/>
      <c r="I3916" s="86"/>
      <c r="J3916" s="87"/>
      <c r="K3916" s="88"/>
      <c r="M3916" s="102">
        <v>550</v>
      </c>
      <c r="N3916" s="533" t="str">
        <f>IFERROR(VLOOKUP(M3916,INSUMOS!$C$8:$K$928,2,0),"-----")</f>
        <v xml:space="preserve">TUBERIA PVC SANITARIO 3" </v>
      </c>
      <c r="O3916" s="533"/>
      <c r="P3916" s="533"/>
      <c r="Q3916" s="533"/>
      <c r="R3916" s="78" t="str">
        <f>IFERROR(VLOOKUP(M3916,INSUMOS!$C$8:$K$928,6,0),"-----")</f>
        <v>ml</v>
      </c>
      <c r="S3916" s="396">
        <v>1</v>
      </c>
      <c r="T3916" s="387">
        <v>0</v>
      </c>
      <c r="U3916" s="388">
        <f>IFERROR(VLOOKUP(M3916,INSUMOS!$C$8:$K$928,7,0),"0")</f>
        <v>24844.666666666668</v>
      </c>
      <c r="V3916" s="389">
        <f>+IFERROR(U3916*(S3916*(1+T3916)),0)</f>
        <v>24844.666666666668</v>
      </c>
      <c r="Y3916" s="393">
        <f>+IFERROR(Y3903*(S3916*(1+T3916)),0)</f>
        <v>3.6</v>
      </c>
      <c r="Z3916" s="391">
        <f>Y3903*V3916</f>
        <v>89440.8</v>
      </c>
      <c r="AA3916" s="394"/>
      <c r="AB3916" s="395">
        <f>+Y3916*U3916</f>
        <v>89440.8</v>
      </c>
      <c r="AC3916" s="93">
        <f>+AB3916-Z3916</f>
        <v>0</v>
      </c>
      <c r="AD3916" s="94"/>
      <c r="AE3916" s="406" t="str">
        <f>+IF(V3916=0,"CERO","NO")</f>
        <v>NO</v>
      </c>
    </row>
    <row r="3917" spans="3:31" s="260" customFormat="1" x14ac:dyDescent="0.25">
      <c r="C3917" s="84"/>
      <c r="D3917" s="85"/>
      <c r="E3917" s="86"/>
      <c r="F3917" s="86"/>
      <c r="G3917" s="86"/>
      <c r="H3917" s="86"/>
      <c r="I3917" s="86"/>
      <c r="J3917" s="87"/>
      <c r="K3917" s="88"/>
      <c r="M3917" s="102">
        <v>699</v>
      </c>
      <c r="N3917" s="533" t="str">
        <f>IFERROR(VLOOKUP(M3917,INSUMOS!$C$8:$K$928,2,0),"-----")</f>
        <v>SOLDADURA PVC LIQUIDA 1/4"</v>
      </c>
      <c r="O3917" s="533"/>
      <c r="P3917" s="533"/>
      <c r="Q3917" s="533"/>
      <c r="R3917" s="78" t="str">
        <f>IFERROR(VLOOKUP(M3917,INSUMOS!$C$8:$K$928,6,0),"-----")</f>
        <v>und</v>
      </c>
      <c r="S3917" s="396">
        <v>7.0000000000000007E-2</v>
      </c>
      <c r="T3917" s="387">
        <v>0.02</v>
      </c>
      <c r="U3917" s="388">
        <f>IFERROR(VLOOKUP(M3917,INSUMOS!$C$8:$K$928,7,0),"0")</f>
        <v>146569</v>
      </c>
      <c r="V3917" s="389">
        <f>+IFERROR(U3917*(S3917*(1+T3917)),0)</f>
        <v>10465.026600000001</v>
      </c>
      <c r="Y3917" s="393">
        <f>+IFERROR(Y3903*(S3917*(1+T3917)),0)</f>
        <v>0.25704000000000005</v>
      </c>
      <c r="Z3917" s="391">
        <f>Y3903*V3917</f>
        <v>37674.095760000004</v>
      </c>
      <c r="AA3917" s="394"/>
      <c r="AB3917" s="395">
        <f>+Y3917*U3917</f>
        <v>37674.095760000004</v>
      </c>
      <c r="AC3917" s="93">
        <f>+AB3917-Z3917</f>
        <v>0</v>
      </c>
      <c r="AD3917" s="94"/>
      <c r="AE3917" s="406" t="str">
        <f>+IF(V3917=0,"CERO","NO")</f>
        <v>NO</v>
      </c>
    </row>
    <row r="3918" spans="3:31" s="260" customFormat="1" x14ac:dyDescent="0.25">
      <c r="C3918" s="84"/>
      <c r="D3918" s="85"/>
      <c r="E3918" s="86"/>
      <c r="F3918" s="86"/>
      <c r="G3918" s="86"/>
      <c r="H3918" s="86"/>
      <c r="I3918" s="86"/>
      <c r="J3918" s="87"/>
      <c r="K3918" s="88"/>
      <c r="M3918" s="102">
        <v>700</v>
      </c>
      <c r="N3918" s="533" t="str">
        <f>IFERROR(VLOOKUP(M3918,INSUMOS!$C$8:$K$928,2,0),"-----")</f>
        <v>LIMPIADOR PVC 1/4</v>
      </c>
      <c r="O3918" s="533"/>
      <c r="P3918" s="533"/>
      <c r="Q3918" s="533"/>
      <c r="R3918" s="78" t="str">
        <f>IFERROR(VLOOKUP(M3918,INSUMOS!$C$8:$K$928,6,0),"-----")</f>
        <v>und</v>
      </c>
      <c r="S3918" s="396">
        <v>7.0000000000000007E-2</v>
      </c>
      <c r="T3918" s="387">
        <v>0.02</v>
      </c>
      <c r="U3918" s="388">
        <f>IFERROR(VLOOKUP(M3918,INSUMOS!$C$8:$K$928,7,0),"0")</f>
        <v>65913</v>
      </c>
      <c r="V3918" s="389">
        <f>+IFERROR(U3918*(S3918*(1+T3918)),0)</f>
        <v>4706.1882000000005</v>
      </c>
      <c r="Y3918" s="393">
        <f>+IFERROR(Y3903*(S3918*(1+T3918)),0)</f>
        <v>0.25704000000000005</v>
      </c>
      <c r="Z3918" s="391">
        <f>Y3903*V3918</f>
        <v>16942.277520000003</v>
      </c>
      <c r="AA3918" s="394"/>
      <c r="AB3918" s="395">
        <f>+Y3918*U3918</f>
        <v>16942.277520000003</v>
      </c>
      <c r="AC3918" s="93">
        <f>+AB3918-Z3918</f>
        <v>0</v>
      </c>
      <c r="AD3918" s="94"/>
      <c r="AE3918" s="406" t="str">
        <f>+IF(V3918=0,"CERO","NO")</f>
        <v>NO</v>
      </c>
    </row>
    <row r="3919" spans="3:31" s="260" customFormat="1" x14ac:dyDescent="0.25">
      <c r="C3919" s="84"/>
      <c r="D3919" s="85"/>
      <c r="E3919" s="86"/>
      <c r="F3919" s="86"/>
      <c r="G3919" s="86"/>
      <c r="H3919" s="86"/>
      <c r="I3919" s="86"/>
      <c r="J3919" s="87"/>
      <c r="K3919" s="88"/>
      <c r="M3919" s="102">
        <v>0</v>
      </c>
      <c r="N3919" s="533" t="str">
        <f>IFERROR(VLOOKUP(M3919,INSUMOS!$C$8:$K$928,2,0),"-----")</f>
        <v>-----</v>
      </c>
      <c r="O3919" s="533"/>
      <c r="P3919" s="533"/>
      <c r="Q3919" s="533"/>
      <c r="R3919" s="78" t="str">
        <f>IFERROR(VLOOKUP(M3919,INSUMOS!$C$8:$K$928,6,0),"-----")</f>
        <v>-----</v>
      </c>
      <c r="S3919" s="396"/>
      <c r="T3919" s="387"/>
      <c r="U3919" s="388" t="str">
        <f>IFERROR(VLOOKUP(M3919,INSUMOS!$C$8:$K$928,7,0),"0")</f>
        <v>0</v>
      </c>
      <c r="V3919" s="389">
        <f>+IFERROR(U3919*(S3919*(1+T3919)),0)</f>
        <v>0</v>
      </c>
      <c r="Y3919" s="393">
        <f>+IFERROR(Y3903*(S3919*(1+T3919)),0)</f>
        <v>0</v>
      </c>
      <c r="Z3919" s="391">
        <f>Y3903*V3919</f>
        <v>0</v>
      </c>
      <c r="AA3919" s="394"/>
      <c r="AB3919" s="395">
        <f>+Y3919*U3919</f>
        <v>0</v>
      </c>
      <c r="AC3919" s="93">
        <f>+AB3919-Z3919</f>
        <v>0</v>
      </c>
      <c r="AD3919" s="94"/>
      <c r="AE3919" s="406" t="str">
        <f>+IF(V3919=0,"CERO","NO")</f>
        <v>CERO</v>
      </c>
    </row>
    <row r="3920" spans="3:31" s="260" customFormat="1" ht="15.75" thickBot="1" x14ac:dyDescent="0.3">
      <c r="C3920" s="84"/>
      <c r="D3920" s="85"/>
      <c r="E3920" s="86"/>
      <c r="F3920" s="86"/>
      <c r="G3920" s="86"/>
      <c r="H3920" s="86"/>
      <c r="I3920" s="86"/>
      <c r="J3920" s="87"/>
      <c r="K3920" s="88"/>
      <c r="M3920" s="102">
        <v>0</v>
      </c>
      <c r="N3920" s="564"/>
      <c r="O3920" s="564"/>
      <c r="P3920" s="564"/>
      <c r="Q3920" s="564"/>
      <c r="R3920" s="96"/>
      <c r="S3920" s="79"/>
      <c r="T3920" s="97"/>
      <c r="U3920" s="358"/>
      <c r="V3920" s="397"/>
      <c r="Y3920" s="393">
        <f>+IFERROR(Y3903*(S3920*(1+T3920)),0)</f>
        <v>0</v>
      </c>
      <c r="Z3920" s="391">
        <f>Y3903*V3920</f>
        <v>0</v>
      </c>
      <c r="AA3920" s="394"/>
      <c r="AB3920" s="395">
        <f>+Y3920*U3920</f>
        <v>0</v>
      </c>
      <c r="AC3920" s="93">
        <f>+AB3920-Z3920</f>
        <v>0</v>
      </c>
      <c r="AD3920" s="94"/>
      <c r="AE3920" s="406" t="str">
        <f>+IF(V3920=0,"CERO","NO")</f>
        <v>CERO</v>
      </c>
    </row>
    <row r="3921" spans="3:31" s="260" customFormat="1" ht="15.75" thickBot="1" x14ac:dyDescent="0.3">
      <c r="C3921" s="84"/>
      <c r="D3921" s="375" t="s">
        <v>128</v>
      </c>
      <c r="E3921" s="376" t="s">
        <v>129</v>
      </c>
      <c r="F3921" s="376" t="s">
        <v>130</v>
      </c>
      <c r="G3921" s="376" t="s">
        <v>131</v>
      </c>
      <c r="H3921" s="376" t="s">
        <v>132</v>
      </c>
      <c r="I3921" s="376" t="s">
        <v>133</v>
      </c>
      <c r="J3921" s="377" t="s">
        <v>134</v>
      </c>
      <c r="K3921" s="88"/>
      <c r="M3921" s="534"/>
      <c r="N3921" s="536" t="s">
        <v>106</v>
      </c>
      <c r="O3921" s="536"/>
      <c r="P3921" s="536"/>
      <c r="Q3921" s="536"/>
      <c r="R3921" s="536"/>
      <c r="S3921" s="536"/>
      <c r="T3921" s="536"/>
      <c r="U3921" s="536"/>
      <c r="V3921" s="389">
        <f>+SUM(V3916:V3920)</f>
        <v>40015.881466666673</v>
      </c>
      <c r="Y3921" s="398" t="s">
        <v>135</v>
      </c>
      <c r="Z3921" s="397">
        <f>+SUM(Z3916:Z3920)</f>
        <v>144057.17328000002</v>
      </c>
      <c r="AA3921" s="86"/>
      <c r="AB3921" s="384"/>
      <c r="AC3921" s="385"/>
      <c r="AD3921" s="94"/>
      <c r="AE3921" s="399"/>
    </row>
    <row r="3922" spans="3:31" s="260" customFormat="1" ht="15.75" thickBot="1" x14ac:dyDescent="0.3">
      <c r="C3922" s="84"/>
      <c r="D3922" s="375"/>
      <c r="E3922" s="407">
        <f>+D3913</f>
        <v>4.03</v>
      </c>
      <c r="F3922" s="376"/>
      <c r="G3922" s="376"/>
      <c r="H3922" s="376"/>
      <c r="I3922" s="376"/>
      <c r="J3922" s="377"/>
      <c r="K3922" s="88"/>
      <c r="M3922" s="535"/>
      <c r="N3922" s="537" t="s">
        <v>107</v>
      </c>
      <c r="O3922" s="537"/>
      <c r="P3922" s="537"/>
      <c r="Q3922" s="537"/>
      <c r="R3922" s="537"/>
      <c r="S3922" s="537"/>
      <c r="T3922" s="537"/>
      <c r="U3922" s="537"/>
      <c r="V3922" s="408">
        <f>+ROUND(V3921,$AA$5)</f>
        <v>40015.879999999997</v>
      </c>
      <c r="Y3922" s="401" t="s">
        <v>136</v>
      </c>
      <c r="Z3922" s="402">
        <f>+ROUND(Z3921,$AA$5)</f>
        <v>144057.17000000001</v>
      </c>
      <c r="AA3922" s="86"/>
      <c r="AB3922" s="403">
        <f>+V3922*Y3903</f>
        <v>144057.16800000001</v>
      </c>
      <c r="AC3922" s="404">
        <f>+AB3922-Z3922</f>
        <v>-2.0000000076834112E-3</v>
      </c>
      <c r="AD3922" s="94"/>
      <c r="AE3922" s="405"/>
    </row>
    <row r="3923" spans="3:31" s="260" customFormat="1" x14ac:dyDescent="0.25">
      <c r="C3923" s="84"/>
      <c r="D3923" s="380"/>
      <c r="E3923" s="381"/>
      <c r="F3923" s="381"/>
      <c r="G3923" s="381"/>
      <c r="H3923" s="381"/>
      <c r="I3923" s="381"/>
      <c r="J3923" s="382"/>
      <c r="K3923" s="88"/>
      <c r="M3923" s="568" t="s">
        <v>108</v>
      </c>
      <c r="N3923" s="569"/>
      <c r="O3923" s="569"/>
      <c r="P3923" s="569"/>
      <c r="Q3923" s="569"/>
      <c r="R3923" s="569"/>
      <c r="S3923" s="569"/>
      <c r="T3923" s="569"/>
      <c r="U3923" s="569"/>
      <c r="V3923" s="570"/>
      <c r="Y3923" s="378"/>
      <c r="Z3923" s="121"/>
      <c r="AA3923" s="86"/>
      <c r="AB3923" s="409"/>
      <c r="AC3923" s="121"/>
      <c r="AD3923" s="94"/>
      <c r="AE3923" s="126"/>
    </row>
    <row r="3924" spans="3:31" s="260" customFormat="1" ht="25.5" x14ac:dyDescent="0.25">
      <c r="C3924" s="84"/>
      <c r="D3924" s="85"/>
      <c r="E3924" s="86"/>
      <c r="F3924" s="86"/>
      <c r="G3924" s="86"/>
      <c r="H3924" s="86"/>
      <c r="I3924" s="86"/>
      <c r="J3924" s="87"/>
      <c r="K3924" s="88"/>
      <c r="M3924" s="99" t="s">
        <v>94</v>
      </c>
      <c r="N3924" s="561" t="s">
        <v>95</v>
      </c>
      <c r="O3924" s="561"/>
      <c r="P3924" s="561"/>
      <c r="Q3924" s="95" t="s">
        <v>109</v>
      </c>
      <c r="R3924" s="95" t="s">
        <v>110</v>
      </c>
      <c r="S3924" s="95" t="s">
        <v>111</v>
      </c>
      <c r="T3924" s="562" t="s">
        <v>112</v>
      </c>
      <c r="U3924" s="562"/>
      <c r="V3924" s="100" t="s">
        <v>98</v>
      </c>
      <c r="Y3924" s="383" t="s">
        <v>104</v>
      </c>
      <c r="Z3924" s="119" t="s">
        <v>9</v>
      </c>
      <c r="AA3924" s="86"/>
      <c r="AB3924" s="384"/>
      <c r="AC3924" s="385"/>
      <c r="AD3924" s="94"/>
      <c r="AE3924" s="410"/>
    </row>
    <row r="3925" spans="3:31" s="260" customFormat="1" x14ac:dyDescent="0.25">
      <c r="C3925" s="84"/>
      <c r="D3925" s="85"/>
      <c r="E3925" s="86"/>
      <c r="F3925" s="86"/>
      <c r="G3925" s="86"/>
      <c r="H3925" s="86"/>
      <c r="I3925" s="86"/>
      <c r="J3925" s="87"/>
      <c r="K3925" s="88"/>
      <c r="M3925" s="102">
        <v>129</v>
      </c>
      <c r="N3925" s="530" t="str">
        <f>IFERROR(VLOOKUP(M3925,INSUMOS!$C$8:$K$928,2,0),"-----")</f>
        <v>transporte materiales en general</v>
      </c>
      <c r="O3925" s="531"/>
      <c r="P3925" s="532"/>
      <c r="Q3925" s="78" t="str">
        <f>IFERROR(VLOOKUP(M3925,INSUMOS!$C$8:$K$928,5,0),"-----")</f>
        <v>Km</v>
      </c>
      <c r="R3925" s="80">
        <v>1</v>
      </c>
      <c r="S3925" s="80">
        <f>IFERROR(VLOOKUP(M3925,INSUMOS!$C$8:$K$928,6,0),"0")</f>
        <v>348</v>
      </c>
      <c r="T3925" s="529">
        <f>IFERROR(VLOOKUP(M3925,INSUMOS!$C$8:$K$928,7,0),"0")</f>
        <v>0.99776362060288992</v>
      </c>
      <c r="U3925" s="529"/>
      <c r="V3925" s="82">
        <f>+T3925*S3925*R3925</f>
        <v>347.2217399698057</v>
      </c>
      <c r="Y3925" s="393">
        <f>+IFERROR((R3925*S3925)*Y3903,0)</f>
        <v>1252.8</v>
      </c>
      <c r="Z3925" s="391">
        <f>Y3903*V3925</f>
        <v>1249.9982638913004</v>
      </c>
      <c r="AA3925" s="86"/>
      <c r="AB3925" s="92">
        <f>+Y3925*T3925</f>
        <v>1249.9982638913004</v>
      </c>
      <c r="AC3925" s="93">
        <f>+AB3925-Z3925</f>
        <v>0</v>
      </c>
      <c r="AD3925" s="94"/>
      <c r="AE3925" s="406" t="str">
        <f>+IF(V3925=0,"CERO","NO")</f>
        <v>NO</v>
      </c>
    </row>
    <row r="3926" spans="3:31" s="260" customFormat="1" x14ac:dyDescent="0.25">
      <c r="C3926" s="84"/>
      <c r="D3926" s="85"/>
      <c r="E3926" s="86"/>
      <c r="F3926" s="86"/>
      <c r="G3926" s="86"/>
      <c r="H3926" s="86"/>
      <c r="I3926" s="86"/>
      <c r="J3926" s="87"/>
      <c r="K3926" s="88"/>
      <c r="M3926" s="102">
        <v>0</v>
      </c>
      <c r="N3926" s="530" t="str">
        <f>IFERROR(VLOOKUP(M3926,INSUMOS!$C$8:$K$928,2,0),"-----")</f>
        <v>-----</v>
      </c>
      <c r="O3926" s="531"/>
      <c r="P3926" s="532"/>
      <c r="Q3926" s="78" t="str">
        <f>IFERROR(VLOOKUP(M3926,INSUMOS!$C$8:$K$928,5,0),"-----")</f>
        <v>-----</v>
      </c>
      <c r="R3926" s="80"/>
      <c r="S3926" s="80" t="str">
        <f>IFERROR(VLOOKUP(M3926,INSUMOS!$C$8:$K$928,6,0),"0")</f>
        <v>0</v>
      </c>
      <c r="T3926" s="529" t="str">
        <f>IFERROR(VLOOKUP(M3926,INSUMOS!$C$8:$K$928,7,0),"0")</f>
        <v>0</v>
      </c>
      <c r="U3926" s="529"/>
      <c r="V3926" s="82">
        <f>+T3926*S3926*R3926</f>
        <v>0</v>
      </c>
      <c r="Y3926" s="393">
        <f>+IFERROR((R3926*S3926)*Y3903,0)</f>
        <v>0</v>
      </c>
      <c r="Z3926" s="391">
        <f>Y3903*V3926</f>
        <v>0</v>
      </c>
      <c r="AA3926" s="86"/>
      <c r="AB3926" s="92">
        <f>+Y3926*T3926</f>
        <v>0</v>
      </c>
      <c r="AC3926" s="93">
        <f>+AB3926-Z3926</f>
        <v>0</v>
      </c>
      <c r="AD3926" s="94"/>
      <c r="AE3926" s="406" t="str">
        <f>+IF(V3926=0,"CERO","NO")</f>
        <v>CERO</v>
      </c>
    </row>
    <row r="3927" spans="3:31" s="260" customFormat="1" x14ac:dyDescent="0.25">
      <c r="C3927" s="84"/>
      <c r="D3927" s="85"/>
      <c r="E3927" s="86"/>
      <c r="F3927" s="86"/>
      <c r="G3927" s="86"/>
      <c r="H3927" s="86"/>
      <c r="I3927" s="86"/>
      <c r="J3927" s="87"/>
      <c r="K3927" s="88"/>
      <c r="M3927" s="102">
        <v>0</v>
      </c>
      <c r="N3927" s="530" t="str">
        <f>IFERROR(VLOOKUP(M3927,INSUMOS!$C$8:$K$928,2,0),"-----")</f>
        <v>-----</v>
      </c>
      <c r="O3927" s="531"/>
      <c r="P3927" s="532"/>
      <c r="Q3927" s="78" t="str">
        <f>IFERROR(VLOOKUP(M3927,INSUMOS!$C$8:$K$928,5,0),"-----")</f>
        <v>-----</v>
      </c>
      <c r="R3927" s="80"/>
      <c r="S3927" s="80" t="str">
        <f>IFERROR(VLOOKUP(M3927,INSUMOS!$C$8:$K$928,6,0),"0")</f>
        <v>0</v>
      </c>
      <c r="T3927" s="529" t="str">
        <f>IFERROR(VLOOKUP(M3927,INSUMOS!$C$8:$K$928,7,0),"0")</f>
        <v>0</v>
      </c>
      <c r="U3927" s="529"/>
      <c r="V3927" s="82">
        <f>+T3927*S3927*R3927</f>
        <v>0</v>
      </c>
      <c r="Y3927" s="393">
        <f>+IFERROR((R3927*S3927)*Y3903,0)</f>
        <v>0</v>
      </c>
      <c r="Z3927" s="391">
        <f>Y3903*V3927</f>
        <v>0</v>
      </c>
      <c r="AA3927" s="86"/>
      <c r="AB3927" s="92">
        <f>+Y3927*T3927</f>
        <v>0</v>
      </c>
      <c r="AC3927" s="93">
        <f>+AB3927-Z3927</f>
        <v>0</v>
      </c>
      <c r="AD3927" s="94"/>
      <c r="AE3927" s="406" t="str">
        <f>+IF(V3927=0,"CERO","NO")</f>
        <v>CERO</v>
      </c>
    </row>
    <row r="3928" spans="3:31" s="260" customFormat="1" ht="15.75" thickBot="1" x14ac:dyDescent="0.3">
      <c r="C3928" s="84"/>
      <c r="D3928" s="89"/>
      <c r="E3928" s="90"/>
      <c r="F3928" s="90"/>
      <c r="G3928" s="90"/>
      <c r="H3928" s="90"/>
      <c r="I3928" s="90"/>
      <c r="J3928" s="91"/>
      <c r="K3928" s="88"/>
      <c r="M3928" s="102">
        <v>0</v>
      </c>
      <c r="N3928" s="533"/>
      <c r="O3928" s="533"/>
      <c r="P3928" s="533"/>
      <c r="Q3928" s="79"/>
      <c r="R3928" s="78"/>
      <c r="S3928" s="81"/>
      <c r="T3928" s="529"/>
      <c r="U3928" s="529"/>
      <c r="V3928" s="82"/>
      <c r="Y3928" s="393">
        <f>+IFERROR((R3928*S3928)*Y3903,0)</f>
        <v>0</v>
      </c>
      <c r="Z3928" s="391">
        <f>Y3903*V3928</f>
        <v>0</v>
      </c>
      <c r="AA3928" s="86"/>
      <c r="AB3928" s="92">
        <f>+Y3928*T3928</f>
        <v>0</v>
      </c>
      <c r="AC3928" s="93">
        <f>+AB3928-Z3928</f>
        <v>0</v>
      </c>
      <c r="AD3928" s="94"/>
      <c r="AE3928" s="406" t="str">
        <f>+IF(V3928=0,"CERO","NO")</f>
        <v>CERO</v>
      </c>
    </row>
    <row r="3929" spans="3:31" s="260" customFormat="1" ht="15.75" thickBot="1" x14ac:dyDescent="0.3">
      <c r="C3929" s="84"/>
      <c r="D3929" s="375" t="s">
        <v>128</v>
      </c>
      <c r="E3929" s="376" t="s">
        <v>129</v>
      </c>
      <c r="F3929" s="376" t="s">
        <v>130</v>
      </c>
      <c r="G3929" s="376" t="s">
        <v>131</v>
      </c>
      <c r="H3929" s="376" t="s">
        <v>132</v>
      </c>
      <c r="I3929" s="376" t="s">
        <v>133</v>
      </c>
      <c r="J3929" s="377" t="s">
        <v>134</v>
      </c>
      <c r="K3929" s="88"/>
      <c r="M3929" s="534"/>
      <c r="N3929" s="536" t="s">
        <v>113</v>
      </c>
      <c r="O3929" s="536"/>
      <c r="P3929" s="536"/>
      <c r="Q3929" s="536"/>
      <c r="R3929" s="536"/>
      <c r="S3929" s="536"/>
      <c r="T3929" s="536"/>
      <c r="U3929" s="536"/>
      <c r="V3929" s="411">
        <f>+SUM(V3925:V3928)</f>
        <v>347.2217399698057</v>
      </c>
      <c r="Y3929" s="398" t="s">
        <v>135</v>
      </c>
      <c r="Z3929" s="397">
        <f>+SUM(Z3925:Z3928)</f>
        <v>1249.9982638913004</v>
      </c>
      <c r="AA3929" s="86"/>
      <c r="AB3929" s="384"/>
      <c r="AC3929" s="385"/>
      <c r="AD3929" s="94"/>
      <c r="AE3929" s="399"/>
    </row>
    <row r="3930" spans="3:31" s="260" customFormat="1" ht="15.75" thickBot="1" x14ac:dyDescent="0.3">
      <c r="C3930" s="84"/>
      <c r="D3930" s="355"/>
      <c r="E3930" s="367"/>
      <c r="F3930" s="412">
        <f>+E3922</f>
        <v>4.03</v>
      </c>
      <c r="G3930" s="367"/>
      <c r="H3930" s="367"/>
      <c r="I3930" s="367"/>
      <c r="J3930" s="368"/>
      <c r="K3930" s="88"/>
      <c r="M3930" s="535"/>
      <c r="N3930" s="537" t="s">
        <v>114</v>
      </c>
      <c r="O3930" s="537"/>
      <c r="P3930" s="537"/>
      <c r="Q3930" s="537"/>
      <c r="R3930" s="537"/>
      <c r="S3930" s="537"/>
      <c r="T3930" s="537"/>
      <c r="U3930" s="537"/>
      <c r="V3930" s="413">
        <f>+ROUND(V3929,$AA$5)</f>
        <v>347.22</v>
      </c>
      <c r="Y3930" s="401" t="s">
        <v>136</v>
      </c>
      <c r="Z3930" s="402">
        <f>+ROUND(Z3929,$AA$5)</f>
        <v>1250</v>
      </c>
      <c r="AA3930" s="86"/>
      <c r="AB3930" s="403">
        <f>+V3930*Y3903</f>
        <v>1249.9920000000002</v>
      </c>
      <c r="AC3930" s="414"/>
      <c r="AD3930" s="94"/>
      <c r="AE3930" s="405"/>
    </row>
    <row r="3931" spans="3:31" s="260" customFormat="1" ht="15.75" thickBot="1" x14ac:dyDescent="0.3">
      <c r="C3931" s="84"/>
      <c r="D3931" s="415"/>
      <c r="E3931" s="416"/>
      <c r="F3931" s="416"/>
      <c r="G3931" s="416"/>
      <c r="H3931" s="416"/>
      <c r="I3931" s="416"/>
      <c r="J3931" s="417"/>
      <c r="K3931" s="88"/>
      <c r="M3931" s="538" t="s">
        <v>115</v>
      </c>
      <c r="N3931" s="539"/>
      <c r="O3931" s="539"/>
      <c r="P3931" s="539"/>
      <c r="Q3931" s="539"/>
      <c r="R3931" s="539"/>
      <c r="S3931" s="539"/>
      <c r="T3931" s="539"/>
      <c r="U3931" s="539"/>
      <c r="V3931" s="540"/>
      <c r="Y3931" s="378"/>
      <c r="Z3931" s="121"/>
      <c r="AA3931" s="86"/>
      <c r="AB3931" s="409"/>
      <c r="AC3931" s="121"/>
      <c r="AD3931" s="94"/>
      <c r="AE3931" s="126"/>
    </row>
    <row r="3932" spans="3:31" s="260" customFormat="1" ht="15.75" thickBot="1" x14ac:dyDescent="0.3">
      <c r="C3932" s="84"/>
      <c r="D3932" s="375" t="s">
        <v>128</v>
      </c>
      <c r="E3932" s="376" t="s">
        <v>129</v>
      </c>
      <c r="F3932" s="376" t="s">
        <v>130</v>
      </c>
      <c r="G3932" s="376" t="s">
        <v>131</v>
      </c>
      <c r="H3932" s="376" t="s">
        <v>132</v>
      </c>
      <c r="I3932" s="376" t="s">
        <v>133</v>
      </c>
      <c r="J3932" s="377" t="s">
        <v>134</v>
      </c>
      <c r="K3932" s="88"/>
      <c r="M3932" s="99" t="s">
        <v>94</v>
      </c>
      <c r="N3932" s="98" t="s">
        <v>95</v>
      </c>
      <c r="O3932" s="95" t="s">
        <v>96</v>
      </c>
      <c r="P3932" s="359" t="s">
        <v>104</v>
      </c>
      <c r="Q3932" s="95" t="s">
        <v>116</v>
      </c>
      <c r="R3932" s="418" t="s">
        <v>117</v>
      </c>
      <c r="S3932" s="95" t="s">
        <v>347</v>
      </c>
      <c r="T3932" s="419" t="s">
        <v>118</v>
      </c>
      <c r="U3932" s="189" t="s">
        <v>119</v>
      </c>
      <c r="V3932" s="100" t="s">
        <v>98</v>
      </c>
      <c r="Y3932" s="383" t="s">
        <v>104</v>
      </c>
      <c r="Z3932" s="119" t="s">
        <v>9</v>
      </c>
      <c r="AA3932" s="86"/>
      <c r="AB3932" s="384"/>
      <c r="AC3932" s="385"/>
      <c r="AD3932" s="94"/>
      <c r="AE3932" s="410"/>
    </row>
    <row r="3933" spans="3:31" s="260" customFormat="1" ht="25.5" x14ac:dyDescent="0.25">
      <c r="C3933" s="84"/>
      <c r="D3933" s="354"/>
      <c r="E3933" s="96"/>
      <c r="F3933" s="96"/>
      <c r="G3933" s="96"/>
      <c r="H3933" s="96"/>
      <c r="I3933" s="96"/>
      <c r="J3933" s="420">
        <f>+F3930</f>
        <v>4.03</v>
      </c>
      <c r="K3933" s="88"/>
      <c r="M3933" s="102">
        <v>207</v>
      </c>
      <c r="N3933" s="347" t="str">
        <f>IFERROR(VLOOKUP(M3933,INSUMOS!$C$8:$K$928,2,0),"-----")</f>
        <v>Oficial Hidrosanitario</v>
      </c>
      <c r="O3933" s="78" t="str">
        <f>IFERROR(VLOOKUP(M3933,INSUMOS!$C$8:$K$928,3,0),"-----")</f>
        <v>JORNAL+PS</v>
      </c>
      <c r="P3933" s="80">
        <v>1</v>
      </c>
      <c r="Q3933" s="79">
        <v>15</v>
      </c>
      <c r="R3933" s="190">
        <f>IFERROR(VLOOKUP(M3933,INSUMOS!$C$8:$K$928,4,0),"-----")</f>
        <v>92983</v>
      </c>
      <c r="S3933" s="190">
        <f>IFERROR(VLOOKUP(M3933,INSUMOS!$C$8:$K$928,6,0),"-----")</f>
        <v>74386</v>
      </c>
      <c r="T3933" s="190">
        <f>IFERROR(VLOOKUP(M3933,INSUMOS!$C$8:$K$928,5,0),"-----")</f>
        <v>0</v>
      </c>
      <c r="U3933" s="388">
        <f>SUM(R3933:T3933)</f>
        <v>167369</v>
      </c>
      <c r="V3933" s="82">
        <f>+IFERROR((P3933/Q3933)*U3933,0)</f>
        <v>11157.933333333332</v>
      </c>
      <c r="Y3933" s="393">
        <f>+IFERROR((Y3903/Q3933*P3933),0)</f>
        <v>0.24000000000000002</v>
      </c>
      <c r="Z3933" s="391">
        <f>Y3903*V3933</f>
        <v>40168.559999999998</v>
      </c>
      <c r="AA3933" s="86"/>
      <c r="AB3933" s="92">
        <f>+(U3933)*Y3933</f>
        <v>40168.560000000005</v>
      </c>
      <c r="AC3933" s="93">
        <f>+AB3933-Z3933</f>
        <v>0</v>
      </c>
      <c r="AD3933" s="421"/>
      <c r="AE3933" s="410" t="str">
        <f>+IF(V3933=0,"CERO","NO")</f>
        <v>NO</v>
      </c>
    </row>
    <row r="3934" spans="3:31" s="260" customFormat="1" ht="15.75" thickBot="1" x14ac:dyDescent="0.3">
      <c r="C3934" s="84"/>
      <c r="D3934" s="355"/>
      <c r="E3934" s="367"/>
      <c r="F3934" s="367"/>
      <c r="G3934" s="367"/>
      <c r="H3934" s="367"/>
      <c r="I3934" s="367"/>
      <c r="J3934" s="422">
        <f>+J3933</f>
        <v>4.03</v>
      </c>
      <c r="K3934" s="88"/>
      <c r="M3934" s="102"/>
      <c r="N3934" s="347" t="str">
        <f>IFERROR(VLOOKUP(M3934,INSUMOS!$C$8:$K$928,2,0),"-----")</f>
        <v>-----</v>
      </c>
      <c r="O3934" s="78" t="str">
        <f>IFERROR(VLOOKUP(M3934,INSUMOS!$C$8:$K$928,3,0),"-----")</f>
        <v>-----</v>
      </c>
      <c r="P3934" s="80"/>
      <c r="Q3934" s="79"/>
      <c r="R3934" s="190" t="str">
        <f>IFERROR(VLOOKUP(M3934,INSUMOS!$C$8:$K$928,4,0),"-----")</f>
        <v>-----</v>
      </c>
      <c r="S3934" s="190" t="str">
        <f>IFERROR(VLOOKUP(M3934,INSUMOS!$C$8:$K$928,6,0),"-----")</f>
        <v>-----</v>
      </c>
      <c r="T3934" s="190" t="str">
        <f>IFERROR(VLOOKUP(M3934,INSUMOS!$C$8:$K$928,5,0),"-----")</f>
        <v>-----</v>
      </c>
      <c r="U3934" s="388">
        <f>SUM(R3934:T3934)</f>
        <v>0</v>
      </c>
      <c r="V3934" s="82">
        <f>+IFERROR((P3934/Q3934)*U3934,0)</f>
        <v>0</v>
      </c>
      <c r="Y3934" s="393">
        <f>+IFERROR((Y3903/Q3934*P3934),0)</f>
        <v>0</v>
      </c>
      <c r="Z3934" s="391">
        <f>Y3903*V3934</f>
        <v>0</v>
      </c>
      <c r="AA3934" s="86"/>
      <c r="AB3934" s="92">
        <f>+U3934*Y3934</f>
        <v>0</v>
      </c>
      <c r="AC3934" s="93">
        <f>+AB3934-Z3934</f>
        <v>0</v>
      </c>
      <c r="AD3934" s="94"/>
      <c r="AE3934" s="410" t="str">
        <f>+IF(V3934=0,"CERO","NO")</f>
        <v>CERO</v>
      </c>
    </row>
    <row r="3935" spans="3:31" s="260" customFormat="1" ht="15.75" thickBot="1" x14ac:dyDescent="0.3">
      <c r="C3935" s="84"/>
      <c r="D3935" s="380"/>
      <c r="E3935" s="381"/>
      <c r="F3935" s="381"/>
      <c r="G3935" s="381"/>
      <c r="H3935" s="381"/>
      <c r="I3935" s="381"/>
      <c r="J3935" s="382"/>
      <c r="K3935" s="88"/>
      <c r="M3935" s="102">
        <v>0</v>
      </c>
      <c r="N3935" s="347"/>
      <c r="O3935" s="79"/>
      <c r="P3935" s="423"/>
      <c r="Q3935" s="81"/>
      <c r="R3935" s="111"/>
      <c r="S3935" s="357"/>
      <c r="T3935" s="111"/>
      <c r="U3935" s="388"/>
      <c r="V3935" s="426"/>
      <c r="Y3935" s="393">
        <f>+IFERROR((Y3903/Q3935*P3935),0)</f>
        <v>0</v>
      </c>
      <c r="Z3935" s="391">
        <f>Y3903*V3935</f>
        <v>0</v>
      </c>
      <c r="AA3935" s="86"/>
      <c r="AB3935" s="92">
        <f>+(U3935)*Y3935*P3935</f>
        <v>0</v>
      </c>
      <c r="AC3935" s="93">
        <f>+AB3935-Z3935</f>
        <v>0</v>
      </c>
      <c r="AD3935" s="94"/>
      <c r="AE3935" s="410" t="str">
        <f>+IF(V3935=0,"CERO","NO")</f>
        <v>CERO</v>
      </c>
    </row>
    <row r="3936" spans="3:31" s="260" customFormat="1" ht="15.75" thickBot="1" x14ac:dyDescent="0.3">
      <c r="C3936" s="84"/>
      <c r="D3936" s="375" t="s">
        <v>128</v>
      </c>
      <c r="E3936" s="376" t="s">
        <v>129</v>
      </c>
      <c r="F3936" s="376" t="s">
        <v>130</v>
      </c>
      <c r="G3936" s="376" t="s">
        <v>131</v>
      </c>
      <c r="H3936" s="376" t="s">
        <v>132</v>
      </c>
      <c r="I3936" s="376" t="s">
        <v>133</v>
      </c>
      <c r="J3936" s="377" t="s">
        <v>134</v>
      </c>
      <c r="K3936" s="88"/>
      <c r="M3936" s="534"/>
      <c r="N3936" s="536" t="s">
        <v>120</v>
      </c>
      <c r="O3936" s="536"/>
      <c r="P3936" s="536"/>
      <c r="Q3936" s="536"/>
      <c r="R3936" s="536"/>
      <c r="S3936" s="536"/>
      <c r="T3936" s="536"/>
      <c r="U3936" s="536"/>
      <c r="V3936" s="82">
        <f>+SUM(V3933:V3935)</f>
        <v>11157.933333333332</v>
      </c>
      <c r="Y3936" s="398" t="s">
        <v>135</v>
      </c>
      <c r="Z3936" s="397">
        <f>+SUM(Z3933:Z3935)</f>
        <v>40168.559999999998</v>
      </c>
      <c r="AA3936" s="86"/>
      <c r="AB3936" s="384"/>
      <c r="AC3936" s="385"/>
      <c r="AD3936" s="94"/>
      <c r="AE3936" s="399"/>
    </row>
    <row r="3937" spans="3:31" s="260" customFormat="1" ht="15.75" thickBot="1" x14ac:dyDescent="0.3">
      <c r="C3937" s="84"/>
      <c r="D3937" s="354"/>
      <c r="E3937" s="96"/>
      <c r="F3937" s="96"/>
      <c r="G3937" s="107">
        <f>+F3930</f>
        <v>4.03</v>
      </c>
      <c r="H3937" s="96"/>
      <c r="I3937" s="96"/>
      <c r="J3937" s="427"/>
      <c r="K3937" s="88"/>
      <c r="M3937" s="535"/>
      <c r="N3937" s="537" t="s">
        <v>121</v>
      </c>
      <c r="O3937" s="537"/>
      <c r="P3937" s="537"/>
      <c r="Q3937" s="537"/>
      <c r="R3937" s="537"/>
      <c r="S3937" s="537"/>
      <c r="T3937" s="537"/>
      <c r="U3937" s="537"/>
      <c r="V3937" s="413">
        <f>+ROUND(V3936,$AA$5)</f>
        <v>11157.93</v>
      </c>
      <c r="Y3937" s="401" t="s">
        <v>136</v>
      </c>
      <c r="Z3937" s="402">
        <f>+ROUND(Z3936,$AA$5)</f>
        <v>40168.559999999998</v>
      </c>
      <c r="AA3937" s="86"/>
      <c r="AB3937" s="403">
        <f>+V3937*Y3903</f>
        <v>40168.548000000003</v>
      </c>
      <c r="AC3937" s="404">
        <f>+AB3937-Z3937</f>
        <v>-1.1999999995168764E-2</v>
      </c>
      <c r="AD3937" s="94"/>
      <c r="AE3937" s="405"/>
    </row>
    <row r="3938" spans="3:31" s="260" customFormat="1" ht="15.75" thickBot="1" x14ac:dyDescent="0.3">
      <c r="C3938" s="84"/>
      <c r="D3938" s="375" t="s">
        <v>128</v>
      </c>
      <c r="E3938" s="376" t="s">
        <v>129</v>
      </c>
      <c r="F3938" s="376" t="s">
        <v>130</v>
      </c>
      <c r="G3938" s="376" t="s">
        <v>131</v>
      </c>
      <c r="H3938" s="376" t="s">
        <v>132</v>
      </c>
      <c r="I3938" s="376" t="s">
        <v>133</v>
      </c>
      <c r="J3938" s="377" t="s">
        <v>134</v>
      </c>
      <c r="K3938" s="88"/>
      <c r="M3938" s="541"/>
      <c r="N3938" s="542"/>
      <c r="O3938" s="542"/>
      <c r="P3938" s="542"/>
      <c r="Q3938" s="542"/>
      <c r="R3938" s="542"/>
      <c r="S3938" s="542"/>
      <c r="T3938" s="542"/>
      <c r="U3938" s="542"/>
      <c r="V3938" s="543"/>
      <c r="Y3938" s="378"/>
      <c r="Z3938" s="121"/>
      <c r="AA3938" s="86"/>
      <c r="AB3938" s="409"/>
      <c r="AC3938" s="121"/>
      <c r="AD3938" s="94"/>
      <c r="AE3938" s="428"/>
    </row>
    <row r="3939" spans="3:31" s="260" customFormat="1" ht="15.75" thickBot="1" x14ac:dyDescent="0.3">
      <c r="C3939" s="84"/>
      <c r="D3939" s="355"/>
      <c r="E3939" s="367"/>
      <c r="F3939" s="367"/>
      <c r="G3939" s="367"/>
      <c r="H3939" s="412">
        <f>G3937</f>
        <v>4.03</v>
      </c>
      <c r="I3939" s="412"/>
      <c r="J3939" s="422"/>
      <c r="K3939" s="88"/>
      <c r="M3939" s="544" t="s">
        <v>122</v>
      </c>
      <c r="N3939" s="537"/>
      <c r="O3939" s="537"/>
      <c r="P3939" s="537"/>
      <c r="Q3939" s="537"/>
      <c r="R3939" s="537"/>
      <c r="S3939" s="537"/>
      <c r="T3939" s="537"/>
      <c r="U3939" s="545">
        <f>+V3937+V3930+V3922+V3913</f>
        <v>52078.93</v>
      </c>
      <c r="V3939" s="546"/>
      <c r="Y3939" s="429"/>
      <c r="Z3939" s="430">
        <f>+Z3937+Z3930+Z3922+Z3913</f>
        <v>187484.16</v>
      </c>
      <c r="AA3939" s="86"/>
      <c r="AB3939" s="431">
        <f>+AB3937+AB3930+AB3922+AB3913</f>
        <v>187484.14800000002</v>
      </c>
      <c r="AC3939" s="404">
        <f>+AB3939-Z3939</f>
        <v>-1.1999999987892807E-2</v>
      </c>
      <c r="AD3939" s="94"/>
      <c r="AE3939" s="432"/>
    </row>
    <row r="3940" spans="3:31" s="260" customFormat="1" ht="15.75" thickBot="1" x14ac:dyDescent="0.3"/>
    <row r="3941" spans="3:31" s="260" customFormat="1" x14ac:dyDescent="0.25">
      <c r="M3941" s="547" t="s">
        <v>348</v>
      </c>
      <c r="N3941" s="548"/>
      <c r="O3941" s="548"/>
      <c r="P3941" s="548"/>
      <c r="Q3941" s="548"/>
      <c r="R3941" s="548"/>
      <c r="S3941" s="548"/>
      <c r="T3941" s="548"/>
      <c r="U3941" s="548"/>
      <c r="V3941" s="549"/>
      <c r="Y3941" s="378"/>
      <c r="Z3941" s="121"/>
      <c r="AA3941" s="86"/>
      <c r="AB3941" s="94"/>
      <c r="AC3941" s="94"/>
      <c r="AD3941" s="94"/>
      <c r="AE3941" s="126" t="s">
        <v>133</v>
      </c>
    </row>
    <row r="3942" spans="3:31" s="260" customFormat="1" x14ac:dyDescent="0.25">
      <c r="M3942" s="515" t="s">
        <v>138</v>
      </c>
      <c r="N3942" s="516"/>
      <c r="O3942" s="516"/>
      <c r="P3942" s="516"/>
      <c r="Q3942" s="516"/>
      <c r="R3942" s="516"/>
      <c r="S3942" s="516"/>
      <c r="T3942" s="437">
        <v>0</v>
      </c>
      <c r="U3942" s="517">
        <f>+ROUND(U3939*T3942,$AA$5)</f>
        <v>0</v>
      </c>
      <c r="V3942" s="518"/>
      <c r="Y3942" s="390"/>
      <c r="Z3942" s="438">
        <f>+Z3939*T3942</f>
        <v>0</v>
      </c>
      <c r="AA3942" s="86"/>
      <c r="AB3942" s="94"/>
      <c r="AC3942" s="94"/>
      <c r="AD3942" s="94"/>
      <c r="AE3942" s="386" t="s">
        <v>133</v>
      </c>
    </row>
    <row r="3943" spans="3:31" s="260" customFormat="1" x14ac:dyDescent="0.25">
      <c r="M3943" s="515" t="s">
        <v>19</v>
      </c>
      <c r="N3943" s="516"/>
      <c r="O3943" s="516"/>
      <c r="P3943" s="516"/>
      <c r="Q3943" s="516"/>
      <c r="R3943" s="516"/>
      <c r="S3943" s="516"/>
      <c r="T3943" s="437">
        <v>0.05</v>
      </c>
      <c r="U3943" s="517">
        <f>+ROUND(U3939*T3943,$AA$5)</f>
        <v>2603.9499999999998</v>
      </c>
      <c r="V3943" s="518"/>
      <c r="Y3943" s="390"/>
      <c r="Z3943" s="438">
        <f>+Z3939*T3943</f>
        <v>9374.2080000000005</v>
      </c>
      <c r="AA3943" s="86"/>
      <c r="AB3943" s="94"/>
      <c r="AC3943" s="94"/>
      <c r="AD3943" s="94"/>
      <c r="AE3943" s="386" t="s">
        <v>133</v>
      </c>
    </row>
    <row r="3944" spans="3:31" s="260" customFormat="1" x14ac:dyDescent="0.25">
      <c r="M3944" s="515" t="s">
        <v>20</v>
      </c>
      <c r="N3944" s="516"/>
      <c r="O3944" s="516"/>
      <c r="P3944" s="516"/>
      <c r="Q3944" s="516"/>
      <c r="R3944" s="516"/>
      <c r="S3944" s="516"/>
      <c r="T3944" s="437">
        <v>0</v>
      </c>
      <c r="U3944" s="517">
        <f>+ROUND(U3939*T3944,$AA$5)</f>
        <v>0</v>
      </c>
      <c r="V3944" s="518"/>
      <c r="Y3944" s="390"/>
      <c r="Z3944" s="438">
        <f>+Z3939*T3944</f>
        <v>0</v>
      </c>
      <c r="AA3944" s="86"/>
      <c r="AB3944" s="94"/>
      <c r="AC3944" s="94"/>
      <c r="AD3944" s="94"/>
      <c r="AE3944" s="386" t="s">
        <v>133</v>
      </c>
    </row>
    <row r="3945" spans="3:31" s="260" customFormat="1" x14ac:dyDescent="0.25">
      <c r="M3945" s="515" t="s">
        <v>21</v>
      </c>
      <c r="N3945" s="516"/>
      <c r="O3945" s="516"/>
      <c r="P3945" s="516"/>
      <c r="Q3945" s="516"/>
      <c r="R3945" s="516"/>
      <c r="S3945" s="516"/>
      <c r="T3945" s="437">
        <f>$AA$9</f>
        <v>0</v>
      </c>
      <c r="U3945" s="517">
        <f>+ROUND(U3939*T3945,$AA$5)</f>
        <v>0</v>
      </c>
      <c r="V3945" s="518"/>
      <c r="Y3945" s="390"/>
      <c r="Z3945" s="438">
        <f>+Z3944*T3945</f>
        <v>0</v>
      </c>
      <c r="AA3945" s="86"/>
      <c r="AB3945" s="94"/>
      <c r="AC3945" s="94"/>
      <c r="AD3945" s="94"/>
      <c r="AE3945" s="386" t="s">
        <v>133</v>
      </c>
    </row>
    <row r="3946" spans="3:31" s="260" customFormat="1" ht="15.75" thickBot="1" x14ac:dyDescent="0.3">
      <c r="M3946" s="519" t="s">
        <v>349</v>
      </c>
      <c r="N3946" s="520"/>
      <c r="O3946" s="520"/>
      <c r="P3946" s="520"/>
      <c r="Q3946" s="520"/>
      <c r="R3946" s="520"/>
      <c r="S3946" s="520"/>
      <c r="T3946" s="520"/>
      <c r="U3946" s="521">
        <f>+SUM(U3942:V3945)</f>
        <v>2603.9499999999998</v>
      </c>
      <c r="V3946" s="522"/>
      <c r="Y3946" s="390"/>
      <c r="Z3946" s="439">
        <f>+SUM(Z3942:Z3945)</f>
        <v>9374.2080000000005</v>
      </c>
      <c r="AA3946" s="86"/>
      <c r="AB3946" s="94"/>
      <c r="AC3946" s="94"/>
      <c r="AD3946" s="94"/>
      <c r="AE3946" s="386" t="s">
        <v>133</v>
      </c>
    </row>
    <row r="3947" spans="3:31" s="260" customFormat="1" ht="15.75" thickBot="1" x14ac:dyDescent="0.3">
      <c r="D3947" s="375" t="s">
        <v>128</v>
      </c>
      <c r="E3947" s="376" t="s">
        <v>129</v>
      </c>
      <c r="F3947" s="376" t="s">
        <v>130</v>
      </c>
      <c r="G3947" s="376" t="s">
        <v>131</v>
      </c>
      <c r="H3947" s="376" t="s">
        <v>132</v>
      </c>
      <c r="I3947" s="376" t="s">
        <v>133</v>
      </c>
      <c r="J3947" s="377" t="s">
        <v>134</v>
      </c>
      <c r="M3947" s="86"/>
      <c r="N3947" s="94"/>
      <c r="O3947" s="94"/>
      <c r="P3947" s="94"/>
      <c r="Q3947" s="86"/>
      <c r="R3947" s="86"/>
      <c r="S3947" s="86"/>
      <c r="T3947" s="440"/>
      <c r="U3947" s="523"/>
      <c r="V3947" s="523"/>
      <c r="Y3947" s="390"/>
      <c r="Z3947" s="385"/>
      <c r="AA3947" s="86"/>
      <c r="AB3947" s="94"/>
      <c r="AC3947" s="94"/>
      <c r="AD3947" s="94"/>
      <c r="AE3947" s="386" t="s">
        <v>133</v>
      </c>
    </row>
    <row r="3948" spans="3:31" s="260" customFormat="1" ht="15.75" thickBot="1" x14ac:dyDescent="0.3">
      <c r="D3948" s="355"/>
      <c r="E3948" s="367"/>
      <c r="F3948" s="367"/>
      <c r="G3948" s="367"/>
      <c r="H3948" s="412"/>
      <c r="I3948" s="412">
        <f>H3939</f>
        <v>4.03</v>
      </c>
      <c r="J3948" s="422"/>
      <c r="M3948" s="524" t="s">
        <v>11</v>
      </c>
      <c r="N3948" s="525"/>
      <c r="O3948" s="525"/>
      <c r="P3948" s="525"/>
      <c r="Q3948" s="525"/>
      <c r="R3948" s="525"/>
      <c r="S3948" s="525"/>
      <c r="T3948" s="526"/>
      <c r="U3948" s="527">
        <f>+U3946+U3939</f>
        <v>54682.879999999997</v>
      </c>
      <c r="V3948" s="528"/>
      <c r="Y3948" s="429"/>
      <c r="Z3948" s="441">
        <f>+Z3946+Z3939</f>
        <v>196858.36800000002</v>
      </c>
      <c r="AA3948" s="86"/>
      <c r="AB3948" s="94"/>
      <c r="AC3948" s="94"/>
      <c r="AD3948" s="94"/>
      <c r="AE3948" s="405" t="s">
        <v>133</v>
      </c>
    </row>
    <row r="3949" spans="3:31" s="260" customFormat="1" x14ac:dyDescent="0.25"/>
    <row r="3950" spans="3:31" s="260" customFormat="1" ht="15.75" thickBot="1" x14ac:dyDescent="0.3"/>
    <row r="3951" spans="3:31" s="260" customFormat="1" ht="15.75" thickBot="1" x14ac:dyDescent="0.3">
      <c r="M3951" s="363" t="s">
        <v>88</v>
      </c>
      <c r="N3951" s="436" t="str">
        <f>+N3902</f>
        <v>CAP.4</v>
      </c>
      <c r="O3951" s="550" t="str">
        <f>IFERROR(VLOOKUP(N3951,PPTO!C:H,2,0),"----")</f>
        <v>RED SANITARIA</v>
      </c>
      <c r="P3951" s="551"/>
      <c r="Q3951" s="551"/>
      <c r="R3951" s="551"/>
      <c r="S3951" s="551"/>
      <c r="T3951" s="551"/>
      <c r="U3951" s="552"/>
      <c r="V3951" s="74" t="s">
        <v>91</v>
      </c>
      <c r="Y3951" s="365" t="s">
        <v>104</v>
      </c>
      <c r="Z3951" s="94"/>
      <c r="AA3951" s="188"/>
      <c r="AB3951" s="553"/>
      <c r="AC3951" s="553"/>
      <c r="AD3951" s="553"/>
      <c r="AE3951" s="94"/>
    </row>
    <row r="3952" spans="3:31" s="260" customFormat="1" ht="15.75" thickBot="1" x14ac:dyDescent="0.3">
      <c r="C3952" s="369">
        <f>+N3952</f>
        <v>4.04</v>
      </c>
      <c r="D3952" s="86"/>
      <c r="E3952" s="86"/>
      <c r="F3952" s="86"/>
      <c r="G3952" s="86"/>
      <c r="H3952" s="86"/>
      <c r="I3952" s="86"/>
      <c r="J3952" s="86"/>
      <c r="K3952" s="370"/>
      <c r="M3952" s="75" t="s">
        <v>92</v>
      </c>
      <c r="N3952" s="371">
        <f>+ROUNDUP(N3903+0.01,2)</f>
        <v>4.04</v>
      </c>
      <c r="O3952" s="554" t="str">
        <f>IFERROR(VLOOKUP(N3952,PPTO!C:H,2,0),"----")</f>
        <v>Tubería ventilacion PVC Ø2"</v>
      </c>
      <c r="P3952" s="555"/>
      <c r="Q3952" s="555"/>
      <c r="R3952" s="555"/>
      <c r="S3952" s="555"/>
      <c r="T3952" s="555"/>
      <c r="U3952" s="556"/>
      <c r="V3952" s="76" t="str">
        <f>IFERROR(VLOOKUP(N3952,PPTO!C:H,3,0),"----")</f>
        <v>ML</v>
      </c>
      <c r="Y3952" s="373">
        <f>SUMIFS(PPTO!F:F,PPTO!C:C,APUS!N3952)</f>
        <v>86.08</v>
      </c>
      <c r="Z3952" s="94"/>
      <c r="AA3952" s="86"/>
      <c r="AB3952" s="94"/>
      <c r="AC3952" s="94"/>
      <c r="AD3952" s="94"/>
      <c r="AE3952" s="94"/>
    </row>
    <row r="3953" spans="3:31" s="260" customFormat="1" ht="15.75" thickBot="1" x14ac:dyDescent="0.3">
      <c r="C3953" s="84"/>
      <c r="D3953" s="86"/>
      <c r="E3953" s="86"/>
      <c r="F3953" s="86"/>
      <c r="G3953" s="86"/>
      <c r="H3953" s="86"/>
      <c r="I3953" s="86"/>
      <c r="J3953" s="86"/>
      <c r="K3953" s="88"/>
      <c r="M3953" s="557"/>
      <c r="N3953" s="557"/>
      <c r="O3953" s="557"/>
      <c r="P3953" s="557"/>
      <c r="Q3953" s="557"/>
      <c r="R3953" s="557"/>
      <c r="S3953" s="557"/>
      <c r="T3953" s="557"/>
      <c r="U3953" s="557"/>
      <c r="V3953" s="557"/>
      <c r="Y3953" s="374"/>
      <c r="Z3953" s="94"/>
      <c r="AA3953" s="86"/>
      <c r="AB3953" s="94"/>
      <c r="AC3953" s="94"/>
      <c r="AD3953" s="94"/>
      <c r="AE3953" s="94"/>
    </row>
    <row r="3954" spans="3:31" s="260" customFormat="1" ht="15.75" thickBot="1" x14ac:dyDescent="0.3">
      <c r="C3954" s="84"/>
      <c r="D3954" s="375" t="s">
        <v>128</v>
      </c>
      <c r="E3954" s="376" t="s">
        <v>129</v>
      </c>
      <c r="F3954" s="376" t="s">
        <v>130</v>
      </c>
      <c r="G3954" s="376" t="s">
        <v>131</v>
      </c>
      <c r="H3954" s="376" t="s">
        <v>132</v>
      </c>
      <c r="I3954" s="376" t="s">
        <v>133</v>
      </c>
      <c r="J3954" s="377" t="s">
        <v>134</v>
      </c>
      <c r="K3954" s="88"/>
      <c r="M3954" s="558" t="s">
        <v>93</v>
      </c>
      <c r="N3954" s="559"/>
      <c r="O3954" s="559"/>
      <c r="P3954" s="559"/>
      <c r="Q3954" s="559"/>
      <c r="R3954" s="559"/>
      <c r="S3954" s="559"/>
      <c r="T3954" s="559"/>
      <c r="U3954" s="559"/>
      <c r="V3954" s="560"/>
      <c r="Y3954" s="378"/>
      <c r="Z3954" s="121"/>
      <c r="AA3954" s="86"/>
      <c r="AB3954" s="513"/>
      <c r="AC3954" s="514"/>
      <c r="AD3954" s="94"/>
      <c r="AE3954" s="379"/>
    </row>
    <row r="3955" spans="3:31" s="260" customFormat="1" x14ac:dyDescent="0.25">
      <c r="C3955" s="84"/>
      <c r="D3955" s="380"/>
      <c r="E3955" s="381"/>
      <c r="F3955" s="381"/>
      <c r="G3955" s="381"/>
      <c r="H3955" s="381"/>
      <c r="I3955" s="381"/>
      <c r="J3955" s="382"/>
      <c r="K3955" s="88"/>
      <c r="M3955" s="99" t="s">
        <v>94</v>
      </c>
      <c r="N3955" s="561" t="s">
        <v>95</v>
      </c>
      <c r="O3955" s="561"/>
      <c r="P3955" s="561"/>
      <c r="Q3955" s="561"/>
      <c r="R3955" s="95" t="s">
        <v>96</v>
      </c>
      <c r="S3955" s="95" t="s">
        <v>97</v>
      </c>
      <c r="T3955" s="562" t="s">
        <v>8</v>
      </c>
      <c r="U3955" s="562"/>
      <c r="V3955" s="100" t="s">
        <v>98</v>
      </c>
      <c r="Y3955" s="383" t="s">
        <v>104</v>
      </c>
      <c r="Z3955" s="119" t="s">
        <v>9</v>
      </c>
      <c r="AA3955" s="86"/>
      <c r="AB3955" s="384"/>
      <c r="AC3955" s="385"/>
      <c r="AD3955" s="94"/>
      <c r="AE3955" s="386"/>
    </row>
    <row r="3956" spans="3:31" s="260" customFormat="1" x14ac:dyDescent="0.25">
      <c r="C3956" s="84"/>
      <c r="D3956" s="85"/>
      <c r="E3956" s="86"/>
      <c r="F3956" s="86"/>
      <c r="G3956" s="86"/>
      <c r="H3956" s="86"/>
      <c r="I3956" s="86"/>
      <c r="J3956" s="87"/>
      <c r="K3956" s="88"/>
      <c r="M3956" s="102"/>
      <c r="N3956" s="533" t="s">
        <v>99</v>
      </c>
      <c r="O3956" s="533"/>
      <c r="P3956" s="533"/>
      <c r="Q3956" s="533"/>
      <c r="R3956" s="78" t="s">
        <v>100</v>
      </c>
      <c r="S3956" s="387">
        <f>+$AA$10</f>
        <v>0.05</v>
      </c>
      <c r="T3956" s="563">
        <f>V3986</f>
        <v>8368.4500000000007</v>
      </c>
      <c r="U3956" s="563"/>
      <c r="V3956" s="389">
        <f>+IFERROR(T3956*S3956,0)</f>
        <v>418.42250000000007</v>
      </c>
      <c r="Y3956" s="390"/>
      <c r="Z3956" s="391">
        <f>Y3952*V3956</f>
        <v>36017.808800000006</v>
      </c>
      <c r="AA3956" s="86"/>
      <c r="AB3956" s="384"/>
      <c r="AC3956" s="385"/>
      <c r="AD3956" s="94"/>
      <c r="AE3956" s="386" t="str">
        <f>+IF(V3956=0,"CERO","NO")</f>
        <v>NO</v>
      </c>
    </row>
    <row r="3957" spans="3:31" s="260" customFormat="1" x14ac:dyDescent="0.25">
      <c r="C3957" s="84"/>
      <c r="D3957" s="85"/>
      <c r="E3957" s="86"/>
      <c r="F3957" s="86"/>
      <c r="G3957" s="86"/>
      <c r="H3957" s="86"/>
      <c r="I3957" s="86"/>
      <c r="J3957" s="87"/>
      <c r="K3957" s="88"/>
      <c r="M3957" s="106"/>
      <c r="N3957" s="533" t="str">
        <f>IFERROR(VLOOKUP(M3957,INSUMOS!$C$8:$K$928,2,0),"-----")</f>
        <v>-----</v>
      </c>
      <c r="O3957" s="533"/>
      <c r="P3957" s="533"/>
      <c r="Q3957" s="533"/>
      <c r="R3957" s="78" t="str">
        <f>IFERROR(VLOOKUP(M3957,INSUMOS!$C$8:$K$928,6,0),"-----")</f>
        <v>-----</v>
      </c>
      <c r="S3957" s="392"/>
      <c r="T3957" s="529" t="str">
        <f>IFERROR(VLOOKUP(M3957,INSUMOS!$C$8:$K$928,7,0),"0")</f>
        <v>0</v>
      </c>
      <c r="U3957" s="529"/>
      <c r="V3957" s="389">
        <f>+IFERROR(T3957*S3957,0)</f>
        <v>0</v>
      </c>
      <c r="Y3957" s="393">
        <f>+IFERROR(Y3952*S3957,0)</f>
        <v>0</v>
      </c>
      <c r="Z3957" s="391">
        <f>Y3952*V3957</f>
        <v>0</v>
      </c>
      <c r="AA3957" s="394"/>
      <c r="AB3957" s="395">
        <f>+Y3957*T3957</f>
        <v>0</v>
      </c>
      <c r="AC3957" s="93">
        <f>+AB3957-Z3957</f>
        <v>0</v>
      </c>
      <c r="AD3957" s="94"/>
      <c r="AE3957" s="386" t="str">
        <f>+IF(V3957=0,"CERO","NO")</f>
        <v>CERO</v>
      </c>
    </row>
    <row r="3958" spans="3:31" s="260" customFormat="1" x14ac:dyDescent="0.25">
      <c r="C3958" s="84"/>
      <c r="D3958" s="85"/>
      <c r="E3958" s="86"/>
      <c r="F3958" s="86"/>
      <c r="G3958" s="86"/>
      <c r="H3958" s="86"/>
      <c r="I3958" s="86"/>
      <c r="J3958" s="87"/>
      <c r="K3958" s="88"/>
      <c r="M3958" s="102">
        <v>0</v>
      </c>
      <c r="N3958" s="533"/>
      <c r="O3958" s="533"/>
      <c r="P3958" s="533"/>
      <c r="Q3958" s="533"/>
      <c r="R3958" s="78"/>
      <c r="S3958" s="396"/>
      <c r="T3958" s="529"/>
      <c r="U3958" s="529"/>
      <c r="V3958" s="397"/>
      <c r="Y3958" s="393">
        <f>+IFERROR(Y3952*S3958,0)</f>
        <v>0</v>
      </c>
      <c r="Z3958" s="391">
        <f>Y3952*V3958</f>
        <v>0</v>
      </c>
      <c r="AA3958" s="394"/>
      <c r="AB3958" s="395">
        <f>+Y3958*T3958</f>
        <v>0</v>
      </c>
      <c r="AC3958" s="93">
        <f>+AB3958-Z3958</f>
        <v>0</v>
      </c>
      <c r="AD3958" s="94"/>
      <c r="AE3958" s="386" t="str">
        <f>+IF(V3958=0,"CERO","NO")</f>
        <v>CERO</v>
      </c>
    </row>
    <row r="3959" spans="3:31" s="260" customFormat="1" x14ac:dyDescent="0.25">
      <c r="C3959" s="84"/>
      <c r="D3959" s="85"/>
      <c r="E3959" s="86"/>
      <c r="F3959" s="86"/>
      <c r="G3959" s="86"/>
      <c r="H3959" s="86"/>
      <c r="I3959" s="86"/>
      <c r="J3959" s="87"/>
      <c r="K3959" s="88"/>
      <c r="M3959" s="102">
        <v>0</v>
      </c>
      <c r="N3959" s="533"/>
      <c r="O3959" s="533"/>
      <c r="P3959" s="533"/>
      <c r="Q3959" s="533"/>
      <c r="R3959" s="78"/>
      <c r="S3959" s="396"/>
      <c r="T3959" s="529"/>
      <c r="U3959" s="529"/>
      <c r="V3959" s="397"/>
      <c r="Y3959" s="393">
        <f>+IFERROR(Y3952*S3959,0)</f>
        <v>0</v>
      </c>
      <c r="Z3959" s="391">
        <f>Y3952*V3959</f>
        <v>0</v>
      </c>
      <c r="AA3959" s="394"/>
      <c r="AB3959" s="395">
        <f>+Y3959*T3959</f>
        <v>0</v>
      </c>
      <c r="AC3959" s="93">
        <f>+AB3959-Z3959</f>
        <v>0</v>
      </c>
      <c r="AD3959" s="94"/>
      <c r="AE3959" s="386" t="str">
        <f>+IF(V3959=0,"CERO","NO")</f>
        <v>CERO</v>
      </c>
    </row>
    <row r="3960" spans="3:31" s="260" customFormat="1" ht="15.75" thickBot="1" x14ac:dyDescent="0.3">
      <c r="C3960" s="84"/>
      <c r="D3960" s="85"/>
      <c r="E3960" s="86"/>
      <c r="F3960" s="86"/>
      <c r="G3960" s="86"/>
      <c r="H3960" s="86"/>
      <c r="I3960" s="86"/>
      <c r="J3960" s="87"/>
      <c r="K3960" s="88"/>
      <c r="M3960" s="102">
        <v>0</v>
      </c>
      <c r="N3960" s="564"/>
      <c r="O3960" s="564"/>
      <c r="P3960" s="564"/>
      <c r="Q3960" s="564"/>
      <c r="R3960" s="96"/>
      <c r="S3960" s="96"/>
      <c r="T3960" s="565"/>
      <c r="U3960" s="565"/>
      <c r="V3960" s="101"/>
      <c r="Y3960" s="393">
        <f>+IFERROR(Y3952*S3960,0)</f>
        <v>0</v>
      </c>
      <c r="Z3960" s="391">
        <f>Y3952*V3960</f>
        <v>0</v>
      </c>
      <c r="AA3960" s="394"/>
      <c r="AB3960" s="395">
        <f>+Y3960*T3960</f>
        <v>0</v>
      </c>
      <c r="AC3960" s="93">
        <f>+AB3960-Z3960</f>
        <v>0</v>
      </c>
      <c r="AD3960" s="94"/>
      <c r="AE3960" s="386" t="str">
        <f>+IF(V3960=0,"CERO","NO")</f>
        <v>CERO</v>
      </c>
    </row>
    <row r="3961" spans="3:31" s="260" customFormat="1" ht="15.75" thickBot="1" x14ac:dyDescent="0.3">
      <c r="C3961" s="84"/>
      <c r="D3961" s="375" t="s">
        <v>128</v>
      </c>
      <c r="E3961" s="376" t="s">
        <v>129</v>
      </c>
      <c r="F3961" s="376" t="s">
        <v>130</v>
      </c>
      <c r="G3961" s="376" t="s">
        <v>131</v>
      </c>
      <c r="H3961" s="376" t="s">
        <v>132</v>
      </c>
      <c r="I3961" s="376" t="s">
        <v>133</v>
      </c>
      <c r="J3961" s="377" t="s">
        <v>134</v>
      </c>
      <c r="K3961" s="88"/>
      <c r="M3961" s="534"/>
      <c r="N3961" s="536" t="s">
        <v>101</v>
      </c>
      <c r="O3961" s="536"/>
      <c r="P3961" s="536"/>
      <c r="Q3961" s="536"/>
      <c r="R3961" s="536"/>
      <c r="S3961" s="536"/>
      <c r="T3961" s="536"/>
      <c r="U3961" s="536"/>
      <c r="V3961" s="389">
        <f>+SUM(V3956:V3960)</f>
        <v>418.42250000000007</v>
      </c>
      <c r="Y3961" s="398" t="s">
        <v>135</v>
      </c>
      <c r="Z3961" s="397">
        <f>+SUM(Z3956:Z3960)</f>
        <v>36017.808800000006</v>
      </c>
      <c r="AA3961" s="86"/>
      <c r="AB3961" s="384"/>
      <c r="AC3961" s="385"/>
      <c r="AD3961" s="94"/>
      <c r="AE3961" s="399"/>
    </row>
    <row r="3962" spans="3:31" s="260" customFormat="1" ht="15.75" thickBot="1" x14ac:dyDescent="0.3">
      <c r="C3962" s="84"/>
      <c r="D3962" s="375">
        <f>C3952</f>
        <v>4.04</v>
      </c>
      <c r="E3962" s="376"/>
      <c r="F3962" s="376"/>
      <c r="G3962" s="376"/>
      <c r="H3962" s="376"/>
      <c r="I3962" s="376"/>
      <c r="J3962" s="377"/>
      <c r="K3962" s="88"/>
      <c r="M3962" s="566"/>
      <c r="N3962" s="567" t="s">
        <v>102</v>
      </c>
      <c r="O3962" s="567"/>
      <c r="P3962" s="567"/>
      <c r="Q3962" s="567"/>
      <c r="R3962" s="567"/>
      <c r="S3962" s="567"/>
      <c r="T3962" s="567"/>
      <c r="U3962" s="567"/>
      <c r="V3962" s="400">
        <f>+ROUND(V3961,$AA$5)</f>
        <v>418.42</v>
      </c>
      <c r="Y3962" s="401" t="s">
        <v>136</v>
      </c>
      <c r="Z3962" s="402">
        <f>+ROUND(Z3961,$AA$5)</f>
        <v>36017.81</v>
      </c>
      <c r="AA3962" s="86"/>
      <c r="AB3962" s="403">
        <f>+V3962*Y3952</f>
        <v>36017.5936</v>
      </c>
      <c r="AC3962" s="404">
        <f>+AB3962-Z3962</f>
        <v>-0.21639999999752035</v>
      </c>
      <c r="AD3962" s="94"/>
      <c r="AE3962" s="405"/>
    </row>
    <row r="3963" spans="3:31" s="260" customFormat="1" x14ac:dyDescent="0.25">
      <c r="C3963" s="84"/>
      <c r="D3963" s="380"/>
      <c r="E3963" s="381"/>
      <c r="F3963" s="381"/>
      <c r="G3963" s="381"/>
      <c r="H3963" s="381"/>
      <c r="I3963" s="381"/>
      <c r="J3963" s="382"/>
      <c r="K3963" s="88"/>
      <c r="M3963" s="510" t="s">
        <v>103</v>
      </c>
      <c r="N3963" s="511"/>
      <c r="O3963" s="511"/>
      <c r="P3963" s="511"/>
      <c r="Q3963" s="511"/>
      <c r="R3963" s="511"/>
      <c r="S3963" s="511"/>
      <c r="T3963" s="511"/>
      <c r="U3963" s="511"/>
      <c r="V3963" s="512"/>
      <c r="Y3963" s="378"/>
      <c r="Z3963" s="121"/>
      <c r="AA3963" s="86"/>
      <c r="AB3963" s="513"/>
      <c r="AC3963" s="514"/>
      <c r="AD3963" s="94"/>
      <c r="AE3963" s="126"/>
    </row>
    <row r="3964" spans="3:31" s="260" customFormat="1" x14ac:dyDescent="0.25">
      <c r="C3964" s="84"/>
      <c r="D3964" s="85"/>
      <c r="E3964" s="86"/>
      <c r="F3964" s="86"/>
      <c r="G3964" s="86"/>
      <c r="H3964" s="86"/>
      <c r="I3964" s="86"/>
      <c r="J3964" s="87"/>
      <c r="K3964" s="88"/>
      <c r="M3964" s="99" t="s">
        <v>94</v>
      </c>
      <c r="N3964" s="561" t="s">
        <v>95</v>
      </c>
      <c r="O3964" s="561"/>
      <c r="P3964" s="561"/>
      <c r="Q3964" s="561"/>
      <c r="R3964" s="95" t="s">
        <v>96</v>
      </c>
      <c r="S3964" s="95" t="s">
        <v>104</v>
      </c>
      <c r="T3964" s="356" t="s">
        <v>105</v>
      </c>
      <c r="U3964" s="356" t="s">
        <v>8</v>
      </c>
      <c r="V3964" s="100" t="s">
        <v>98</v>
      </c>
      <c r="Y3964" s="383" t="s">
        <v>104</v>
      </c>
      <c r="Z3964" s="119" t="s">
        <v>9</v>
      </c>
      <c r="AA3964" s="86"/>
      <c r="AB3964" s="384"/>
      <c r="AC3964" s="385"/>
      <c r="AD3964" s="94"/>
      <c r="AE3964" s="406"/>
    </row>
    <row r="3965" spans="3:31" s="260" customFormat="1" x14ac:dyDescent="0.25">
      <c r="C3965" s="84"/>
      <c r="D3965" s="85"/>
      <c r="E3965" s="86"/>
      <c r="F3965" s="86"/>
      <c r="G3965" s="86"/>
      <c r="H3965" s="86"/>
      <c r="I3965" s="86"/>
      <c r="J3965" s="87"/>
      <c r="K3965" s="88"/>
      <c r="M3965" s="102">
        <v>548</v>
      </c>
      <c r="N3965" s="533" t="str">
        <f>IFERROR(VLOOKUP(M3965,INSUMOS!$C$8:$K$928,2,0),"-----")</f>
        <v>TUBERIA PVC SANITARIO 2"</v>
      </c>
      <c r="O3965" s="533"/>
      <c r="P3965" s="533"/>
      <c r="Q3965" s="533"/>
      <c r="R3965" s="78" t="str">
        <f>IFERROR(VLOOKUP(M3965,INSUMOS!$C$8:$K$928,6,0),"-----")</f>
        <v>ml</v>
      </c>
      <c r="S3965" s="396">
        <v>1</v>
      </c>
      <c r="T3965" s="387">
        <v>0</v>
      </c>
      <c r="U3965" s="388">
        <f>IFERROR(VLOOKUP(M3965,INSUMOS!$C$8:$K$928,7,0),"0")</f>
        <v>16633.666666666668</v>
      </c>
      <c r="V3965" s="389">
        <f>+IFERROR(U3965*(S3965*(1+T3965)),0)</f>
        <v>16633.666666666668</v>
      </c>
      <c r="Y3965" s="393">
        <f>+IFERROR(Y3952*(S3965*(1+T3965)),0)</f>
        <v>86.08</v>
      </c>
      <c r="Z3965" s="391">
        <f>Y3952*V3965</f>
        <v>1431826.0266666668</v>
      </c>
      <c r="AA3965" s="394"/>
      <c r="AB3965" s="395">
        <f>+Y3965*U3965</f>
        <v>1431826.0266666668</v>
      </c>
      <c r="AC3965" s="93">
        <f>+AB3965-Z3965</f>
        <v>0</v>
      </c>
      <c r="AD3965" s="94"/>
      <c r="AE3965" s="406" t="str">
        <f>+IF(V3965=0,"CERO","NO")</f>
        <v>NO</v>
      </c>
    </row>
    <row r="3966" spans="3:31" s="260" customFormat="1" x14ac:dyDescent="0.25">
      <c r="C3966" s="84"/>
      <c r="D3966" s="85"/>
      <c r="E3966" s="86"/>
      <c r="F3966" s="86"/>
      <c r="G3966" s="86"/>
      <c r="H3966" s="86"/>
      <c r="I3966" s="86"/>
      <c r="J3966" s="87"/>
      <c r="K3966" s="88"/>
      <c r="M3966" s="102">
        <v>699</v>
      </c>
      <c r="N3966" s="533" t="str">
        <f>IFERROR(VLOOKUP(M3966,INSUMOS!$C$8:$K$928,2,0),"-----")</f>
        <v>SOLDADURA PVC LIQUIDA 1/4"</v>
      </c>
      <c r="O3966" s="533"/>
      <c r="P3966" s="533"/>
      <c r="Q3966" s="533"/>
      <c r="R3966" s="78" t="str">
        <f>IFERROR(VLOOKUP(M3966,INSUMOS!$C$8:$K$928,6,0),"-----")</f>
        <v>und</v>
      </c>
      <c r="S3966" s="396">
        <v>0.05</v>
      </c>
      <c r="T3966" s="387">
        <v>0.02</v>
      </c>
      <c r="U3966" s="388">
        <f>IFERROR(VLOOKUP(M3966,INSUMOS!$C$8:$K$928,7,0),"0")</f>
        <v>146569</v>
      </c>
      <c r="V3966" s="389">
        <f>+IFERROR(U3966*(S3966*(1+T3966)),0)</f>
        <v>7475.0190000000002</v>
      </c>
      <c r="Y3966" s="393">
        <f>+IFERROR(Y3952*(S3966*(1+T3966)),0)</f>
        <v>4.3900800000000002</v>
      </c>
      <c r="Z3966" s="391">
        <f>Y3952*V3966</f>
        <v>643449.63552000001</v>
      </c>
      <c r="AA3966" s="394"/>
      <c r="AB3966" s="395">
        <f>+Y3966*U3966</f>
        <v>643449.63552000001</v>
      </c>
      <c r="AC3966" s="93">
        <f>+AB3966-Z3966</f>
        <v>0</v>
      </c>
      <c r="AD3966" s="94"/>
      <c r="AE3966" s="406" t="str">
        <f>+IF(V3966=0,"CERO","NO")</f>
        <v>NO</v>
      </c>
    </row>
    <row r="3967" spans="3:31" s="260" customFormat="1" x14ac:dyDescent="0.25">
      <c r="C3967" s="84"/>
      <c r="D3967" s="85"/>
      <c r="E3967" s="86"/>
      <c r="F3967" s="86"/>
      <c r="G3967" s="86"/>
      <c r="H3967" s="86"/>
      <c r="I3967" s="86"/>
      <c r="J3967" s="87"/>
      <c r="K3967" s="88"/>
      <c r="M3967" s="102">
        <v>700</v>
      </c>
      <c r="N3967" s="533" t="str">
        <f>IFERROR(VLOOKUP(M3967,INSUMOS!$C$8:$K$928,2,0),"-----")</f>
        <v>LIMPIADOR PVC 1/4</v>
      </c>
      <c r="O3967" s="533"/>
      <c r="P3967" s="533"/>
      <c r="Q3967" s="533"/>
      <c r="R3967" s="78" t="str">
        <f>IFERROR(VLOOKUP(M3967,INSUMOS!$C$8:$K$928,6,0),"-----")</f>
        <v>und</v>
      </c>
      <c r="S3967" s="396">
        <v>0.05</v>
      </c>
      <c r="T3967" s="387">
        <v>0.02</v>
      </c>
      <c r="U3967" s="388">
        <f>IFERROR(VLOOKUP(M3967,INSUMOS!$C$8:$K$928,7,0),"0")</f>
        <v>65913</v>
      </c>
      <c r="V3967" s="389">
        <f>+IFERROR(U3967*(S3967*(1+T3967)),0)</f>
        <v>3361.5630000000001</v>
      </c>
      <c r="Y3967" s="393">
        <f>+IFERROR(Y3952*(S3967*(1+T3967)),0)</f>
        <v>4.3900800000000002</v>
      </c>
      <c r="Z3967" s="391">
        <f>Y3952*V3967</f>
        <v>289363.34304000001</v>
      </c>
      <c r="AA3967" s="394"/>
      <c r="AB3967" s="395">
        <f>+Y3967*U3967</f>
        <v>289363.34304000001</v>
      </c>
      <c r="AC3967" s="93">
        <f>+AB3967-Z3967</f>
        <v>0</v>
      </c>
      <c r="AD3967" s="94"/>
      <c r="AE3967" s="406" t="str">
        <f>+IF(V3967=0,"CERO","NO")</f>
        <v>NO</v>
      </c>
    </row>
    <row r="3968" spans="3:31" s="260" customFormat="1" x14ac:dyDescent="0.25">
      <c r="C3968" s="84"/>
      <c r="D3968" s="85"/>
      <c r="E3968" s="86"/>
      <c r="F3968" s="86"/>
      <c r="G3968" s="86"/>
      <c r="H3968" s="86"/>
      <c r="I3968" s="86"/>
      <c r="J3968" s="87"/>
      <c r="K3968" s="88"/>
      <c r="M3968" s="102">
        <v>0</v>
      </c>
      <c r="N3968" s="533" t="str">
        <f>IFERROR(VLOOKUP(M3968,INSUMOS!$C$8:$K$928,2,0),"-----")</f>
        <v>-----</v>
      </c>
      <c r="O3968" s="533"/>
      <c r="P3968" s="533"/>
      <c r="Q3968" s="533"/>
      <c r="R3968" s="78" t="str">
        <f>IFERROR(VLOOKUP(M3968,INSUMOS!$C$8:$K$928,6,0),"-----")</f>
        <v>-----</v>
      </c>
      <c r="S3968" s="396"/>
      <c r="T3968" s="387"/>
      <c r="U3968" s="388" t="str">
        <f>IFERROR(VLOOKUP(M3968,INSUMOS!$C$8:$K$928,7,0),"0")</f>
        <v>0</v>
      </c>
      <c r="V3968" s="389">
        <f>+IFERROR(U3968*(S3968*(1+T3968)),0)</f>
        <v>0</v>
      </c>
      <c r="Y3968" s="393">
        <f>+IFERROR(Y3952*(S3968*(1+T3968)),0)</f>
        <v>0</v>
      </c>
      <c r="Z3968" s="391">
        <f>Y3952*V3968</f>
        <v>0</v>
      </c>
      <c r="AA3968" s="394"/>
      <c r="AB3968" s="395">
        <f>+Y3968*U3968</f>
        <v>0</v>
      </c>
      <c r="AC3968" s="93">
        <f>+AB3968-Z3968</f>
        <v>0</v>
      </c>
      <c r="AD3968" s="94"/>
      <c r="AE3968" s="406" t="str">
        <f>+IF(V3968=0,"CERO","NO")</f>
        <v>CERO</v>
      </c>
    </row>
    <row r="3969" spans="3:31" s="260" customFormat="1" ht="15.75" thickBot="1" x14ac:dyDescent="0.3">
      <c r="C3969" s="84"/>
      <c r="D3969" s="85"/>
      <c r="E3969" s="86"/>
      <c r="F3969" s="86"/>
      <c r="G3969" s="86"/>
      <c r="H3969" s="86"/>
      <c r="I3969" s="86"/>
      <c r="J3969" s="87"/>
      <c r="K3969" s="88"/>
      <c r="M3969" s="102">
        <v>0</v>
      </c>
      <c r="N3969" s="564"/>
      <c r="O3969" s="564"/>
      <c r="P3969" s="564"/>
      <c r="Q3969" s="564"/>
      <c r="R3969" s="96"/>
      <c r="S3969" s="79"/>
      <c r="T3969" s="97"/>
      <c r="U3969" s="358"/>
      <c r="V3969" s="397"/>
      <c r="Y3969" s="393">
        <f>+IFERROR(Y3952*(S3969*(1+T3969)),0)</f>
        <v>0</v>
      </c>
      <c r="Z3969" s="391">
        <f>Y3952*V3969</f>
        <v>0</v>
      </c>
      <c r="AA3969" s="394"/>
      <c r="AB3969" s="395">
        <f>+Y3969*U3969</f>
        <v>0</v>
      </c>
      <c r="AC3969" s="93">
        <f>+AB3969-Z3969</f>
        <v>0</v>
      </c>
      <c r="AD3969" s="94"/>
      <c r="AE3969" s="406" t="str">
        <f>+IF(V3969=0,"CERO","NO")</f>
        <v>CERO</v>
      </c>
    </row>
    <row r="3970" spans="3:31" s="260" customFormat="1" ht="15.75" thickBot="1" x14ac:dyDescent="0.3">
      <c r="C3970" s="84"/>
      <c r="D3970" s="375" t="s">
        <v>128</v>
      </c>
      <c r="E3970" s="376" t="s">
        <v>129</v>
      </c>
      <c r="F3970" s="376" t="s">
        <v>130</v>
      </c>
      <c r="G3970" s="376" t="s">
        <v>131</v>
      </c>
      <c r="H3970" s="376" t="s">
        <v>132</v>
      </c>
      <c r="I3970" s="376" t="s">
        <v>133</v>
      </c>
      <c r="J3970" s="377" t="s">
        <v>134</v>
      </c>
      <c r="K3970" s="88"/>
      <c r="M3970" s="534"/>
      <c r="N3970" s="536" t="s">
        <v>106</v>
      </c>
      <c r="O3970" s="536"/>
      <c r="P3970" s="536"/>
      <c r="Q3970" s="536"/>
      <c r="R3970" s="536"/>
      <c r="S3970" s="536"/>
      <c r="T3970" s="536"/>
      <c r="U3970" s="536"/>
      <c r="V3970" s="389">
        <f>+SUM(V3965:V3969)</f>
        <v>27470.248666666666</v>
      </c>
      <c r="Y3970" s="398" t="s">
        <v>135</v>
      </c>
      <c r="Z3970" s="397">
        <f>+SUM(Z3965:Z3969)</f>
        <v>2364639.005226667</v>
      </c>
      <c r="AA3970" s="86"/>
      <c r="AB3970" s="384"/>
      <c r="AC3970" s="385"/>
      <c r="AD3970" s="94"/>
      <c r="AE3970" s="399"/>
    </row>
    <row r="3971" spans="3:31" s="260" customFormat="1" ht="15.75" thickBot="1" x14ac:dyDescent="0.3">
      <c r="C3971" s="84"/>
      <c r="D3971" s="375"/>
      <c r="E3971" s="407">
        <f>+D3962</f>
        <v>4.04</v>
      </c>
      <c r="F3971" s="376"/>
      <c r="G3971" s="376"/>
      <c r="H3971" s="376"/>
      <c r="I3971" s="376"/>
      <c r="J3971" s="377"/>
      <c r="K3971" s="88"/>
      <c r="M3971" s="535"/>
      <c r="N3971" s="537" t="s">
        <v>107</v>
      </c>
      <c r="O3971" s="537"/>
      <c r="P3971" s="537"/>
      <c r="Q3971" s="537"/>
      <c r="R3971" s="537"/>
      <c r="S3971" s="537"/>
      <c r="T3971" s="537"/>
      <c r="U3971" s="537"/>
      <c r="V3971" s="408">
        <f>+ROUND(V3970,$AA$5)</f>
        <v>27470.25</v>
      </c>
      <c r="Y3971" s="401" t="s">
        <v>136</v>
      </c>
      <c r="Z3971" s="402">
        <f>+ROUND(Z3970,$AA$5)</f>
        <v>2364639.0099999998</v>
      </c>
      <c r="AA3971" s="86"/>
      <c r="AB3971" s="403">
        <f>+V3971*Y3952</f>
        <v>2364639.12</v>
      </c>
      <c r="AC3971" s="404">
        <f>+AB3971-Z3971</f>
        <v>0.11000000033527613</v>
      </c>
      <c r="AD3971" s="94"/>
      <c r="AE3971" s="405"/>
    </row>
    <row r="3972" spans="3:31" s="260" customFormat="1" x14ac:dyDescent="0.25">
      <c r="C3972" s="84"/>
      <c r="D3972" s="380"/>
      <c r="E3972" s="381"/>
      <c r="F3972" s="381"/>
      <c r="G3972" s="381"/>
      <c r="H3972" s="381"/>
      <c r="I3972" s="381"/>
      <c r="J3972" s="382"/>
      <c r="K3972" s="88"/>
      <c r="M3972" s="568" t="s">
        <v>108</v>
      </c>
      <c r="N3972" s="569"/>
      <c r="O3972" s="569"/>
      <c r="P3972" s="569"/>
      <c r="Q3972" s="569"/>
      <c r="R3972" s="569"/>
      <c r="S3972" s="569"/>
      <c r="T3972" s="569"/>
      <c r="U3972" s="569"/>
      <c r="V3972" s="570"/>
      <c r="Y3972" s="378"/>
      <c r="Z3972" s="121"/>
      <c r="AA3972" s="86"/>
      <c r="AB3972" s="409"/>
      <c r="AC3972" s="121"/>
      <c r="AD3972" s="94"/>
      <c r="AE3972" s="126"/>
    </row>
    <row r="3973" spans="3:31" s="260" customFormat="1" ht="25.5" x14ac:dyDescent="0.25">
      <c r="C3973" s="84"/>
      <c r="D3973" s="85"/>
      <c r="E3973" s="86"/>
      <c r="F3973" s="86"/>
      <c r="G3973" s="86"/>
      <c r="H3973" s="86"/>
      <c r="I3973" s="86"/>
      <c r="J3973" s="87"/>
      <c r="K3973" s="88"/>
      <c r="M3973" s="99" t="s">
        <v>94</v>
      </c>
      <c r="N3973" s="561" t="s">
        <v>95</v>
      </c>
      <c r="O3973" s="561"/>
      <c r="P3973" s="561"/>
      <c r="Q3973" s="95" t="s">
        <v>109</v>
      </c>
      <c r="R3973" s="95" t="s">
        <v>110</v>
      </c>
      <c r="S3973" s="95" t="s">
        <v>111</v>
      </c>
      <c r="T3973" s="562" t="s">
        <v>112</v>
      </c>
      <c r="U3973" s="562"/>
      <c r="V3973" s="100" t="s">
        <v>98</v>
      </c>
      <c r="Y3973" s="383" t="s">
        <v>104</v>
      </c>
      <c r="Z3973" s="119" t="s">
        <v>9</v>
      </c>
      <c r="AA3973" s="86"/>
      <c r="AB3973" s="384"/>
      <c r="AC3973" s="385"/>
      <c r="AD3973" s="94"/>
      <c r="AE3973" s="410"/>
    </row>
    <row r="3974" spans="3:31" s="260" customFormat="1" x14ac:dyDescent="0.25">
      <c r="C3974" s="84"/>
      <c r="D3974" s="85"/>
      <c r="E3974" s="86"/>
      <c r="F3974" s="86"/>
      <c r="G3974" s="86"/>
      <c r="H3974" s="86"/>
      <c r="I3974" s="86"/>
      <c r="J3974" s="87"/>
      <c r="K3974" s="88"/>
      <c r="M3974" s="102">
        <v>129</v>
      </c>
      <c r="N3974" s="530" t="str">
        <f>IFERROR(VLOOKUP(M3974,INSUMOS!$C$8:$K$928,2,0),"-----")</f>
        <v>transporte materiales en general</v>
      </c>
      <c r="O3974" s="531"/>
      <c r="P3974" s="532"/>
      <c r="Q3974" s="78" t="str">
        <f>IFERROR(VLOOKUP(M3974,INSUMOS!$C$8:$K$928,5,0),"-----")</f>
        <v>Km</v>
      </c>
      <c r="R3974" s="80">
        <v>1</v>
      </c>
      <c r="S3974" s="80">
        <f>IFERROR(VLOOKUP(M3974,INSUMOS!$C$8:$K$928,6,0),"0")</f>
        <v>348</v>
      </c>
      <c r="T3974" s="529">
        <f>IFERROR(VLOOKUP(M3974,INSUMOS!$C$8:$K$928,7,0),"0")</f>
        <v>0.99776362060288992</v>
      </c>
      <c r="U3974" s="529"/>
      <c r="V3974" s="82">
        <f>+T3974*S3974*R3974</f>
        <v>347.2217399698057</v>
      </c>
      <c r="Y3974" s="393">
        <f>+IFERROR((R3974*S3974)*Y3952,0)</f>
        <v>29955.84</v>
      </c>
      <c r="Z3974" s="391">
        <f>Y3952*V3974</f>
        <v>29888.847376600876</v>
      </c>
      <c r="AA3974" s="86"/>
      <c r="AB3974" s="92">
        <f>+Y3974*T3974</f>
        <v>29888.847376600876</v>
      </c>
      <c r="AC3974" s="93">
        <f>+AB3974-Z3974</f>
        <v>0</v>
      </c>
      <c r="AD3974" s="94"/>
      <c r="AE3974" s="406" t="str">
        <f>+IF(V3974=0,"CERO","NO")</f>
        <v>NO</v>
      </c>
    </row>
    <row r="3975" spans="3:31" s="260" customFormat="1" x14ac:dyDescent="0.25">
      <c r="C3975" s="84"/>
      <c r="D3975" s="85"/>
      <c r="E3975" s="86"/>
      <c r="F3975" s="86"/>
      <c r="G3975" s="86"/>
      <c r="H3975" s="86"/>
      <c r="I3975" s="86"/>
      <c r="J3975" s="87"/>
      <c r="K3975" s="88"/>
      <c r="M3975" s="102">
        <v>0</v>
      </c>
      <c r="N3975" s="530" t="str">
        <f>IFERROR(VLOOKUP(M3975,INSUMOS!$C$8:$K$928,2,0),"-----")</f>
        <v>-----</v>
      </c>
      <c r="O3975" s="531"/>
      <c r="P3975" s="532"/>
      <c r="Q3975" s="78" t="str">
        <f>IFERROR(VLOOKUP(M3975,INSUMOS!$C$8:$K$928,5,0),"-----")</f>
        <v>-----</v>
      </c>
      <c r="R3975" s="80"/>
      <c r="S3975" s="80" t="str">
        <f>IFERROR(VLOOKUP(M3975,INSUMOS!$C$8:$K$928,6,0),"0")</f>
        <v>0</v>
      </c>
      <c r="T3975" s="529" t="str">
        <f>IFERROR(VLOOKUP(M3975,INSUMOS!$C$8:$K$928,7,0),"0")</f>
        <v>0</v>
      </c>
      <c r="U3975" s="529"/>
      <c r="V3975" s="82">
        <f>+T3975*S3975*R3975</f>
        <v>0</v>
      </c>
      <c r="Y3975" s="393">
        <f>+IFERROR((R3975*S3975)*Y3952,0)</f>
        <v>0</v>
      </c>
      <c r="Z3975" s="391">
        <f>Y3952*V3975</f>
        <v>0</v>
      </c>
      <c r="AA3975" s="86"/>
      <c r="AB3975" s="92">
        <f>+Y3975*T3975</f>
        <v>0</v>
      </c>
      <c r="AC3975" s="93">
        <f>+AB3975-Z3975</f>
        <v>0</v>
      </c>
      <c r="AD3975" s="94"/>
      <c r="AE3975" s="406" t="str">
        <f>+IF(V3975=0,"CERO","NO")</f>
        <v>CERO</v>
      </c>
    </row>
    <row r="3976" spans="3:31" s="260" customFormat="1" x14ac:dyDescent="0.25">
      <c r="C3976" s="84"/>
      <c r="D3976" s="85"/>
      <c r="E3976" s="86"/>
      <c r="F3976" s="86"/>
      <c r="G3976" s="86"/>
      <c r="H3976" s="86"/>
      <c r="I3976" s="86"/>
      <c r="J3976" s="87"/>
      <c r="K3976" s="88"/>
      <c r="M3976" s="102">
        <v>0</v>
      </c>
      <c r="N3976" s="530" t="str">
        <f>IFERROR(VLOOKUP(M3976,INSUMOS!$C$8:$K$928,2,0),"-----")</f>
        <v>-----</v>
      </c>
      <c r="O3976" s="531"/>
      <c r="P3976" s="532"/>
      <c r="Q3976" s="78" t="str">
        <f>IFERROR(VLOOKUP(M3976,INSUMOS!$C$8:$K$928,5,0),"-----")</f>
        <v>-----</v>
      </c>
      <c r="R3976" s="80"/>
      <c r="S3976" s="80" t="str">
        <f>IFERROR(VLOOKUP(M3976,INSUMOS!$C$8:$K$928,6,0),"0")</f>
        <v>0</v>
      </c>
      <c r="T3976" s="529" t="str">
        <f>IFERROR(VLOOKUP(M3976,INSUMOS!$C$8:$K$928,7,0),"0")</f>
        <v>0</v>
      </c>
      <c r="U3976" s="529"/>
      <c r="V3976" s="82">
        <f>+T3976*S3976*R3976</f>
        <v>0</v>
      </c>
      <c r="Y3976" s="393">
        <f>+IFERROR((R3976*S3976)*Y3952,0)</f>
        <v>0</v>
      </c>
      <c r="Z3976" s="391">
        <f>Y3952*V3976</f>
        <v>0</v>
      </c>
      <c r="AA3976" s="86"/>
      <c r="AB3976" s="92">
        <f>+Y3976*T3976</f>
        <v>0</v>
      </c>
      <c r="AC3976" s="93">
        <f>+AB3976-Z3976</f>
        <v>0</v>
      </c>
      <c r="AD3976" s="94"/>
      <c r="AE3976" s="406" t="str">
        <f>+IF(V3976=0,"CERO","NO")</f>
        <v>CERO</v>
      </c>
    </row>
    <row r="3977" spans="3:31" s="260" customFormat="1" ht="15.75" thickBot="1" x14ac:dyDescent="0.3">
      <c r="C3977" s="84"/>
      <c r="D3977" s="89"/>
      <c r="E3977" s="90"/>
      <c r="F3977" s="90"/>
      <c r="G3977" s="90"/>
      <c r="H3977" s="90"/>
      <c r="I3977" s="90"/>
      <c r="J3977" s="91"/>
      <c r="K3977" s="88"/>
      <c r="M3977" s="102">
        <v>0</v>
      </c>
      <c r="N3977" s="533"/>
      <c r="O3977" s="533"/>
      <c r="P3977" s="533"/>
      <c r="Q3977" s="79"/>
      <c r="R3977" s="78"/>
      <c r="S3977" s="81"/>
      <c r="T3977" s="529"/>
      <c r="U3977" s="529"/>
      <c r="V3977" s="82"/>
      <c r="Y3977" s="393">
        <f>+IFERROR((R3977*S3977)*Y3952,0)</f>
        <v>0</v>
      </c>
      <c r="Z3977" s="391">
        <f>Y3952*V3977</f>
        <v>0</v>
      </c>
      <c r="AA3977" s="86"/>
      <c r="AB3977" s="92">
        <f>+Y3977*T3977</f>
        <v>0</v>
      </c>
      <c r="AC3977" s="93">
        <f>+AB3977-Z3977</f>
        <v>0</v>
      </c>
      <c r="AD3977" s="94"/>
      <c r="AE3977" s="406" t="str">
        <f>+IF(V3977=0,"CERO","NO")</f>
        <v>CERO</v>
      </c>
    </row>
    <row r="3978" spans="3:31" s="260" customFormat="1" ht="15.75" thickBot="1" x14ac:dyDescent="0.3">
      <c r="C3978" s="84"/>
      <c r="D3978" s="375" t="s">
        <v>128</v>
      </c>
      <c r="E3978" s="376" t="s">
        <v>129</v>
      </c>
      <c r="F3978" s="376" t="s">
        <v>130</v>
      </c>
      <c r="G3978" s="376" t="s">
        <v>131</v>
      </c>
      <c r="H3978" s="376" t="s">
        <v>132</v>
      </c>
      <c r="I3978" s="376" t="s">
        <v>133</v>
      </c>
      <c r="J3978" s="377" t="s">
        <v>134</v>
      </c>
      <c r="K3978" s="88"/>
      <c r="M3978" s="534"/>
      <c r="N3978" s="536" t="s">
        <v>113</v>
      </c>
      <c r="O3978" s="536"/>
      <c r="P3978" s="536"/>
      <c r="Q3978" s="536"/>
      <c r="R3978" s="536"/>
      <c r="S3978" s="536"/>
      <c r="T3978" s="536"/>
      <c r="U3978" s="536"/>
      <c r="V3978" s="411">
        <f>+SUM(V3974:V3977)</f>
        <v>347.2217399698057</v>
      </c>
      <c r="Y3978" s="398" t="s">
        <v>135</v>
      </c>
      <c r="Z3978" s="397">
        <f>+SUM(Z3974:Z3977)</f>
        <v>29888.847376600876</v>
      </c>
      <c r="AA3978" s="86"/>
      <c r="AB3978" s="384"/>
      <c r="AC3978" s="385"/>
      <c r="AD3978" s="94"/>
      <c r="AE3978" s="399"/>
    </row>
    <row r="3979" spans="3:31" s="260" customFormat="1" ht="15.75" thickBot="1" x14ac:dyDescent="0.3">
      <c r="C3979" s="84"/>
      <c r="D3979" s="355"/>
      <c r="E3979" s="367"/>
      <c r="F3979" s="412">
        <f>+E3971</f>
        <v>4.04</v>
      </c>
      <c r="G3979" s="367"/>
      <c r="H3979" s="367"/>
      <c r="I3979" s="367"/>
      <c r="J3979" s="368"/>
      <c r="K3979" s="88"/>
      <c r="M3979" s="535"/>
      <c r="N3979" s="537" t="s">
        <v>114</v>
      </c>
      <c r="O3979" s="537"/>
      <c r="P3979" s="537"/>
      <c r="Q3979" s="537"/>
      <c r="R3979" s="537"/>
      <c r="S3979" s="537"/>
      <c r="T3979" s="537"/>
      <c r="U3979" s="537"/>
      <c r="V3979" s="413">
        <f>+ROUND(V3978,$AA$5)</f>
        <v>347.22</v>
      </c>
      <c r="Y3979" s="401" t="s">
        <v>136</v>
      </c>
      <c r="Z3979" s="402">
        <f>+ROUND(Z3978,$AA$5)</f>
        <v>29888.85</v>
      </c>
      <c r="AA3979" s="86"/>
      <c r="AB3979" s="403">
        <f>+V3979*Y3952</f>
        <v>29888.697600000003</v>
      </c>
      <c r="AC3979" s="414"/>
      <c r="AD3979" s="94"/>
      <c r="AE3979" s="405"/>
    </row>
    <row r="3980" spans="3:31" s="260" customFormat="1" ht="15.75" thickBot="1" x14ac:dyDescent="0.3">
      <c r="C3980" s="84"/>
      <c r="D3980" s="415"/>
      <c r="E3980" s="416"/>
      <c r="F3980" s="416"/>
      <c r="G3980" s="416"/>
      <c r="H3980" s="416"/>
      <c r="I3980" s="416"/>
      <c r="J3980" s="417"/>
      <c r="K3980" s="88"/>
      <c r="M3980" s="538" t="s">
        <v>115</v>
      </c>
      <c r="N3980" s="539"/>
      <c r="O3980" s="539"/>
      <c r="P3980" s="539"/>
      <c r="Q3980" s="539"/>
      <c r="R3980" s="539"/>
      <c r="S3980" s="539"/>
      <c r="T3980" s="539"/>
      <c r="U3980" s="539"/>
      <c r="V3980" s="540"/>
      <c r="Y3980" s="378"/>
      <c r="Z3980" s="121"/>
      <c r="AA3980" s="86"/>
      <c r="AB3980" s="409"/>
      <c r="AC3980" s="121"/>
      <c r="AD3980" s="94"/>
      <c r="AE3980" s="126"/>
    </row>
    <row r="3981" spans="3:31" s="260" customFormat="1" ht="15.75" thickBot="1" x14ac:dyDescent="0.3">
      <c r="C3981" s="84"/>
      <c r="D3981" s="375" t="s">
        <v>128</v>
      </c>
      <c r="E3981" s="376" t="s">
        <v>129</v>
      </c>
      <c r="F3981" s="376" t="s">
        <v>130</v>
      </c>
      <c r="G3981" s="376" t="s">
        <v>131</v>
      </c>
      <c r="H3981" s="376" t="s">
        <v>132</v>
      </c>
      <c r="I3981" s="376" t="s">
        <v>133</v>
      </c>
      <c r="J3981" s="377" t="s">
        <v>134</v>
      </c>
      <c r="K3981" s="88"/>
      <c r="M3981" s="99" t="s">
        <v>94</v>
      </c>
      <c r="N3981" s="98" t="s">
        <v>95</v>
      </c>
      <c r="O3981" s="95" t="s">
        <v>96</v>
      </c>
      <c r="P3981" s="359" t="s">
        <v>104</v>
      </c>
      <c r="Q3981" s="95" t="s">
        <v>116</v>
      </c>
      <c r="R3981" s="418" t="s">
        <v>117</v>
      </c>
      <c r="S3981" s="95" t="s">
        <v>347</v>
      </c>
      <c r="T3981" s="419" t="s">
        <v>118</v>
      </c>
      <c r="U3981" s="189" t="s">
        <v>119</v>
      </c>
      <c r="V3981" s="100" t="s">
        <v>98</v>
      </c>
      <c r="Y3981" s="383" t="s">
        <v>104</v>
      </c>
      <c r="Z3981" s="119" t="s">
        <v>9</v>
      </c>
      <c r="AA3981" s="86"/>
      <c r="AB3981" s="384"/>
      <c r="AC3981" s="385"/>
      <c r="AD3981" s="94"/>
      <c r="AE3981" s="410"/>
    </row>
    <row r="3982" spans="3:31" s="260" customFormat="1" ht="25.5" x14ac:dyDescent="0.25">
      <c r="C3982" s="84"/>
      <c r="D3982" s="354"/>
      <c r="E3982" s="96"/>
      <c r="F3982" s="96"/>
      <c r="G3982" s="96"/>
      <c r="H3982" s="96"/>
      <c r="I3982" s="96"/>
      <c r="J3982" s="420">
        <f>+F3979</f>
        <v>4.04</v>
      </c>
      <c r="K3982" s="88"/>
      <c r="M3982" s="102">
        <v>207</v>
      </c>
      <c r="N3982" s="347" t="str">
        <f>IFERROR(VLOOKUP(M3982,INSUMOS!$C$8:$K$928,2,0),"-----")</f>
        <v>Oficial Hidrosanitario</v>
      </c>
      <c r="O3982" s="78" t="str">
        <f>IFERROR(VLOOKUP(M3982,INSUMOS!$C$8:$K$928,3,0),"-----")</f>
        <v>JORNAL+PS</v>
      </c>
      <c r="P3982" s="80">
        <v>1</v>
      </c>
      <c r="Q3982" s="79">
        <v>20</v>
      </c>
      <c r="R3982" s="190">
        <f>IFERROR(VLOOKUP(M3982,INSUMOS!$C$8:$K$928,4,0),"-----")</f>
        <v>92983</v>
      </c>
      <c r="S3982" s="190">
        <f>IFERROR(VLOOKUP(M3982,INSUMOS!$C$8:$K$928,6,0),"-----")</f>
        <v>74386</v>
      </c>
      <c r="T3982" s="190">
        <f>IFERROR(VLOOKUP(M3982,INSUMOS!$C$8:$K$928,5,0),"-----")</f>
        <v>0</v>
      </c>
      <c r="U3982" s="388">
        <f>SUM(R3982:T3982)</f>
        <v>167369</v>
      </c>
      <c r="V3982" s="82">
        <f>+IFERROR((P3982/Q3982)*U3982,0)</f>
        <v>8368.4500000000007</v>
      </c>
      <c r="Y3982" s="393">
        <f>+IFERROR((Y3952/Q3982*P3982),0)</f>
        <v>4.3040000000000003</v>
      </c>
      <c r="Z3982" s="391">
        <f>Y3952*V3982</f>
        <v>720356.17600000009</v>
      </c>
      <c r="AA3982" s="86"/>
      <c r="AB3982" s="92">
        <f>+(U3982)*Y3982</f>
        <v>720356.17600000009</v>
      </c>
      <c r="AC3982" s="93">
        <f>+AB3982-Z3982</f>
        <v>0</v>
      </c>
      <c r="AD3982" s="421"/>
      <c r="AE3982" s="410" t="str">
        <f>+IF(V3982=0,"CERO","NO")</f>
        <v>NO</v>
      </c>
    </row>
    <row r="3983" spans="3:31" s="260" customFormat="1" ht="15.75" thickBot="1" x14ac:dyDescent="0.3">
      <c r="C3983" s="84"/>
      <c r="D3983" s="355"/>
      <c r="E3983" s="367"/>
      <c r="F3983" s="367"/>
      <c r="G3983" s="367"/>
      <c r="H3983" s="367"/>
      <c r="I3983" s="367"/>
      <c r="J3983" s="422">
        <f>+J3982</f>
        <v>4.04</v>
      </c>
      <c r="K3983" s="88"/>
      <c r="M3983" s="102"/>
      <c r="N3983" s="347" t="str">
        <f>IFERROR(VLOOKUP(M3983,INSUMOS!$C$8:$K$928,2,0),"-----")</f>
        <v>-----</v>
      </c>
      <c r="O3983" s="78" t="str">
        <f>IFERROR(VLOOKUP(M3983,INSUMOS!$C$8:$K$928,3,0),"-----")</f>
        <v>-----</v>
      </c>
      <c r="P3983" s="80"/>
      <c r="Q3983" s="79"/>
      <c r="R3983" s="190" t="str">
        <f>IFERROR(VLOOKUP(M3983,INSUMOS!$C$8:$K$928,4,0),"-----")</f>
        <v>-----</v>
      </c>
      <c r="S3983" s="190" t="str">
        <f>IFERROR(VLOOKUP(M3983,INSUMOS!$C$8:$K$928,6,0),"-----")</f>
        <v>-----</v>
      </c>
      <c r="T3983" s="190" t="str">
        <f>IFERROR(VLOOKUP(M3983,INSUMOS!$C$8:$K$928,5,0),"-----")</f>
        <v>-----</v>
      </c>
      <c r="U3983" s="388">
        <f>SUM(R3983:T3983)</f>
        <v>0</v>
      </c>
      <c r="V3983" s="82">
        <f>+IFERROR((P3983/Q3983)*U3983,0)</f>
        <v>0</v>
      </c>
      <c r="Y3983" s="393">
        <f>+IFERROR((Y3952/Q3983*P3983),0)</f>
        <v>0</v>
      </c>
      <c r="Z3983" s="391">
        <f>Y3952*V3983</f>
        <v>0</v>
      </c>
      <c r="AA3983" s="86"/>
      <c r="AB3983" s="92">
        <f>+U3983*Y3983</f>
        <v>0</v>
      </c>
      <c r="AC3983" s="93">
        <f>+AB3983-Z3983</f>
        <v>0</v>
      </c>
      <c r="AD3983" s="94"/>
      <c r="AE3983" s="410" t="str">
        <f>+IF(V3983=0,"CERO","NO")</f>
        <v>CERO</v>
      </c>
    </row>
    <row r="3984" spans="3:31" s="260" customFormat="1" ht="15.75" thickBot="1" x14ac:dyDescent="0.3">
      <c r="C3984" s="84"/>
      <c r="D3984" s="380"/>
      <c r="E3984" s="381"/>
      <c r="F3984" s="381"/>
      <c r="G3984" s="381"/>
      <c r="H3984" s="381"/>
      <c r="I3984" s="381"/>
      <c r="J3984" s="382"/>
      <c r="K3984" s="88"/>
      <c r="M3984" s="102">
        <v>0</v>
      </c>
      <c r="N3984" s="347"/>
      <c r="O3984" s="79"/>
      <c r="P3984" s="423"/>
      <c r="Q3984" s="81"/>
      <c r="R3984" s="111"/>
      <c r="S3984" s="357"/>
      <c r="T3984" s="111"/>
      <c r="U3984" s="388"/>
      <c r="V3984" s="426"/>
      <c r="Y3984" s="393">
        <f>+IFERROR((Y3952/Q3984*P3984),0)</f>
        <v>0</v>
      </c>
      <c r="Z3984" s="391">
        <f>Y3952*V3984</f>
        <v>0</v>
      </c>
      <c r="AA3984" s="86"/>
      <c r="AB3984" s="92">
        <f>+(U3984)*Y3984*P3984</f>
        <v>0</v>
      </c>
      <c r="AC3984" s="93">
        <f>+AB3984-Z3984</f>
        <v>0</v>
      </c>
      <c r="AD3984" s="94"/>
      <c r="AE3984" s="410" t="str">
        <f>+IF(V3984=0,"CERO","NO")</f>
        <v>CERO</v>
      </c>
    </row>
    <row r="3985" spans="3:31" s="260" customFormat="1" ht="15.75" thickBot="1" x14ac:dyDescent="0.3">
      <c r="C3985" s="84"/>
      <c r="D3985" s="375" t="s">
        <v>128</v>
      </c>
      <c r="E3985" s="376" t="s">
        <v>129</v>
      </c>
      <c r="F3985" s="376" t="s">
        <v>130</v>
      </c>
      <c r="G3985" s="376" t="s">
        <v>131</v>
      </c>
      <c r="H3985" s="376" t="s">
        <v>132</v>
      </c>
      <c r="I3985" s="376" t="s">
        <v>133</v>
      </c>
      <c r="J3985" s="377" t="s">
        <v>134</v>
      </c>
      <c r="K3985" s="88"/>
      <c r="M3985" s="534"/>
      <c r="N3985" s="536" t="s">
        <v>120</v>
      </c>
      <c r="O3985" s="536"/>
      <c r="P3985" s="536"/>
      <c r="Q3985" s="536"/>
      <c r="R3985" s="536"/>
      <c r="S3985" s="536"/>
      <c r="T3985" s="536"/>
      <c r="U3985" s="536"/>
      <c r="V3985" s="82">
        <f>+SUM(V3982:V3984)</f>
        <v>8368.4500000000007</v>
      </c>
      <c r="Y3985" s="398" t="s">
        <v>135</v>
      </c>
      <c r="Z3985" s="397">
        <f>+SUM(Z3982:Z3984)</f>
        <v>720356.17600000009</v>
      </c>
      <c r="AA3985" s="86"/>
      <c r="AB3985" s="384"/>
      <c r="AC3985" s="385"/>
      <c r="AD3985" s="94"/>
      <c r="AE3985" s="399"/>
    </row>
    <row r="3986" spans="3:31" s="260" customFormat="1" ht="15.75" thickBot="1" x14ac:dyDescent="0.3">
      <c r="C3986" s="84"/>
      <c r="D3986" s="354"/>
      <c r="E3986" s="96"/>
      <c r="F3986" s="96"/>
      <c r="G3986" s="107">
        <f>+F3979</f>
        <v>4.04</v>
      </c>
      <c r="H3986" s="96"/>
      <c r="I3986" s="96"/>
      <c r="J3986" s="427"/>
      <c r="K3986" s="88"/>
      <c r="M3986" s="535"/>
      <c r="N3986" s="537" t="s">
        <v>121</v>
      </c>
      <c r="O3986" s="537"/>
      <c r="P3986" s="537"/>
      <c r="Q3986" s="537"/>
      <c r="R3986" s="537"/>
      <c r="S3986" s="537"/>
      <c r="T3986" s="537"/>
      <c r="U3986" s="537"/>
      <c r="V3986" s="413">
        <f>+ROUND(V3985,$AA$5)</f>
        <v>8368.4500000000007</v>
      </c>
      <c r="Y3986" s="401" t="s">
        <v>136</v>
      </c>
      <c r="Z3986" s="402">
        <f>+ROUND(Z3985,$AA$5)</f>
        <v>720356.18</v>
      </c>
      <c r="AA3986" s="86"/>
      <c r="AB3986" s="403">
        <f>+V3986*Y3952</f>
        <v>720356.17600000009</v>
      </c>
      <c r="AC3986" s="404">
        <f>+AB3986-Z3986</f>
        <v>-3.9999999571591616E-3</v>
      </c>
      <c r="AD3986" s="94"/>
      <c r="AE3986" s="405"/>
    </row>
    <row r="3987" spans="3:31" s="260" customFormat="1" ht="15.75" thickBot="1" x14ac:dyDescent="0.3">
      <c r="C3987" s="84"/>
      <c r="D3987" s="375" t="s">
        <v>128</v>
      </c>
      <c r="E3987" s="376" t="s">
        <v>129</v>
      </c>
      <c r="F3987" s="376" t="s">
        <v>130</v>
      </c>
      <c r="G3987" s="376" t="s">
        <v>131</v>
      </c>
      <c r="H3987" s="376" t="s">
        <v>132</v>
      </c>
      <c r="I3987" s="376" t="s">
        <v>133</v>
      </c>
      <c r="J3987" s="377" t="s">
        <v>134</v>
      </c>
      <c r="K3987" s="88"/>
      <c r="M3987" s="541"/>
      <c r="N3987" s="542"/>
      <c r="O3987" s="542"/>
      <c r="P3987" s="542"/>
      <c r="Q3987" s="542"/>
      <c r="R3987" s="542"/>
      <c r="S3987" s="542"/>
      <c r="T3987" s="542"/>
      <c r="U3987" s="542"/>
      <c r="V3987" s="543"/>
      <c r="Y3987" s="378"/>
      <c r="Z3987" s="121"/>
      <c r="AA3987" s="86"/>
      <c r="AB3987" s="409"/>
      <c r="AC3987" s="121"/>
      <c r="AD3987" s="94"/>
      <c r="AE3987" s="428"/>
    </row>
    <row r="3988" spans="3:31" s="260" customFormat="1" ht="15.75" thickBot="1" x14ac:dyDescent="0.3">
      <c r="C3988" s="84"/>
      <c r="D3988" s="355"/>
      <c r="E3988" s="367"/>
      <c r="F3988" s="367"/>
      <c r="G3988" s="367"/>
      <c r="H3988" s="412">
        <f>G3986</f>
        <v>4.04</v>
      </c>
      <c r="I3988" s="412"/>
      <c r="J3988" s="422"/>
      <c r="K3988" s="88"/>
      <c r="M3988" s="544" t="s">
        <v>122</v>
      </c>
      <c r="N3988" s="537"/>
      <c r="O3988" s="537"/>
      <c r="P3988" s="537"/>
      <c r="Q3988" s="537"/>
      <c r="R3988" s="537"/>
      <c r="S3988" s="537"/>
      <c r="T3988" s="537"/>
      <c r="U3988" s="545">
        <f>+V3986+V3979+V3971+V3962</f>
        <v>36604.339999999997</v>
      </c>
      <c r="V3988" s="546"/>
      <c r="Y3988" s="429"/>
      <c r="Z3988" s="430">
        <f>+Z3986+Z3979+Z3971+Z3962</f>
        <v>3150901.85</v>
      </c>
      <c r="AA3988" s="86"/>
      <c r="AB3988" s="431">
        <f>+AB3986+AB3979+AB3971+AB3962</f>
        <v>3150901.5872</v>
      </c>
      <c r="AC3988" s="404">
        <f>+AB3988-Z3988</f>
        <v>-0.26280000014230609</v>
      </c>
      <c r="AD3988" s="94"/>
      <c r="AE3988" s="432"/>
    </row>
    <row r="3989" spans="3:31" s="260" customFormat="1" ht="15.75" thickBot="1" x14ac:dyDescent="0.3"/>
    <row r="3990" spans="3:31" s="260" customFormat="1" x14ac:dyDescent="0.25">
      <c r="M3990" s="547" t="s">
        <v>348</v>
      </c>
      <c r="N3990" s="548"/>
      <c r="O3990" s="548"/>
      <c r="P3990" s="548"/>
      <c r="Q3990" s="548"/>
      <c r="R3990" s="548"/>
      <c r="S3990" s="548"/>
      <c r="T3990" s="548"/>
      <c r="U3990" s="548"/>
      <c r="V3990" s="549"/>
      <c r="Y3990" s="378"/>
      <c r="Z3990" s="121"/>
      <c r="AA3990" s="86"/>
      <c r="AB3990" s="94"/>
      <c r="AC3990" s="94"/>
      <c r="AD3990" s="94"/>
      <c r="AE3990" s="126" t="s">
        <v>133</v>
      </c>
    </row>
    <row r="3991" spans="3:31" s="260" customFormat="1" x14ac:dyDescent="0.25">
      <c r="M3991" s="515" t="s">
        <v>138</v>
      </c>
      <c r="N3991" s="516"/>
      <c r="O3991" s="516"/>
      <c r="P3991" s="516"/>
      <c r="Q3991" s="516"/>
      <c r="R3991" s="516"/>
      <c r="S3991" s="516"/>
      <c r="T3991" s="437">
        <v>0</v>
      </c>
      <c r="U3991" s="517">
        <f>+ROUND(U3988*T3991,$AA$5)</f>
        <v>0</v>
      </c>
      <c r="V3991" s="518"/>
      <c r="Y3991" s="390"/>
      <c r="Z3991" s="438">
        <f>+Z3988*T3991</f>
        <v>0</v>
      </c>
      <c r="AA3991" s="86"/>
      <c r="AB3991" s="94"/>
      <c r="AC3991" s="94"/>
      <c r="AD3991" s="94"/>
      <c r="AE3991" s="386" t="s">
        <v>133</v>
      </c>
    </row>
    <row r="3992" spans="3:31" s="260" customFormat="1" x14ac:dyDescent="0.25">
      <c r="M3992" s="515" t="s">
        <v>19</v>
      </c>
      <c r="N3992" s="516"/>
      <c r="O3992" s="516"/>
      <c r="P3992" s="516"/>
      <c r="Q3992" s="516"/>
      <c r="R3992" s="516"/>
      <c r="S3992" s="516"/>
      <c r="T3992" s="437">
        <v>0.05</v>
      </c>
      <c r="U3992" s="517">
        <f>+ROUND(U3988*T3992,$AA$5)</f>
        <v>1830.22</v>
      </c>
      <c r="V3992" s="518"/>
      <c r="Y3992" s="390"/>
      <c r="Z3992" s="438">
        <f>+Z3988*T3992</f>
        <v>157545.09250000003</v>
      </c>
      <c r="AA3992" s="86"/>
      <c r="AB3992" s="94"/>
      <c r="AC3992" s="94"/>
      <c r="AD3992" s="94"/>
      <c r="AE3992" s="386" t="s">
        <v>133</v>
      </c>
    </row>
    <row r="3993" spans="3:31" s="260" customFormat="1" x14ac:dyDescent="0.25">
      <c r="M3993" s="515" t="s">
        <v>20</v>
      </c>
      <c r="N3993" s="516"/>
      <c r="O3993" s="516"/>
      <c r="P3993" s="516"/>
      <c r="Q3993" s="516"/>
      <c r="R3993" s="516"/>
      <c r="S3993" s="516"/>
      <c r="T3993" s="437">
        <v>0</v>
      </c>
      <c r="U3993" s="517">
        <f>+ROUND(U3988*T3993,$AA$5)</f>
        <v>0</v>
      </c>
      <c r="V3993" s="518"/>
      <c r="Y3993" s="390"/>
      <c r="Z3993" s="438">
        <f>+Z3988*T3993</f>
        <v>0</v>
      </c>
      <c r="AA3993" s="86"/>
      <c r="AB3993" s="94"/>
      <c r="AC3993" s="94"/>
      <c r="AD3993" s="94"/>
      <c r="AE3993" s="386" t="s">
        <v>133</v>
      </c>
    </row>
    <row r="3994" spans="3:31" s="260" customFormat="1" x14ac:dyDescent="0.25">
      <c r="M3994" s="515" t="s">
        <v>21</v>
      </c>
      <c r="N3994" s="516"/>
      <c r="O3994" s="516"/>
      <c r="P3994" s="516"/>
      <c r="Q3994" s="516"/>
      <c r="R3994" s="516"/>
      <c r="S3994" s="516"/>
      <c r="T3994" s="437">
        <f>$AA$9</f>
        <v>0</v>
      </c>
      <c r="U3994" s="517">
        <f>+ROUND(U3988*T3994,$AA$5)</f>
        <v>0</v>
      </c>
      <c r="V3994" s="518"/>
      <c r="Y3994" s="390"/>
      <c r="Z3994" s="438">
        <f>+Z3993*T3994</f>
        <v>0</v>
      </c>
      <c r="AA3994" s="86"/>
      <c r="AB3994" s="94"/>
      <c r="AC3994" s="94"/>
      <c r="AD3994" s="94"/>
      <c r="AE3994" s="386" t="s">
        <v>133</v>
      </c>
    </row>
    <row r="3995" spans="3:31" s="260" customFormat="1" ht="15.75" thickBot="1" x14ac:dyDescent="0.3">
      <c r="M3995" s="519" t="s">
        <v>349</v>
      </c>
      <c r="N3995" s="520"/>
      <c r="O3995" s="520"/>
      <c r="P3995" s="520"/>
      <c r="Q3995" s="520"/>
      <c r="R3995" s="520"/>
      <c r="S3995" s="520"/>
      <c r="T3995" s="520"/>
      <c r="U3995" s="521">
        <f>+SUM(U3991:V3994)</f>
        <v>1830.22</v>
      </c>
      <c r="V3995" s="522"/>
      <c r="Y3995" s="390"/>
      <c r="Z3995" s="439">
        <f>+SUM(Z3991:Z3994)</f>
        <v>157545.09250000003</v>
      </c>
      <c r="AA3995" s="86"/>
      <c r="AB3995" s="94"/>
      <c r="AC3995" s="94"/>
      <c r="AD3995" s="94"/>
      <c r="AE3995" s="386" t="s">
        <v>133</v>
      </c>
    </row>
    <row r="3996" spans="3:31" s="260" customFormat="1" ht="15.75" thickBot="1" x14ac:dyDescent="0.3">
      <c r="D3996" s="375" t="s">
        <v>128</v>
      </c>
      <c r="E3996" s="376" t="s">
        <v>129</v>
      </c>
      <c r="F3996" s="376" t="s">
        <v>130</v>
      </c>
      <c r="G3996" s="376" t="s">
        <v>131</v>
      </c>
      <c r="H3996" s="376" t="s">
        <v>132</v>
      </c>
      <c r="I3996" s="376" t="s">
        <v>133</v>
      </c>
      <c r="J3996" s="377" t="s">
        <v>134</v>
      </c>
      <c r="M3996" s="86"/>
      <c r="N3996" s="94"/>
      <c r="O3996" s="94"/>
      <c r="P3996" s="94"/>
      <c r="Q3996" s="86"/>
      <c r="R3996" s="86"/>
      <c r="S3996" s="86"/>
      <c r="T3996" s="440"/>
      <c r="U3996" s="523"/>
      <c r="V3996" s="523"/>
      <c r="Y3996" s="390"/>
      <c r="Z3996" s="385"/>
      <c r="AA3996" s="86"/>
      <c r="AB3996" s="94"/>
      <c r="AC3996" s="94"/>
      <c r="AD3996" s="94"/>
      <c r="AE3996" s="386" t="s">
        <v>133</v>
      </c>
    </row>
    <row r="3997" spans="3:31" s="260" customFormat="1" ht="15.75" thickBot="1" x14ac:dyDescent="0.3">
      <c r="D3997" s="355"/>
      <c r="E3997" s="367"/>
      <c r="F3997" s="367"/>
      <c r="G3997" s="367"/>
      <c r="H3997" s="412"/>
      <c r="I3997" s="412">
        <f>H3988</f>
        <v>4.04</v>
      </c>
      <c r="J3997" s="422"/>
      <c r="M3997" s="524" t="s">
        <v>11</v>
      </c>
      <c r="N3997" s="525"/>
      <c r="O3997" s="525"/>
      <c r="P3997" s="525"/>
      <c r="Q3997" s="525"/>
      <c r="R3997" s="525"/>
      <c r="S3997" s="525"/>
      <c r="T3997" s="526"/>
      <c r="U3997" s="527">
        <f>+U3995+U3988</f>
        <v>38434.559999999998</v>
      </c>
      <c r="V3997" s="528"/>
      <c r="Y3997" s="429"/>
      <c r="Z3997" s="441">
        <f>+Z3995+Z3988</f>
        <v>3308446.9424999999</v>
      </c>
      <c r="AA3997" s="86"/>
      <c r="AB3997" s="94"/>
      <c r="AC3997" s="94"/>
      <c r="AD3997" s="94"/>
      <c r="AE3997" s="405" t="s">
        <v>133</v>
      </c>
    </row>
    <row r="3998" spans="3:31" s="260" customFormat="1" x14ac:dyDescent="0.25"/>
    <row r="3999" spans="3:31" s="260" customFormat="1" ht="15.75" thickBot="1" x14ac:dyDescent="0.3"/>
    <row r="4000" spans="3:31" s="260" customFormat="1" ht="15.75" thickBot="1" x14ac:dyDescent="0.3">
      <c r="M4000" s="363" t="s">
        <v>88</v>
      </c>
      <c r="N4000" s="436" t="str">
        <f>+N3951</f>
        <v>CAP.4</v>
      </c>
      <c r="O4000" s="550" t="str">
        <f>IFERROR(VLOOKUP(N4000,PPTO!C:H,2,0),"----")</f>
        <v>RED SANITARIA</v>
      </c>
      <c r="P4000" s="551"/>
      <c r="Q4000" s="551"/>
      <c r="R4000" s="551"/>
      <c r="S4000" s="551"/>
      <c r="T4000" s="551"/>
      <c r="U4000" s="552"/>
      <c r="V4000" s="74" t="s">
        <v>91</v>
      </c>
      <c r="Y4000" s="365" t="s">
        <v>104</v>
      </c>
      <c r="Z4000" s="94"/>
      <c r="AA4000" s="188"/>
      <c r="AB4000" s="553"/>
      <c r="AC4000" s="553"/>
      <c r="AD4000" s="553"/>
      <c r="AE4000" s="94"/>
    </row>
    <row r="4001" spans="3:31" s="260" customFormat="1" ht="15.75" thickBot="1" x14ac:dyDescent="0.3">
      <c r="C4001" s="369">
        <f>+N4001</f>
        <v>4.05</v>
      </c>
      <c r="D4001" s="86"/>
      <c r="E4001" s="86"/>
      <c r="F4001" s="86"/>
      <c r="G4001" s="86"/>
      <c r="H4001" s="86"/>
      <c r="I4001" s="86"/>
      <c r="J4001" s="86"/>
      <c r="K4001" s="370"/>
      <c r="M4001" s="75" t="s">
        <v>92</v>
      </c>
      <c r="N4001" s="371">
        <f>+ROUNDUP(N3952+0.01,2)</f>
        <v>4.05</v>
      </c>
      <c r="O4001" s="554" t="str">
        <f>IFERROR(VLOOKUP(N4001,PPTO!C:H,2,0),"----")</f>
        <v>Codo 45° Sanitario PVC Ø4"</v>
      </c>
      <c r="P4001" s="555"/>
      <c r="Q4001" s="555"/>
      <c r="R4001" s="555"/>
      <c r="S4001" s="555"/>
      <c r="T4001" s="555"/>
      <c r="U4001" s="556"/>
      <c r="V4001" s="76" t="str">
        <f>IFERROR(VLOOKUP(N4001,PPTO!C:H,3,0),"----")</f>
        <v>UND</v>
      </c>
      <c r="Y4001" s="373">
        <f>SUMIFS(PPTO!F:F,PPTO!C:C,APUS!N4001)</f>
        <v>9</v>
      </c>
      <c r="Z4001" s="94"/>
      <c r="AA4001" s="86"/>
      <c r="AB4001" s="94"/>
      <c r="AC4001" s="94"/>
      <c r="AD4001" s="94"/>
      <c r="AE4001" s="94"/>
    </row>
    <row r="4002" spans="3:31" s="260" customFormat="1" ht="15.75" thickBot="1" x14ac:dyDescent="0.3">
      <c r="C4002" s="84"/>
      <c r="D4002" s="86"/>
      <c r="E4002" s="86"/>
      <c r="F4002" s="86"/>
      <c r="G4002" s="86"/>
      <c r="H4002" s="86"/>
      <c r="I4002" s="86"/>
      <c r="J4002" s="86"/>
      <c r="K4002" s="88"/>
      <c r="M4002" s="557"/>
      <c r="N4002" s="557"/>
      <c r="O4002" s="557"/>
      <c r="P4002" s="557"/>
      <c r="Q4002" s="557"/>
      <c r="R4002" s="557"/>
      <c r="S4002" s="557"/>
      <c r="T4002" s="557"/>
      <c r="U4002" s="557"/>
      <c r="V4002" s="557"/>
      <c r="Y4002" s="374"/>
      <c r="Z4002" s="94"/>
      <c r="AA4002" s="86"/>
      <c r="AB4002" s="94"/>
      <c r="AC4002" s="94"/>
      <c r="AD4002" s="94"/>
      <c r="AE4002" s="94"/>
    </row>
    <row r="4003" spans="3:31" s="260" customFormat="1" ht="15.75" thickBot="1" x14ac:dyDescent="0.3">
      <c r="C4003" s="84"/>
      <c r="D4003" s="375" t="s">
        <v>128</v>
      </c>
      <c r="E4003" s="376" t="s">
        <v>129</v>
      </c>
      <c r="F4003" s="376" t="s">
        <v>130</v>
      </c>
      <c r="G4003" s="376" t="s">
        <v>131</v>
      </c>
      <c r="H4003" s="376" t="s">
        <v>132</v>
      </c>
      <c r="I4003" s="376" t="s">
        <v>133</v>
      </c>
      <c r="J4003" s="377" t="s">
        <v>134</v>
      </c>
      <c r="K4003" s="88"/>
      <c r="M4003" s="558" t="s">
        <v>93</v>
      </c>
      <c r="N4003" s="559"/>
      <c r="O4003" s="559"/>
      <c r="P4003" s="559"/>
      <c r="Q4003" s="559"/>
      <c r="R4003" s="559"/>
      <c r="S4003" s="559"/>
      <c r="T4003" s="559"/>
      <c r="U4003" s="559"/>
      <c r="V4003" s="560"/>
      <c r="Y4003" s="378"/>
      <c r="Z4003" s="121"/>
      <c r="AA4003" s="86"/>
      <c r="AB4003" s="513"/>
      <c r="AC4003" s="514"/>
      <c r="AD4003" s="94"/>
      <c r="AE4003" s="379"/>
    </row>
    <row r="4004" spans="3:31" s="260" customFormat="1" x14ac:dyDescent="0.25">
      <c r="C4004" s="84"/>
      <c r="D4004" s="380"/>
      <c r="E4004" s="381"/>
      <c r="F4004" s="381"/>
      <c r="G4004" s="381"/>
      <c r="H4004" s="381"/>
      <c r="I4004" s="381"/>
      <c r="J4004" s="382"/>
      <c r="K4004" s="88"/>
      <c r="M4004" s="99" t="s">
        <v>94</v>
      </c>
      <c r="N4004" s="561" t="s">
        <v>95</v>
      </c>
      <c r="O4004" s="561"/>
      <c r="P4004" s="561"/>
      <c r="Q4004" s="561"/>
      <c r="R4004" s="95" t="s">
        <v>96</v>
      </c>
      <c r="S4004" s="95" t="s">
        <v>97</v>
      </c>
      <c r="T4004" s="562" t="s">
        <v>8</v>
      </c>
      <c r="U4004" s="562"/>
      <c r="V4004" s="100" t="s">
        <v>98</v>
      </c>
      <c r="Y4004" s="383" t="s">
        <v>104</v>
      </c>
      <c r="Z4004" s="119" t="s">
        <v>9</v>
      </c>
      <c r="AA4004" s="86"/>
      <c r="AB4004" s="384"/>
      <c r="AC4004" s="385"/>
      <c r="AD4004" s="94"/>
      <c r="AE4004" s="386"/>
    </row>
    <row r="4005" spans="3:31" s="260" customFormat="1" x14ac:dyDescent="0.25">
      <c r="C4005" s="84"/>
      <c r="D4005" s="85"/>
      <c r="E4005" s="86"/>
      <c r="F4005" s="86"/>
      <c r="G4005" s="86"/>
      <c r="H4005" s="86"/>
      <c r="I4005" s="86"/>
      <c r="J4005" s="87"/>
      <c r="K4005" s="88"/>
      <c r="M4005" s="102"/>
      <c r="N4005" s="533" t="s">
        <v>99</v>
      </c>
      <c r="O4005" s="533"/>
      <c r="P4005" s="533"/>
      <c r="Q4005" s="533"/>
      <c r="R4005" s="78" t="s">
        <v>100</v>
      </c>
      <c r="S4005" s="387">
        <f>+$AA$10</f>
        <v>0.05</v>
      </c>
      <c r="T4005" s="563">
        <f>V4035</f>
        <v>4184.2299999999996</v>
      </c>
      <c r="U4005" s="563"/>
      <c r="V4005" s="389">
        <f>+IFERROR(T4005*S4005,0)</f>
        <v>209.2115</v>
      </c>
      <c r="Y4005" s="390"/>
      <c r="Z4005" s="391">
        <f>Y4001*V4005</f>
        <v>1882.9034999999999</v>
      </c>
      <c r="AA4005" s="86"/>
      <c r="AB4005" s="384"/>
      <c r="AC4005" s="385"/>
      <c r="AD4005" s="94"/>
      <c r="AE4005" s="386" t="str">
        <f>+IF(V4005=0,"CERO","NO")</f>
        <v>NO</v>
      </c>
    </row>
    <row r="4006" spans="3:31" s="260" customFormat="1" x14ac:dyDescent="0.25">
      <c r="C4006" s="84"/>
      <c r="D4006" s="85"/>
      <c r="E4006" s="86"/>
      <c r="F4006" s="86"/>
      <c r="G4006" s="86"/>
      <c r="H4006" s="86"/>
      <c r="I4006" s="86"/>
      <c r="J4006" s="87"/>
      <c r="K4006" s="88"/>
      <c r="M4006" s="106"/>
      <c r="N4006" s="533" t="str">
        <f>IFERROR(VLOOKUP(M4006,INSUMOS!$C$8:$K$928,2,0),"-----")</f>
        <v>-----</v>
      </c>
      <c r="O4006" s="533"/>
      <c r="P4006" s="533"/>
      <c r="Q4006" s="533"/>
      <c r="R4006" s="78" t="str">
        <f>IFERROR(VLOOKUP(M4006,INSUMOS!$C$8:$K$928,6,0),"-----")</f>
        <v>-----</v>
      </c>
      <c r="S4006" s="392"/>
      <c r="T4006" s="529" t="str">
        <f>IFERROR(VLOOKUP(M4006,INSUMOS!$C$8:$K$928,7,0),"0")</f>
        <v>0</v>
      </c>
      <c r="U4006" s="529"/>
      <c r="V4006" s="389">
        <f>+IFERROR(T4006*S4006,0)</f>
        <v>0</v>
      </c>
      <c r="Y4006" s="393">
        <f>+IFERROR(Y4001*S4006,0)</f>
        <v>0</v>
      </c>
      <c r="Z4006" s="391">
        <f>Y4001*V4006</f>
        <v>0</v>
      </c>
      <c r="AA4006" s="394"/>
      <c r="AB4006" s="395">
        <f>+Y4006*T4006</f>
        <v>0</v>
      </c>
      <c r="AC4006" s="93">
        <f>+AB4006-Z4006</f>
        <v>0</v>
      </c>
      <c r="AD4006" s="94"/>
      <c r="AE4006" s="386" t="str">
        <f>+IF(V4006=0,"CERO","NO")</f>
        <v>CERO</v>
      </c>
    </row>
    <row r="4007" spans="3:31" s="260" customFormat="1" x14ac:dyDescent="0.25">
      <c r="C4007" s="84"/>
      <c r="D4007" s="85"/>
      <c r="E4007" s="86"/>
      <c r="F4007" s="86"/>
      <c r="G4007" s="86"/>
      <c r="H4007" s="86"/>
      <c r="I4007" s="86"/>
      <c r="J4007" s="87"/>
      <c r="K4007" s="88"/>
      <c r="M4007" s="102">
        <v>0</v>
      </c>
      <c r="N4007" s="533"/>
      <c r="O4007" s="533"/>
      <c r="P4007" s="533"/>
      <c r="Q4007" s="533"/>
      <c r="R4007" s="78"/>
      <c r="S4007" s="396"/>
      <c r="T4007" s="529"/>
      <c r="U4007" s="529"/>
      <c r="V4007" s="397"/>
      <c r="Y4007" s="393">
        <f>+IFERROR(Y4001*S4007,0)</f>
        <v>0</v>
      </c>
      <c r="Z4007" s="391">
        <f>Y4001*V4007</f>
        <v>0</v>
      </c>
      <c r="AA4007" s="394"/>
      <c r="AB4007" s="395">
        <f>+Y4007*T4007</f>
        <v>0</v>
      </c>
      <c r="AC4007" s="93">
        <f>+AB4007-Z4007</f>
        <v>0</v>
      </c>
      <c r="AD4007" s="94"/>
      <c r="AE4007" s="386" t="str">
        <f>+IF(V4007=0,"CERO","NO")</f>
        <v>CERO</v>
      </c>
    </row>
    <row r="4008" spans="3:31" s="260" customFormat="1" x14ac:dyDescent="0.25">
      <c r="C4008" s="84"/>
      <c r="D4008" s="85"/>
      <c r="E4008" s="86"/>
      <c r="F4008" s="86"/>
      <c r="G4008" s="86"/>
      <c r="H4008" s="86"/>
      <c r="I4008" s="86"/>
      <c r="J4008" s="87"/>
      <c r="K4008" s="88"/>
      <c r="M4008" s="102">
        <v>0</v>
      </c>
      <c r="N4008" s="533"/>
      <c r="O4008" s="533"/>
      <c r="P4008" s="533"/>
      <c r="Q4008" s="533"/>
      <c r="R4008" s="78"/>
      <c r="S4008" s="396"/>
      <c r="T4008" s="529"/>
      <c r="U4008" s="529"/>
      <c r="V4008" s="397"/>
      <c r="Y4008" s="393">
        <f>+IFERROR(Y4001*S4008,0)</f>
        <v>0</v>
      </c>
      <c r="Z4008" s="391">
        <f>Y4001*V4008</f>
        <v>0</v>
      </c>
      <c r="AA4008" s="394"/>
      <c r="AB4008" s="395">
        <f>+Y4008*T4008</f>
        <v>0</v>
      </c>
      <c r="AC4008" s="93">
        <f>+AB4008-Z4008</f>
        <v>0</v>
      </c>
      <c r="AD4008" s="94"/>
      <c r="AE4008" s="386" t="str">
        <f>+IF(V4008=0,"CERO","NO")</f>
        <v>CERO</v>
      </c>
    </row>
    <row r="4009" spans="3:31" s="260" customFormat="1" ht="15.75" thickBot="1" x14ac:dyDescent="0.3">
      <c r="C4009" s="84"/>
      <c r="D4009" s="85"/>
      <c r="E4009" s="86"/>
      <c r="F4009" s="86"/>
      <c r="G4009" s="86"/>
      <c r="H4009" s="86"/>
      <c r="I4009" s="86"/>
      <c r="J4009" s="87"/>
      <c r="K4009" s="88"/>
      <c r="M4009" s="102">
        <v>0</v>
      </c>
      <c r="N4009" s="564"/>
      <c r="O4009" s="564"/>
      <c r="P4009" s="564"/>
      <c r="Q4009" s="564"/>
      <c r="R4009" s="96"/>
      <c r="S4009" s="96"/>
      <c r="T4009" s="565"/>
      <c r="U4009" s="565"/>
      <c r="V4009" s="101"/>
      <c r="Y4009" s="393">
        <f>+IFERROR(Y4001*S4009,0)</f>
        <v>0</v>
      </c>
      <c r="Z4009" s="391">
        <f>Y4001*V4009</f>
        <v>0</v>
      </c>
      <c r="AA4009" s="394"/>
      <c r="AB4009" s="395">
        <f>+Y4009*T4009</f>
        <v>0</v>
      </c>
      <c r="AC4009" s="93">
        <f>+AB4009-Z4009</f>
        <v>0</v>
      </c>
      <c r="AD4009" s="94"/>
      <c r="AE4009" s="386" t="str">
        <f>+IF(V4009=0,"CERO","NO")</f>
        <v>CERO</v>
      </c>
    </row>
    <row r="4010" spans="3:31" s="260" customFormat="1" ht="15.75" thickBot="1" x14ac:dyDescent="0.3">
      <c r="C4010" s="84"/>
      <c r="D4010" s="375" t="s">
        <v>128</v>
      </c>
      <c r="E4010" s="376" t="s">
        <v>129</v>
      </c>
      <c r="F4010" s="376" t="s">
        <v>130</v>
      </c>
      <c r="G4010" s="376" t="s">
        <v>131</v>
      </c>
      <c r="H4010" s="376" t="s">
        <v>132</v>
      </c>
      <c r="I4010" s="376" t="s">
        <v>133</v>
      </c>
      <c r="J4010" s="377" t="s">
        <v>134</v>
      </c>
      <c r="K4010" s="88"/>
      <c r="M4010" s="534"/>
      <c r="N4010" s="536" t="s">
        <v>101</v>
      </c>
      <c r="O4010" s="536"/>
      <c r="P4010" s="536"/>
      <c r="Q4010" s="536"/>
      <c r="R4010" s="536"/>
      <c r="S4010" s="536"/>
      <c r="T4010" s="536"/>
      <c r="U4010" s="536"/>
      <c r="V4010" s="389">
        <f>+SUM(V4005:V4009)</f>
        <v>209.2115</v>
      </c>
      <c r="Y4010" s="398" t="s">
        <v>135</v>
      </c>
      <c r="Z4010" s="397">
        <f>+SUM(Z4005:Z4009)</f>
        <v>1882.9034999999999</v>
      </c>
      <c r="AA4010" s="86"/>
      <c r="AB4010" s="384"/>
      <c r="AC4010" s="385"/>
      <c r="AD4010" s="94"/>
      <c r="AE4010" s="399"/>
    </row>
    <row r="4011" spans="3:31" s="260" customFormat="1" ht="15.75" thickBot="1" x14ac:dyDescent="0.3">
      <c r="C4011" s="84"/>
      <c r="D4011" s="375">
        <f>C4001</f>
        <v>4.05</v>
      </c>
      <c r="E4011" s="376"/>
      <c r="F4011" s="376"/>
      <c r="G4011" s="376"/>
      <c r="H4011" s="376"/>
      <c r="I4011" s="376"/>
      <c r="J4011" s="377"/>
      <c r="K4011" s="88"/>
      <c r="M4011" s="566"/>
      <c r="N4011" s="567" t="s">
        <v>102</v>
      </c>
      <c r="O4011" s="567"/>
      <c r="P4011" s="567"/>
      <c r="Q4011" s="567"/>
      <c r="R4011" s="567"/>
      <c r="S4011" s="567"/>
      <c r="T4011" s="567"/>
      <c r="U4011" s="567"/>
      <c r="V4011" s="400">
        <f>+ROUND(V4010,$AA$5)</f>
        <v>209.21</v>
      </c>
      <c r="Y4011" s="401" t="s">
        <v>136</v>
      </c>
      <c r="Z4011" s="402">
        <f>+ROUND(Z4010,$AA$5)</f>
        <v>1882.9</v>
      </c>
      <c r="AA4011" s="86"/>
      <c r="AB4011" s="403">
        <f>+V4011*Y4001</f>
        <v>1882.89</v>
      </c>
      <c r="AC4011" s="404">
        <f>+AB4011-Z4011</f>
        <v>-9.9999999999909051E-3</v>
      </c>
      <c r="AD4011" s="94"/>
      <c r="AE4011" s="405"/>
    </row>
    <row r="4012" spans="3:31" s="260" customFormat="1" x14ac:dyDescent="0.25">
      <c r="C4012" s="84"/>
      <c r="D4012" s="380"/>
      <c r="E4012" s="381"/>
      <c r="F4012" s="381"/>
      <c r="G4012" s="381"/>
      <c r="H4012" s="381"/>
      <c r="I4012" s="381"/>
      <c r="J4012" s="382"/>
      <c r="K4012" s="88"/>
      <c r="M4012" s="510" t="s">
        <v>103</v>
      </c>
      <c r="N4012" s="511"/>
      <c r="O4012" s="511"/>
      <c r="P4012" s="511"/>
      <c r="Q4012" s="511"/>
      <c r="R4012" s="511"/>
      <c r="S4012" s="511"/>
      <c r="T4012" s="511"/>
      <c r="U4012" s="511"/>
      <c r="V4012" s="512"/>
      <c r="Y4012" s="378"/>
      <c r="Z4012" s="121"/>
      <c r="AA4012" s="86"/>
      <c r="AB4012" s="513"/>
      <c r="AC4012" s="514"/>
      <c r="AD4012" s="94"/>
      <c r="AE4012" s="126"/>
    </row>
    <row r="4013" spans="3:31" s="260" customFormat="1" x14ac:dyDescent="0.25">
      <c r="C4013" s="84"/>
      <c r="D4013" s="85"/>
      <c r="E4013" s="86"/>
      <c r="F4013" s="86"/>
      <c r="G4013" s="86"/>
      <c r="H4013" s="86"/>
      <c r="I4013" s="86"/>
      <c r="J4013" s="87"/>
      <c r="K4013" s="88"/>
      <c r="M4013" s="99" t="s">
        <v>94</v>
      </c>
      <c r="N4013" s="561" t="s">
        <v>95</v>
      </c>
      <c r="O4013" s="561"/>
      <c r="P4013" s="561"/>
      <c r="Q4013" s="561"/>
      <c r="R4013" s="95" t="s">
        <v>96</v>
      </c>
      <c r="S4013" s="95" t="s">
        <v>104</v>
      </c>
      <c r="T4013" s="356" t="s">
        <v>105</v>
      </c>
      <c r="U4013" s="356" t="s">
        <v>8</v>
      </c>
      <c r="V4013" s="100" t="s">
        <v>98</v>
      </c>
      <c r="Y4013" s="383" t="s">
        <v>104</v>
      </c>
      <c r="Z4013" s="119" t="s">
        <v>9</v>
      </c>
      <c r="AA4013" s="86"/>
      <c r="AB4013" s="384"/>
      <c r="AC4013" s="385"/>
      <c r="AD4013" s="94"/>
      <c r="AE4013" s="406"/>
    </row>
    <row r="4014" spans="3:31" s="260" customFormat="1" x14ac:dyDescent="0.25">
      <c r="C4014" s="84"/>
      <c r="D4014" s="85"/>
      <c r="E4014" s="86"/>
      <c r="F4014" s="86"/>
      <c r="G4014" s="86"/>
      <c r="H4014" s="86"/>
      <c r="I4014" s="86"/>
      <c r="J4014" s="87"/>
      <c r="K4014" s="88"/>
      <c r="M4014" s="102">
        <v>537</v>
      </c>
      <c r="N4014" s="533" t="str">
        <f>IFERROR(VLOOKUP(M4014,INSUMOS!$C$8:$K$928,2,0),"-----")</f>
        <v>CODO 4" 45° SANITARIO</v>
      </c>
      <c r="O4014" s="533"/>
      <c r="P4014" s="533"/>
      <c r="Q4014" s="533"/>
      <c r="R4014" s="78" t="str">
        <f>IFERROR(VLOOKUP(M4014,INSUMOS!$C$8:$K$928,6,0),"-----")</f>
        <v>und</v>
      </c>
      <c r="S4014" s="396">
        <v>1</v>
      </c>
      <c r="T4014" s="387">
        <v>0</v>
      </c>
      <c r="U4014" s="388">
        <f>IFERROR(VLOOKUP(M4014,INSUMOS!$C$8:$K$928,7,0),"0")</f>
        <v>20092</v>
      </c>
      <c r="V4014" s="389">
        <f>+IFERROR(U4014*(S4014*(1+T4014)),0)</f>
        <v>20092</v>
      </c>
      <c r="Y4014" s="393">
        <f>+IFERROR(Y4001*(S4014*(1+T4014)),0)</f>
        <v>9</v>
      </c>
      <c r="Z4014" s="391">
        <f>Y4001*V4014</f>
        <v>180828</v>
      </c>
      <c r="AA4014" s="394"/>
      <c r="AB4014" s="395">
        <f>+Y4014*U4014</f>
        <v>180828</v>
      </c>
      <c r="AC4014" s="93">
        <f>+AB4014-Z4014</f>
        <v>0</v>
      </c>
      <c r="AD4014" s="94"/>
      <c r="AE4014" s="406" t="str">
        <f>+IF(V4014=0,"CERO","NO")</f>
        <v>NO</v>
      </c>
    </row>
    <row r="4015" spans="3:31" s="260" customFormat="1" x14ac:dyDescent="0.25">
      <c r="C4015" s="84"/>
      <c r="D4015" s="85"/>
      <c r="E4015" s="86"/>
      <c r="F4015" s="86"/>
      <c r="G4015" s="86"/>
      <c r="H4015" s="86"/>
      <c r="I4015" s="86"/>
      <c r="J4015" s="87"/>
      <c r="K4015" s="88"/>
      <c r="M4015" s="102">
        <v>699</v>
      </c>
      <c r="N4015" s="533" t="str">
        <f>IFERROR(VLOOKUP(M4015,INSUMOS!$C$8:$K$928,2,0),"-----")</f>
        <v>SOLDADURA PVC LIQUIDA 1/4"</v>
      </c>
      <c r="O4015" s="533"/>
      <c r="P4015" s="533"/>
      <c r="Q4015" s="533"/>
      <c r="R4015" s="78" t="str">
        <f>IFERROR(VLOOKUP(M4015,INSUMOS!$C$8:$K$928,6,0),"-----")</f>
        <v>und</v>
      </c>
      <c r="S4015" s="396">
        <v>0.01</v>
      </c>
      <c r="T4015" s="387">
        <v>0.02</v>
      </c>
      <c r="U4015" s="388">
        <f>IFERROR(VLOOKUP(M4015,INSUMOS!$C$8:$K$928,7,0),"0")</f>
        <v>146569</v>
      </c>
      <c r="V4015" s="389">
        <f>+IFERROR(U4015*(S4015*(1+T4015)),0)</f>
        <v>1495.0038000000002</v>
      </c>
      <c r="Y4015" s="393">
        <f>+IFERROR(Y4001*(S4015*(1+T4015)),0)</f>
        <v>9.1800000000000007E-2</v>
      </c>
      <c r="Z4015" s="391">
        <f>Y4001*V4015</f>
        <v>13455.034200000002</v>
      </c>
      <c r="AA4015" s="394"/>
      <c r="AB4015" s="395">
        <f>+Y4015*U4015</f>
        <v>13455.034200000002</v>
      </c>
      <c r="AC4015" s="93">
        <f>+AB4015-Z4015</f>
        <v>0</v>
      </c>
      <c r="AD4015" s="94"/>
      <c r="AE4015" s="406" t="str">
        <f>+IF(V4015=0,"CERO","NO")</f>
        <v>NO</v>
      </c>
    </row>
    <row r="4016" spans="3:31" s="260" customFormat="1" x14ac:dyDescent="0.25">
      <c r="C4016" s="84"/>
      <c r="D4016" s="85"/>
      <c r="E4016" s="86"/>
      <c r="F4016" s="86"/>
      <c r="G4016" s="86"/>
      <c r="H4016" s="86"/>
      <c r="I4016" s="86"/>
      <c r="J4016" s="87"/>
      <c r="K4016" s="88"/>
      <c r="M4016" s="102">
        <v>700</v>
      </c>
      <c r="N4016" s="533" t="str">
        <f>IFERROR(VLOOKUP(M4016,INSUMOS!$C$8:$K$928,2,0),"-----")</f>
        <v>LIMPIADOR PVC 1/4</v>
      </c>
      <c r="O4016" s="533"/>
      <c r="P4016" s="533"/>
      <c r="Q4016" s="533"/>
      <c r="R4016" s="78" t="str">
        <f>IFERROR(VLOOKUP(M4016,INSUMOS!$C$8:$K$928,6,0),"-----")</f>
        <v>und</v>
      </c>
      <c r="S4016" s="396">
        <v>0.01</v>
      </c>
      <c r="T4016" s="387">
        <v>0.02</v>
      </c>
      <c r="U4016" s="388">
        <f>IFERROR(VLOOKUP(M4016,INSUMOS!$C$8:$K$928,7,0),"0")</f>
        <v>65913</v>
      </c>
      <c r="V4016" s="389">
        <f>+IFERROR(U4016*(S4016*(1+T4016)),0)</f>
        <v>672.31260000000009</v>
      </c>
      <c r="Y4016" s="393">
        <f>+IFERROR(Y4001*(S4016*(1+T4016)),0)</f>
        <v>9.1800000000000007E-2</v>
      </c>
      <c r="Z4016" s="391">
        <f>Y4001*V4016</f>
        <v>6050.8134000000009</v>
      </c>
      <c r="AA4016" s="394"/>
      <c r="AB4016" s="395">
        <f>+Y4016*U4016</f>
        <v>6050.8134</v>
      </c>
      <c r="AC4016" s="93">
        <f>+AB4016-Z4016</f>
        <v>0</v>
      </c>
      <c r="AD4016" s="94"/>
      <c r="AE4016" s="406" t="str">
        <f>+IF(V4016=0,"CERO","NO")</f>
        <v>NO</v>
      </c>
    </row>
    <row r="4017" spans="3:31" s="260" customFormat="1" x14ac:dyDescent="0.25">
      <c r="C4017" s="84"/>
      <c r="D4017" s="85"/>
      <c r="E4017" s="86"/>
      <c r="F4017" s="86"/>
      <c r="G4017" s="86"/>
      <c r="H4017" s="86"/>
      <c r="I4017" s="86"/>
      <c r="J4017" s="87"/>
      <c r="K4017" s="88"/>
      <c r="M4017" s="102">
        <v>0</v>
      </c>
      <c r="N4017" s="533" t="str">
        <f>IFERROR(VLOOKUP(M4017,INSUMOS!$C$8:$K$928,2,0),"-----")</f>
        <v>-----</v>
      </c>
      <c r="O4017" s="533"/>
      <c r="P4017" s="533"/>
      <c r="Q4017" s="533"/>
      <c r="R4017" s="78" t="str">
        <f>IFERROR(VLOOKUP(M4017,INSUMOS!$C$8:$K$928,6,0),"-----")</f>
        <v>-----</v>
      </c>
      <c r="S4017" s="396"/>
      <c r="T4017" s="387"/>
      <c r="U4017" s="388" t="str">
        <f>IFERROR(VLOOKUP(M4017,INSUMOS!$C$8:$K$928,7,0),"0")</f>
        <v>0</v>
      </c>
      <c r="V4017" s="389">
        <f>+IFERROR(U4017*(S4017*(1+T4017)),0)</f>
        <v>0</v>
      </c>
      <c r="Y4017" s="393">
        <f>+IFERROR(Y4001*(S4017*(1+T4017)),0)</f>
        <v>0</v>
      </c>
      <c r="Z4017" s="391">
        <f>Y4001*V4017</f>
        <v>0</v>
      </c>
      <c r="AA4017" s="394"/>
      <c r="AB4017" s="395">
        <f>+Y4017*U4017</f>
        <v>0</v>
      </c>
      <c r="AC4017" s="93">
        <f>+AB4017-Z4017</f>
        <v>0</v>
      </c>
      <c r="AD4017" s="94"/>
      <c r="AE4017" s="406" t="str">
        <f>+IF(V4017=0,"CERO","NO")</f>
        <v>CERO</v>
      </c>
    </row>
    <row r="4018" spans="3:31" s="260" customFormat="1" ht="15.75" thickBot="1" x14ac:dyDescent="0.3">
      <c r="C4018" s="84"/>
      <c r="D4018" s="85"/>
      <c r="E4018" s="86"/>
      <c r="F4018" s="86"/>
      <c r="G4018" s="86"/>
      <c r="H4018" s="86"/>
      <c r="I4018" s="86"/>
      <c r="J4018" s="87"/>
      <c r="K4018" s="88"/>
      <c r="M4018" s="102">
        <v>0</v>
      </c>
      <c r="N4018" s="564"/>
      <c r="O4018" s="564"/>
      <c r="P4018" s="564"/>
      <c r="Q4018" s="564"/>
      <c r="R4018" s="96"/>
      <c r="S4018" s="79"/>
      <c r="T4018" s="97"/>
      <c r="U4018" s="358"/>
      <c r="V4018" s="397"/>
      <c r="Y4018" s="393">
        <f>+IFERROR(Y4001*(S4018*(1+T4018)),0)</f>
        <v>0</v>
      </c>
      <c r="Z4018" s="391">
        <f>Y4001*V4018</f>
        <v>0</v>
      </c>
      <c r="AA4018" s="394"/>
      <c r="AB4018" s="395">
        <f>+Y4018*U4018</f>
        <v>0</v>
      </c>
      <c r="AC4018" s="93">
        <f>+AB4018-Z4018</f>
        <v>0</v>
      </c>
      <c r="AD4018" s="94"/>
      <c r="AE4018" s="406" t="str">
        <f>+IF(V4018=0,"CERO","NO")</f>
        <v>CERO</v>
      </c>
    </row>
    <row r="4019" spans="3:31" s="260" customFormat="1" ht="15.75" thickBot="1" x14ac:dyDescent="0.3">
      <c r="C4019" s="84"/>
      <c r="D4019" s="375" t="s">
        <v>128</v>
      </c>
      <c r="E4019" s="376" t="s">
        <v>129</v>
      </c>
      <c r="F4019" s="376" t="s">
        <v>130</v>
      </c>
      <c r="G4019" s="376" t="s">
        <v>131</v>
      </c>
      <c r="H4019" s="376" t="s">
        <v>132</v>
      </c>
      <c r="I4019" s="376" t="s">
        <v>133</v>
      </c>
      <c r="J4019" s="377" t="s">
        <v>134</v>
      </c>
      <c r="K4019" s="88"/>
      <c r="M4019" s="534"/>
      <c r="N4019" s="536" t="s">
        <v>106</v>
      </c>
      <c r="O4019" s="536"/>
      <c r="P4019" s="536"/>
      <c r="Q4019" s="536"/>
      <c r="R4019" s="536"/>
      <c r="S4019" s="536"/>
      <c r="T4019" s="536"/>
      <c r="U4019" s="536"/>
      <c r="V4019" s="389">
        <f>+SUM(V4014:V4018)</f>
        <v>22259.3164</v>
      </c>
      <c r="Y4019" s="398" t="s">
        <v>135</v>
      </c>
      <c r="Z4019" s="397">
        <f>+SUM(Z4014:Z4018)</f>
        <v>200333.84760000001</v>
      </c>
      <c r="AA4019" s="86"/>
      <c r="AB4019" s="384"/>
      <c r="AC4019" s="385"/>
      <c r="AD4019" s="94"/>
      <c r="AE4019" s="399"/>
    </row>
    <row r="4020" spans="3:31" s="260" customFormat="1" ht="15.75" thickBot="1" x14ac:dyDescent="0.3">
      <c r="C4020" s="84"/>
      <c r="D4020" s="375"/>
      <c r="E4020" s="407">
        <f>+D4011</f>
        <v>4.05</v>
      </c>
      <c r="F4020" s="376"/>
      <c r="G4020" s="376"/>
      <c r="H4020" s="376"/>
      <c r="I4020" s="376"/>
      <c r="J4020" s="377"/>
      <c r="K4020" s="88"/>
      <c r="M4020" s="535"/>
      <c r="N4020" s="537" t="s">
        <v>107</v>
      </c>
      <c r="O4020" s="537"/>
      <c r="P4020" s="537"/>
      <c r="Q4020" s="537"/>
      <c r="R4020" s="537"/>
      <c r="S4020" s="537"/>
      <c r="T4020" s="537"/>
      <c r="U4020" s="537"/>
      <c r="V4020" s="408">
        <f>+ROUND(V4019,$AA$5)</f>
        <v>22259.32</v>
      </c>
      <c r="Y4020" s="401" t="s">
        <v>136</v>
      </c>
      <c r="Z4020" s="402">
        <f>+ROUND(Z4019,$AA$5)</f>
        <v>200333.85</v>
      </c>
      <c r="AA4020" s="86"/>
      <c r="AB4020" s="403">
        <f>+V4020*Y4001</f>
        <v>200333.88</v>
      </c>
      <c r="AC4020" s="404">
        <f>+AB4020-Z4020</f>
        <v>2.9999999998835847E-2</v>
      </c>
      <c r="AD4020" s="94"/>
      <c r="AE4020" s="405"/>
    </row>
    <row r="4021" spans="3:31" s="260" customFormat="1" x14ac:dyDescent="0.25">
      <c r="C4021" s="84"/>
      <c r="D4021" s="380"/>
      <c r="E4021" s="381"/>
      <c r="F4021" s="381"/>
      <c r="G4021" s="381"/>
      <c r="H4021" s="381"/>
      <c r="I4021" s="381"/>
      <c r="J4021" s="382"/>
      <c r="K4021" s="88"/>
      <c r="M4021" s="568" t="s">
        <v>108</v>
      </c>
      <c r="N4021" s="569"/>
      <c r="O4021" s="569"/>
      <c r="P4021" s="569"/>
      <c r="Q4021" s="569"/>
      <c r="R4021" s="569"/>
      <c r="S4021" s="569"/>
      <c r="T4021" s="569"/>
      <c r="U4021" s="569"/>
      <c r="V4021" s="570"/>
      <c r="Y4021" s="378"/>
      <c r="Z4021" s="121"/>
      <c r="AA4021" s="86"/>
      <c r="AB4021" s="409"/>
      <c r="AC4021" s="121"/>
      <c r="AD4021" s="94"/>
      <c r="AE4021" s="126"/>
    </row>
    <row r="4022" spans="3:31" s="260" customFormat="1" ht="25.5" x14ac:dyDescent="0.25">
      <c r="C4022" s="84"/>
      <c r="D4022" s="85"/>
      <c r="E4022" s="86"/>
      <c r="F4022" s="86"/>
      <c r="G4022" s="86"/>
      <c r="H4022" s="86"/>
      <c r="I4022" s="86"/>
      <c r="J4022" s="87"/>
      <c r="K4022" s="88"/>
      <c r="M4022" s="99" t="s">
        <v>94</v>
      </c>
      <c r="N4022" s="561" t="s">
        <v>95</v>
      </c>
      <c r="O4022" s="561"/>
      <c r="P4022" s="561"/>
      <c r="Q4022" s="95" t="s">
        <v>109</v>
      </c>
      <c r="R4022" s="95" t="s">
        <v>110</v>
      </c>
      <c r="S4022" s="95" t="s">
        <v>111</v>
      </c>
      <c r="T4022" s="562" t="s">
        <v>112</v>
      </c>
      <c r="U4022" s="562"/>
      <c r="V4022" s="100" t="s">
        <v>98</v>
      </c>
      <c r="Y4022" s="383" t="s">
        <v>104</v>
      </c>
      <c r="Z4022" s="119" t="s">
        <v>9</v>
      </c>
      <c r="AA4022" s="86"/>
      <c r="AB4022" s="384"/>
      <c r="AC4022" s="385"/>
      <c r="AD4022" s="94"/>
      <c r="AE4022" s="410"/>
    </row>
    <row r="4023" spans="3:31" s="260" customFormat="1" x14ac:dyDescent="0.25">
      <c r="C4023" s="84"/>
      <c r="D4023" s="85"/>
      <c r="E4023" s="86"/>
      <c r="F4023" s="86"/>
      <c r="G4023" s="86"/>
      <c r="H4023" s="86"/>
      <c r="I4023" s="86"/>
      <c r="J4023" s="87"/>
      <c r="K4023" s="88"/>
      <c r="M4023" s="102">
        <v>129</v>
      </c>
      <c r="N4023" s="530" t="str">
        <f>IFERROR(VLOOKUP(M4023,INSUMOS!$C$8:$K$928,2,0),"-----")</f>
        <v>transporte materiales en general</v>
      </c>
      <c r="O4023" s="531"/>
      <c r="P4023" s="532"/>
      <c r="Q4023" s="78" t="str">
        <f>IFERROR(VLOOKUP(M4023,INSUMOS!$C$8:$K$928,5,0),"-----")</f>
        <v>Km</v>
      </c>
      <c r="R4023" s="80">
        <v>1</v>
      </c>
      <c r="S4023" s="80">
        <f>IFERROR(VLOOKUP(M4023,INSUMOS!$C$8:$K$928,6,0),"0")</f>
        <v>348</v>
      </c>
      <c r="T4023" s="529">
        <f>IFERROR(VLOOKUP(M4023,INSUMOS!$C$8:$K$928,7,0),"0")</f>
        <v>0.99776362060288992</v>
      </c>
      <c r="U4023" s="529"/>
      <c r="V4023" s="82">
        <f>+T4023*S4023*R4023</f>
        <v>347.2217399698057</v>
      </c>
      <c r="Y4023" s="393">
        <f>+IFERROR((R4023*S4023)*Y4001,0)</f>
        <v>3132</v>
      </c>
      <c r="Z4023" s="391">
        <f>Y4001*V4023</f>
        <v>3124.9956597282512</v>
      </c>
      <c r="AA4023" s="86"/>
      <c r="AB4023" s="92">
        <f>+Y4023*T4023</f>
        <v>3124.9956597282512</v>
      </c>
      <c r="AC4023" s="93">
        <f>+AB4023-Z4023</f>
        <v>0</v>
      </c>
      <c r="AD4023" s="94"/>
      <c r="AE4023" s="406" t="str">
        <f>+IF(V4023=0,"CERO","NO")</f>
        <v>NO</v>
      </c>
    </row>
    <row r="4024" spans="3:31" s="260" customFormat="1" x14ac:dyDescent="0.25">
      <c r="C4024" s="84"/>
      <c r="D4024" s="85"/>
      <c r="E4024" s="86"/>
      <c r="F4024" s="86"/>
      <c r="G4024" s="86"/>
      <c r="H4024" s="86"/>
      <c r="I4024" s="86"/>
      <c r="J4024" s="87"/>
      <c r="K4024" s="88"/>
      <c r="M4024" s="102">
        <v>0</v>
      </c>
      <c r="N4024" s="530" t="str">
        <f>IFERROR(VLOOKUP(M4024,INSUMOS!$C$8:$K$928,2,0),"-----")</f>
        <v>-----</v>
      </c>
      <c r="O4024" s="531"/>
      <c r="P4024" s="532"/>
      <c r="Q4024" s="78" t="str">
        <f>IFERROR(VLOOKUP(M4024,INSUMOS!$C$8:$K$928,5,0),"-----")</f>
        <v>-----</v>
      </c>
      <c r="R4024" s="80"/>
      <c r="S4024" s="80" t="str">
        <f>IFERROR(VLOOKUP(M4024,INSUMOS!$C$8:$K$928,6,0),"0")</f>
        <v>0</v>
      </c>
      <c r="T4024" s="529" t="str">
        <f>IFERROR(VLOOKUP(M4024,INSUMOS!$C$8:$K$928,7,0),"0")</f>
        <v>0</v>
      </c>
      <c r="U4024" s="529"/>
      <c r="V4024" s="82">
        <f>+T4024*S4024*R4024</f>
        <v>0</v>
      </c>
      <c r="Y4024" s="393">
        <f>+IFERROR((R4024*S4024)*Y4001,0)</f>
        <v>0</v>
      </c>
      <c r="Z4024" s="391">
        <f>Y4001*V4024</f>
        <v>0</v>
      </c>
      <c r="AA4024" s="86"/>
      <c r="AB4024" s="92">
        <f>+Y4024*T4024</f>
        <v>0</v>
      </c>
      <c r="AC4024" s="93">
        <f>+AB4024-Z4024</f>
        <v>0</v>
      </c>
      <c r="AD4024" s="94"/>
      <c r="AE4024" s="406" t="str">
        <f>+IF(V4024=0,"CERO","NO")</f>
        <v>CERO</v>
      </c>
    </row>
    <row r="4025" spans="3:31" s="260" customFormat="1" x14ac:dyDescent="0.25">
      <c r="C4025" s="84"/>
      <c r="D4025" s="85"/>
      <c r="E4025" s="86"/>
      <c r="F4025" s="86"/>
      <c r="G4025" s="86"/>
      <c r="H4025" s="86"/>
      <c r="I4025" s="86"/>
      <c r="J4025" s="87"/>
      <c r="K4025" s="88"/>
      <c r="M4025" s="102">
        <v>0</v>
      </c>
      <c r="N4025" s="530" t="str">
        <f>IFERROR(VLOOKUP(M4025,INSUMOS!$C$8:$K$928,2,0),"-----")</f>
        <v>-----</v>
      </c>
      <c r="O4025" s="531"/>
      <c r="P4025" s="532"/>
      <c r="Q4025" s="78" t="str">
        <f>IFERROR(VLOOKUP(M4025,INSUMOS!$C$8:$K$928,5,0),"-----")</f>
        <v>-----</v>
      </c>
      <c r="R4025" s="80"/>
      <c r="S4025" s="80" t="str">
        <f>IFERROR(VLOOKUP(M4025,INSUMOS!$C$8:$K$928,6,0),"0")</f>
        <v>0</v>
      </c>
      <c r="T4025" s="529" t="str">
        <f>IFERROR(VLOOKUP(M4025,INSUMOS!$C$8:$K$928,7,0),"0")</f>
        <v>0</v>
      </c>
      <c r="U4025" s="529"/>
      <c r="V4025" s="82">
        <f>+T4025*S4025*R4025</f>
        <v>0</v>
      </c>
      <c r="Y4025" s="393">
        <f>+IFERROR((R4025*S4025)*Y4001,0)</f>
        <v>0</v>
      </c>
      <c r="Z4025" s="391">
        <f>Y4001*V4025</f>
        <v>0</v>
      </c>
      <c r="AA4025" s="86"/>
      <c r="AB4025" s="92">
        <f>+Y4025*T4025</f>
        <v>0</v>
      </c>
      <c r="AC4025" s="93">
        <f>+AB4025-Z4025</f>
        <v>0</v>
      </c>
      <c r="AD4025" s="94"/>
      <c r="AE4025" s="406" t="str">
        <f>+IF(V4025=0,"CERO","NO")</f>
        <v>CERO</v>
      </c>
    </row>
    <row r="4026" spans="3:31" s="260" customFormat="1" ht="15.75" thickBot="1" x14ac:dyDescent="0.3">
      <c r="C4026" s="84"/>
      <c r="D4026" s="89"/>
      <c r="E4026" s="90"/>
      <c r="F4026" s="90"/>
      <c r="G4026" s="90"/>
      <c r="H4026" s="90"/>
      <c r="I4026" s="90"/>
      <c r="J4026" s="91"/>
      <c r="K4026" s="88"/>
      <c r="M4026" s="102">
        <v>0</v>
      </c>
      <c r="N4026" s="533"/>
      <c r="O4026" s="533"/>
      <c r="P4026" s="533"/>
      <c r="Q4026" s="79"/>
      <c r="R4026" s="78"/>
      <c r="S4026" s="81"/>
      <c r="T4026" s="529"/>
      <c r="U4026" s="529"/>
      <c r="V4026" s="82"/>
      <c r="Y4026" s="393">
        <f>+IFERROR((R4026*S4026)*Y4001,0)</f>
        <v>0</v>
      </c>
      <c r="Z4026" s="391">
        <f>Y4001*V4026</f>
        <v>0</v>
      </c>
      <c r="AA4026" s="86"/>
      <c r="AB4026" s="92">
        <f>+Y4026*T4026</f>
        <v>0</v>
      </c>
      <c r="AC4026" s="93">
        <f>+AB4026-Z4026</f>
        <v>0</v>
      </c>
      <c r="AD4026" s="94"/>
      <c r="AE4026" s="406" t="str">
        <f>+IF(V4026=0,"CERO","NO")</f>
        <v>CERO</v>
      </c>
    </row>
    <row r="4027" spans="3:31" s="260" customFormat="1" ht="15.75" thickBot="1" x14ac:dyDescent="0.3">
      <c r="C4027" s="84"/>
      <c r="D4027" s="375" t="s">
        <v>128</v>
      </c>
      <c r="E4027" s="376" t="s">
        <v>129</v>
      </c>
      <c r="F4027" s="376" t="s">
        <v>130</v>
      </c>
      <c r="G4027" s="376" t="s">
        <v>131</v>
      </c>
      <c r="H4027" s="376" t="s">
        <v>132</v>
      </c>
      <c r="I4027" s="376" t="s">
        <v>133</v>
      </c>
      <c r="J4027" s="377" t="s">
        <v>134</v>
      </c>
      <c r="K4027" s="88"/>
      <c r="M4027" s="534"/>
      <c r="N4027" s="536" t="s">
        <v>113</v>
      </c>
      <c r="O4027" s="536"/>
      <c r="P4027" s="536"/>
      <c r="Q4027" s="536"/>
      <c r="R4027" s="536"/>
      <c r="S4027" s="536"/>
      <c r="T4027" s="536"/>
      <c r="U4027" s="536"/>
      <c r="V4027" s="411">
        <f>+SUM(V4023:V4026)</f>
        <v>347.2217399698057</v>
      </c>
      <c r="Y4027" s="398" t="s">
        <v>135</v>
      </c>
      <c r="Z4027" s="397">
        <f>+SUM(Z4023:Z4026)</f>
        <v>3124.9956597282512</v>
      </c>
      <c r="AA4027" s="86"/>
      <c r="AB4027" s="384"/>
      <c r="AC4027" s="385"/>
      <c r="AD4027" s="94"/>
      <c r="AE4027" s="399"/>
    </row>
    <row r="4028" spans="3:31" s="260" customFormat="1" ht="15.75" thickBot="1" x14ac:dyDescent="0.3">
      <c r="C4028" s="84"/>
      <c r="D4028" s="355"/>
      <c r="E4028" s="367"/>
      <c r="F4028" s="412">
        <f>+E4020</f>
        <v>4.05</v>
      </c>
      <c r="G4028" s="367"/>
      <c r="H4028" s="367"/>
      <c r="I4028" s="367"/>
      <c r="J4028" s="368"/>
      <c r="K4028" s="88"/>
      <c r="M4028" s="535"/>
      <c r="N4028" s="537" t="s">
        <v>114</v>
      </c>
      <c r="O4028" s="537"/>
      <c r="P4028" s="537"/>
      <c r="Q4028" s="537"/>
      <c r="R4028" s="537"/>
      <c r="S4028" s="537"/>
      <c r="T4028" s="537"/>
      <c r="U4028" s="537"/>
      <c r="V4028" s="413">
        <f>+ROUND(V4027,$AA$5)</f>
        <v>347.22</v>
      </c>
      <c r="Y4028" s="401" t="s">
        <v>136</v>
      </c>
      <c r="Z4028" s="402">
        <f>+ROUND(Z4027,$AA$5)</f>
        <v>3125</v>
      </c>
      <c r="AA4028" s="86"/>
      <c r="AB4028" s="403">
        <f>+V4028*Y4001</f>
        <v>3124.9800000000005</v>
      </c>
      <c r="AC4028" s="414"/>
      <c r="AD4028" s="94"/>
      <c r="AE4028" s="405"/>
    </row>
    <row r="4029" spans="3:31" s="260" customFormat="1" ht="15.75" thickBot="1" x14ac:dyDescent="0.3">
      <c r="C4029" s="84"/>
      <c r="D4029" s="415"/>
      <c r="E4029" s="416"/>
      <c r="F4029" s="416"/>
      <c r="G4029" s="416"/>
      <c r="H4029" s="416"/>
      <c r="I4029" s="416"/>
      <c r="J4029" s="417"/>
      <c r="K4029" s="88"/>
      <c r="M4029" s="538" t="s">
        <v>115</v>
      </c>
      <c r="N4029" s="539"/>
      <c r="O4029" s="539"/>
      <c r="P4029" s="539"/>
      <c r="Q4029" s="539"/>
      <c r="R4029" s="539"/>
      <c r="S4029" s="539"/>
      <c r="T4029" s="539"/>
      <c r="U4029" s="539"/>
      <c r="V4029" s="540"/>
      <c r="Y4029" s="378"/>
      <c r="Z4029" s="121"/>
      <c r="AA4029" s="86"/>
      <c r="AB4029" s="409"/>
      <c r="AC4029" s="121"/>
      <c r="AD4029" s="94"/>
      <c r="AE4029" s="126"/>
    </row>
    <row r="4030" spans="3:31" s="260" customFormat="1" ht="15.75" thickBot="1" x14ac:dyDescent="0.3">
      <c r="C4030" s="84"/>
      <c r="D4030" s="375" t="s">
        <v>128</v>
      </c>
      <c r="E4030" s="376" t="s">
        <v>129</v>
      </c>
      <c r="F4030" s="376" t="s">
        <v>130</v>
      </c>
      <c r="G4030" s="376" t="s">
        <v>131</v>
      </c>
      <c r="H4030" s="376" t="s">
        <v>132</v>
      </c>
      <c r="I4030" s="376" t="s">
        <v>133</v>
      </c>
      <c r="J4030" s="377" t="s">
        <v>134</v>
      </c>
      <c r="K4030" s="88"/>
      <c r="M4030" s="99" t="s">
        <v>94</v>
      </c>
      <c r="N4030" s="98" t="s">
        <v>95</v>
      </c>
      <c r="O4030" s="95" t="s">
        <v>96</v>
      </c>
      <c r="P4030" s="359" t="s">
        <v>104</v>
      </c>
      <c r="Q4030" s="95" t="s">
        <v>116</v>
      </c>
      <c r="R4030" s="418" t="s">
        <v>117</v>
      </c>
      <c r="S4030" s="95" t="s">
        <v>347</v>
      </c>
      <c r="T4030" s="419" t="s">
        <v>118</v>
      </c>
      <c r="U4030" s="189" t="s">
        <v>119</v>
      </c>
      <c r="V4030" s="100" t="s">
        <v>98</v>
      </c>
      <c r="Y4030" s="383" t="s">
        <v>104</v>
      </c>
      <c r="Z4030" s="119" t="s">
        <v>9</v>
      </c>
      <c r="AA4030" s="86"/>
      <c r="AB4030" s="384"/>
      <c r="AC4030" s="385"/>
      <c r="AD4030" s="94"/>
      <c r="AE4030" s="410"/>
    </row>
    <row r="4031" spans="3:31" s="260" customFormat="1" ht="25.5" x14ac:dyDescent="0.25">
      <c r="C4031" s="84"/>
      <c r="D4031" s="354"/>
      <c r="E4031" s="96"/>
      <c r="F4031" s="96"/>
      <c r="G4031" s="96"/>
      <c r="H4031" s="96"/>
      <c r="I4031" s="96"/>
      <c r="J4031" s="420">
        <f>+F4028</f>
        <v>4.05</v>
      </c>
      <c r="K4031" s="88"/>
      <c r="M4031" s="102">
        <v>207</v>
      </c>
      <c r="N4031" s="347" t="str">
        <f>IFERROR(VLOOKUP(M4031,INSUMOS!$C$8:$K$928,2,0),"-----")</f>
        <v>Oficial Hidrosanitario</v>
      </c>
      <c r="O4031" s="78" t="str">
        <f>IFERROR(VLOOKUP(M4031,INSUMOS!$C$8:$K$928,3,0),"-----")</f>
        <v>JORNAL+PS</v>
      </c>
      <c r="P4031" s="80">
        <v>1</v>
      </c>
      <c r="Q4031" s="79">
        <v>40</v>
      </c>
      <c r="R4031" s="190">
        <f>IFERROR(VLOOKUP(M4031,INSUMOS!$C$8:$K$928,4,0),"-----")</f>
        <v>92983</v>
      </c>
      <c r="S4031" s="190">
        <f>IFERROR(VLOOKUP(M4031,INSUMOS!$C$8:$K$928,6,0),"-----")</f>
        <v>74386</v>
      </c>
      <c r="T4031" s="190">
        <f>IFERROR(VLOOKUP(M4031,INSUMOS!$C$8:$K$928,5,0),"-----")</f>
        <v>0</v>
      </c>
      <c r="U4031" s="388">
        <f>SUM(R4031:T4031)</f>
        <v>167369</v>
      </c>
      <c r="V4031" s="82">
        <f>+IFERROR((P4031/Q4031)*U4031,0)</f>
        <v>4184.2250000000004</v>
      </c>
      <c r="Y4031" s="393">
        <f>+IFERROR((Y4001/Q4031*P4031),0)</f>
        <v>0.22500000000000001</v>
      </c>
      <c r="Z4031" s="391">
        <f>Y4001*V4031</f>
        <v>37658.025000000001</v>
      </c>
      <c r="AA4031" s="86"/>
      <c r="AB4031" s="92">
        <f>+(U4031)*Y4031</f>
        <v>37658.025000000001</v>
      </c>
      <c r="AC4031" s="93">
        <f>+AB4031-Z4031</f>
        <v>0</v>
      </c>
      <c r="AD4031" s="421"/>
      <c r="AE4031" s="410" t="str">
        <f>+IF(V4031=0,"CERO","NO")</f>
        <v>NO</v>
      </c>
    </row>
    <row r="4032" spans="3:31" s="260" customFormat="1" ht="15.75" thickBot="1" x14ac:dyDescent="0.3">
      <c r="C4032" s="84"/>
      <c r="D4032" s="355"/>
      <c r="E4032" s="367"/>
      <c r="F4032" s="367"/>
      <c r="G4032" s="367"/>
      <c r="H4032" s="367"/>
      <c r="I4032" s="367"/>
      <c r="J4032" s="422">
        <f>+J4031</f>
        <v>4.05</v>
      </c>
      <c r="K4032" s="88"/>
      <c r="M4032" s="102"/>
      <c r="N4032" s="347" t="str">
        <f>IFERROR(VLOOKUP(M4032,INSUMOS!$C$8:$K$928,2,0),"-----")</f>
        <v>-----</v>
      </c>
      <c r="O4032" s="78" t="str">
        <f>IFERROR(VLOOKUP(M4032,INSUMOS!$C$8:$K$928,3,0),"-----")</f>
        <v>-----</v>
      </c>
      <c r="P4032" s="80"/>
      <c r="Q4032" s="79"/>
      <c r="R4032" s="190" t="str">
        <f>IFERROR(VLOOKUP(M4032,INSUMOS!$C$8:$K$928,4,0),"-----")</f>
        <v>-----</v>
      </c>
      <c r="S4032" s="190" t="str">
        <f>IFERROR(VLOOKUP(M4032,INSUMOS!$C$8:$K$928,6,0),"-----")</f>
        <v>-----</v>
      </c>
      <c r="T4032" s="190" t="str">
        <f>IFERROR(VLOOKUP(M4032,INSUMOS!$C$8:$K$928,5,0),"-----")</f>
        <v>-----</v>
      </c>
      <c r="U4032" s="388">
        <f>SUM(R4032:T4032)</f>
        <v>0</v>
      </c>
      <c r="V4032" s="82">
        <f>+IFERROR((P4032/Q4032)*U4032,0)</f>
        <v>0</v>
      </c>
      <c r="Y4032" s="393">
        <f>+IFERROR((Y4001/Q4032*P4032),0)</f>
        <v>0</v>
      </c>
      <c r="Z4032" s="391">
        <f>Y4001*V4032</f>
        <v>0</v>
      </c>
      <c r="AA4032" s="86"/>
      <c r="AB4032" s="92">
        <f>+U4032*Y4032</f>
        <v>0</v>
      </c>
      <c r="AC4032" s="93">
        <f>+AB4032-Z4032</f>
        <v>0</v>
      </c>
      <c r="AD4032" s="94"/>
      <c r="AE4032" s="410" t="str">
        <f>+IF(V4032=0,"CERO","NO")</f>
        <v>CERO</v>
      </c>
    </row>
    <row r="4033" spans="3:31" s="260" customFormat="1" ht="15.75" thickBot="1" x14ac:dyDescent="0.3">
      <c r="C4033" s="84"/>
      <c r="D4033" s="380"/>
      <c r="E4033" s="381"/>
      <c r="F4033" s="381"/>
      <c r="G4033" s="381"/>
      <c r="H4033" s="381"/>
      <c r="I4033" s="381"/>
      <c r="J4033" s="382"/>
      <c r="K4033" s="88"/>
      <c r="M4033" s="102">
        <v>0</v>
      </c>
      <c r="N4033" s="347"/>
      <c r="O4033" s="79"/>
      <c r="P4033" s="423"/>
      <c r="Q4033" s="81"/>
      <c r="R4033" s="111"/>
      <c r="S4033" s="357"/>
      <c r="T4033" s="111"/>
      <c r="U4033" s="388"/>
      <c r="V4033" s="426"/>
      <c r="Y4033" s="393">
        <f>+IFERROR((Y4001/Q4033*P4033),0)</f>
        <v>0</v>
      </c>
      <c r="Z4033" s="391">
        <f>Y4001*V4033</f>
        <v>0</v>
      </c>
      <c r="AA4033" s="86"/>
      <c r="AB4033" s="92">
        <f>+(U4033)*Y4033*P4033</f>
        <v>0</v>
      </c>
      <c r="AC4033" s="93">
        <f>+AB4033-Z4033</f>
        <v>0</v>
      </c>
      <c r="AD4033" s="94"/>
      <c r="AE4033" s="410" t="str">
        <f>+IF(V4033=0,"CERO","NO")</f>
        <v>CERO</v>
      </c>
    </row>
    <row r="4034" spans="3:31" s="260" customFormat="1" ht="15.75" thickBot="1" x14ac:dyDescent="0.3">
      <c r="C4034" s="84"/>
      <c r="D4034" s="375" t="s">
        <v>128</v>
      </c>
      <c r="E4034" s="376" t="s">
        <v>129</v>
      </c>
      <c r="F4034" s="376" t="s">
        <v>130</v>
      </c>
      <c r="G4034" s="376" t="s">
        <v>131</v>
      </c>
      <c r="H4034" s="376" t="s">
        <v>132</v>
      </c>
      <c r="I4034" s="376" t="s">
        <v>133</v>
      </c>
      <c r="J4034" s="377" t="s">
        <v>134</v>
      </c>
      <c r="K4034" s="88"/>
      <c r="M4034" s="534"/>
      <c r="N4034" s="536" t="s">
        <v>120</v>
      </c>
      <c r="O4034" s="536"/>
      <c r="P4034" s="536"/>
      <c r="Q4034" s="536"/>
      <c r="R4034" s="536"/>
      <c r="S4034" s="536"/>
      <c r="T4034" s="536"/>
      <c r="U4034" s="536"/>
      <c r="V4034" s="82">
        <f>+SUM(V4031:V4033)</f>
        <v>4184.2250000000004</v>
      </c>
      <c r="Y4034" s="398" t="s">
        <v>135</v>
      </c>
      <c r="Z4034" s="397">
        <f>+SUM(Z4031:Z4033)</f>
        <v>37658.025000000001</v>
      </c>
      <c r="AA4034" s="86"/>
      <c r="AB4034" s="384"/>
      <c r="AC4034" s="385"/>
      <c r="AD4034" s="94"/>
      <c r="AE4034" s="399"/>
    </row>
    <row r="4035" spans="3:31" s="260" customFormat="1" ht="15.75" thickBot="1" x14ac:dyDescent="0.3">
      <c r="C4035" s="84"/>
      <c r="D4035" s="354"/>
      <c r="E4035" s="96"/>
      <c r="F4035" s="96"/>
      <c r="G4035" s="107">
        <f>+F4028</f>
        <v>4.05</v>
      </c>
      <c r="H4035" s="96"/>
      <c r="I4035" s="96"/>
      <c r="J4035" s="427"/>
      <c r="K4035" s="88"/>
      <c r="M4035" s="535"/>
      <c r="N4035" s="537" t="s">
        <v>121</v>
      </c>
      <c r="O4035" s="537"/>
      <c r="P4035" s="537"/>
      <c r="Q4035" s="537"/>
      <c r="R4035" s="537"/>
      <c r="S4035" s="537"/>
      <c r="T4035" s="537"/>
      <c r="U4035" s="537"/>
      <c r="V4035" s="413">
        <f>+ROUND(V4034,$AA$5)</f>
        <v>4184.2299999999996</v>
      </c>
      <c r="Y4035" s="401" t="s">
        <v>136</v>
      </c>
      <c r="Z4035" s="402">
        <f>+ROUND(Z4034,$AA$5)</f>
        <v>37658.03</v>
      </c>
      <c r="AA4035" s="86"/>
      <c r="AB4035" s="403">
        <f>+V4035*Y4001</f>
        <v>37658.069999999992</v>
      </c>
      <c r="AC4035" s="404">
        <f>+AB4035-Z4035</f>
        <v>3.9999999993597157E-2</v>
      </c>
      <c r="AD4035" s="94"/>
      <c r="AE4035" s="405"/>
    </row>
    <row r="4036" spans="3:31" s="260" customFormat="1" ht="15.75" thickBot="1" x14ac:dyDescent="0.3">
      <c r="C4036" s="84"/>
      <c r="D4036" s="375" t="s">
        <v>128</v>
      </c>
      <c r="E4036" s="376" t="s">
        <v>129</v>
      </c>
      <c r="F4036" s="376" t="s">
        <v>130</v>
      </c>
      <c r="G4036" s="376" t="s">
        <v>131</v>
      </c>
      <c r="H4036" s="376" t="s">
        <v>132</v>
      </c>
      <c r="I4036" s="376" t="s">
        <v>133</v>
      </c>
      <c r="J4036" s="377" t="s">
        <v>134</v>
      </c>
      <c r="K4036" s="88"/>
      <c r="M4036" s="541"/>
      <c r="N4036" s="542"/>
      <c r="O4036" s="542"/>
      <c r="P4036" s="542"/>
      <c r="Q4036" s="542"/>
      <c r="R4036" s="542"/>
      <c r="S4036" s="542"/>
      <c r="T4036" s="542"/>
      <c r="U4036" s="542"/>
      <c r="V4036" s="543"/>
      <c r="Y4036" s="378"/>
      <c r="Z4036" s="121"/>
      <c r="AA4036" s="86"/>
      <c r="AB4036" s="409"/>
      <c r="AC4036" s="121"/>
      <c r="AD4036" s="94"/>
      <c r="AE4036" s="428"/>
    </row>
    <row r="4037" spans="3:31" s="260" customFormat="1" ht="15.75" thickBot="1" x14ac:dyDescent="0.3">
      <c r="C4037" s="84"/>
      <c r="D4037" s="355"/>
      <c r="E4037" s="367"/>
      <c r="F4037" s="367"/>
      <c r="G4037" s="367"/>
      <c r="H4037" s="412">
        <f>G4035</f>
        <v>4.05</v>
      </c>
      <c r="I4037" s="412"/>
      <c r="J4037" s="422"/>
      <c r="K4037" s="88"/>
      <c r="M4037" s="544" t="s">
        <v>122</v>
      </c>
      <c r="N4037" s="537"/>
      <c r="O4037" s="537"/>
      <c r="P4037" s="537"/>
      <c r="Q4037" s="537"/>
      <c r="R4037" s="537"/>
      <c r="S4037" s="537"/>
      <c r="T4037" s="537"/>
      <c r="U4037" s="545">
        <f>+V4035+V4028+V4020+V4011</f>
        <v>26999.98</v>
      </c>
      <c r="V4037" s="546"/>
      <c r="Y4037" s="429"/>
      <c r="Z4037" s="430">
        <f>+Z4035+Z4028+Z4020+Z4011</f>
        <v>242999.78</v>
      </c>
      <c r="AA4037" s="86"/>
      <c r="AB4037" s="431">
        <f>+AB4035+AB4028+AB4020+AB4011</f>
        <v>242999.82</v>
      </c>
      <c r="AC4037" s="404">
        <f>+AB4037-Z4037</f>
        <v>4.0000000008149073E-2</v>
      </c>
      <c r="AD4037" s="94"/>
      <c r="AE4037" s="432"/>
    </row>
    <row r="4038" spans="3:31" s="260" customFormat="1" ht="15.75" thickBot="1" x14ac:dyDescent="0.3"/>
    <row r="4039" spans="3:31" s="260" customFormat="1" x14ac:dyDescent="0.25">
      <c r="M4039" s="547" t="s">
        <v>348</v>
      </c>
      <c r="N4039" s="548"/>
      <c r="O4039" s="548"/>
      <c r="P4039" s="548"/>
      <c r="Q4039" s="548"/>
      <c r="R4039" s="548"/>
      <c r="S4039" s="548"/>
      <c r="T4039" s="548"/>
      <c r="U4039" s="548"/>
      <c r="V4039" s="549"/>
      <c r="Y4039" s="378"/>
      <c r="Z4039" s="121"/>
      <c r="AA4039" s="86"/>
      <c r="AB4039" s="94"/>
      <c r="AC4039" s="94"/>
      <c r="AD4039" s="94"/>
      <c r="AE4039" s="126" t="s">
        <v>133</v>
      </c>
    </row>
    <row r="4040" spans="3:31" s="260" customFormat="1" x14ac:dyDescent="0.25">
      <c r="M4040" s="515" t="s">
        <v>138</v>
      </c>
      <c r="N4040" s="516"/>
      <c r="O4040" s="516"/>
      <c r="P4040" s="516"/>
      <c r="Q4040" s="516"/>
      <c r="R4040" s="516"/>
      <c r="S4040" s="516"/>
      <c r="T4040" s="437">
        <v>0</v>
      </c>
      <c r="U4040" s="517">
        <f>+ROUND(U4037*T4040,$AA$5)</f>
        <v>0</v>
      </c>
      <c r="V4040" s="518"/>
      <c r="Y4040" s="390"/>
      <c r="Z4040" s="438">
        <f>+Z4037*T4040</f>
        <v>0</v>
      </c>
      <c r="AA4040" s="86"/>
      <c r="AB4040" s="94"/>
      <c r="AC4040" s="94"/>
      <c r="AD4040" s="94"/>
      <c r="AE4040" s="386" t="s">
        <v>133</v>
      </c>
    </row>
    <row r="4041" spans="3:31" s="260" customFormat="1" x14ac:dyDescent="0.25">
      <c r="M4041" s="515" t="s">
        <v>19</v>
      </c>
      <c r="N4041" s="516"/>
      <c r="O4041" s="516"/>
      <c r="P4041" s="516"/>
      <c r="Q4041" s="516"/>
      <c r="R4041" s="516"/>
      <c r="S4041" s="516"/>
      <c r="T4041" s="437">
        <v>0.05</v>
      </c>
      <c r="U4041" s="517">
        <f>+ROUND(U4037*T4041,$AA$5)</f>
        <v>1350</v>
      </c>
      <c r="V4041" s="518"/>
      <c r="Y4041" s="390"/>
      <c r="Z4041" s="438">
        <f>+Z4037*T4041</f>
        <v>12149.989000000001</v>
      </c>
      <c r="AA4041" s="86"/>
      <c r="AB4041" s="94"/>
      <c r="AC4041" s="94"/>
      <c r="AD4041" s="94"/>
      <c r="AE4041" s="386" t="s">
        <v>133</v>
      </c>
    </row>
    <row r="4042" spans="3:31" s="260" customFormat="1" x14ac:dyDescent="0.25">
      <c r="M4042" s="515" t="s">
        <v>20</v>
      </c>
      <c r="N4042" s="516"/>
      <c r="O4042" s="516"/>
      <c r="P4042" s="516"/>
      <c r="Q4042" s="516"/>
      <c r="R4042" s="516"/>
      <c r="S4042" s="516"/>
      <c r="T4042" s="437">
        <v>0</v>
      </c>
      <c r="U4042" s="517">
        <f>+ROUND(U4037*T4042,$AA$5)</f>
        <v>0</v>
      </c>
      <c r="V4042" s="518"/>
      <c r="Y4042" s="390"/>
      <c r="Z4042" s="438">
        <f>+Z4037*T4042</f>
        <v>0</v>
      </c>
      <c r="AA4042" s="86"/>
      <c r="AB4042" s="94"/>
      <c r="AC4042" s="94"/>
      <c r="AD4042" s="94"/>
      <c r="AE4042" s="386" t="s">
        <v>133</v>
      </c>
    </row>
    <row r="4043" spans="3:31" s="260" customFormat="1" x14ac:dyDescent="0.25">
      <c r="M4043" s="515" t="s">
        <v>21</v>
      </c>
      <c r="N4043" s="516"/>
      <c r="O4043" s="516"/>
      <c r="P4043" s="516"/>
      <c r="Q4043" s="516"/>
      <c r="R4043" s="516"/>
      <c r="S4043" s="516"/>
      <c r="T4043" s="437">
        <f>$AA$9</f>
        <v>0</v>
      </c>
      <c r="U4043" s="517">
        <f>+ROUND(U4037*T4043,$AA$5)</f>
        <v>0</v>
      </c>
      <c r="V4043" s="518"/>
      <c r="Y4043" s="390"/>
      <c r="Z4043" s="438">
        <f>+Z4042*T4043</f>
        <v>0</v>
      </c>
      <c r="AA4043" s="86"/>
      <c r="AB4043" s="94"/>
      <c r="AC4043" s="94"/>
      <c r="AD4043" s="94"/>
      <c r="AE4043" s="386" t="s">
        <v>133</v>
      </c>
    </row>
    <row r="4044" spans="3:31" s="260" customFormat="1" ht="15.75" thickBot="1" x14ac:dyDescent="0.3">
      <c r="M4044" s="519" t="s">
        <v>349</v>
      </c>
      <c r="N4044" s="520"/>
      <c r="O4044" s="520"/>
      <c r="P4044" s="520"/>
      <c r="Q4044" s="520"/>
      <c r="R4044" s="520"/>
      <c r="S4044" s="520"/>
      <c r="T4044" s="520"/>
      <c r="U4044" s="521">
        <f>+SUM(U4040:V4043)</f>
        <v>1350</v>
      </c>
      <c r="V4044" s="522"/>
      <c r="Y4044" s="390"/>
      <c r="Z4044" s="439">
        <f>+SUM(Z4040:Z4043)</f>
        <v>12149.989000000001</v>
      </c>
      <c r="AA4044" s="86"/>
      <c r="AB4044" s="94"/>
      <c r="AC4044" s="94"/>
      <c r="AD4044" s="94"/>
      <c r="AE4044" s="386" t="s">
        <v>133</v>
      </c>
    </row>
    <row r="4045" spans="3:31" s="260" customFormat="1" ht="15.75" thickBot="1" x14ac:dyDescent="0.3">
      <c r="D4045" s="375" t="s">
        <v>128</v>
      </c>
      <c r="E4045" s="376" t="s">
        <v>129</v>
      </c>
      <c r="F4045" s="376" t="s">
        <v>130</v>
      </c>
      <c r="G4045" s="376" t="s">
        <v>131</v>
      </c>
      <c r="H4045" s="376" t="s">
        <v>132</v>
      </c>
      <c r="I4045" s="376" t="s">
        <v>133</v>
      </c>
      <c r="J4045" s="377" t="s">
        <v>134</v>
      </c>
      <c r="M4045" s="86"/>
      <c r="N4045" s="94"/>
      <c r="O4045" s="94"/>
      <c r="P4045" s="94"/>
      <c r="Q4045" s="86"/>
      <c r="R4045" s="86"/>
      <c r="S4045" s="86"/>
      <c r="T4045" s="440"/>
      <c r="U4045" s="523"/>
      <c r="V4045" s="523"/>
      <c r="Y4045" s="390"/>
      <c r="Z4045" s="385"/>
      <c r="AA4045" s="86"/>
      <c r="AB4045" s="94"/>
      <c r="AC4045" s="94"/>
      <c r="AD4045" s="94"/>
      <c r="AE4045" s="386" t="s">
        <v>133</v>
      </c>
    </row>
    <row r="4046" spans="3:31" s="260" customFormat="1" ht="15.75" thickBot="1" x14ac:dyDescent="0.3">
      <c r="D4046" s="355"/>
      <c r="E4046" s="367"/>
      <c r="F4046" s="367"/>
      <c r="G4046" s="367"/>
      <c r="H4046" s="412"/>
      <c r="I4046" s="412">
        <f>H4037</f>
        <v>4.05</v>
      </c>
      <c r="J4046" s="422"/>
      <c r="M4046" s="524" t="s">
        <v>11</v>
      </c>
      <c r="N4046" s="525"/>
      <c r="O4046" s="525"/>
      <c r="P4046" s="525"/>
      <c r="Q4046" s="525"/>
      <c r="R4046" s="525"/>
      <c r="S4046" s="525"/>
      <c r="T4046" s="526"/>
      <c r="U4046" s="527">
        <f>+U4044+U4037</f>
        <v>28349.98</v>
      </c>
      <c r="V4046" s="528"/>
      <c r="Y4046" s="429"/>
      <c r="Z4046" s="441">
        <f>+Z4044+Z4037</f>
        <v>255149.769</v>
      </c>
      <c r="AA4046" s="86"/>
      <c r="AB4046" s="94"/>
      <c r="AC4046" s="94"/>
      <c r="AD4046" s="94"/>
      <c r="AE4046" s="405" t="s">
        <v>133</v>
      </c>
    </row>
    <row r="4047" spans="3:31" s="260" customFormat="1" x14ac:dyDescent="0.25"/>
    <row r="4048" spans="3:31" s="260" customFormat="1" ht="15.75" thickBot="1" x14ac:dyDescent="0.3"/>
    <row r="4049" spans="3:31" s="260" customFormat="1" ht="15.75" thickBot="1" x14ac:dyDescent="0.3">
      <c r="M4049" s="363" t="s">
        <v>88</v>
      </c>
      <c r="N4049" s="436" t="str">
        <f>+N4000</f>
        <v>CAP.4</v>
      </c>
      <c r="O4049" s="550" t="str">
        <f>IFERROR(VLOOKUP(N4049,PPTO!C:H,2,0),"----")</f>
        <v>RED SANITARIA</v>
      </c>
      <c r="P4049" s="551"/>
      <c r="Q4049" s="551"/>
      <c r="R4049" s="551"/>
      <c r="S4049" s="551"/>
      <c r="T4049" s="551"/>
      <c r="U4049" s="552"/>
      <c r="V4049" s="74" t="s">
        <v>91</v>
      </c>
      <c r="Y4049" s="365" t="s">
        <v>104</v>
      </c>
      <c r="Z4049" s="94"/>
      <c r="AA4049" s="188"/>
      <c r="AB4049" s="553"/>
      <c r="AC4049" s="553"/>
      <c r="AD4049" s="553"/>
      <c r="AE4049" s="94"/>
    </row>
    <row r="4050" spans="3:31" s="260" customFormat="1" ht="15.75" thickBot="1" x14ac:dyDescent="0.3">
      <c r="C4050" s="369">
        <f>+N4050</f>
        <v>4.0599999999999996</v>
      </c>
      <c r="D4050" s="86"/>
      <c r="E4050" s="86"/>
      <c r="F4050" s="86"/>
      <c r="G4050" s="86"/>
      <c r="H4050" s="86"/>
      <c r="I4050" s="86"/>
      <c r="J4050" s="86"/>
      <c r="K4050" s="370"/>
      <c r="M4050" s="75" t="s">
        <v>92</v>
      </c>
      <c r="N4050" s="371">
        <f>+ROUNDUP(N4001+0.01,2)</f>
        <v>4.0599999999999996</v>
      </c>
      <c r="O4050" s="554" t="str">
        <f>IFERROR(VLOOKUP(N4050,PPTO!C:H,2,0),"----")</f>
        <v>Codo 90° Sanitario PVC Ø4"</v>
      </c>
      <c r="P4050" s="555"/>
      <c r="Q4050" s="555"/>
      <c r="R4050" s="555"/>
      <c r="S4050" s="555"/>
      <c r="T4050" s="555"/>
      <c r="U4050" s="556"/>
      <c r="V4050" s="76" t="str">
        <f>IFERROR(VLOOKUP(N4050,PPTO!C:H,3,0),"----")</f>
        <v>UND</v>
      </c>
      <c r="Y4050" s="373">
        <f>SUMIFS(PPTO!F:F,PPTO!C:C,APUS!N4050)</f>
        <v>31</v>
      </c>
      <c r="Z4050" s="94"/>
      <c r="AA4050" s="86"/>
      <c r="AB4050" s="94"/>
      <c r="AC4050" s="94"/>
      <c r="AD4050" s="94"/>
      <c r="AE4050" s="94"/>
    </row>
    <row r="4051" spans="3:31" s="260" customFormat="1" ht="15.75" thickBot="1" x14ac:dyDescent="0.3">
      <c r="C4051" s="84"/>
      <c r="D4051" s="86"/>
      <c r="E4051" s="86"/>
      <c r="F4051" s="86"/>
      <c r="G4051" s="86"/>
      <c r="H4051" s="86"/>
      <c r="I4051" s="86"/>
      <c r="J4051" s="86"/>
      <c r="K4051" s="88"/>
      <c r="M4051" s="557"/>
      <c r="N4051" s="557"/>
      <c r="O4051" s="557"/>
      <c r="P4051" s="557"/>
      <c r="Q4051" s="557"/>
      <c r="R4051" s="557"/>
      <c r="S4051" s="557"/>
      <c r="T4051" s="557"/>
      <c r="U4051" s="557"/>
      <c r="V4051" s="557"/>
      <c r="Y4051" s="374"/>
      <c r="Z4051" s="94"/>
      <c r="AA4051" s="86"/>
      <c r="AB4051" s="94"/>
      <c r="AC4051" s="94"/>
      <c r="AD4051" s="94"/>
      <c r="AE4051" s="94"/>
    </row>
    <row r="4052" spans="3:31" s="260" customFormat="1" ht="15.75" thickBot="1" x14ac:dyDescent="0.3">
      <c r="C4052" s="84"/>
      <c r="D4052" s="375" t="s">
        <v>128</v>
      </c>
      <c r="E4052" s="376" t="s">
        <v>129</v>
      </c>
      <c r="F4052" s="376" t="s">
        <v>130</v>
      </c>
      <c r="G4052" s="376" t="s">
        <v>131</v>
      </c>
      <c r="H4052" s="376" t="s">
        <v>132</v>
      </c>
      <c r="I4052" s="376" t="s">
        <v>133</v>
      </c>
      <c r="J4052" s="377" t="s">
        <v>134</v>
      </c>
      <c r="K4052" s="88"/>
      <c r="M4052" s="558" t="s">
        <v>93</v>
      </c>
      <c r="N4052" s="559"/>
      <c r="O4052" s="559"/>
      <c r="P4052" s="559"/>
      <c r="Q4052" s="559"/>
      <c r="R4052" s="559"/>
      <c r="S4052" s="559"/>
      <c r="T4052" s="559"/>
      <c r="U4052" s="559"/>
      <c r="V4052" s="560"/>
      <c r="Y4052" s="378"/>
      <c r="Z4052" s="121"/>
      <c r="AA4052" s="86"/>
      <c r="AB4052" s="513"/>
      <c r="AC4052" s="514"/>
      <c r="AD4052" s="94"/>
      <c r="AE4052" s="379"/>
    </row>
    <row r="4053" spans="3:31" s="260" customFormat="1" x14ac:dyDescent="0.25">
      <c r="C4053" s="84"/>
      <c r="D4053" s="380"/>
      <c r="E4053" s="381"/>
      <c r="F4053" s="381"/>
      <c r="G4053" s="381"/>
      <c r="H4053" s="381"/>
      <c r="I4053" s="381"/>
      <c r="J4053" s="382"/>
      <c r="K4053" s="88"/>
      <c r="M4053" s="99" t="s">
        <v>94</v>
      </c>
      <c r="N4053" s="561" t="s">
        <v>95</v>
      </c>
      <c r="O4053" s="561"/>
      <c r="P4053" s="561"/>
      <c r="Q4053" s="561"/>
      <c r="R4053" s="95" t="s">
        <v>96</v>
      </c>
      <c r="S4053" s="95" t="s">
        <v>97</v>
      </c>
      <c r="T4053" s="562" t="s">
        <v>8</v>
      </c>
      <c r="U4053" s="562"/>
      <c r="V4053" s="100" t="s">
        <v>98</v>
      </c>
      <c r="Y4053" s="383" t="s">
        <v>104</v>
      </c>
      <c r="Z4053" s="119" t="s">
        <v>9</v>
      </c>
      <c r="AA4053" s="86"/>
      <c r="AB4053" s="384"/>
      <c r="AC4053" s="385"/>
      <c r="AD4053" s="94"/>
      <c r="AE4053" s="386"/>
    </row>
    <row r="4054" spans="3:31" s="260" customFormat="1" x14ac:dyDescent="0.25">
      <c r="C4054" s="84"/>
      <c r="D4054" s="85"/>
      <c r="E4054" s="86"/>
      <c r="F4054" s="86"/>
      <c r="G4054" s="86"/>
      <c r="H4054" s="86"/>
      <c r="I4054" s="86"/>
      <c r="J4054" s="87"/>
      <c r="K4054" s="88"/>
      <c r="M4054" s="102"/>
      <c r="N4054" s="533" t="s">
        <v>99</v>
      </c>
      <c r="O4054" s="533"/>
      <c r="P4054" s="533"/>
      <c r="Q4054" s="533"/>
      <c r="R4054" s="78" t="s">
        <v>100</v>
      </c>
      <c r="S4054" s="387">
        <f>+$AA$10</f>
        <v>0.05</v>
      </c>
      <c r="T4054" s="563">
        <f>V4084</f>
        <v>4184.2299999999996</v>
      </c>
      <c r="U4054" s="563"/>
      <c r="V4054" s="389">
        <f>+IFERROR(T4054*S4054,0)</f>
        <v>209.2115</v>
      </c>
      <c r="Y4054" s="390"/>
      <c r="Z4054" s="391">
        <f>Y4050*V4054</f>
        <v>6485.5564999999997</v>
      </c>
      <c r="AA4054" s="86"/>
      <c r="AB4054" s="384"/>
      <c r="AC4054" s="385"/>
      <c r="AD4054" s="94"/>
      <c r="AE4054" s="386" t="str">
        <f>+IF(V4054=0,"CERO","NO")</f>
        <v>NO</v>
      </c>
    </row>
    <row r="4055" spans="3:31" s="260" customFormat="1" x14ac:dyDescent="0.25">
      <c r="C4055" s="84"/>
      <c r="D4055" s="85"/>
      <c r="E4055" s="86"/>
      <c r="F4055" s="86"/>
      <c r="G4055" s="86"/>
      <c r="H4055" s="86"/>
      <c r="I4055" s="86"/>
      <c r="J4055" s="87"/>
      <c r="K4055" s="88"/>
      <c r="M4055" s="106"/>
      <c r="N4055" s="533" t="str">
        <f>IFERROR(VLOOKUP(M4055,INSUMOS!$C$8:$K$928,2,0),"-----")</f>
        <v>-----</v>
      </c>
      <c r="O4055" s="533"/>
      <c r="P4055" s="533"/>
      <c r="Q4055" s="533"/>
      <c r="R4055" s="78" t="str">
        <f>IFERROR(VLOOKUP(M4055,INSUMOS!$C$8:$K$928,6,0),"-----")</f>
        <v>-----</v>
      </c>
      <c r="S4055" s="392"/>
      <c r="T4055" s="529" t="str">
        <f>IFERROR(VLOOKUP(M4055,INSUMOS!$C$8:$K$928,7,0),"0")</f>
        <v>0</v>
      </c>
      <c r="U4055" s="529"/>
      <c r="V4055" s="389">
        <f>+IFERROR(T4055*S4055,0)</f>
        <v>0</v>
      </c>
      <c r="Y4055" s="393">
        <f>+IFERROR(Y4050*S4055,0)</f>
        <v>0</v>
      </c>
      <c r="Z4055" s="391">
        <f>Y4050*V4055</f>
        <v>0</v>
      </c>
      <c r="AA4055" s="394"/>
      <c r="AB4055" s="395">
        <f>+Y4055*T4055</f>
        <v>0</v>
      </c>
      <c r="AC4055" s="93">
        <f>+AB4055-Z4055</f>
        <v>0</v>
      </c>
      <c r="AD4055" s="94"/>
      <c r="AE4055" s="386" t="str">
        <f>+IF(V4055=0,"CERO","NO")</f>
        <v>CERO</v>
      </c>
    </row>
    <row r="4056" spans="3:31" s="260" customFormat="1" x14ac:dyDescent="0.25">
      <c r="C4056" s="84"/>
      <c r="D4056" s="85"/>
      <c r="E4056" s="86"/>
      <c r="F4056" s="86"/>
      <c r="G4056" s="86"/>
      <c r="H4056" s="86"/>
      <c r="I4056" s="86"/>
      <c r="J4056" s="87"/>
      <c r="K4056" s="88"/>
      <c r="M4056" s="102">
        <v>0</v>
      </c>
      <c r="N4056" s="533"/>
      <c r="O4056" s="533"/>
      <c r="P4056" s="533"/>
      <c r="Q4056" s="533"/>
      <c r="R4056" s="78"/>
      <c r="S4056" s="396"/>
      <c r="T4056" s="529"/>
      <c r="U4056" s="529"/>
      <c r="V4056" s="397"/>
      <c r="Y4056" s="393">
        <f>+IFERROR(Y4050*S4056,0)</f>
        <v>0</v>
      </c>
      <c r="Z4056" s="391">
        <f>Y4050*V4056</f>
        <v>0</v>
      </c>
      <c r="AA4056" s="394"/>
      <c r="AB4056" s="395">
        <f>+Y4056*T4056</f>
        <v>0</v>
      </c>
      <c r="AC4056" s="93">
        <f>+AB4056-Z4056</f>
        <v>0</v>
      </c>
      <c r="AD4056" s="94"/>
      <c r="AE4056" s="386" t="str">
        <f>+IF(V4056=0,"CERO","NO")</f>
        <v>CERO</v>
      </c>
    </row>
    <row r="4057" spans="3:31" s="260" customFormat="1" x14ac:dyDescent="0.25">
      <c r="C4057" s="84"/>
      <c r="D4057" s="85"/>
      <c r="E4057" s="86"/>
      <c r="F4057" s="86"/>
      <c r="G4057" s="86"/>
      <c r="H4057" s="86"/>
      <c r="I4057" s="86"/>
      <c r="J4057" s="87"/>
      <c r="K4057" s="88"/>
      <c r="M4057" s="102">
        <v>0</v>
      </c>
      <c r="N4057" s="533"/>
      <c r="O4057" s="533"/>
      <c r="P4057" s="533"/>
      <c r="Q4057" s="533"/>
      <c r="R4057" s="78"/>
      <c r="S4057" s="396"/>
      <c r="T4057" s="529"/>
      <c r="U4057" s="529"/>
      <c r="V4057" s="397"/>
      <c r="Y4057" s="393">
        <f>+IFERROR(Y4050*S4057,0)</f>
        <v>0</v>
      </c>
      <c r="Z4057" s="391">
        <f>Y4050*V4057</f>
        <v>0</v>
      </c>
      <c r="AA4057" s="394"/>
      <c r="AB4057" s="395">
        <f>+Y4057*T4057</f>
        <v>0</v>
      </c>
      <c r="AC4057" s="93">
        <f>+AB4057-Z4057</f>
        <v>0</v>
      </c>
      <c r="AD4057" s="94"/>
      <c r="AE4057" s="386" t="str">
        <f>+IF(V4057=0,"CERO","NO")</f>
        <v>CERO</v>
      </c>
    </row>
    <row r="4058" spans="3:31" s="260" customFormat="1" ht="15.75" thickBot="1" x14ac:dyDescent="0.3">
      <c r="C4058" s="84"/>
      <c r="D4058" s="85"/>
      <c r="E4058" s="86"/>
      <c r="F4058" s="86"/>
      <c r="G4058" s="86"/>
      <c r="H4058" s="86"/>
      <c r="I4058" s="86"/>
      <c r="J4058" s="87"/>
      <c r="K4058" s="88"/>
      <c r="M4058" s="102">
        <v>0</v>
      </c>
      <c r="N4058" s="564"/>
      <c r="O4058" s="564"/>
      <c r="P4058" s="564"/>
      <c r="Q4058" s="564"/>
      <c r="R4058" s="96"/>
      <c r="S4058" s="96"/>
      <c r="T4058" s="565"/>
      <c r="U4058" s="565"/>
      <c r="V4058" s="101"/>
      <c r="Y4058" s="393">
        <f>+IFERROR(Y4050*S4058,0)</f>
        <v>0</v>
      </c>
      <c r="Z4058" s="391">
        <f>Y4050*V4058</f>
        <v>0</v>
      </c>
      <c r="AA4058" s="394"/>
      <c r="AB4058" s="395">
        <f>+Y4058*T4058</f>
        <v>0</v>
      </c>
      <c r="AC4058" s="93">
        <f>+AB4058-Z4058</f>
        <v>0</v>
      </c>
      <c r="AD4058" s="94"/>
      <c r="AE4058" s="386" t="str">
        <f>+IF(V4058=0,"CERO","NO")</f>
        <v>CERO</v>
      </c>
    </row>
    <row r="4059" spans="3:31" s="260" customFormat="1" ht="15.75" thickBot="1" x14ac:dyDescent="0.3">
      <c r="C4059" s="84"/>
      <c r="D4059" s="375" t="s">
        <v>128</v>
      </c>
      <c r="E4059" s="376" t="s">
        <v>129</v>
      </c>
      <c r="F4059" s="376" t="s">
        <v>130</v>
      </c>
      <c r="G4059" s="376" t="s">
        <v>131</v>
      </c>
      <c r="H4059" s="376" t="s">
        <v>132</v>
      </c>
      <c r="I4059" s="376" t="s">
        <v>133</v>
      </c>
      <c r="J4059" s="377" t="s">
        <v>134</v>
      </c>
      <c r="K4059" s="88"/>
      <c r="M4059" s="534"/>
      <c r="N4059" s="536" t="s">
        <v>101</v>
      </c>
      <c r="O4059" s="536"/>
      <c r="P4059" s="536"/>
      <c r="Q4059" s="536"/>
      <c r="R4059" s="536"/>
      <c r="S4059" s="536"/>
      <c r="T4059" s="536"/>
      <c r="U4059" s="536"/>
      <c r="V4059" s="389">
        <f>+SUM(V4054:V4058)</f>
        <v>209.2115</v>
      </c>
      <c r="Y4059" s="398" t="s">
        <v>135</v>
      </c>
      <c r="Z4059" s="397">
        <f>+SUM(Z4054:Z4058)</f>
        <v>6485.5564999999997</v>
      </c>
      <c r="AA4059" s="86"/>
      <c r="AB4059" s="384"/>
      <c r="AC4059" s="385"/>
      <c r="AD4059" s="94"/>
      <c r="AE4059" s="399"/>
    </row>
    <row r="4060" spans="3:31" s="260" customFormat="1" ht="15.75" thickBot="1" x14ac:dyDescent="0.3">
      <c r="C4060" s="84"/>
      <c r="D4060" s="375">
        <f>C4050</f>
        <v>4.0599999999999996</v>
      </c>
      <c r="E4060" s="376"/>
      <c r="F4060" s="376"/>
      <c r="G4060" s="376"/>
      <c r="H4060" s="376"/>
      <c r="I4060" s="376"/>
      <c r="J4060" s="377"/>
      <c r="K4060" s="88"/>
      <c r="M4060" s="566"/>
      <c r="N4060" s="567" t="s">
        <v>102</v>
      </c>
      <c r="O4060" s="567"/>
      <c r="P4060" s="567"/>
      <c r="Q4060" s="567"/>
      <c r="R4060" s="567"/>
      <c r="S4060" s="567"/>
      <c r="T4060" s="567"/>
      <c r="U4060" s="567"/>
      <c r="V4060" s="400">
        <f>+ROUND(V4059,$AA$5)</f>
        <v>209.21</v>
      </c>
      <c r="Y4060" s="401" t="s">
        <v>136</v>
      </c>
      <c r="Z4060" s="402">
        <f>+ROUND(Z4059,$AA$5)</f>
        <v>6485.56</v>
      </c>
      <c r="AA4060" s="86"/>
      <c r="AB4060" s="403">
        <f>+V4060*Y4050</f>
        <v>6485.51</v>
      </c>
      <c r="AC4060" s="404">
        <f>+AB4060-Z4060</f>
        <v>-5.0000000000181899E-2</v>
      </c>
      <c r="AD4060" s="94"/>
      <c r="AE4060" s="405"/>
    </row>
    <row r="4061" spans="3:31" s="260" customFormat="1" x14ac:dyDescent="0.25">
      <c r="C4061" s="84"/>
      <c r="D4061" s="380"/>
      <c r="E4061" s="381"/>
      <c r="F4061" s="381"/>
      <c r="G4061" s="381"/>
      <c r="H4061" s="381"/>
      <c r="I4061" s="381"/>
      <c r="J4061" s="382"/>
      <c r="K4061" s="88"/>
      <c r="M4061" s="510" t="s">
        <v>103</v>
      </c>
      <c r="N4061" s="511"/>
      <c r="O4061" s="511"/>
      <c r="P4061" s="511"/>
      <c r="Q4061" s="511"/>
      <c r="R4061" s="511"/>
      <c r="S4061" s="511"/>
      <c r="T4061" s="511"/>
      <c r="U4061" s="511"/>
      <c r="V4061" s="512"/>
      <c r="Y4061" s="378"/>
      <c r="Z4061" s="121"/>
      <c r="AA4061" s="86"/>
      <c r="AB4061" s="513"/>
      <c r="AC4061" s="514"/>
      <c r="AD4061" s="94"/>
      <c r="AE4061" s="126"/>
    </row>
    <row r="4062" spans="3:31" s="260" customFormat="1" x14ac:dyDescent="0.25">
      <c r="C4062" s="84"/>
      <c r="D4062" s="85"/>
      <c r="E4062" s="86"/>
      <c r="F4062" s="86"/>
      <c r="G4062" s="86"/>
      <c r="H4062" s="86"/>
      <c r="I4062" s="86"/>
      <c r="J4062" s="87"/>
      <c r="K4062" s="88"/>
      <c r="M4062" s="99" t="s">
        <v>94</v>
      </c>
      <c r="N4062" s="561" t="s">
        <v>95</v>
      </c>
      <c r="O4062" s="561"/>
      <c r="P4062" s="561"/>
      <c r="Q4062" s="561"/>
      <c r="R4062" s="95" t="s">
        <v>96</v>
      </c>
      <c r="S4062" s="95" t="s">
        <v>104</v>
      </c>
      <c r="T4062" s="356" t="s">
        <v>105</v>
      </c>
      <c r="U4062" s="356" t="s">
        <v>8</v>
      </c>
      <c r="V4062" s="100" t="s">
        <v>98</v>
      </c>
      <c r="Y4062" s="383" t="s">
        <v>104</v>
      </c>
      <c r="Z4062" s="119" t="s">
        <v>9</v>
      </c>
      <c r="AA4062" s="86"/>
      <c r="AB4062" s="384"/>
      <c r="AC4062" s="385"/>
      <c r="AD4062" s="94"/>
      <c r="AE4062" s="406"/>
    </row>
    <row r="4063" spans="3:31" s="260" customFormat="1" x14ac:dyDescent="0.25">
      <c r="C4063" s="84"/>
      <c r="D4063" s="85"/>
      <c r="E4063" s="86"/>
      <c r="F4063" s="86"/>
      <c r="G4063" s="86"/>
      <c r="H4063" s="86"/>
      <c r="I4063" s="86"/>
      <c r="J4063" s="87"/>
      <c r="K4063" s="88"/>
      <c r="M4063" s="102">
        <v>536</v>
      </c>
      <c r="N4063" s="533" t="str">
        <f>IFERROR(VLOOKUP(M4063,INSUMOS!$C$8:$K$928,2,0),"-----")</f>
        <v>CODO 4" 90° SANITARIO</v>
      </c>
      <c r="O4063" s="533"/>
      <c r="P4063" s="533"/>
      <c r="Q4063" s="533"/>
      <c r="R4063" s="78" t="str">
        <f>IFERROR(VLOOKUP(M4063,INSUMOS!$C$8:$K$928,6,0),"-----")</f>
        <v>und</v>
      </c>
      <c r="S4063" s="396">
        <v>1</v>
      </c>
      <c r="T4063" s="387">
        <v>0</v>
      </c>
      <c r="U4063" s="388">
        <f>IFERROR(VLOOKUP(M4063,INSUMOS!$C$8:$K$928,7,0),"0")</f>
        <v>17859</v>
      </c>
      <c r="V4063" s="389">
        <f>+IFERROR(U4063*(S4063*(1+T4063)),0)</f>
        <v>17859</v>
      </c>
      <c r="Y4063" s="393">
        <f>+IFERROR(Y4050*(S4063*(1+T4063)),0)</f>
        <v>31</v>
      </c>
      <c r="Z4063" s="391">
        <f>Y4050*V4063</f>
        <v>553629</v>
      </c>
      <c r="AA4063" s="394"/>
      <c r="AB4063" s="395">
        <f>+Y4063*U4063</f>
        <v>553629</v>
      </c>
      <c r="AC4063" s="93">
        <f>+AB4063-Z4063</f>
        <v>0</v>
      </c>
      <c r="AD4063" s="94"/>
      <c r="AE4063" s="406" t="str">
        <f>+IF(V4063=0,"CERO","NO")</f>
        <v>NO</v>
      </c>
    </row>
    <row r="4064" spans="3:31" s="260" customFormat="1" x14ac:dyDescent="0.25">
      <c r="C4064" s="84"/>
      <c r="D4064" s="85"/>
      <c r="E4064" s="86"/>
      <c r="F4064" s="86"/>
      <c r="G4064" s="86"/>
      <c r="H4064" s="86"/>
      <c r="I4064" s="86"/>
      <c r="J4064" s="87"/>
      <c r="K4064" s="88"/>
      <c r="M4064" s="102">
        <v>699</v>
      </c>
      <c r="N4064" s="533" t="str">
        <f>IFERROR(VLOOKUP(M4064,INSUMOS!$C$8:$K$928,2,0),"-----")</f>
        <v>SOLDADURA PVC LIQUIDA 1/4"</v>
      </c>
      <c r="O4064" s="533"/>
      <c r="P4064" s="533"/>
      <c r="Q4064" s="533"/>
      <c r="R4064" s="78" t="str">
        <f>IFERROR(VLOOKUP(M4064,INSUMOS!$C$8:$K$928,6,0),"-----")</f>
        <v>und</v>
      </c>
      <c r="S4064" s="396">
        <v>0.01</v>
      </c>
      <c r="T4064" s="387">
        <v>0.02</v>
      </c>
      <c r="U4064" s="388">
        <f>IFERROR(VLOOKUP(M4064,INSUMOS!$C$8:$K$928,7,0),"0")</f>
        <v>146569</v>
      </c>
      <c r="V4064" s="389">
        <f>+IFERROR(U4064*(S4064*(1+T4064)),0)</f>
        <v>1495.0038000000002</v>
      </c>
      <c r="Y4064" s="393">
        <f>+IFERROR(Y4050*(S4064*(1+T4064)),0)</f>
        <v>0.31620000000000004</v>
      </c>
      <c r="Z4064" s="391">
        <f>Y4050*V4064</f>
        <v>46345.117800000007</v>
      </c>
      <c r="AA4064" s="394"/>
      <c r="AB4064" s="395">
        <f>+Y4064*U4064</f>
        <v>46345.117800000007</v>
      </c>
      <c r="AC4064" s="93">
        <f>+AB4064-Z4064</f>
        <v>0</v>
      </c>
      <c r="AD4064" s="94"/>
      <c r="AE4064" s="406" t="str">
        <f>+IF(V4064=0,"CERO","NO")</f>
        <v>NO</v>
      </c>
    </row>
    <row r="4065" spans="3:31" s="260" customFormat="1" x14ac:dyDescent="0.25">
      <c r="C4065" s="84"/>
      <c r="D4065" s="85"/>
      <c r="E4065" s="86"/>
      <c r="F4065" s="86"/>
      <c r="G4065" s="86"/>
      <c r="H4065" s="86"/>
      <c r="I4065" s="86"/>
      <c r="J4065" s="87"/>
      <c r="K4065" s="88"/>
      <c r="M4065" s="102">
        <v>700</v>
      </c>
      <c r="N4065" s="533" t="str">
        <f>IFERROR(VLOOKUP(M4065,INSUMOS!$C$8:$K$928,2,0),"-----")</f>
        <v>LIMPIADOR PVC 1/4</v>
      </c>
      <c r="O4065" s="533"/>
      <c r="P4065" s="533"/>
      <c r="Q4065" s="533"/>
      <c r="R4065" s="78" t="str">
        <f>IFERROR(VLOOKUP(M4065,INSUMOS!$C$8:$K$928,6,0),"-----")</f>
        <v>und</v>
      </c>
      <c r="S4065" s="396">
        <v>0.01</v>
      </c>
      <c r="T4065" s="387">
        <v>0.02</v>
      </c>
      <c r="U4065" s="388">
        <f>IFERROR(VLOOKUP(M4065,INSUMOS!$C$8:$K$928,7,0),"0")</f>
        <v>65913</v>
      </c>
      <c r="V4065" s="389">
        <f>+IFERROR(U4065*(S4065*(1+T4065)),0)</f>
        <v>672.31260000000009</v>
      </c>
      <c r="Y4065" s="393">
        <f>+IFERROR(Y4050*(S4065*(1+T4065)),0)</f>
        <v>0.31620000000000004</v>
      </c>
      <c r="Z4065" s="391">
        <f>Y4050*V4065</f>
        <v>20841.690600000002</v>
      </c>
      <c r="AA4065" s="394"/>
      <c r="AB4065" s="395">
        <f>+Y4065*U4065</f>
        <v>20841.690600000002</v>
      </c>
      <c r="AC4065" s="93">
        <f>+AB4065-Z4065</f>
        <v>0</v>
      </c>
      <c r="AD4065" s="94"/>
      <c r="AE4065" s="406" t="str">
        <f>+IF(V4065=0,"CERO","NO")</f>
        <v>NO</v>
      </c>
    </row>
    <row r="4066" spans="3:31" s="260" customFormat="1" x14ac:dyDescent="0.25">
      <c r="C4066" s="84"/>
      <c r="D4066" s="85"/>
      <c r="E4066" s="86"/>
      <c r="F4066" s="86"/>
      <c r="G4066" s="86"/>
      <c r="H4066" s="86"/>
      <c r="I4066" s="86"/>
      <c r="J4066" s="87"/>
      <c r="K4066" s="88"/>
      <c r="M4066" s="102">
        <v>0</v>
      </c>
      <c r="N4066" s="533" t="str">
        <f>IFERROR(VLOOKUP(M4066,INSUMOS!$C$8:$K$928,2,0),"-----")</f>
        <v>-----</v>
      </c>
      <c r="O4066" s="533"/>
      <c r="P4066" s="533"/>
      <c r="Q4066" s="533"/>
      <c r="R4066" s="78" t="str">
        <f>IFERROR(VLOOKUP(M4066,INSUMOS!$C$8:$K$928,6,0),"-----")</f>
        <v>-----</v>
      </c>
      <c r="S4066" s="396"/>
      <c r="T4066" s="387"/>
      <c r="U4066" s="388" t="str">
        <f>IFERROR(VLOOKUP(M4066,INSUMOS!$C$8:$K$928,7,0),"0")</f>
        <v>0</v>
      </c>
      <c r="V4066" s="389">
        <f>+IFERROR(U4066*(S4066*(1+T4066)),0)</f>
        <v>0</v>
      </c>
      <c r="Y4066" s="393">
        <f>+IFERROR(Y4050*(S4066*(1+T4066)),0)</f>
        <v>0</v>
      </c>
      <c r="Z4066" s="391">
        <f>Y4050*V4066</f>
        <v>0</v>
      </c>
      <c r="AA4066" s="394"/>
      <c r="AB4066" s="395">
        <f>+Y4066*U4066</f>
        <v>0</v>
      </c>
      <c r="AC4066" s="93">
        <f>+AB4066-Z4066</f>
        <v>0</v>
      </c>
      <c r="AD4066" s="94"/>
      <c r="AE4066" s="406" t="str">
        <f>+IF(V4066=0,"CERO","NO")</f>
        <v>CERO</v>
      </c>
    </row>
    <row r="4067" spans="3:31" s="260" customFormat="1" ht="15.75" thickBot="1" x14ac:dyDescent="0.3">
      <c r="C4067" s="84"/>
      <c r="D4067" s="85"/>
      <c r="E4067" s="86"/>
      <c r="F4067" s="86"/>
      <c r="G4067" s="86"/>
      <c r="H4067" s="86"/>
      <c r="I4067" s="86"/>
      <c r="J4067" s="87"/>
      <c r="K4067" s="88"/>
      <c r="M4067" s="102">
        <v>0</v>
      </c>
      <c r="N4067" s="564"/>
      <c r="O4067" s="564"/>
      <c r="P4067" s="564"/>
      <c r="Q4067" s="564"/>
      <c r="R4067" s="96"/>
      <c r="S4067" s="79"/>
      <c r="T4067" s="97"/>
      <c r="U4067" s="358"/>
      <c r="V4067" s="397"/>
      <c r="Y4067" s="393">
        <f>+IFERROR(Y4050*(S4067*(1+T4067)),0)</f>
        <v>0</v>
      </c>
      <c r="Z4067" s="391">
        <f>Y4050*V4067</f>
        <v>0</v>
      </c>
      <c r="AA4067" s="394"/>
      <c r="AB4067" s="395">
        <f>+Y4067*U4067</f>
        <v>0</v>
      </c>
      <c r="AC4067" s="93">
        <f>+AB4067-Z4067</f>
        <v>0</v>
      </c>
      <c r="AD4067" s="94"/>
      <c r="AE4067" s="406" t="str">
        <f>+IF(V4067=0,"CERO","NO")</f>
        <v>CERO</v>
      </c>
    </row>
    <row r="4068" spans="3:31" s="260" customFormat="1" ht="15.75" thickBot="1" x14ac:dyDescent="0.3">
      <c r="C4068" s="84"/>
      <c r="D4068" s="375" t="s">
        <v>128</v>
      </c>
      <c r="E4068" s="376" t="s">
        <v>129</v>
      </c>
      <c r="F4068" s="376" t="s">
        <v>130</v>
      </c>
      <c r="G4068" s="376" t="s">
        <v>131</v>
      </c>
      <c r="H4068" s="376" t="s">
        <v>132</v>
      </c>
      <c r="I4068" s="376" t="s">
        <v>133</v>
      </c>
      <c r="J4068" s="377" t="s">
        <v>134</v>
      </c>
      <c r="K4068" s="88"/>
      <c r="M4068" s="534"/>
      <c r="N4068" s="536" t="s">
        <v>106</v>
      </c>
      <c r="O4068" s="536"/>
      <c r="P4068" s="536"/>
      <c r="Q4068" s="536"/>
      <c r="R4068" s="536"/>
      <c r="S4068" s="536"/>
      <c r="T4068" s="536"/>
      <c r="U4068" s="536"/>
      <c r="V4068" s="389">
        <f>+SUM(V4063:V4067)</f>
        <v>20026.3164</v>
      </c>
      <c r="Y4068" s="398" t="s">
        <v>135</v>
      </c>
      <c r="Z4068" s="397">
        <f>+SUM(Z4063:Z4067)</f>
        <v>620815.80839999998</v>
      </c>
      <c r="AA4068" s="86"/>
      <c r="AB4068" s="384"/>
      <c r="AC4068" s="385"/>
      <c r="AD4068" s="94"/>
      <c r="AE4068" s="399"/>
    </row>
    <row r="4069" spans="3:31" s="260" customFormat="1" ht="15.75" thickBot="1" x14ac:dyDescent="0.3">
      <c r="C4069" s="84"/>
      <c r="D4069" s="375"/>
      <c r="E4069" s="407">
        <f>+D4060</f>
        <v>4.0599999999999996</v>
      </c>
      <c r="F4069" s="376"/>
      <c r="G4069" s="376"/>
      <c r="H4069" s="376"/>
      <c r="I4069" s="376"/>
      <c r="J4069" s="377"/>
      <c r="K4069" s="88"/>
      <c r="M4069" s="535"/>
      <c r="N4069" s="537" t="s">
        <v>107</v>
      </c>
      <c r="O4069" s="537"/>
      <c r="P4069" s="537"/>
      <c r="Q4069" s="537"/>
      <c r="R4069" s="537"/>
      <c r="S4069" s="537"/>
      <c r="T4069" s="537"/>
      <c r="U4069" s="537"/>
      <c r="V4069" s="408">
        <f>+ROUND(V4068,$AA$5)</f>
        <v>20026.32</v>
      </c>
      <c r="Y4069" s="401" t="s">
        <v>136</v>
      </c>
      <c r="Z4069" s="402">
        <f>+ROUND(Z4068,$AA$5)</f>
        <v>620815.81000000006</v>
      </c>
      <c r="AA4069" s="86"/>
      <c r="AB4069" s="403">
        <f>+V4069*Y4050</f>
        <v>620815.92000000004</v>
      </c>
      <c r="AC4069" s="404">
        <f>+AB4069-Z4069</f>
        <v>0.10999999998603016</v>
      </c>
      <c r="AD4069" s="94"/>
      <c r="AE4069" s="405"/>
    </row>
    <row r="4070" spans="3:31" s="260" customFormat="1" x14ac:dyDescent="0.25">
      <c r="C4070" s="84"/>
      <c r="D4070" s="380"/>
      <c r="E4070" s="381"/>
      <c r="F4070" s="381"/>
      <c r="G4070" s="381"/>
      <c r="H4070" s="381"/>
      <c r="I4070" s="381"/>
      <c r="J4070" s="382"/>
      <c r="K4070" s="88"/>
      <c r="M4070" s="568" t="s">
        <v>108</v>
      </c>
      <c r="N4070" s="569"/>
      <c r="O4070" s="569"/>
      <c r="P4070" s="569"/>
      <c r="Q4070" s="569"/>
      <c r="R4070" s="569"/>
      <c r="S4070" s="569"/>
      <c r="T4070" s="569"/>
      <c r="U4070" s="569"/>
      <c r="V4070" s="570"/>
      <c r="Y4070" s="378"/>
      <c r="Z4070" s="121"/>
      <c r="AA4070" s="86"/>
      <c r="AB4070" s="409"/>
      <c r="AC4070" s="121"/>
      <c r="AD4070" s="94"/>
      <c r="AE4070" s="126"/>
    </row>
    <row r="4071" spans="3:31" s="260" customFormat="1" ht="25.5" x14ac:dyDescent="0.25">
      <c r="C4071" s="84"/>
      <c r="D4071" s="85"/>
      <c r="E4071" s="86"/>
      <c r="F4071" s="86"/>
      <c r="G4071" s="86"/>
      <c r="H4071" s="86"/>
      <c r="I4071" s="86"/>
      <c r="J4071" s="87"/>
      <c r="K4071" s="88"/>
      <c r="M4071" s="99" t="s">
        <v>94</v>
      </c>
      <c r="N4071" s="561" t="s">
        <v>95</v>
      </c>
      <c r="O4071" s="561"/>
      <c r="P4071" s="561"/>
      <c r="Q4071" s="95" t="s">
        <v>109</v>
      </c>
      <c r="R4071" s="95" t="s">
        <v>110</v>
      </c>
      <c r="S4071" s="95" t="s">
        <v>111</v>
      </c>
      <c r="T4071" s="562" t="s">
        <v>112</v>
      </c>
      <c r="U4071" s="562"/>
      <c r="V4071" s="100" t="s">
        <v>98</v>
      </c>
      <c r="Y4071" s="383" t="s">
        <v>104</v>
      </c>
      <c r="Z4071" s="119" t="s">
        <v>9</v>
      </c>
      <c r="AA4071" s="86"/>
      <c r="AB4071" s="384"/>
      <c r="AC4071" s="385"/>
      <c r="AD4071" s="94"/>
      <c r="AE4071" s="410"/>
    </row>
    <row r="4072" spans="3:31" s="260" customFormat="1" x14ac:dyDescent="0.25">
      <c r="C4072" s="84"/>
      <c r="D4072" s="85"/>
      <c r="E4072" s="86"/>
      <c r="F4072" s="86"/>
      <c r="G4072" s="86"/>
      <c r="H4072" s="86"/>
      <c r="I4072" s="86"/>
      <c r="J4072" s="87"/>
      <c r="K4072" s="88"/>
      <c r="M4072" s="102">
        <v>129</v>
      </c>
      <c r="N4072" s="530" t="str">
        <f>IFERROR(VLOOKUP(M4072,INSUMOS!$C$8:$K$928,2,0),"-----")</f>
        <v>transporte materiales en general</v>
      </c>
      <c r="O4072" s="531"/>
      <c r="P4072" s="532"/>
      <c r="Q4072" s="78" t="str">
        <f>IFERROR(VLOOKUP(M4072,INSUMOS!$C$8:$K$928,5,0),"-----")</f>
        <v>Km</v>
      </c>
      <c r="R4072" s="80">
        <v>1</v>
      </c>
      <c r="S4072" s="80">
        <f>IFERROR(VLOOKUP(M4072,INSUMOS!$C$8:$K$928,6,0),"0")</f>
        <v>348</v>
      </c>
      <c r="T4072" s="529">
        <f>IFERROR(VLOOKUP(M4072,INSUMOS!$C$8:$K$928,7,0),"0")</f>
        <v>0.99776362060288992</v>
      </c>
      <c r="U4072" s="529"/>
      <c r="V4072" s="82">
        <f>+T4072*S4072*R4072</f>
        <v>347.2217399698057</v>
      </c>
      <c r="Y4072" s="393">
        <f>+IFERROR((R4072*S4072)*Y4050,0)</f>
        <v>10788</v>
      </c>
      <c r="Z4072" s="391">
        <f>Y4050*V4072</f>
        <v>10763.873939063977</v>
      </c>
      <c r="AA4072" s="86"/>
      <c r="AB4072" s="92">
        <f>+Y4072*T4072</f>
        <v>10763.873939063977</v>
      </c>
      <c r="AC4072" s="93">
        <f>+AB4072-Z4072</f>
        <v>0</v>
      </c>
      <c r="AD4072" s="94"/>
      <c r="AE4072" s="406" t="str">
        <f>+IF(V4072=0,"CERO","NO")</f>
        <v>NO</v>
      </c>
    </row>
    <row r="4073" spans="3:31" s="260" customFormat="1" x14ac:dyDescent="0.25">
      <c r="C4073" s="84"/>
      <c r="D4073" s="85"/>
      <c r="E4073" s="86"/>
      <c r="F4073" s="86"/>
      <c r="G4073" s="86"/>
      <c r="H4073" s="86"/>
      <c r="I4073" s="86"/>
      <c r="J4073" s="87"/>
      <c r="K4073" s="88"/>
      <c r="M4073" s="102">
        <v>0</v>
      </c>
      <c r="N4073" s="530" t="str">
        <f>IFERROR(VLOOKUP(M4073,INSUMOS!$C$8:$K$928,2,0),"-----")</f>
        <v>-----</v>
      </c>
      <c r="O4073" s="531"/>
      <c r="P4073" s="532"/>
      <c r="Q4073" s="78" t="str">
        <f>IFERROR(VLOOKUP(M4073,INSUMOS!$C$8:$K$928,5,0),"-----")</f>
        <v>-----</v>
      </c>
      <c r="R4073" s="80"/>
      <c r="S4073" s="80" t="str">
        <f>IFERROR(VLOOKUP(M4073,INSUMOS!$C$8:$K$928,6,0),"0")</f>
        <v>0</v>
      </c>
      <c r="T4073" s="529" t="str">
        <f>IFERROR(VLOOKUP(M4073,INSUMOS!$C$8:$K$928,7,0),"0")</f>
        <v>0</v>
      </c>
      <c r="U4073" s="529"/>
      <c r="V4073" s="82">
        <f>+T4073*S4073*R4073</f>
        <v>0</v>
      </c>
      <c r="Y4073" s="393">
        <f>+IFERROR((R4073*S4073)*Y4050,0)</f>
        <v>0</v>
      </c>
      <c r="Z4073" s="391">
        <f>Y4050*V4073</f>
        <v>0</v>
      </c>
      <c r="AA4073" s="86"/>
      <c r="AB4073" s="92">
        <f>+Y4073*T4073</f>
        <v>0</v>
      </c>
      <c r="AC4073" s="93">
        <f>+AB4073-Z4073</f>
        <v>0</v>
      </c>
      <c r="AD4073" s="94"/>
      <c r="AE4073" s="406" t="str">
        <f>+IF(V4073=0,"CERO","NO")</f>
        <v>CERO</v>
      </c>
    </row>
    <row r="4074" spans="3:31" s="260" customFormat="1" x14ac:dyDescent="0.25">
      <c r="C4074" s="84"/>
      <c r="D4074" s="85"/>
      <c r="E4074" s="86"/>
      <c r="F4074" s="86"/>
      <c r="G4074" s="86"/>
      <c r="H4074" s="86"/>
      <c r="I4074" s="86"/>
      <c r="J4074" s="87"/>
      <c r="K4074" s="88"/>
      <c r="M4074" s="102">
        <v>0</v>
      </c>
      <c r="N4074" s="530" t="str">
        <f>IFERROR(VLOOKUP(M4074,INSUMOS!$C$8:$K$928,2,0),"-----")</f>
        <v>-----</v>
      </c>
      <c r="O4074" s="531"/>
      <c r="P4074" s="532"/>
      <c r="Q4074" s="78" t="str">
        <f>IFERROR(VLOOKUP(M4074,INSUMOS!$C$8:$K$928,5,0),"-----")</f>
        <v>-----</v>
      </c>
      <c r="R4074" s="80"/>
      <c r="S4074" s="80" t="str">
        <f>IFERROR(VLOOKUP(M4074,INSUMOS!$C$8:$K$928,6,0),"0")</f>
        <v>0</v>
      </c>
      <c r="T4074" s="529" t="str">
        <f>IFERROR(VLOOKUP(M4074,INSUMOS!$C$8:$K$928,7,0),"0")</f>
        <v>0</v>
      </c>
      <c r="U4074" s="529"/>
      <c r="V4074" s="82">
        <f>+T4074*S4074*R4074</f>
        <v>0</v>
      </c>
      <c r="Y4074" s="393">
        <f>+IFERROR((R4074*S4074)*Y4050,0)</f>
        <v>0</v>
      </c>
      <c r="Z4074" s="391">
        <f>Y4050*V4074</f>
        <v>0</v>
      </c>
      <c r="AA4074" s="86"/>
      <c r="AB4074" s="92">
        <f>+Y4074*T4074</f>
        <v>0</v>
      </c>
      <c r="AC4074" s="93">
        <f>+AB4074-Z4074</f>
        <v>0</v>
      </c>
      <c r="AD4074" s="94"/>
      <c r="AE4074" s="406" t="str">
        <f>+IF(V4074=0,"CERO","NO")</f>
        <v>CERO</v>
      </c>
    </row>
    <row r="4075" spans="3:31" s="260" customFormat="1" ht="15.75" thickBot="1" x14ac:dyDescent="0.3">
      <c r="C4075" s="84"/>
      <c r="D4075" s="89"/>
      <c r="E4075" s="90"/>
      <c r="F4075" s="90"/>
      <c r="G4075" s="90"/>
      <c r="H4075" s="90"/>
      <c r="I4075" s="90"/>
      <c r="J4075" s="91"/>
      <c r="K4075" s="88"/>
      <c r="M4075" s="102">
        <v>0</v>
      </c>
      <c r="N4075" s="533"/>
      <c r="O4075" s="533"/>
      <c r="P4075" s="533"/>
      <c r="Q4075" s="79"/>
      <c r="R4075" s="78"/>
      <c r="S4075" s="81"/>
      <c r="T4075" s="529"/>
      <c r="U4075" s="529"/>
      <c r="V4075" s="82"/>
      <c r="Y4075" s="393">
        <f>+IFERROR((R4075*S4075)*Y4050,0)</f>
        <v>0</v>
      </c>
      <c r="Z4075" s="391">
        <f>Y4050*V4075</f>
        <v>0</v>
      </c>
      <c r="AA4075" s="86"/>
      <c r="AB4075" s="92">
        <f>+Y4075*T4075</f>
        <v>0</v>
      </c>
      <c r="AC4075" s="93">
        <f>+AB4075-Z4075</f>
        <v>0</v>
      </c>
      <c r="AD4075" s="94"/>
      <c r="AE4075" s="406" t="str">
        <f>+IF(V4075=0,"CERO","NO")</f>
        <v>CERO</v>
      </c>
    </row>
    <row r="4076" spans="3:31" s="260" customFormat="1" ht="15.75" thickBot="1" x14ac:dyDescent="0.3">
      <c r="C4076" s="84"/>
      <c r="D4076" s="375" t="s">
        <v>128</v>
      </c>
      <c r="E4076" s="376" t="s">
        <v>129</v>
      </c>
      <c r="F4076" s="376" t="s">
        <v>130</v>
      </c>
      <c r="G4076" s="376" t="s">
        <v>131</v>
      </c>
      <c r="H4076" s="376" t="s">
        <v>132</v>
      </c>
      <c r="I4076" s="376" t="s">
        <v>133</v>
      </c>
      <c r="J4076" s="377" t="s">
        <v>134</v>
      </c>
      <c r="K4076" s="88"/>
      <c r="M4076" s="534"/>
      <c r="N4076" s="536" t="s">
        <v>113</v>
      </c>
      <c r="O4076" s="536"/>
      <c r="P4076" s="536"/>
      <c r="Q4076" s="536"/>
      <c r="R4076" s="536"/>
      <c r="S4076" s="536"/>
      <c r="T4076" s="536"/>
      <c r="U4076" s="536"/>
      <c r="V4076" s="411">
        <f>+SUM(V4072:V4075)</f>
        <v>347.2217399698057</v>
      </c>
      <c r="Y4076" s="398" t="s">
        <v>135</v>
      </c>
      <c r="Z4076" s="397">
        <f>+SUM(Z4072:Z4075)</f>
        <v>10763.873939063977</v>
      </c>
      <c r="AA4076" s="86"/>
      <c r="AB4076" s="384"/>
      <c r="AC4076" s="385"/>
      <c r="AD4076" s="94"/>
      <c r="AE4076" s="399"/>
    </row>
    <row r="4077" spans="3:31" s="260" customFormat="1" ht="15.75" thickBot="1" x14ac:dyDescent="0.3">
      <c r="C4077" s="84"/>
      <c r="D4077" s="355"/>
      <c r="E4077" s="367"/>
      <c r="F4077" s="412">
        <f>+E4069</f>
        <v>4.0599999999999996</v>
      </c>
      <c r="G4077" s="367"/>
      <c r="H4077" s="367"/>
      <c r="I4077" s="367"/>
      <c r="J4077" s="368"/>
      <c r="K4077" s="88"/>
      <c r="M4077" s="535"/>
      <c r="N4077" s="537" t="s">
        <v>114</v>
      </c>
      <c r="O4077" s="537"/>
      <c r="P4077" s="537"/>
      <c r="Q4077" s="537"/>
      <c r="R4077" s="537"/>
      <c r="S4077" s="537"/>
      <c r="T4077" s="537"/>
      <c r="U4077" s="537"/>
      <c r="V4077" s="413">
        <f>+ROUND(V4076,$AA$5)</f>
        <v>347.22</v>
      </c>
      <c r="Y4077" s="401" t="s">
        <v>136</v>
      </c>
      <c r="Z4077" s="402">
        <f>+ROUND(Z4076,$AA$5)</f>
        <v>10763.87</v>
      </c>
      <c r="AA4077" s="86"/>
      <c r="AB4077" s="403">
        <f>+V4077*Y4050</f>
        <v>10763.820000000002</v>
      </c>
      <c r="AC4077" s="414"/>
      <c r="AD4077" s="94"/>
      <c r="AE4077" s="405"/>
    </row>
    <row r="4078" spans="3:31" s="260" customFormat="1" ht="15.75" thickBot="1" x14ac:dyDescent="0.3">
      <c r="C4078" s="84"/>
      <c r="D4078" s="415"/>
      <c r="E4078" s="416"/>
      <c r="F4078" s="416"/>
      <c r="G4078" s="416"/>
      <c r="H4078" s="416"/>
      <c r="I4078" s="416"/>
      <c r="J4078" s="417"/>
      <c r="K4078" s="88"/>
      <c r="M4078" s="538" t="s">
        <v>115</v>
      </c>
      <c r="N4078" s="539"/>
      <c r="O4078" s="539"/>
      <c r="P4078" s="539"/>
      <c r="Q4078" s="539"/>
      <c r="R4078" s="539"/>
      <c r="S4078" s="539"/>
      <c r="T4078" s="539"/>
      <c r="U4078" s="539"/>
      <c r="V4078" s="540"/>
      <c r="Y4078" s="378"/>
      <c r="Z4078" s="121"/>
      <c r="AA4078" s="86"/>
      <c r="AB4078" s="409"/>
      <c r="AC4078" s="121"/>
      <c r="AD4078" s="94"/>
      <c r="AE4078" s="126"/>
    </row>
    <row r="4079" spans="3:31" s="260" customFormat="1" ht="15.75" thickBot="1" x14ac:dyDescent="0.3">
      <c r="C4079" s="84"/>
      <c r="D4079" s="375" t="s">
        <v>128</v>
      </c>
      <c r="E4079" s="376" t="s">
        <v>129</v>
      </c>
      <c r="F4079" s="376" t="s">
        <v>130</v>
      </c>
      <c r="G4079" s="376" t="s">
        <v>131</v>
      </c>
      <c r="H4079" s="376" t="s">
        <v>132</v>
      </c>
      <c r="I4079" s="376" t="s">
        <v>133</v>
      </c>
      <c r="J4079" s="377" t="s">
        <v>134</v>
      </c>
      <c r="K4079" s="88"/>
      <c r="M4079" s="99" t="s">
        <v>94</v>
      </c>
      <c r="N4079" s="98" t="s">
        <v>95</v>
      </c>
      <c r="O4079" s="95" t="s">
        <v>96</v>
      </c>
      <c r="P4079" s="359" t="s">
        <v>104</v>
      </c>
      <c r="Q4079" s="95" t="s">
        <v>116</v>
      </c>
      <c r="R4079" s="418" t="s">
        <v>117</v>
      </c>
      <c r="S4079" s="95" t="s">
        <v>347</v>
      </c>
      <c r="T4079" s="419" t="s">
        <v>118</v>
      </c>
      <c r="U4079" s="189" t="s">
        <v>119</v>
      </c>
      <c r="V4079" s="100" t="s">
        <v>98</v>
      </c>
      <c r="Y4079" s="383" t="s">
        <v>104</v>
      </c>
      <c r="Z4079" s="119" t="s">
        <v>9</v>
      </c>
      <c r="AA4079" s="86"/>
      <c r="AB4079" s="384"/>
      <c r="AC4079" s="385"/>
      <c r="AD4079" s="94"/>
      <c r="AE4079" s="410"/>
    </row>
    <row r="4080" spans="3:31" s="260" customFormat="1" ht="25.5" x14ac:dyDescent="0.25">
      <c r="C4080" s="84"/>
      <c r="D4080" s="354"/>
      <c r="E4080" s="96"/>
      <c r="F4080" s="96"/>
      <c r="G4080" s="96"/>
      <c r="H4080" s="96"/>
      <c r="I4080" s="96"/>
      <c r="J4080" s="420">
        <f>+F4077</f>
        <v>4.0599999999999996</v>
      </c>
      <c r="K4080" s="88"/>
      <c r="M4080" s="102">
        <v>207</v>
      </c>
      <c r="N4080" s="347" t="str">
        <f>IFERROR(VLOOKUP(M4080,INSUMOS!$C$8:$K$928,2,0),"-----")</f>
        <v>Oficial Hidrosanitario</v>
      </c>
      <c r="O4080" s="78" t="str">
        <f>IFERROR(VLOOKUP(M4080,INSUMOS!$C$8:$K$928,3,0),"-----")</f>
        <v>JORNAL+PS</v>
      </c>
      <c r="P4080" s="80">
        <v>1</v>
      </c>
      <c r="Q4080" s="79">
        <v>40</v>
      </c>
      <c r="R4080" s="190">
        <f>IFERROR(VLOOKUP(M4080,INSUMOS!$C$8:$K$928,4,0),"-----")</f>
        <v>92983</v>
      </c>
      <c r="S4080" s="190">
        <f>IFERROR(VLOOKUP(M4080,INSUMOS!$C$8:$K$928,6,0),"-----")</f>
        <v>74386</v>
      </c>
      <c r="T4080" s="190">
        <f>IFERROR(VLOOKUP(M4080,INSUMOS!$C$8:$K$928,5,0),"-----")</f>
        <v>0</v>
      </c>
      <c r="U4080" s="388">
        <f>SUM(R4080:T4080)</f>
        <v>167369</v>
      </c>
      <c r="V4080" s="82">
        <f>+IFERROR((P4080/Q4080)*U4080,0)</f>
        <v>4184.2250000000004</v>
      </c>
      <c r="Y4080" s="393">
        <f>+IFERROR((Y4050/Q4080*P4080),0)</f>
        <v>0.77500000000000002</v>
      </c>
      <c r="Z4080" s="391">
        <f>Y4050*V4080</f>
        <v>129710.97500000001</v>
      </c>
      <c r="AA4080" s="86"/>
      <c r="AB4080" s="92">
        <f>+(U4080)*Y4080</f>
        <v>129710.97500000001</v>
      </c>
      <c r="AC4080" s="93">
        <f>+AB4080-Z4080</f>
        <v>0</v>
      </c>
      <c r="AD4080" s="421"/>
      <c r="AE4080" s="410" t="str">
        <f>+IF(V4080=0,"CERO","NO")</f>
        <v>NO</v>
      </c>
    </row>
    <row r="4081" spans="3:31" s="260" customFormat="1" ht="15.75" thickBot="1" x14ac:dyDescent="0.3">
      <c r="C4081" s="84"/>
      <c r="D4081" s="355"/>
      <c r="E4081" s="367"/>
      <c r="F4081" s="367"/>
      <c r="G4081" s="367"/>
      <c r="H4081" s="367"/>
      <c r="I4081" s="367"/>
      <c r="J4081" s="422">
        <f>+J4080</f>
        <v>4.0599999999999996</v>
      </c>
      <c r="K4081" s="88"/>
      <c r="M4081" s="102"/>
      <c r="N4081" s="347" t="str">
        <f>IFERROR(VLOOKUP(M4081,INSUMOS!$C$8:$K$928,2,0),"-----")</f>
        <v>-----</v>
      </c>
      <c r="O4081" s="78" t="str">
        <f>IFERROR(VLOOKUP(M4081,INSUMOS!$C$8:$K$928,3,0),"-----")</f>
        <v>-----</v>
      </c>
      <c r="P4081" s="80"/>
      <c r="Q4081" s="79"/>
      <c r="R4081" s="190" t="str">
        <f>IFERROR(VLOOKUP(M4081,INSUMOS!$C$8:$K$928,4,0),"-----")</f>
        <v>-----</v>
      </c>
      <c r="S4081" s="190" t="str">
        <f>IFERROR(VLOOKUP(M4081,INSUMOS!$C$8:$K$928,6,0),"-----")</f>
        <v>-----</v>
      </c>
      <c r="T4081" s="190" t="str">
        <f>IFERROR(VLOOKUP(M4081,INSUMOS!$C$8:$K$928,5,0),"-----")</f>
        <v>-----</v>
      </c>
      <c r="U4081" s="388">
        <f>SUM(R4081:T4081)</f>
        <v>0</v>
      </c>
      <c r="V4081" s="82">
        <f>+IFERROR((P4081/Q4081)*U4081,0)</f>
        <v>0</v>
      </c>
      <c r="Y4081" s="393">
        <f>+IFERROR((Y4050/Q4081*P4081),0)</f>
        <v>0</v>
      </c>
      <c r="Z4081" s="391">
        <f>Y4050*V4081</f>
        <v>0</v>
      </c>
      <c r="AA4081" s="86"/>
      <c r="AB4081" s="92">
        <f>+U4081*Y4081</f>
        <v>0</v>
      </c>
      <c r="AC4081" s="93">
        <f>+AB4081-Z4081</f>
        <v>0</v>
      </c>
      <c r="AD4081" s="94"/>
      <c r="AE4081" s="410" t="str">
        <f>+IF(V4081=0,"CERO","NO")</f>
        <v>CERO</v>
      </c>
    </row>
    <row r="4082" spans="3:31" s="260" customFormat="1" ht="15.75" thickBot="1" x14ac:dyDescent="0.3">
      <c r="C4082" s="84"/>
      <c r="D4082" s="380"/>
      <c r="E4082" s="381"/>
      <c r="F4082" s="381"/>
      <c r="G4082" s="381"/>
      <c r="H4082" s="381"/>
      <c r="I4082" s="381"/>
      <c r="J4082" s="382"/>
      <c r="K4082" s="88"/>
      <c r="M4082" s="102">
        <v>0</v>
      </c>
      <c r="N4082" s="347"/>
      <c r="O4082" s="79"/>
      <c r="P4082" s="423"/>
      <c r="Q4082" s="81"/>
      <c r="R4082" s="111"/>
      <c r="S4082" s="357"/>
      <c r="T4082" s="111"/>
      <c r="U4082" s="388"/>
      <c r="V4082" s="426"/>
      <c r="Y4082" s="393">
        <f>+IFERROR((Y4050/Q4082*P4082),0)</f>
        <v>0</v>
      </c>
      <c r="Z4082" s="391">
        <f>Y4050*V4082</f>
        <v>0</v>
      </c>
      <c r="AA4082" s="86"/>
      <c r="AB4082" s="92">
        <f>+(U4082)*Y4082*P4082</f>
        <v>0</v>
      </c>
      <c r="AC4082" s="93">
        <f>+AB4082-Z4082</f>
        <v>0</v>
      </c>
      <c r="AD4082" s="94"/>
      <c r="AE4082" s="410" t="str">
        <f>+IF(V4082=0,"CERO","NO")</f>
        <v>CERO</v>
      </c>
    </row>
    <row r="4083" spans="3:31" s="260" customFormat="1" ht="15.75" thickBot="1" x14ac:dyDescent="0.3">
      <c r="C4083" s="84"/>
      <c r="D4083" s="375" t="s">
        <v>128</v>
      </c>
      <c r="E4083" s="376" t="s">
        <v>129</v>
      </c>
      <c r="F4083" s="376" t="s">
        <v>130</v>
      </c>
      <c r="G4083" s="376" t="s">
        <v>131</v>
      </c>
      <c r="H4083" s="376" t="s">
        <v>132</v>
      </c>
      <c r="I4083" s="376" t="s">
        <v>133</v>
      </c>
      <c r="J4083" s="377" t="s">
        <v>134</v>
      </c>
      <c r="K4083" s="88"/>
      <c r="M4083" s="534"/>
      <c r="N4083" s="536" t="s">
        <v>120</v>
      </c>
      <c r="O4083" s="536"/>
      <c r="P4083" s="536"/>
      <c r="Q4083" s="536"/>
      <c r="R4083" s="536"/>
      <c r="S4083" s="536"/>
      <c r="T4083" s="536"/>
      <c r="U4083" s="536"/>
      <c r="V4083" s="82">
        <f>+SUM(V4080:V4082)</f>
        <v>4184.2250000000004</v>
      </c>
      <c r="Y4083" s="398" t="s">
        <v>135</v>
      </c>
      <c r="Z4083" s="397">
        <f>+SUM(Z4080:Z4082)</f>
        <v>129710.97500000001</v>
      </c>
      <c r="AA4083" s="86"/>
      <c r="AB4083" s="384"/>
      <c r="AC4083" s="385"/>
      <c r="AD4083" s="94"/>
      <c r="AE4083" s="399"/>
    </row>
    <row r="4084" spans="3:31" s="260" customFormat="1" ht="15.75" thickBot="1" x14ac:dyDescent="0.3">
      <c r="C4084" s="84"/>
      <c r="D4084" s="354"/>
      <c r="E4084" s="96"/>
      <c r="F4084" s="96"/>
      <c r="G4084" s="107">
        <f>+F4077</f>
        <v>4.0599999999999996</v>
      </c>
      <c r="H4084" s="96"/>
      <c r="I4084" s="96"/>
      <c r="J4084" s="427"/>
      <c r="K4084" s="88"/>
      <c r="M4084" s="535"/>
      <c r="N4084" s="537" t="s">
        <v>121</v>
      </c>
      <c r="O4084" s="537"/>
      <c r="P4084" s="537"/>
      <c r="Q4084" s="537"/>
      <c r="R4084" s="537"/>
      <c r="S4084" s="537"/>
      <c r="T4084" s="537"/>
      <c r="U4084" s="537"/>
      <c r="V4084" s="413">
        <f>+ROUND(V4083,$AA$5)</f>
        <v>4184.2299999999996</v>
      </c>
      <c r="Y4084" s="401" t="s">
        <v>136</v>
      </c>
      <c r="Z4084" s="402">
        <f>+ROUND(Z4083,$AA$5)</f>
        <v>129710.98</v>
      </c>
      <c r="AA4084" s="86"/>
      <c r="AB4084" s="403">
        <f>+V4084*Y4050</f>
        <v>129711.12999999999</v>
      </c>
      <c r="AC4084" s="404">
        <f>+AB4084-Z4084</f>
        <v>0.14999999999417923</v>
      </c>
      <c r="AD4084" s="94"/>
      <c r="AE4084" s="405"/>
    </row>
    <row r="4085" spans="3:31" s="260" customFormat="1" ht="15.75" thickBot="1" x14ac:dyDescent="0.3">
      <c r="C4085" s="84"/>
      <c r="D4085" s="375" t="s">
        <v>128</v>
      </c>
      <c r="E4085" s="376" t="s">
        <v>129</v>
      </c>
      <c r="F4085" s="376" t="s">
        <v>130</v>
      </c>
      <c r="G4085" s="376" t="s">
        <v>131</v>
      </c>
      <c r="H4085" s="376" t="s">
        <v>132</v>
      </c>
      <c r="I4085" s="376" t="s">
        <v>133</v>
      </c>
      <c r="J4085" s="377" t="s">
        <v>134</v>
      </c>
      <c r="K4085" s="88"/>
      <c r="M4085" s="541"/>
      <c r="N4085" s="542"/>
      <c r="O4085" s="542"/>
      <c r="P4085" s="542"/>
      <c r="Q4085" s="542"/>
      <c r="R4085" s="542"/>
      <c r="S4085" s="542"/>
      <c r="T4085" s="542"/>
      <c r="U4085" s="542"/>
      <c r="V4085" s="543"/>
      <c r="Y4085" s="378"/>
      <c r="Z4085" s="121"/>
      <c r="AA4085" s="86"/>
      <c r="AB4085" s="409"/>
      <c r="AC4085" s="121"/>
      <c r="AD4085" s="94"/>
      <c r="AE4085" s="428"/>
    </row>
    <row r="4086" spans="3:31" s="260" customFormat="1" ht="15.75" thickBot="1" x14ac:dyDescent="0.3">
      <c r="C4086" s="84"/>
      <c r="D4086" s="355"/>
      <c r="E4086" s="367"/>
      <c r="F4086" s="367"/>
      <c r="G4086" s="367"/>
      <c r="H4086" s="412">
        <f>G4084</f>
        <v>4.0599999999999996</v>
      </c>
      <c r="I4086" s="412"/>
      <c r="J4086" s="422"/>
      <c r="K4086" s="88"/>
      <c r="M4086" s="544" t="s">
        <v>122</v>
      </c>
      <c r="N4086" s="537"/>
      <c r="O4086" s="537"/>
      <c r="P4086" s="537"/>
      <c r="Q4086" s="537"/>
      <c r="R4086" s="537"/>
      <c r="S4086" s="537"/>
      <c r="T4086" s="537"/>
      <c r="U4086" s="545">
        <f>+V4084+V4077+V4069+V4060</f>
        <v>24766.98</v>
      </c>
      <c r="V4086" s="546"/>
      <c r="Y4086" s="429"/>
      <c r="Z4086" s="430">
        <f>+Z4084+Z4077+Z4069+Z4060</f>
        <v>767776.22000000009</v>
      </c>
      <c r="AA4086" s="86"/>
      <c r="AB4086" s="431">
        <f>+AB4084+AB4077+AB4069+AB4060</f>
        <v>767776.38</v>
      </c>
      <c r="AC4086" s="404">
        <f>+AB4086-Z4086</f>
        <v>0.15999999991618097</v>
      </c>
      <c r="AD4086" s="94"/>
      <c r="AE4086" s="432"/>
    </row>
    <row r="4087" spans="3:31" s="260" customFormat="1" ht="15.75" thickBot="1" x14ac:dyDescent="0.3"/>
    <row r="4088" spans="3:31" s="260" customFormat="1" x14ac:dyDescent="0.25">
      <c r="M4088" s="547" t="s">
        <v>348</v>
      </c>
      <c r="N4088" s="548"/>
      <c r="O4088" s="548"/>
      <c r="P4088" s="548"/>
      <c r="Q4088" s="548"/>
      <c r="R4088" s="548"/>
      <c r="S4088" s="548"/>
      <c r="T4088" s="548"/>
      <c r="U4088" s="548"/>
      <c r="V4088" s="549"/>
      <c r="Y4088" s="378"/>
      <c r="Z4088" s="121"/>
      <c r="AA4088" s="86"/>
      <c r="AB4088" s="94"/>
      <c r="AC4088" s="94"/>
      <c r="AD4088" s="94"/>
      <c r="AE4088" s="126" t="s">
        <v>133</v>
      </c>
    </row>
    <row r="4089" spans="3:31" s="260" customFormat="1" x14ac:dyDescent="0.25">
      <c r="M4089" s="515" t="s">
        <v>138</v>
      </c>
      <c r="N4089" s="516"/>
      <c r="O4089" s="516"/>
      <c r="P4089" s="516"/>
      <c r="Q4089" s="516"/>
      <c r="R4089" s="516"/>
      <c r="S4089" s="516"/>
      <c r="T4089" s="437">
        <v>0</v>
      </c>
      <c r="U4089" s="517">
        <f>+ROUND(U4086*T4089,$AA$5)</f>
        <v>0</v>
      </c>
      <c r="V4089" s="518"/>
      <c r="Y4089" s="390"/>
      <c r="Z4089" s="438">
        <f>+Z4086*T4089</f>
        <v>0</v>
      </c>
      <c r="AA4089" s="86"/>
      <c r="AB4089" s="94"/>
      <c r="AC4089" s="94"/>
      <c r="AD4089" s="94"/>
      <c r="AE4089" s="386" t="s">
        <v>133</v>
      </c>
    </row>
    <row r="4090" spans="3:31" s="260" customFormat="1" x14ac:dyDescent="0.25">
      <c r="M4090" s="515" t="s">
        <v>19</v>
      </c>
      <c r="N4090" s="516"/>
      <c r="O4090" s="516"/>
      <c r="P4090" s="516"/>
      <c r="Q4090" s="516"/>
      <c r="R4090" s="516"/>
      <c r="S4090" s="516"/>
      <c r="T4090" s="437">
        <v>0.05</v>
      </c>
      <c r="U4090" s="517">
        <f>+ROUND(U4086*T4090,$AA$5)</f>
        <v>1238.3499999999999</v>
      </c>
      <c r="V4090" s="518"/>
      <c r="Y4090" s="390"/>
      <c r="Z4090" s="438">
        <f>+Z4086*T4090</f>
        <v>38388.811000000009</v>
      </c>
      <c r="AA4090" s="86"/>
      <c r="AB4090" s="94"/>
      <c r="AC4090" s="94"/>
      <c r="AD4090" s="94"/>
      <c r="AE4090" s="386" t="s">
        <v>133</v>
      </c>
    </row>
    <row r="4091" spans="3:31" s="260" customFormat="1" x14ac:dyDescent="0.25">
      <c r="M4091" s="515" t="s">
        <v>20</v>
      </c>
      <c r="N4091" s="516"/>
      <c r="O4091" s="516"/>
      <c r="P4091" s="516"/>
      <c r="Q4091" s="516"/>
      <c r="R4091" s="516"/>
      <c r="S4091" s="516"/>
      <c r="T4091" s="437">
        <v>0</v>
      </c>
      <c r="U4091" s="517">
        <f>+ROUND(U4086*T4091,$AA$5)</f>
        <v>0</v>
      </c>
      <c r="V4091" s="518"/>
      <c r="Y4091" s="390"/>
      <c r="Z4091" s="438">
        <f>+Z4086*T4091</f>
        <v>0</v>
      </c>
      <c r="AA4091" s="86"/>
      <c r="AB4091" s="94"/>
      <c r="AC4091" s="94"/>
      <c r="AD4091" s="94"/>
      <c r="AE4091" s="386" t="s">
        <v>133</v>
      </c>
    </row>
    <row r="4092" spans="3:31" s="260" customFormat="1" x14ac:dyDescent="0.25">
      <c r="M4092" s="515" t="s">
        <v>21</v>
      </c>
      <c r="N4092" s="516"/>
      <c r="O4092" s="516"/>
      <c r="P4092" s="516"/>
      <c r="Q4092" s="516"/>
      <c r="R4092" s="516"/>
      <c r="S4092" s="516"/>
      <c r="T4092" s="437">
        <f>$AA$9</f>
        <v>0</v>
      </c>
      <c r="U4092" s="517">
        <f>+ROUND(U4086*T4092,$AA$5)</f>
        <v>0</v>
      </c>
      <c r="V4092" s="518"/>
      <c r="Y4092" s="390"/>
      <c r="Z4092" s="438">
        <f>+Z4091*T4092</f>
        <v>0</v>
      </c>
      <c r="AA4092" s="86"/>
      <c r="AB4092" s="94"/>
      <c r="AC4092" s="94"/>
      <c r="AD4092" s="94"/>
      <c r="AE4092" s="386" t="s">
        <v>133</v>
      </c>
    </row>
    <row r="4093" spans="3:31" s="260" customFormat="1" ht="15.75" thickBot="1" x14ac:dyDescent="0.3">
      <c r="M4093" s="519" t="s">
        <v>349</v>
      </c>
      <c r="N4093" s="520"/>
      <c r="O4093" s="520"/>
      <c r="P4093" s="520"/>
      <c r="Q4093" s="520"/>
      <c r="R4093" s="520"/>
      <c r="S4093" s="520"/>
      <c r="T4093" s="520"/>
      <c r="U4093" s="521">
        <f>+SUM(U4089:V4092)</f>
        <v>1238.3499999999999</v>
      </c>
      <c r="V4093" s="522"/>
      <c r="Y4093" s="390"/>
      <c r="Z4093" s="439">
        <f>+SUM(Z4089:Z4092)</f>
        <v>38388.811000000009</v>
      </c>
      <c r="AA4093" s="86"/>
      <c r="AB4093" s="94"/>
      <c r="AC4093" s="94"/>
      <c r="AD4093" s="94"/>
      <c r="AE4093" s="386" t="s">
        <v>133</v>
      </c>
    </row>
    <row r="4094" spans="3:31" s="260" customFormat="1" ht="15.75" thickBot="1" x14ac:dyDescent="0.3">
      <c r="D4094" s="375" t="s">
        <v>128</v>
      </c>
      <c r="E4094" s="376" t="s">
        <v>129</v>
      </c>
      <c r="F4094" s="376" t="s">
        <v>130</v>
      </c>
      <c r="G4094" s="376" t="s">
        <v>131</v>
      </c>
      <c r="H4094" s="376" t="s">
        <v>132</v>
      </c>
      <c r="I4094" s="376" t="s">
        <v>133</v>
      </c>
      <c r="J4094" s="377" t="s">
        <v>134</v>
      </c>
      <c r="M4094" s="86"/>
      <c r="N4094" s="94"/>
      <c r="O4094" s="94"/>
      <c r="P4094" s="94"/>
      <c r="Q4094" s="86"/>
      <c r="R4094" s="86"/>
      <c r="S4094" s="86"/>
      <c r="T4094" s="440"/>
      <c r="U4094" s="523"/>
      <c r="V4094" s="523"/>
      <c r="Y4094" s="390"/>
      <c r="Z4094" s="385"/>
      <c r="AA4094" s="86"/>
      <c r="AB4094" s="94"/>
      <c r="AC4094" s="94"/>
      <c r="AD4094" s="94"/>
      <c r="AE4094" s="386" t="s">
        <v>133</v>
      </c>
    </row>
    <row r="4095" spans="3:31" s="260" customFormat="1" ht="15.75" thickBot="1" x14ac:dyDescent="0.3">
      <c r="D4095" s="355"/>
      <c r="E4095" s="367"/>
      <c r="F4095" s="367"/>
      <c r="G4095" s="367"/>
      <c r="H4095" s="412"/>
      <c r="I4095" s="412">
        <f>H4086</f>
        <v>4.0599999999999996</v>
      </c>
      <c r="J4095" s="422"/>
      <c r="M4095" s="524" t="s">
        <v>11</v>
      </c>
      <c r="N4095" s="525"/>
      <c r="O4095" s="525"/>
      <c r="P4095" s="525"/>
      <c r="Q4095" s="525"/>
      <c r="R4095" s="525"/>
      <c r="S4095" s="525"/>
      <c r="T4095" s="526"/>
      <c r="U4095" s="527">
        <f>+U4093+U4086</f>
        <v>26005.329999999998</v>
      </c>
      <c r="V4095" s="528"/>
      <c r="Y4095" s="429"/>
      <c r="Z4095" s="441">
        <f>+Z4093+Z4086</f>
        <v>806165.03100000008</v>
      </c>
      <c r="AA4095" s="86"/>
      <c r="AB4095" s="94"/>
      <c r="AC4095" s="94"/>
      <c r="AD4095" s="94"/>
      <c r="AE4095" s="405" t="s">
        <v>133</v>
      </c>
    </row>
    <row r="4096" spans="3:31" s="260" customFormat="1" x14ac:dyDescent="0.25"/>
    <row r="4097" spans="3:31" s="260" customFormat="1" ht="15.75" thickBot="1" x14ac:dyDescent="0.3"/>
    <row r="4098" spans="3:31" s="260" customFormat="1" ht="15.75" thickBot="1" x14ac:dyDescent="0.3">
      <c r="M4098" s="363" t="s">
        <v>88</v>
      </c>
      <c r="N4098" s="436" t="str">
        <f>+N4049</f>
        <v>CAP.4</v>
      </c>
      <c r="O4098" s="550" t="str">
        <f>IFERROR(VLOOKUP(N4098,PPTO!C:H,2,0),"----")</f>
        <v>RED SANITARIA</v>
      </c>
      <c r="P4098" s="551"/>
      <c r="Q4098" s="551"/>
      <c r="R4098" s="551"/>
      <c r="S4098" s="551"/>
      <c r="T4098" s="551"/>
      <c r="U4098" s="552"/>
      <c r="V4098" s="74" t="s">
        <v>91</v>
      </c>
      <c r="Y4098" s="365" t="s">
        <v>104</v>
      </c>
      <c r="Z4098" s="94"/>
      <c r="AA4098" s="188"/>
      <c r="AB4098" s="553"/>
      <c r="AC4098" s="553"/>
      <c r="AD4098" s="553"/>
      <c r="AE4098" s="94"/>
    </row>
    <row r="4099" spans="3:31" s="260" customFormat="1" ht="15.75" thickBot="1" x14ac:dyDescent="0.3">
      <c r="C4099" s="369">
        <f>+N4099</f>
        <v>4.07</v>
      </c>
      <c r="D4099" s="86"/>
      <c r="E4099" s="86"/>
      <c r="F4099" s="86"/>
      <c r="G4099" s="86"/>
      <c r="H4099" s="86"/>
      <c r="I4099" s="86"/>
      <c r="J4099" s="86"/>
      <c r="K4099" s="370"/>
      <c r="M4099" s="75" t="s">
        <v>92</v>
      </c>
      <c r="N4099" s="371">
        <f>+ROUNDUP(N4050+0.01,2)</f>
        <v>4.07</v>
      </c>
      <c r="O4099" s="554" t="str">
        <f>IFERROR(VLOOKUP(N4099,PPTO!C:H,2,0),"----")</f>
        <v>Codo 90° Sanitario PVC Ø2"</v>
      </c>
      <c r="P4099" s="555"/>
      <c r="Q4099" s="555"/>
      <c r="R4099" s="555"/>
      <c r="S4099" s="555"/>
      <c r="T4099" s="555"/>
      <c r="U4099" s="556"/>
      <c r="V4099" s="76" t="str">
        <f>IFERROR(VLOOKUP(N4099,PPTO!C:H,3,0),"----")</f>
        <v>UND</v>
      </c>
      <c r="Y4099" s="373">
        <f>SUMIFS(PPTO!F:F,PPTO!C:C,APUS!N4099)</f>
        <v>113</v>
      </c>
      <c r="Z4099" s="94"/>
      <c r="AA4099" s="86"/>
      <c r="AB4099" s="94"/>
      <c r="AC4099" s="94"/>
      <c r="AD4099" s="94"/>
      <c r="AE4099" s="94"/>
    </row>
    <row r="4100" spans="3:31" s="260" customFormat="1" ht="15.75" thickBot="1" x14ac:dyDescent="0.3">
      <c r="C4100" s="84"/>
      <c r="D4100" s="86"/>
      <c r="E4100" s="86"/>
      <c r="F4100" s="86"/>
      <c r="G4100" s="86"/>
      <c r="H4100" s="86"/>
      <c r="I4100" s="86"/>
      <c r="J4100" s="86"/>
      <c r="K4100" s="88"/>
      <c r="M4100" s="557"/>
      <c r="N4100" s="557"/>
      <c r="O4100" s="557"/>
      <c r="P4100" s="557"/>
      <c r="Q4100" s="557"/>
      <c r="R4100" s="557"/>
      <c r="S4100" s="557"/>
      <c r="T4100" s="557"/>
      <c r="U4100" s="557"/>
      <c r="V4100" s="557"/>
      <c r="Y4100" s="374"/>
      <c r="Z4100" s="94"/>
      <c r="AA4100" s="86"/>
      <c r="AB4100" s="94"/>
      <c r="AC4100" s="94"/>
      <c r="AD4100" s="94"/>
      <c r="AE4100" s="94"/>
    </row>
    <row r="4101" spans="3:31" s="260" customFormat="1" ht="15.75" thickBot="1" x14ac:dyDescent="0.3">
      <c r="C4101" s="84"/>
      <c r="D4101" s="375" t="s">
        <v>128</v>
      </c>
      <c r="E4101" s="376" t="s">
        <v>129</v>
      </c>
      <c r="F4101" s="376" t="s">
        <v>130</v>
      </c>
      <c r="G4101" s="376" t="s">
        <v>131</v>
      </c>
      <c r="H4101" s="376" t="s">
        <v>132</v>
      </c>
      <c r="I4101" s="376" t="s">
        <v>133</v>
      </c>
      <c r="J4101" s="377" t="s">
        <v>134</v>
      </c>
      <c r="K4101" s="88"/>
      <c r="M4101" s="558" t="s">
        <v>93</v>
      </c>
      <c r="N4101" s="559"/>
      <c r="O4101" s="559"/>
      <c r="P4101" s="559"/>
      <c r="Q4101" s="559"/>
      <c r="R4101" s="559"/>
      <c r="S4101" s="559"/>
      <c r="T4101" s="559"/>
      <c r="U4101" s="559"/>
      <c r="V4101" s="560"/>
      <c r="Y4101" s="378"/>
      <c r="Z4101" s="121"/>
      <c r="AA4101" s="86"/>
      <c r="AB4101" s="513"/>
      <c r="AC4101" s="514"/>
      <c r="AD4101" s="94"/>
      <c r="AE4101" s="379"/>
    </row>
    <row r="4102" spans="3:31" s="260" customFormat="1" x14ac:dyDescent="0.25">
      <c r="C4102" s="84"/>
      <c r="D4102" s="380"/>
      <c r="E4102" s="381"/>
      <c r="F4102" s="381"/>
      <c r="G4102" s="381"/>
      <c r="H4102" s="381"/>
      <c r="I4102" s="381"/>
      <c r="J4102" s="382"/>
      <c r="K4102" s="88"/>
      <c r="M4102" s="99" t="s">
        <v>94</v>
      </c>
      <c r="N4102" s="561" t="s">
        <v>95</v>
      </c>
      <c r="O4102" s="561"/>
      <c r="P4102" s="561"/>
      <c r="Q4102" s="561"/>
      <c r="R4102" s="95" t="s">
        <v>96</v>
      </c>
      <c r="S4102" s="95" t="s">
        <v>97</v>
      </c>
      <c r="T4102" s="562" t="s">
        <v>8</v>
      </c>
      <c r="U4102" s="562"/>
      <c r="V4102" s="100" t="s">
        <v>98</v>
      </c>
      <c r="Y4102" s="383" t="s">
        <v>104</v>
      </c>
      <c r="Z4102" s="119" t="s">
        <v>9</v>
      </c>
      <c r="AA4102" s="86"/>
      <c r="AB4102" s="384"/>
      <c r="AC4102" s="385"/>
      <c r="AD4102" s="94"/>
      <c r="AE4102" s="386"/>
    </row>
    <row r="4103" spans="3:31" s="260" customFormat="1" x14ac:dyDescent="0.25">
      <c r="C4103" s="84"/>
      <c r="D4103" s="85"/>
      <c r="E4103" s="86"/>
      <c r="F4103" s="86"/>
      <c r="G4103" s="86"/>
      <c r="H4103" s="86"/>
      <c r="I4103" s="86"/>
      <c r="J4103" s="87"/>
      <c r="K4103" s="88"/>
      <c r="M4103" s="102"/>
      <c r="N4103" s="533" t="s">
        <v>99</v>
      </c>
      <c r="O4103" s="533"/>
      <c r="P4103" s="533"/>
      <c r="Q4103" s="533"/>
      <c r="R4103" s="78" t="s">
        <v>100</v>
      </c>
      <c r="S4103" s="387">
        <f>+$AA$10</f>
        <v>0.05</v>
      </c>
      <c r="T4103" s="563">
        <f>V4133</f>
        <v>4184.2299999999996</v>
      </c>
      <c r="U4103" s="563"/>
      <c r="V4103" s="389">
        <f>+IFERROR(T4103*S4103,0)</f>
        <v>209.2115</v>
      </c>
      <c r="Y4103" s="390"/>
      <c r="Z4103" s="391">
        <f>Y4099*V4103</f>
        <v>23640.8995</v>
      </c>
      <c r="AA4103" s="86"/>
      <c r="AB4103" s="384"/>
      <c r="AC4103" s="385"/>
      <c r="AD4103" s="94"/>
      <c r="AE4103" s="386" t="str">
        <f>+IF(V4103=0,"CERO","NO")</f>
        <v>NO</v>
      </c>
    </row>
    <row r="4104" spans="3:31" s="260" customFormat="1" x14ac:dyDescent="0.25">
      <c r="C4104" s="84"/>
      <c r="D4104" s="85"/>
      <c r="E4104" s="86"/>
      <c r="F4104" s="86"/>
      <c r="G4104" s="86"/>
      <c r="H4104" s="86"/>
      <c r="I4104" s="86"/>
      <c r="J4104" s="87"/>
      <c r="K4104" s="88"/>
      <c r="M4104" s="106"/>
      <c r="N4104" s="533" t="str">
        <f>IFERROR(VLOOKUP(M4104,INSUMOS!$C$8:$K$928,2,0),"-----")</f>
        <v>-----</v>
      </c>
      <c r="O4104" s="533"/>
      <c r="P4104" s="533"/>
      <c r="Q4104" s="533"/>
      <c r="R4104" s="78" t="str">
        <f>IFERROR(VLOOKUP(M4104,INSUMOS!$C$8:$K$928,6,0),"-----")</f>
        <v>-----</v>
      </c>
      <c r="S4104" s="392"/>
      <c r="T4104" s="529" t="str">
        <f>IFERROR(VLOOKUP(M4104,INSUMOS!$C$8:$K$928,7,0),"0")</f>
        <v>0</v>
      </c>
      <c r="U4104" s="529"/>
      <c r="V4104" s="389">
        <f>+IFERROR(T4104*S4104,0)</f>
        <v>0</v>
      </c>
      <c r="Y4104" s="393">
        <f>+IFERROR(Y4099*S4104,0)</f>
        <v>0</v>
      </c>
      <c r="Z4104" s="391">
        <f>Y4099*V4104</f>
        <v>0</v>
      </c>
      <c r="AA4104" s="394"/>
      <c r="AB4104" s="395">
        <f>+Y4104*T4104</f>
        <v>0</v>
      </c>
      <c r="AC4104" s="93">
        <f>+AB4104-Z4104</f>
        <v>0</v>
      </c>
      <c r="AD4104" s="94"/>
      <c r="AE4104" s="386" t="str">
        <f>+IF(V4104=0,"CERO","NO")</f>
        <v>CERO</v>
      </c>
    </row>
    <row r="4105" spans="3:31" s="260" customFormat="1" x14ac:dyDescent="0.25">
      <c r="C4105" s="84"/>
      <c r="D4105" s="85"/>
      <c r="E4105" s="86"/>
      <c r="F4105" s="86"/>
      <c r="G4105" s="86"/>
      <c r="H4105" s="86"/>
      <c r="I4105" s="86"/>
      <c r="J4105" s="87"/>
      <c r="K4105" s="88"/>
      <c r="M4105" s="102">
        <v>0</v>
      </c>
      <c r="N4105" s="533"/>
      <c r="O4105" s="533"/>
      <c r="P4105" s="533"/>
      <c r="Q4105" s="533"/>
      <c r="R4105" s="78"/>
      <c r="S4105" s="396"/>
      <c r="T4105" s="529"/>
      <c r="U4105" s="529"/>
      <c r="V4105" s="397"/>
      <c r="Y4105" s="393">
        <f>+IFERROR(Y4099*S4105,0)</f>
        <v>0</v>
      </c>
      <c r="Z4105" s="391">
        <f>Y4099*V4105</f>
        <v>0</v>
      </c>
      <c r="AA4105" s="394"/>
      <c r="AB4105" s="395">
        <f>+Y4105*T4105</f>
        <v>0</v>
      </c>
      <c r="AC4105" s="93">
        <f>+AB4105-Z4105</f>
        <v>0</v>
      </c>
      <c r="AD4105" s="94"/>
      <c r="AE4105" s="386" t="str">
        <f>+IF(V4105=0,"CERO","NO")</f>
        <v>CERO</v>
      </c>
    </row>
    <row r="4106" spans="3:31" s="260" customFormat="1" x14ac:dyDescent="0.25">
      <c r="C4106" s="84"/>
      <c r="D4106" s="85"/>
      <c r="E4106" s="86"/>
      <c r="F4106" s="86"/>
      <c r="G4106" s="86"/>
      <c r="H4106" s="86"/>
      <c r="I4106" s="86"/>
      <c r="J4106" s="87"/>
      <c r="K4106" s="88"/>
      <c r="M4106" s="102">
        <v>0</v>
      </c>
      <c r="N4106" s="533"/>
      <c r="O4106" s="533"/>
      <c r="P4106" s="533"/>
      <c r="Q4106" s="533"/>
      <c r="R4106" s="78"/>
      <c r="S4106" s="396"/>
      <c r="T4106" s="529"/>
      <c r="U4106" s="529"/>
      <c r="V4106" s="397"/>
      <c r="Y4106" s="393">
        <f>+IFERROR(Y4099*S4106,0)</f>
        <v>0</v>
      </c>
      <c r="Z4106" s="391">
        <f>Y4099*V4106</f>
        <v>0</v>
      </c>
      <c r="AA4106" s="394"/>
      <c r="AB4106" s="395">
        <f>+Y4106*T4106</f>
        <v>0</v>
      </c>
      <c r="AC4106" s="93">
        <f>+AB4106-Z4106</f>
        <v>0</v>
      </c>
      <c r="AD4106" s="94"/>
      <c r="AE4106" s="386" t="str">
        <f>+IF(V4106=0,"CERO","NO")</f>
        <v>CERO</v>
      </c>
    </row>
    <row r="4107" spans="3:31" s="260" customFormat="1" ht="15.75" thickBot="1" x14ac:dyDescent="0.3">
      <c r="C4107" s="84"/>
      <c r="D4107" s="85"/>
      <c r="E4107" s="86"/>
      <c r="F4107" s="86"/>
      <c r="G4107" s="86"/>
      <c r="H4107" s="86"/>
      <c r="I4107" s="86"/>
      <c r="J4107" s="87"/>
      <c r="K4107" s="88"/>
      <c r="M4107" s="102">
        <v>0</v>
      </c>
      <c r="N4107" s="564"/>
      <c r="O4107" s="564"/>
      <c r="P4107" s="564"/>
      <c r="Q4107" s="564"/>
      <c r="R4107" s="96"/>
      <c r="S4107" s="96"/>
      <c r="T4107" s="565"/>
      <c r="U4107" s="565"/>
      <c r="V4107" s="101"/>
      <c r="Y4107" s="393">
        <f>+IFERROR(Y4099*S4107,0)</f>
        <v>0</v>
      </c>
      <c r="Z4107" s="391">
        <f>Y4099*V4107</f>
        <v>0</v>
      </c>
      <c r="AA4107" s="394"/>
      <c r="AB4107" s="395">
        <f>+Y4107*T4107</f>
        <v>0</v>
      </c>
      <c r="AC4107" s="93">
        <f>+AB4107-Z4107</f>
        <v>0</v>
      </c>
      <c r="AD4107" s="94"/>
      <c r="AE4107" s="386" t="str">
        <f>+IF(V4107=0,"CERO","NO")</f>
        <v>CERO</v>
      </c>
    </row>
    <row r="4108" spans="3:31" s="260" customFormat="1" ht="15.75" thickBot="1" x14ac:dyDescent="0.3">
      <c r="C4108" s="84"/>
      <c r="D4108" s="375" t="s">
        <v>128</v>
      </c>
      <c r="E4108" s="376" t="s">
        <v>129</v>
      </c>
      <c r="F4108" s="376" t="s">
        <v>130</v>
      </c>
      <c r="G4108" s="376" t="s">
        <v>131</v>
      </c>
      <c r="H4108" s="376" t="s">
        <v>132</v>
      </c>
      <c r="I4108" s="376" t="s">
        <v>133</v>
      </c>
      <c r="J4108" s="377" t="s">
        <v>134</v>
      </c>
      <c r="K4108" s="88"/>
      <c r="M4108" s="534"/>
      <c r="N4108" s="536" t="s">
        <v>101</v>
      </c>
      <c r="O4108" s="536"/>
      <c r="P4108" s="536"/>
      <c r="Q4108" s="536"/>
      <c r="R4108" s="536"/>
      <c r="S4108" s="536"/>
      <c r="T4108" s="536"/>
      <c r="U4108" s="536"/>
      <c r="V4108" s="389">
        <f>+SUM(V4103:V4107)</f>
        <v>209.2115</v>
      </c>
      <c r="Y4108" s="398" t="s">
        <v>135</v>
      </c>
      <c r="Z4108" s="397">
        <f>+SUM(Z4103:Z4107)</f>
        <v>23640.8995</v>
      </c>
      <c r="AA4108" s="86"/>
      <c r="AB4108" s="384"/>
      <c r="AC4108" s="385"/>
      <c r="AD4108" s="94"/>
      <c r="AE4108" s="399"/>
    </row>
    <row r="4109" spans="3:31" s="260" customFormat="1" ht="15.75" thickBot="1" x14ac:dyDescent="0.3">
      <c r="C4109" s="84"/>
      <c r="D4109" s="375">
        <f>C4099</f>
        <v>4.07</v>
      </c>
      <c r="E4109" s="376"/>
      <c r="F4109" s="376"/>
      <c r="G4109" s="376"/>
      <c r="H4109" s="376"/>
      <c r="I4109" s="376"/>
      <c r="J4109" s="377"/>
      <c r="K4109" s="88"/>
      <c r="M4109" s="566"/>
      <c r="N4109" s="567" t="s">
        <v>102</v>
      </c>
      <c r="O4109" s="567"/>
      <c r="P4109" s="567"/>
      <c r="Q4109" s="567"/>
      <c r="R4109" s="567"/>
      <c r="S4109" s="567"/>
      <c r="T4109" s="567"/>
      <c r="U4109" s="567"/>
      <c r="V4109" s="400">
        <f>+ROUND(V4108,$AA$5)</f>
        <v>209.21</v>
      </c>
      <c r="Y4109" s="401" t="s">
        <v>136</v>
      </c>
      <c r="Z4109" s="402">
        <f>+ROUND(Z4108,$AA$5)</f>
        <v>23640.9</v>
      </c>
      <c r="AA4109" s="86"/>
      <c r="AB4109" s="403">
        <f>+V4109*Y4099</f>
        <v>23640.73</v>
      </c>
      <c r="AC4109" s="404">
        <f>+AB4109-Z4109</f>
        <v>-0.17000000000189175</v>
      </c>
      <c r="AD4109" s="94"/>
      <c r="AE4109" s="405"/>
    </row>
    <row r="4110" spans="3:31" s="260" customFormat="1" x14ac:dyDescent="0.25">
      <c r="C4110" s="84"/>
      <c r="D4110" s="380"/>
      <c r="E4110" s="381"/>
      <c r="F4110" s="381"/>
      <c r="G4110" s="381"/>
      <c r="H4110" s="381"/>
      <c r="I4110" s="381"/>
      <c r="J4110" s="382"/>
      <c r="K4110" s="88"/>
      <c r="M4110" s="510" t="s">
        <v>103</v>
      </c>
      <c r="N4110" s="511"/>
      <c r="O4110" s="511"/>
      <c r="P4110" s="511"/>
      <c r="Q4110" s="511"/>
      <c r="R4110" s="511"/>
      <c r="S4110" s="511"/>
      <c r="T4110" s="511"/>
      <c r="U4110" s="511"/>
      <c r="V4110" s="512"/>
      <c r="Y4110" s="378"/>
      <c r="Z4110" s="121"/>
      <c r="AA4110" s="86"/>
      <c r="AB4110" s="513"/>
      <c r="AC4110" s="514"/>
      <c r="AD4110" s="94"/>
      <c r="AE4110" s="126"/>
    </row>
    <row r="4111" spans="3:31" s="260" customFormat="1" x14ac:dyDescent="0.25">
      <c r="C4111" s="84"/>
      <c r="D4111" s="85"/>
      <c r="E4111" s="86"/>
      <c r="F4111" s="86"/>
      <c r="G4111" s="86"/>
      <c r="H4111" s="86"/>
      <c r="I4111" s="86"/>
      <c r="J4111" s="87"/>
      <c r="K4111" s="88"/>
      <c r="M4111" s="99" t="s">
        <v>94</v>
      </c>
      <c r="N4111" s="561" t="s">
        <v>95</v>
      </c>
      <c r="O4111" s="561"/>
      <c r="P4111" s="561"/>
      <c r="Q4111" s="561"/>
      <c r="R4111" s="95" t="s">
        <v>96</v>
      </c>
      <c r="S4111" s="95" t="s">
        <v>104</v>
      </c>
      <c r="T4111" s="356" t="s">
        <v>105</v>
      </c>
      <c r="U4111" s="356" t="s">
        <v>8</v>
      </c>
      <c r="V4111" s="100" t="s">
        <v>98</v>
      </c>
      <c r="Y4111" s="383" t="s">
        <v>104</v>
      </c>
      <c r="Z4111" s="119" t="s">
        <v>9</v>
      </c>
      <c r="AA4111" s="86"/>
      <c r="AB4111" s="384"/>
      <c r="AC4111" s="385"/>
      <c r="AD4111" s="94"/>
      <c r="AE4111" s="406"/>
    </row>
    <row r="4112" spans="3:31" s="260" customFormat="1" x14ac:dyDescent="0.25">
      <c r="C4112" s="84"/>
      <c r="D4112" s="85"/>
      <c r="E4112" s="86"/>
      <c r="F4112" s="86"/>
      <c r="G4112" s="86"/>
      <c r="H4112" s="86"/>
      <c r="I4112" s="86"/>
      <c r="J4112" s="87"/>
      <c r="K4112" s="88"/>
      <c r="M4112" s="102">
        <v>558</v>
      </c>
      <c r="N4112" s="533" t="str">
        <f>IFERROR(VLOOKUP(M4112,INSUMOS!$C$8:$K$928,2,0),"-----")</f>
        <v>CODO 2" 90° SANITARIO</v>
      </c>
      <c r="O4112" s="533"/>
      <c r="P4112" s="533"/>
      <c r="Q4112" s="533"/>
      <c r="R4112" s="78" t="str">
        <f>IFERROR(VLOOKUP(M4112,INSUMOS!$C$8:$K$928,6,0),"-----")</f>
        <v>und</v>
      </c>
      <c r="S4112" s="396">
        <v>1</v>
      </c>
      <c r="T4112" s="387">
        <v>0</v>
      </c>
      <c r="U4112" s="388">
        <f>IFERROR(VLOOKUP(M4112,INSUMOS!$C$8:$K$928,7,0),"0")</f>
        <v>4434</v>
      </c>
      <c r="V4112" s="389">
        <f>+IFERROR(U4112*(S4112*(1+T4112)),0)</f>
        <v>4434</v>
      </c>
      <c r="Y4112" s="393">
        <f>+IFERROR(Y4099*(S4112*(1+T4112)),0)</f>
        <v>113</v>
      </c>
      <c r="Z4112" s="391">
        <f>Y4099*V4112</f>
        <v>501042</v>
      </c>
      <c r="AA4112" s="394"/>
      <c r="AB4112" s="395">
        <f>+Y4112*U4112</f>
        <v>501042</v>
      </c>
      <c r="AC4112" s="93">
        <f>+AB4112-Z4112</f>
        <v>0</v>
      </c>
      <c r="AD4112" s="94"/>
      <c r="AE4112" s="406" t="str">
        <f>+IF(V4112=0,"CERO","NO")</f>
        <v>NO</v>
      </c>
    </row>
    <row r="4113" spans="3:31" s="260" customFormat="1" x14ac:dyDescent="0.25">
      <c r="C4113" s="84"/>
      <c r="D4113" s="85"/>
      <c r="E4113" s="86"/>
      <c r="F4113" s="86"/>
      <c r="G4113" s="86"/>
      <c r="H4113" s="86"/>
      <c r="I4113" s="86"/>
      <c r="J4113" s="87"/>
      <c r="K4113" s="88"/>
      <c r="M4113" s="102">
        <v>699</v>
      </c>
      <c r="N4113" s="533" t="str">
        <f>IFERROR(VLOOKUP(M4113,INSUMOS!$C$8:$K$928,2,0),"-----")</f>
        <v>SOLDADURA PVC LIQUIDA 1/4"</v>
      </c>
      <c r="O4113" s="533"/>
      <c r="P4113" s="533"/>
      <c r="Q4113" s="533"/>
      <c r="R4113" s="78" t="str">
        <f>IFERROR(VLOOKUP(M4113,INSUMOS!$C$8:$K$928,6,0),"-----")</f>
        <v>und</v>
      </c>
      <c r="S4113" s="396">
        <v>0.01</v>
      </c>
      <c r="T4113" s="387">
        <v>0.02</v>
      </c>
      <c r="U4113" s="388">
        <f>IFERROR(VLOOKUP(M4113,INSUMOS!$C$8:$K$928,7,0),"0")</f>
        <v>146569</v>
      </c>
      <c r="V4113" s="389">
        <f>+IFERROR(U4113*(S4113*(1+T4113)),0)</f>
        <v>1495.0038000000002</v>
      </c>
      <c r="Y4113" s="393">
        <f>+IFERROR(Y4099*(S4113*(1+T4113)),0)</f>
        <v>1.1526000000000001</v>
      </c>
      <c r="Z4113" s="391">
        <f>Y4099*V4113</f>
        <v>168935.42940000002</v>
      </c>
      <c r="AA4113" s="394"/>
      <c r="AB4113" s="395">
        <f>+Y4113*U4113</f>
        <v>168935.42940000002</v>
      </c>
      <c r="AC4113" s="93">
        <f>+AB4113-Z4113</f>
        <v>0</v>
      </c>
      <c r="AD4113" s="94"/>
      <c r="AE4113" s="406" t="str">
        <f>+IF(V4113=0,"CERO","NO")</f>
        <v>NO</v>
      </c>
    </row>
    <row r="4114" spans="3:31" s="260" customFormat="1" x14ac:dyDescent="0.25">
      <c r="C4114" s="84"/>
      <c r="D4114" s="85"/>
      <c r="E4114" s="86"/>
      <c r="F4114" s="86"/>
      <c r="G4114" s="86"/>
      <c r="H4114" s="86"/>
      <c r="I4114" s="86"/>
      <c r="J4114" s="87"/>
      <c r="K4114" s="88"/>
      <c r="M4114" s="102">
        <v>700</v>
      </c>
      <c r="N4114" s="533" t="str">
        <f>IFERROR(VLOOKUP(M4114,INSUMOS!$C$8:$K$928,2,0),"-----")</f>
        <v>LIMPIADOR PVC 1/4</v>
      </c>
      <c r="O4114" s="533"/>
      <c r="P4114" s="533"/>
      <c r="Q4114" s="533"/>
      <c r="R4114" s="78" t="str">
        <f>IFERROR(VLOOKUP(M4114,INSUMOS!$C$8:$K$928,6,0),"-----")</f>
        <v>und</v>
      </c>
      <c r="S4114" s="396">
        <v>0.01</v>
      </c>
      <c r="T4114" s="387">
        <v>0.02</v>
      </c>
      <c r="U4114" s="388">
        <f>IFERROR(VLOOKUP(M4114,INSUMOS!$C$8:$K$928,7,0),"0")</f>
        <v>65913</v>
      </c>
      <c r="V4114" s="389">
        <f>+IFERROR(U4114*(S4114*(1+T4114)),0)</f>
        <v>672.31260000000009</v>
      </c>
      <c r="Y4114" s="393">
        <f>+IFERROR(Y4099*(S4114*(1+T4114)),0)</f>
        <v>1.1526000000000001</v>
      </c>
      <c r="Z4114" s="391">
        <f>Y4099*V4114</f>
        <v>75971.323800000013</v>
      </c>
      <c r="AA4114" s="394"/>
      <c r="AB4114" s="395">
        <f>+Y4114*U4114</f>
        <v>75971.323799999998</v>
      </c>
      <c r="AC4114" s="93">
        <f>+AB4114-Z4114</f>
        <v>0</v>
      </c>
      <c r="AD4114" s="94"/>
      <c r="AE4114" s="406" t="str">
        <f>+IF(V4114=0,"CERO","NO")</f>
        <v>NO</v>
      </c>
    </row>
    <row r="4115" spans="3:31" s="260" customFormat="1" x14ac:dyDescent="0.25">
      <c r="C4115" s="84"/>
      <c r="D4115" s="85"/>
      <c r="E4115" s="86"/>
      <c r="F4115" s="86"/>
      <c r="G4115" s="86"/>
      <c r="H4115" s="86"/>
      <c r="I4115" s="86"/>
      <c r="J4115" s="87"/>
      <c r="K4115" s="88"/>
      <c r="M4115" s="102">
        <v>0</v>
      </c>
      <c r="N4115" s="533" t="str">
        <f>IFERROR(VLOOKUP(M4115,INSUMOS!$C$8:$K$928,2,0),"-----")</f>
        <v>-----</v>
      </c>
      <c r="O4115" s="533"/>
      <c r="P4115" s="533"/>
      <c r="Q4115" s="533"/>
      <c r="R4115" s="78" t="str">
        <f>IFERROR(VLOOKUP(M4115,INSUMOS!$C$8:$K$928,6,0),"-----")</f>
        <v>-----</v>
      </c>
      <c r="S4115" s="396"/>
      <c r="T4115" s="387"/>
      <c r="U4115" s="388" t="str">
        <f>IFERROR(VLOOKUP(M4115,INSUMOS!$C$8:$K$928,7,0),"0")</f>
        <v>0</v>
      </c>
      <c r="V4115" s="389">
        <f>+IFERROR(U4115*(S4115*(1+T4115)),0)</f>
        <v>0</v>
      </c>
      <c r="Y4115" s="393">
        <f>+IFERROR(Y4099*(S4115*(1+T4115)),0)</f>
        <v>0</v>
      </c>
      <c r="Z4115" s="391">
        <f>Y4099*V4115</f>
        <v>0</v>
      </c>
      <c r="AA4115" s="394"/>
      <c r="AB4115" s="395">
        <f>+Y4115*U4115</f>
        <v>0</v>
      </c>
      <c r="AC4115" s="93">
        <f>+AB4115-Z4115</f>
        <v>0</v>
      </c>
      <c r="AD4115" s="94"/>
      <c r="AE4115" s="406" t="str">
        <f>+IF(V4115=0,"CERO","NO")</f>
        <v>CERO</v>
      </c>
    </row>
    <row r="4116" spans="3:31" s="260" customFormat="1" ht="15.75" thickBot="1" x14ac:dyDescent="0.3">
      <c r="C4116" s="84"/>
      <c r="D4116" s="85"/>
      <c r="E4116" s="86"/>
      <c r="F4116" s="86"/>
      <c r="G4116" s="86"/>
      <c r="H4116" s="86"/>
      <c r="I4116" s="86"/>
      <c r="J4116" s="87"/>
      <c r="K4116" s="88"/>
      <c r="M4116" s="102">
        <v>0</v>
      </c>
      <c r="N4116" s="564"/>
      <c r="O4116" s="564"/>
      <c r="P4116" s="564"/>
      <c r="Q4116" s="564"/>
      <c r="R4116" s="96"/>
      <c r="S4116" s="79"/>
      <c r="T4116" s="97"/>
      <c r="U4116" s="358"/>
      <c r="V4116" s="397"/>
      <c r="Y4116" s="393">
        <f>+IFERROR(Y4099*(S4116*(1+T4116)),0)</f>
        <v>0</v>
      </c>
      <c r="Z4116" s="391">
        <f>Y4099*V4116</f>
        <v>0</v>
      </c>
      <c r="AA4116" s="394"/>
      <c r="AB4116" s="395">
        <f>+Y4116*U4116</f>
        <v>0</v>
      </c>
      <c r="AC4116" s="93">
        <f>+AB4116-Z4116</f>
        <v>0</v>
      </c>
      <c r="AD4116" s="94"/>
      <c r="AE4116" s="406" t="str">
        <f>+IF(V4116=0,"CERO","NO")</f>
        <v>CERO</v>
      </c>
    </row>
    <row r="4117" spans="3:31" s="260" customFormat="1" ht="15.75" thickBot="1" x14ac:dyDescent="0.3">
      <c r="C4117" s="84"/>
      <c r="D4117" s="375" t="s">
        <v>128</v>
      </c>
      <c r="E4117" s="376" t="s">
        <v>129</v>
      </c>
      <c r="F4117" s="376" t="s">
        <v>130</v>
      </c>
      <c r="G4117" s="376" t="s">
        <v>131</v>
      </c>
      <c r="H4117" s="376" t="s">
        <v>132</v>
      </c>
      <c r="I4117" s="376" t="s">
        <v>133</v>
      </c>
      <c r="J4117" s="377" t="s">
        <v>134</v>
      </c>
      <c r="K4117" s="88"/>
      <c r="M4117" s="534"/>
      <c r="N4117" s="536" t="s">
        <v>106</v>
      </c>
      <c r="O4117" s="536"/>
      <c r="P4117" s="536"/>
      <c r="Q4117" s="536"/>
      <c r="R4117" s="536"/>
      <c r="S4117" s="536"/>
      <c r="T4117" s="536"/>
      <c r="U4117" s="536"/>
      <c r="V4117" s="389">
        <f>+SUM(V4112:V4116)</f>
        <v>6601.3164000000006</v>
      </c>
      <c r="Y4117" s="398" t="s">
        <v>135</v>
      </c>
      <c r="Z4117" s="397">
        <f>+SUM(Z4112:Z4116)</f>
        <v>745948.75320000004</v>
      </c>
      <c r="AA4117" s="86"/>
      <c r="AB4117" s="384"/>
      <c r="AC4117" s="385"/>
      <c r="AD4117" s="94"/>
      <c r="AE4117" s="399"/>
    </row>
    <row r="4118" spans="3:31" s="260" customFormat="1" ht="15.75" thickBot="1" x14ac:dyDescent="0.3">
      <c r="C4118" s="84"/>
      <c r="D4118" s="375"/>
      <c r="E4118" s="407">
        <f>+D4109</f>
        <v>4.07</v>
      </c>
      <c r="F4118" s="376"/>
      <c r="G4118" s="376"/>
      <c r="H4118" s="376"/>
      <c r="I4118" s="376"/>
      <c r="J4118" s="377"/>
      <c r="K4118" s="88"/>
      <c r="M4118" s="535"/>
      <c r="N4118" s="537" t="s">
        <v>107</v>
      </c>
      <c r="O4118" s="537"/>
      <c r="P4118" s="537"/>
      <c r="Q4118" s="537"/>
      <c r="R4118" s="537"/>
      <c r="S4118" s="537"/>
      <c r="T4118" s="537"/>
      <c r="U4118" s="537"/>
      <c r="V4118" s="408">
        <f>+ROUND(V4117,$AA$5)</f>
        <v>6601.32</v>
      </c>
      <c r="Y4118" s="401" t="s">
        <v>136</v>
      </c>
      <c r="Z4118" s="402">
        <f>+ROUND(Z4117,$AA$5)</f>
        <v>745948.75</v>
      </c>
      <c r="AA4118" s="86"/>
      <c r="AB4118" s="403">
        <f>+V4118*Y4099</f>
        <v>745949.15999999992</v>
      </c>
      <c r="AC4118" s="404">
        <f>+AB4118-Z4118</f>
        <v>0.40999999991618097</v>
      </c>
      <c r="AD4118" s="94"/>
      <c r="AE4118" s="405"/>
    </row>
    <row r="4119" spans="3:31" s="260" customFormat="1" x14ac:dyDescent="0.25">
      <c r="C4119" s="84"/>
      <c r="D4119" s="380"/>
      <c r="E4119" s="381"/>
      <c r="F4119" s="381"/>
      <c r="G4119" s="381"/>
      <c r="H4119" s="381"/>
      <c r="I4119" s="381"/>
      <c r="J4119" s="382"/>
      <c r="K4119" s="88"/>
      <c r="M4119" s="568" t="s">
        <v>108</v>
      </c>
      <c r="N4119" s="569"/>
      <c r="O4119" s="569"/>
      <c r="P4119" s="569"/>
      <c r="Q4119" s="569"/>
      <c r="R4119" s="569"/>
      <c r="S4119" s="569"/>
      <c r="T4119" s="569"/>
      <c r="U4119" s="569"/>
      <c r="V4119" s="570"/>
      <c r="Y4119" s="378"/>
      <c r="Z4119" s="121"/>
      <c r="AA4119" s="86"/>
      <c r="AB4119" s="409"/>
      <c r="AC4119" s="121"/>
      <c r="AD4119" s="94"/>
      <c r="AE4119" s="126"/>
    </row>
    <row r="4120" spans="3:31" s="260" customFormat="1" ht="25.5" x14ac:dyDescent="0.25">
      <c r="C4120" s="84"/>
      <c r="D4120" s="85"/>
      <c r="E4120" s="86"/>
      <c r="F4120" s="86"/>
      <c r="G4120" s="86"/>
      <c r="H4120" s="86"/>
      <c r="I4120" s="86"/>
      <c r="J4120" s="87"/>
      <c r="K4120" s="88"/>
      <c r="M4120" s="99" t="s">
        <v>94</v>
      </c>
      <c r="N4120" s="561" t="s">
        <v>95</v>
      </c>
      <c r="O4120" s="561"/>
      <c r="P4120" s="561"/>
      <c r="Q4120" s="95" t="s">
        <v>109</v>
      </c>
      <c r="R4120" s="95" t="s">
        <v>110</v>
      </c>
      <c r="S4120" s="95" t="s">
        <v>111</v>
      </c>
      <c r="T4120" s="562" t="s">
        <v>112</v>
      </c>
      <c r="U4120" s="562"/>
      <c r="V4120" s="100" t="s">
        <v>98</v>
      </c>
      <c r="Y4120" s="383" t="s">
        <v>104</v>
      </c>
      <c r="Z4120" s="119" t="s">
        <v>9</v>
      </c>
      <c r="AA4120" s="86"/>
      <c r="AB4120" s="384"/>
      <c r="AC4120" s="385"/>
      <c r="AD4120" s="94"/>
      <c r="AE4120" s="410"/>
    </row>
    <row r="4121" spans="3:31" s="260" customFormat="1" x14ac:dyDescent="0.25">
      <c r="C4121" s="84"/>
      <c r="D4121" s="85"/>
      <c r="E4121" s="86"/>
      <c r="F4121" s="86"/>
      <c r="G4121" s="86"/>
      <c r="H4121" s="86"/>
      <c r="I4121" s="86"/>
      <c r="J4121" s="87"/>
      <c r="K4121" s="88"/>
      <c r="M4121" s="102">
        <v>129</v>
      </c>
      <c r="N4121" s="530" t="str">
        <f>IFERROR(VLOOKUP(M4121,INSUMOS!$C$8:$K$928,2,0),"-----")</f>
        <v>transporte materiales en general</v>
      </c>
      <c r="O4121" s="531"/>
      <c r="P4121" s="532"/>
      <c r="Q4121" s="78" t="str">
        <f>IFERROR(VLOOKUP(M4121,INSUMOS!$C$8:$K$928,5,0),"-----")</f>
        <v>Km</v>
      </c>
      <c r="R4121" s="80">
        <v>1</v>
      </c>
      <c r="S4121" s="80">
        <f>IFERROR(VLOOKUP(M4121,INSUMOS!$C$8:$K$928,6,0),"0")</f>
        <v>348</v>
      </c>
      <c r="T4121" s="529">
        <f>IFERROR(VLOOKUP(M4121,INSUMOS!$C$8:$K$928,7,0),"0")</f>
        <v>0.99776362060288992</v>
      </c>
      <c r="U4121" s="529"/>
      <c r="V4121" s="82">
        <f>+T4121*S4121*R4121</f>
        <v>347.2217399698057</v>
      </c>
      <c r="Y4121" s="393">
        <f>+IFERROR((R4121*S4121)*Y4099,0)</f>
        <v>39324</v>
      </c>
      <c r="Z4121" s="391">
        <f>Y4099*V4121</f>
        <v>39236.056616588045</v>
      </c>
      <c r="AA4121" s="86"/>
      <c r="AB4121" s="92">
        <f>+Y4121*T4121</f>
        <v>39236.056616588045</v>
      </c>
      <c r="AC4121" s="93">
        <f>+AB4121-Z4121</f>
        <v>0</v>
      </c>
      <c r="AD4121" s="94"/>
      <c r="AE4121" s="406" t="str">
        <f>+IF(V4121=0,"CERO","NO")</f>
        <v>NO</v>
      </c>
    </row>
    <row r="4122" spans="3:31" s="260" customFormat="1" x14ac:dyDescent="0.25">
      <c r="C4122" s="84"/>
      <c r="D4122" s="85"/>
      <c r="E4122" s="86"/>
      <c r="F4122" s="86"/>
      <c r="G4122" s="86"/>
      <c r="H4122" s="86"/>
      <c r="I4122" s="86"/>
      <c r="J4122" s="87"/>
      <c r="K4122" s="88"/>
      <c r="M4122" s="102">
        <v>0</v>
      </c>
      <c r="N4122" s="530" t="str">
        <f>IFERROR(VLOOKUP(M4122,INSUMOS!$C$8:$K$928,2,0),"-----")</f>
        <v>-----</v>
      </c>
      <c r="O4122" s="531"/>
      <c r="P4122" s="532"/>
      <c r="Q4122" s="78" t="str">
        <f>IFERROR(VLOOKUP(M4122,INSUMOS!$C$8:$K$928,5,0),"-----")</f>
        <v>-----</v>
      </c>
      <c r="R4122" s="80"/>
      <c r="S4122" s="80" t="str">
        <f>IFERROR(VLOOKUP(M4122,INSUMOS!$C$8:$K$928,6,0),"0")</f>
        <v>0</v>
      </c>
      <c r="T4122" s="529" t="str">
        <f>IFERROR(VLOOKUP(M4122,INSUMOS!$C$8:$K$928,7,0),"0")</f>
        <v>0</v>
      </c>
      <c r="U4122" s="529"/>
      <c r="V4122" s="82">
        <f>+T4122*S4122*R4122</f>
        <v>0</v>
      </c>
      <c r="Y4122" s="393">
        <f>+IFERROR((R4122*S4122)*Y4099,0)</f>
        <v>0</v>
      </c>
      <c r="Z4122" s="391">
        <f>Y4099*V4122</f>
        <v>0</v>
      </c>
      <c r="AA4122" s="86"/>
      <c r="AB4122" s="92">
        <f>+Y4122*T4122</f>
        <v>0</v>
      </c>
      <c r="AC4122" s="93">
        <f>+AB4122-Z4122</f>
        <v>0</v>
      </c>
      <c r="AD4122" s="94"/>
      <c r="AE4122" s="406" t="str">
        <f>+IF(V4122=0,"CERO","NO")</f>
        <v>CERO</v>
      </c>
    </row>
    <row r="4123" spans="3:31" s="260" customFormat="1" x14ac:dyDescent="0.25">
      <c r="C4123" s="84"/>
      <c r="D4123" s="85"/>
      <c r="E4123" s="86"/>
      <c r="F4123" s="86"/>
      <c r="G4123" s="86"/>
      <c r="H4123" s="86"/>
      <c r="I4123" s="86"/>
      <c r="J4123" s="87"/>
      <c r="K4123" s="88"/>
      <c r="M4123" s="102">
        <v>0</v>
      </c>
      <c r="N4123" s="530" t="str">
        <f>IFERROR(VLOOKUP(M4123,INSUMOS!$C$8:$K$928,2,0),"-----")</f>
        <v>-----</v>
      </c>
      <c r="O4123" s="531"/>
      <c r="P4123" s="532"/>
      <c r="Q4123" s="78" t="str">
        <f>IFERROR(VLOOKUP(M4123,INSUMOS!$C$8:$K$928,5,0),"-----")</f>
        <v>-----</v>
      </c>
      <c r="R4123" s="80"/>
      <c r="S4123" s="80" t="str">
        <f>IFERROR(VLOOKUP(M4123,INSUMOS!$C$8:$K$928,6,0),"0")</f>
        <v>0</v>
      </c>
      <c r="T4123" s="529" t="str">
        <f>IFERROR(VLOOKUP(M4123,INSUMOS!$C$8:$K$928,7,0),"0")</f>
        <v>0</v>
      </c>
      <c r="U4123" s="529"/>
      <c r="V4123" s="82">
        <f>+T4123*S4123*R4123</f>
        <v>0</v>
      </c>
      <c r="Y4123" s="393">
        <f>+IFERROR((R4123*S4123)*Y4099,0)</f>
        <v>0</v>
      </c>
      <c r="Z4123" s="391">
        <f>Y4099*V4123</f>
        <v>0</v>
      </c>
      <c r="AA4123" s="86"/>
      <c r="AB4123" s="92">
        <f>+Y4123*T4123</f>
        <v>0</v>
      </c>
      <c r="AC4123" s="93">
        <f>+AB4123-Z4123</f>
        <v>0</v>
      </c>
      <c r="AD4123" s="94"/>
      <c r="AE4123" s="406" t="str">
        <f>+IF(V4123=0,"CERO","NO")</f>
        <v>CERO</v>
      </c>
    </row>
    <row r="4124" spans="3:31" s="260" customFormat="1" ht="15.75" thickBot="1" x14ac:dyDescent="0.3">
      <c r="C4124" s="84"/>
      <c r="D4124" s="89"/>
      <c r="E4124" s="90"/>
      <c r="F4124" s="90"/>
      <c r="G4124" s="90"/>
      <c r="H4124" s="90"/>
      <c r="I4124" s="90"/>
      <c r="J4124" s="91"/>
      <c r="K4124" s="88"/>
      <c r="M4124" s="102">
        <v>0</v>
      </c>
      <c r="N4124" s="533"/>
      <c r="O4124" s="533"/>
      <c r="P4124" s="533"/>
      <c r="Q4124" s="79"/>
      <c r="R4124" s="78"/>
      <c r="S4124" s="81"/>
      <c r="T4124" s="529"/>
      <c r="U4124" s="529"/>
      <c r="V4124" s="82"/>
      <c r="Y4124" s="393">
        <f>+IFERROR((R4124*S4124)*Y4099,0)</f>
        <v>0</v>
      </c>
      <c r="Z4124" s="391">
        <f>Y4099*V4124</f>
        <v>0</v>
      </c>
      <c r="AA4124" s="86"/>
      <c r="AB4124" s="92">
        <f>+Y4124*T4124</f>
        <v>0</v>
      </c>
      <c r="AC4124" s="93">
        <f>+AB4124-Z4124</f>
        <v>0</v>
      </c>
      <c r="AD4124" s="94"/>
      <c r="AE4124" s="406" t="str">
        <f>+IF(V4124=0,"CERO","NO")</f>
        <v>CERO</v>
      </c>
    </row>
    <row r="4125" spans="3:31" s="260" customFormat="1" ht="15.75" thickBot="1" x14ac:dyDescent="0.3">
      <c r="C4125" s="84"/>
      <c r="D4125" s="375" t="s">
        <v>128</v>
      </c>
      <c r="E4125" s="376" t="s">
        <v>129</v>
      </c>
      <c r="F4125" s="376" t="s">
        <v>130</v>
      </c>
      <c r="G4125" s="376" t="s">
        <v>131</v>
      </c>
      <c r="H4125" s="376" t="s">
        <v>132</v>
      </c>
      <c r="I4125" s="376" t="s">
        <v>133</v>
      </c>
      <c r="J4125" s="377" t="s">
        <v>134</v>
      </c>
      <c r="K4125" s="88"/>
      <c r="M4125" s="534"/>
      <c r="N4125" s="536" t="s">
        <v>113</v>
      </c>
      <c r="O4125" s="536"/>
      <c r="P4125" s="536"/>
      <c r="Q4125" s="536"/>
      <c r="R4125" s="536"/>
      <c r="S4125" s="536"/>
      <c r="T4125" s="536"/>
      <c r="U4125" s="536"/>
      <c r="V4125" s="411">
        <f>+SUM(V4121:V4124)</f>
        <v>347.2217399698057</v>
      </c>
      <c r="Y4125" s="398" t="s">
        <v>135</v>
      </c>
      <c r="Z4125" s="397">
        <f>+SUM(Z4121:Z4124)</f>
        <v>39236.056616588045</v>
      </c>
      <c r="AA4125" s="86"/>
      <c r="AB4125" s="384"/>
      <c r="AC4125" s="385"/>
      <c r="AD4125" s="94"/>
      <c r="AE4125" s="399"/>
    </row>
    <row r="4126" spans="3:31" s="260" customFormat="1" ht="15.75" thickBot="1" x14ac:dyDescent="0.3">
      <c r="C4126" s="84"/>
      <c r="D4126" s="355"/>
      <c r="E4126" s="367"/>
      <c r="F4126" s="412">
        <f>+E4118</f>
        <v>4.07</v>
      </c>
      <c r="G4126" s="367"/>
      <c r="H4126" s="367"/>
      <c r="I4126" s="367"/>
      <c r="J4126" s="368"/>
      <c r="K4126" s="88"/>
      <c r="M4126" s="535"/>
      <c r="N4126" s="537" t="s">
        <v>114</v>
      </c>
      <c r="O4126" s="537"/>
      <c r="P4126" s="537"/>
      <c r="Q4126" s="537"/>
      <c r="R4126" s="537"/>
      <c r="S4126" s="537"/>
      <c r="T4126" s="537"/>
      <c r="U4126" s="537"/>
      <c r="V4126" s="413">
        <f>+ROUND(V4125,$AA$5)</f>
        <v>347.22</v>
      </c>
      <c r="Y4126" s="401" t="s">
        <v>136</v>
      </c>
      <c r="Z4126" s="402">
        <f>+ROUND(Z4125,$AA$5)</f>
        <v>39236.06</v>
      </c>
      <c r="AA4126" s="86"/>
      <c r="AB4126" s="403">
        <f>+V4126*Y4099</f>
        <v>39235.86</v>
      </c>
      <c r="AC4126" s="414"/>
      <c r="AD4126" s="94"/>
      <c r="AE4126" s="405"/>
    </row>
    <row r="4127" spans="3:31" s="260" customFormat="1" ht="15.75" thickBot="1" x14ac:dyDescent="0.3">
      <c r="C4127" s="84"/>
      <c r="D4127" s="415"/>
      <c r="E4127" s="416"/>
      <c r="F4127" s="416"/>
      <c r="G4127" s="416"/>
      <c r="H4127" s="416"/>
      <c r="I4127" s="416"/>
      <c r="J4127" s="417"/>
      <c r="K4127" s="88"/>
      <c r="M4127" s="538" t="s">
        <v>115</v>
      </c>
      <c r="N4127" s="539"/>
      <c r="O4127" s="539"/>
      <c r="P4127" s="539"/>
      <c r="Q4127" s="539"/>
      <c r="R4127" s="539"/>
      <c r="S4127" s="539"/>
      <c r="T4127" s="539"/>
      <c r="U4127" s="539"/>
      <c r="V4127" s="540"/>
      <c r="Y4127" s="378"/>
      <c r="Z4127" s="121"/>
      <c r="AA4127" s="86"/>
      <c r="AB4127" s="409"/>
      <c r="AC4127" s="121"/>
      <c r="AD4127" s="94"/>
      <c r="AE4127" s="126"/>
    </row>
    <row r="4128" spans="3:31" s="260" customFormat="1" ht="15.75" thickBot="1" x14ac:dyDescent="0.3">
      <c r="C4128" s="84"/>
      <c r="D4128" s="375" t="s">
        <v>128</v>
      </c>
      <c r="E4128" s="376" t="s">
        <v>129</v>
      </c>
      <c r="F4128" s="376" t="s">
        <v>130</v>
      </c>
      <c r="G4128" s="376" t="s">
        <v>131</v>
      </c>
      <c r="H4128" s="376" t="s">
        <v>132</v>
      </c>
      <c r="I4128" s="376" t="s">
        <v>133</v>
      </c>
      <c r="J4128" s="377" t="s">
        <v>134</v>
      </c>
      <c r="K4128" s="88"/>
      <c r="M4128" s="99" t="s">
        <v>94</v>
      </c>
      <c r="N4128" s="98" t="s">
        <v>95</v>
      </c>
      <c r="O4128" s="95" t="s">
        <v>96</v>
      </c>
      <c r="P4128" s="359" t="s">
        <v>104</v>
      </c>
      <c r="Q4128" s="95" t="s">
        <v>116</v>
      </c>
      <c r="R4128" s="418" t="s">
        <v>117</v>
      </c>
      <c r="S4128" s="95" t="s">
        <v>347</v>
      </c>
      <c r="T4128" s="419" t="s">
        <v>118</v>
      </c>
      <c r="U4128" s="189" t="s">
        <v>119</v>
      </c>
      <c r="V4128" s="100" t="s">
        <v>98</v>
      </c>
      <c r="Y4128" s="383" t="s">
        <v>104</v>
      </c>
      <c r="Z4128" s="119" t="s">
        <v>9</v>
      </c>
      <c r="AA4128" s="86"/>
      <c r="AB4128" s="384"/>
      <c r="AC4128" s="385"/>
      <c r="AD4128" s="94"/>
      <c r="AE4128" s="410"/>
    </row>
    <row r="4129" spans="3:31" s="260" customFormat="1" ht="25.5" x14ac:dyDescent="0.25">
      <c r="C4129" s="84"/>
      <c r="D4129" s="354"/>
      <c r="E4129" s="96"/>
      <c r="F4129" s="96"/>
      <c r="G4129" s="96"/>
      <c r="H4129" s="96"/>
      <c r="I4129" s="96"/>
      <c r="J4129" s="420">
        <f>+F4126</f>
        <v>4.07</v>
      </c>
      <c r="K4129" s="88"/>
      <c r="M4129" s="102">
        <v>207</v>
      </c>
      <c r="N4129" s="347" t="str">
        <f>IFERROR(VLOOKUP(M4129,INSUMOS!$C$8:$K$928,2,0),"-----")</f>
        <v>Oficial Hidrosanitario</v>
      </c>
      <c r="O4129" s="78" t="str">
        <f>IFERROR(VLOOKUP(M4129,INSUMOS!$C$8:$K$928,3,0),"-----")</f>
        <v>JORNAL+PS</v>
      </c>
      <c r="P4129" s="80">
        <v>1</v>
      </c>
      <c r="Q4129" s="79">
        <v>40</v>
      </c>
      <c r="R4129" s="190">
        <f>IFERROR(VLOOKUP(M4129,INSUMOS!$C$8:$K$928,4,0),"-----")</f>
        <v>92983</v>
      </c>
      <c r="S4129" s="190">
        <f>IFERROR(VLOOKUP(M4129,INSUMOS!$C$8:$K$928,6,0),"-----")</f>
        <v>74386</v>
      </c>
      <c r="T4129" s="190">
        <f>IFERROR(VLOOKUP(M4129,INSUMOS!$C$8:$K$928,5,0),"-----")</f>
        <v>0</v>
      </c>
      <c r="U4129" s="388">
        <f>SUM(R4129:T4129)</f>
        <v>167369</v>
      </c>
      <c r="V4129" s="82">
        <f>+IFERROR((P4129/Q4129)*U4129,0)</f>
        <v>4184.2250000000004</v>
      </c>
      <c r="Y4129" s="393">
        <f>+IFERROR((Y4099/Q4129*P4129),0)</f>
        <v>2.8250000000000002</v>
      </c>
      <c r="Z4129" s="391">
        <f>Y4099*V4129</f>
        <v>472817.42500000005</v>
      </c>
      <c r="AA4129" s="86"/>
      <c r="AB4129" s="92">
        <f>+(U4129)*Y4129</f>
        <v>472817.42500000005</v>
      </c>
      <c r="AC4129" s="93">
        <f>+AB4129-Z4129</f>
        <v>0</v>
      </c>
      <c r="AD4129" s="421"/>
      <c r="AE4129" s="410" t="str">
        <f>+IF(V4129=0,"CERO","NO")</f>
        <v>NO</v>
      </c>
    </row>
    <row r="4130" spans="3:31" s="260" customFormat="1" ht="15.75" thickBot="1" x14ac:dyDescent="0.3">
      <c r="C4130" s="84"/>
      <c r="D4130" s="355"/>
      <c r="E4130" s="367"/>
      <c r="F4130" s="367"/>
      <c r="G4130" s="367"/>
      <c r="H4130" s="367"/>
      <c r="I4130" s="367"/>
      <c r="J4130" s="422">
        <f>+J4129</f>
        <v>4.07</v>
      </c>
      <c r="K4130" s="88"/>
      <c r="M4130" s="102"/>
      <c r="N4130" s="347" t="str">
        <f>IFERROR(VLOOKUP(M4130,INSUMOS!$C$8:$K$928,2,0),"-----")</f>
        <v>-----</v>
      </c>
      <c r="O4130" s="78" t="str">
        <f>IFERROR(VLOOKUP(M4130,INSUMOS!$C$8:$K$928,3,0),"-----")</f>
        <v>-----</v>
      </c>
      <c r="P4130" s="80"/>
      <c r="Q4130" s="79"/>
      <c r="R4130" s="190" t="str">
        <f>IFERROR(VLOOKUP(M4130,INSUMOS!$C$8:$K$928,4,0),"-----")</f>
        <v>-----</v>
      </c>
      <c r="S4130" s="190" t="str">
        <f>IFERROR(VLOOKUP(M4130,INSUMOS!$C$8:$K$928,6,0),"-----")</f>
        <v>-----</v>
      </c>
      <c r="T4130" s="190" t="str">
        <f>IFERROR(VLOOKUP(M4130,INSUMOS!$C$8:$K$928,5,0),"-----")</f>
        <v>-----</v>
      </c>
      <c r="U4130" s="388">
        <f>SUM(R4130:T4130)</f>
        <v>0</v>
      </c>
      <c r="V4130" s="82">
        <f>+IFERROR((P4130/Q4130)*U4130,0)</f>
        <v>0</v>
      </c>
      <c r="Y4130" s="393">
        <f>+IFERROR((Y4099/Q4130*P4130),0)</f>
        <v>0</v>
      </c>
      <c r="Z4130" s="391">
        <f>Y4099*V4130</f>
        <v>0</v>
      </c>
      <c r="AA4130" s="86"/>
      <c r="AB4130" s="92">
        <f>+U4130*Y4130</f>
        <v>0</v>
      </c>
      <c r="AC4130" s="93">
        <f>+AB4130-Z4130</f>
        <v>0</v>
      </c>
      <c r="AD4130" s="94"/>
      <c r="AE4130" s="410" t="str">
        <f>+IF(V4130=0,"CERO","NO")</f>
        <v>CERO</v>
      </c>
    </row>
    <row r="4131" spans="3:31" s="260" customFormat="1" ht="15.75" thickBot="1" x14ac:dyDescent="0.3">
      <c r="C4131" s="84"/>
      <c r="D4131" s="380"/>
      <c r="E4131" s="381"/>
      <c r="F4131" s="381"/>
      <c r="G4131" s="381"/>
      <c r="H4131" s="381"/>
      <c r="I4131" s="381"/>
      <c r="J4131" s="382"/>
      <c r="K4131" s="88"/>
      <c r="M4131" s="102">
        <v>0</v>
      </c>
      <c r="N4131" s="347"/>
      <c r="O4131" s="79"/>
      <c r="P4131" s="423"/>
      <c r="Q4131" s="81"/>
      <c r="R4131" s="111"/>
      <c r="S4131" s="357"/>
      <c r="T4131" s="111"/>
      <c r="U4131" s="388"/>
      <c r="V4131" s="426"/>
      <c r="Y4131" s="393">
        <f>+IFERROR((Y4099/Q4131*P4131),0)</f>
        <v>0</v>
      </c>
      <c r="Z4131" s="391">
        <f>Y4099*V4131</f>
        <v>0</v>
      </c>
      <c r="AA4131" s="86"/>
      <c r="AB4131" s="92">
        <f>+(U4131)*Y4131*P4131</f>
        <v>0</v>
      </c>
      <c r="AC4131" s="93">
        <f>+AB4131-Z4131</f>
        <v>0</v>
      </c>
      <c r="AD4131" s="94"/>
      <c r="AE4131" s="410" t="str">
        <f>+IF(V4131=0,"CERO","NO")</f>
        <v>CERO</v>
      </c>
    </row>
    <row r="4132" spans="3:31" s="260" customFormat="1" ht="15.75" thickBot="1" x14ac:dyDescent="0.3">
      <c r="C4132" s="84"/>
      <c r="D4132" s="375" t="s">
        <v>128</v>
      </c>
      <c r="E4132" s="376" t="s">
        <v>129</v>
      </c>
      <c r="F4132" s="376" t="s">
        <v>130</v>
      </c>
      <c r="G4132" s="376" t="s">
        <v>131</v>
      </c>
      <c r="H4132" s="376" t="s">
        <v>132</v>
      </c>
      <c r="I4132" s="376" t="s">
        <v>133</v>
      </c>
      <c r="J4132" s="377" t="s">
        <v>134</v>
      </c>
      <c r="K4132" s="88"/>
      <c r="M4132" s="534"/>
      <c r="N4132" s="536" t="s">
        <v>120</v>
      </c>
      <c r="O4132" s="536"/>
      <c r="P4132" s="536"/>
      <c r="Q4132" s="536"/>
      <c r="R4132" s="536"/>
      <c r="S4132" s="536"/>
      <c r="T4132" s="536"/>
      <c r="U4132" s="536"/>
      <c r="V4132" s="82">
        <f>+SUM(V4129:V4131)</f>
        <v>4184.2250000000004</v>
      </c>
      <c r="Y4132" s="398" t="s">
        <v>135</v>
      </c>
      <c r="Z4132" s="397">
        <f>+SUM(Z4129:Z4131)</f>
        <v>472817.42500000005</v>
      </c>
      <c r="AA4132" s="86"/>
      <c r="AB4132" s="384"/>
      <c r="AC4132" s="385"/>
      <c r="AD4132" s="94"/>
      <c r="AE4132" s="399"/>
    </row>
    <row r="4133" spans="3:31" s="260" customFormat="1" ht="15.75" thickBot="1" x14ac:dyDescent="0.3">
      <c r="C4133" s="84"/>
      <c r="D4133" s="354"/>
      <c r="E4133" s="96"/>
      <c r="F4133" s="96"/>
      <c r="G4133" s="107">
        <f>+F4126</f>
        <v>4.07</v>
      </c>
      <c r="H4133" s="96"/>
      <c r="I4133" s="96"/>
      <c r="J4133" s="427"/>
      <c r="K4133" s="88"/>
      <c r="M4133" s="535"/>
      <c r="N4133" s="537" t="s">
        <v>121</v>
      </c>
      <c r="O4133" s="537"/>
      <c r="P4133" s="537"/>
      <c r="Q4133" s="537"/>
      <c r="R4133" s="537"/>
      <c r="S4133" s="537"/>
      <c r="T4133" s="537"/>
      <c r="U4133" s="537"/>
      <c r="V4133" s="413">
        <f>+ROUND(V4132,$AA$5)</f>
        <v>4184.2299999999996</v>
      </c>
      <c r="Y4133" s="401" t="s">
        <v>136</v>
      </c>
      <c r="Z4133" s="402">
        <f>+ROUND(Z4132,$AA$5)</f>
        <v>472817.43</v>
      </c>
      <c r="AA4133" s="86"/>
      <c r="AB4133" s="403">
        <f>+V4133*Y4099</f>
        <v>472817.98999999993</v>
      </c>
      <c r="AC4133" s="404">
        <f>+AB4133-Z4133</f>
        <v>0.55999999993946403</v>
      </c>
      <c r="AD4133" s="94"/>
      <c r="AE4133" s="405"/>
    </row>
    <row r="4134" spans="3:31" s="260" customFormat="1" ht="15.75" thickBot="1" x14ac:dyDescent="0.3">
      <c r="C4134" s="84"/>
      <c r="D4134" s="375" t="s">
        <v>128</v>
      </c>
      <c r="E4134" s="376" t="s">
        <v>129</v>
      </c>
      <c r="F4134" s="376" t="s">
        <v>130</v>
      </c>
      <c r="G4134" s="376" t="s">
        <v>131</v>
      </c>
      <c r="H4134" s="376" t="s">
        <v>132</v>
      </c>
      <c r="I4134" s="376" t="s">
        <v>133</v>
      </c>
      <c r="J4134" s="377" t="s">
        <v>134</v>
      </c>
      <c r="K4134" s="88"/>
      <c r="M4134" s="541"/>
      <c r="N4134" s="542"/>
      <c r="O4134" s="542"/>
      <c r="P4134" s="542"/>
      <c r="Q4134" s="542"/>
      <c r="R4134" s="542"/>
      <c r="S4134" s="542"/>
      <c r="T4134" s="542"/>
      <c r="U4134" s="542"/>
      <c r="V4134" s="543"/>
      <c r="Y4134" s="378"/>
      <c r="Z4134" s="121"/>
      <c r="AA4134" s="86"/>
      <c r="AB4134" s="409"/>
      <c r="AC4134" s="121"/>
      <c r="AD4134" s="94"/>
      <c r="AE4134" s="428"/>
    </row>
    <row r="4135" spans="3:31" s="260" customFormat="1" ht="15.75" thickBot="1" x14ac:dyDescent="0.3">
      <c r="C4135" s="84"/>
      <c r="D4135" s="355"/>
      <c r="E4135" s="367"/>
      <c r="F4135" s="367"/>
      <c r="G4135" s="367"/>
      <c r="H4135" s="412">
        <f>G4133</f>
        <v>4.07</v>
      </c>
      <c r="I4135" s="412"/>
      <c r="J4135" s="422"/>
      <c r="K4135" s="88"/>
      <c r="M4135" s="544" t="s">
        <v>122</v>
      </c>
      <c r="N4135" s="537"/>
      <c r="O4135" s="537"/>
      <c r="P4135" s="537"/>
      <c r="Q4135" s="537"/>
      <c r="R4135" s="537"/>
      <c r="S4135" s="537"/>
      <c r="T4135" s="537"/>
      <c r="U4135" s="545">
        <f>+V4133+V4126+V4118+V4109</f>
        <v>11341.98</v>
      </c>
      <c r="V4135" s="546"/>
      <c r="Y4135" s="429"/>
      <c r="Z4135" s="430">
        <f>+Z4133+Z4126+Z4118+Z4109</f>
        <v>1281643.1399999999</v>
      </c>
      <c r="AA4135" s="86"/>
      <c r="AB4135" s="431">
        <f>+AB4133+AB4126+AB4118+AB4109</f>
        <v>1281643.7399999998</v>
      </c>
      <c r="AC4135" s="404">
        <f>+AB4135-Z4135</f>
        <v>0.59999999986030161</v>
      </c>
      <c r="AD4135" s="94"/>
      <c r="AE4135" s="432"/>
    </row>
    <row r="4136" spans="3:31" s="260" customFormat="1" ht="15.75" thickBot="1" x14ac:dyDescent="0.3"/>
    <row r="4137" spans="3:31" s="260" customFormat="1" x14ac:dyDescent="0.25">
      <c r="M4137" s="547" t="s">
        <v>348</v>
      </c>
      <c r="N4137" s="548"/>
      <c r="O4137" s="548"/>
      <c r="P4137" s="548"/>
      <c r="Q4137" s="548"/>
      <c r="R4137" s="548"/>
      <c r="S4137" s="548"/>
      <c r="T4137" s="548"/>
      <c r="U4137" s="548"/>
      <c r="V4137" s="549"/>
      <c r="Y4137" s="378"/>
      <c r="Z4137" s="121"/>
      <c r="AA4137" s="86"/>
      <c r="AB4137" s="94"/>
      <c r="AC4137" s="94"/>
      <c r="AD4137" s="94"/>
      <c r="AE4137" s="126" t="s">
        <v>133</v>
      </c>
    </row>
    <row r="4138" spans="3:31" s="260" customFormat="1" x14ac:dyDescent="0.25">
      <c r="M4138" s="515" t="s">
        <v>138</v>
      </c>
      <c r="N4138" s="516"/>
      <c r="O4138" s="516"/>
      <c r="P4138" s="516"/>
      <c r="Q4138" s="516"/>
      <c r="R4138" s="516"/>
      <c r="S4138" s="516"/>
      <c r="T4138" s="437">
        <v>0</v>
      </c>
      <c r="U4138" s="517">
        <f>+ROUND(U4135*T4138,$AA$5)</f>
        <v>0</v>
      </c>
      <c r="V4138" s="518"/>
      <c r="Y4138" s="390"/>
      <c r="Z4138" s="438">
        <f>+Z4135*T4138</f>
        <v>0</v>
      </c>
      <c r="AA4138" s="86"/>
      <c r="AB4138" s="94"/>
      <c r="AC4138" s="94"/>
      <c r="AD4138" s="94"/>
      <c r="AE4138" s="386" t="s">
        <v>133</v>
      </c>
    </row>
    <row r="4139" spans="3:31" s="260" customFormat="1" x14ac:dyDescent="0.25">
      <c r="M4139" s="515" t="s">
        <v>19</v>
      </c>
      <c r="N4139" s="516"/>
      <c r="O4139" s="516"/>
      <c r="P4139" s="516"/>
      <c r="Q4139" s="516"/>
      <c r="R4139" s="516"/>
      <c r="S4139" s="516"/>
      <c r="T4139" s="437">
        <v>0.05</v>
      </c>
      <c r="U4139" s="517">
        <f>+ROUND(U4135*T4139,$AA$5)</f>
        <v>567.1</v>
      </c>
      <c r="V4139" s="518"/>
      <c r="Y4139" s="390"/>
      <c r="Z4139" s="438">
        <f>+Z4135*T4139</f>
        <v>64082.156999999999</v>
      </c>
      <c r="AA4139" s="86"/>
      <c r="AB4139" s="94"/>
      <c r="AC4139" s="94"/>
      <c r="AD4139" s="94"/>
      <c r="AE4139" s="386" t="s">
        <v>133</v>
      </c>
    </row>
    <row r="4140" spans="3:31" s="260" customFormat="1" x14ac:dyDescent="0.25">
      <c r="M4140" s="515" t="s">
        <v>20</v>
      </c>
      <c r="N4140" s="516"/>
      <c r="O4140" s="516"/>
      <c r="P4140" s="516"/>
      <c r="Q4140" s="516"/>
      <c r="R4140" s="516"/>
      <c r="S4140" s="516"/>
      <c r="T4140" s="437">
        <v>0</v>
      </c>
      <c r="U4140" s="517">
        <f>+ROUND(U4135*T4140,$AA$5)</f>
        <v>0</v>
      </c>
      <c r="V4140" s="518"/>
      <c r="Y4140" s="390"/>
      <c r="Z4140" s="438">
        <f>+Z4135*T4140</f>
        <v>0</v>
      </c>
      <c r="AA4140" s="86"/>
      <c r="AB4140" s="94"/>
      <c r="AC4140" s="94"/>
      <c r="AD4140" s="94"/>
      <c r="AE4140" s="386" t="s">
        <v>133</v>
      </c>
    </row>
    <row r="4141" spans="3:31" s="260" customFormat="1" x14ac:dyDescent="0.25">
      <c r="M4141" s="515" t="s">
        <v>21</v>
      </c>
      <c r="N4141" s="516"/>
      <c r="O4141" s="516"/>
      <c r="P4141" s="516"/>
      <c r="Q4141" s="516"/>
      <c r="R4141" s="516"/>
      <c r="S4141" s="516"/>
      <c r="T4141" s="437">
        <f>$AA$9</f>
        <v>0</v>
      </c>
      <c r="U4141" s="517">
        <f>+ROUND(U4135*T4141,$AA$5)</f>
        <v>0</v>
      </c>
      <c r="V4141" s="518"/>
      <c r="Y4141" s="390"/>
      <c r="Z4141" s="438">
        <f>+Z4140*T4141</f>
        <v>0</v>
      </c>
      <c r="AA4141" s="86"/>
      <c r="AB4141" s="94"/>
      <c r="AC4141" s="94"/>
      <c r="AD4141" s="94"/>
      <c r="AE4141" s="386" t="s">
        <v>133</v>
      </c>
    </row>
    <row r="4142" spans="3:31" s="260" customFormat="1" ht="15.75" thickBot="1" x14ac:dyDescent="0.3">
      <c r="M4142" s="519" t="s">
        <v>349</v>
      </c>
      <c r="N4142" s="520"/>
      <c r="O4142" s="520"/>
      <c r="P4142" s="520"/>
      <c r="Q4142" s="520"/>
      <c r="R4142" s="520"/>
      <c r="S4142" s="520"/>
      <c r="T4142" s="520"/>
      <c r="U4142" s="521">
        <f>+SUM(U4138:V4141)</f>
        <v>567.1</v>
      </c>
      <c r="V4142" s="522"/>
      <c r="Y4142" s="390"/>
      <c r="Z4142" s="439">
        <f>+SUM(Z4138:Z4141)</f>
        <v>64082.156999999999</v>
      </c>
      <c r="AA4142" s="86"/>
      <c r="AB4142" s="94"/>
      <c r="AC4142" s="94"/>
      <c r="AD4142" s="94"/>
      <c r="AE4142" s="386" t="s">
        <v>133</v>
      </c>
    </row>
    <row r="4143" spans="3:31" s="260" customFormat="1" ht="15.75" thickBot="1" x14ac:dyDescent="0.3">
      <c r="D4143" s="375" t="s">
        <v>128</v>
      </c>
      <c r="E4143" s="376" t="s">
        <v>129</v>
      </c>
      <c r="F4143" s="376" t="s">
        <v>130</v>
      </c>
      <c r="G4143" s="376" t="s">
        <v>131</v>
      </c>
      <c r="H4143" s="376" t="s">
        <v>132</v>
      </c>
      <c r="I4143" s="376" t="s">
        <v>133</v>
      </c>
      <c r="J4143" s="377" t="s">
        <v>134</v>
      </c>
      <c r="M4143" s="86"/>
      <c r="N4143" s="94"/>
      <c r="O4143" s="94"/>
      <c r="P4143" s="94"/>
      <c r="Q4143" s="86"/>
      <c r="R4143" s="86"/>
      <c r="S4143" s="86"/>
      <c r="T4143" s="440"/>
      <c r="U4143" s="523"/>
      <c r="V4143" s="523"/>
      <c r="Y4143" s="390"/>
      <c r="Z4143" s="385"/>
      <c r="AA4143" s="86"/>
      <c r="AB4143" s="94"/>
      <c r="AC4143" s="94"/>
      <c r="AD4143" s="94"/>
      <c r="AE4143" s="386" t="s">
        <v>133</v>
      </c>
    </row>
    <row r="4144" spans="3:31" s="260" customFormat="1" ht="15.75" thickBot="1" x14ac:dyDescent="0.3">
      <c r="D4144" s="355"/>
      <c r="E4144" s="367"/>
      <c r="F4144" s="367"/>
      <c r="G4144" s="367"/>
      <c r="H4144" s="412"/>
      <c r="I4144" s="412">
        <f>H4135</f>
        <v>4.07</v>
      </c>
      <c r="J4144" s="422"/>
      <c r="M4144" s="524" t="s">
        <v>11</v>
      </c>
      <c r="N4144" s="525"/>
      <c r="O4144" s="525"/>
      <c r="P4144" s="525"/>
      <c r="Q4144" s="525"/>
      <c r="R4144" s="525"/>
      <c r="S4144" s="525"/>
      <c r="T4144" s="526"/>
      <c r="U4144" s="527">
        <f>+U4142+U4135</f>
        <v>11909.08</v>
      </c>
      <c r="V4144" s="528"/>
      <c r="Y4144" s="429"/>
      <c r="Z4144" s="441">
        <f>+Z4142+Z4135</f>
        <v>1345725.2969999998</v>
      </c>
      <c r="AA4144" s="86"/>
      <c r="AB4144" s="94"/>
      <c r="AC4144" s="94"/>
      <c r="AD4144" s="94"/>
      <c r="AE4144" s="405" t="s">
        <v>133</v>
      </c>
    </row>
    <row r="4145" spans="3:31" s="260" customFormat="1" x14ac:dyDescent="0.25"/>
    <row r="4146" spans="3:31" s="260" customFormat="1" ht="15.75" thickBot="1" x14ac:dyDescent="0.3"/>
    <row r="4147" spans="3:31" s="260" customFormat="1" ht="15.75" thickBot="1" x14ac:dyDescent="0.3">
      <c r="M4147" s="363" t="s">
        <v>88</v>
      </c>
      <c r="N4147" s="436" t="str">
        <f>+N4098</f>
        <v>CAP.4</v>
      </c>
      <c r="O4147" s="550" t="str">
        <f>IFERROR(VLOOKUP(N4147,PPTO!C:H,2,0),"----")</f>
        <v>RED SANITARIA</v>
      </c>
      <c r="P4147" s="551"/>
      <c r="Q4147" s="551"/>
      <c r="R4147" s="551"/>
      <c r="S4147" s="551"/>
      <c r="T4147" s="551"/>
      <c r="U4147" s="552"/>
      <c r="V4147" s="74" t="s">
        <v>91</v>
      </c>
      <c r="Y4147" s="365" t="s">
        <v>104</v>
      </c>
      <c r="Z4147" s="94"/>
      <c r="AA4147" s="188"/>
      <c r="AB4147" s="553"/>
      <c r="AC4147" s="553"/>
      <c r="AD4147" s="553"/>
      <c r="AE4147" s="94"/>
    </row>
    <row r="4148" spans="3:31" s="260" customFormat="1" ht="15.75" thickBot="1" x14ac:dyDescent="0.3">
      <c r="C4148" s="369">
        <f>+N4148</f>
        <v>4.08</v>
      </c>
      <c r="D4148" s="86"/>
      <c r="E4148" s="86"/>
      <c r="F4148" s="86"/>
      <c r="G4148" s="86"/>
      <c r="H4148" s="86"/>
      <c r="I4148" s="86"/>
      <c r="J4148" s="86"/>
      <c r="K4148" s="370"/>
      <c r="M4148" s="75" t="s">
        <v>92</v>
      </c>
      <c r="N4148" s="371">
        <f>+ROUNDUP(N4099+0.01,2)</f>
        <v>4.08</v>
      </c>
      <c r="O4148" s="554" t="str">
        <f>IFERROR(VLOOKUP(N4148,PPTO!C:H,2,0),"----")</f>
        <v>Codo 45° Sanitario PVC Ø2"</v>
      </c>
      <c r="P4148" s="555"/>
      <c r="Q4148" s="555"/>
      <c r="R4148" s="555"/>
      <c r="S4148" s="555"/>
      <c r="T4148" s="555"/>
      <c r="U4148" s="556"/>
      <c r="V4148" s="76" t="str">
        <f>IFERROR(VLOOKUP(N4148,PPTO!C:H,3,0),"----")</f>
        <v>UND</v>
      </c>
      <c r="Y4148" s="373">
        <f>SUMIFS(PPTO!F:F,PPTO!C:C,APUS!N4148)</f>
        <v>30</v>
      </c>
      <c r="Z4148" s="94"/>
      <c r="AA4148" s="86"/>
      <c r="AB4148" s="94"/>
      <c r="AC4148" s="94"/>
      <c r="AD4148" s="94"/>
      <c r="AE4148" s="94"/>
    </row>
    <row r="4149" spans="3:31" s="260" customFormat="1" ht="15.75" thickBot="1" x14ac:dyDescent="0.3">
      <c r="C4149" s="84"/>
      <c r="D4149" s="86"/>
      <c r="E4149" s="86"/>
      <c r="F4149" s="86"/>
      <c r="G4149" s="86"/>
      <c r="H4149" s="86"/>
      <c r="I4149" s="86"/>
      <c r="J4149" s="86"/>
      <c r="K4149" s="88"/>
      <c r="M4149" s="557"/>
      <c r="N4149" s="557"/>
      <c r="O4149" s="557"/>
      <c r="P4149" s="557"/>
      <c r="Q4149" s="557"/>
      <c r="R4149" s="557"/>
      <c r="S4149" s="557"/>
      <c r="T4149" s="557"/>
      <c r="U4149" s="557"/>
      <c r="V4149" s="557"/>
      <c r="Y4149" s="374"/>
      <c r="Z4149" s="94"/>
      <c r="AA4149" s="86"/>
      <c r="AB4149" s="94"/>
      <c r="AC4149" s="94"/>
      <c r="AD4149" s="94"/>
      <c r="AE4149" s="94"/>
    </row>
    <row r="4150" spans="3:31" s="260" customFormat="1" ht="15.75" thickBot="1" x14ac:dyDescent="0.3">
      <c r="C4150" s="84"/>
      <c r="D4150" s="375" t="s">
        <v>128</v>
      </c>
      <c r="E4150" s="376" t="s">
        <v>129</v>
      </c>
      <c r="F4150" s="376" t="s">
        <v>130</v>
      </c>
      <c r="G4150" s="376" t="s">
        <v>131</v>
      </c>
      <c r="H4150" s="376" t="s">
        <v>132</v>
      </c>
      <c r="I4150" s="376" t="s">
        <v>133</v>
      </c>
      <c r="J4150" s="377" t="s">
        <v>134</v>
      </c>
      <c r="K4150" s="88"/>
      <c r="M4150" s="558" t="s">
        <v>93</v>
      </c>
      <c r="N4150" s="559"/>
      <c r="O4150" s="559"/>
      <c r="P4150" s="559"/>
      <c r="Q4150" s="559"/>
      <c r="R4150" s="559"/>
      <c r="S4150" s="559"/>
      <c r="T4150" s="559"/>
      <c r="U4150" s="559"/>
      <c r="V4150" s="560"/>
      <c r="Y4150" s="378"/>
      <c r="Z4150" s="121"/>
      <c r="AA4150" s="86"/>
      <c r="AB4150" s="513"/>
      <c r="AC4150" s="514"/>
      <c r="AD4150" s="94"/>
      <c r="AE4150" s="379"/>
    </row>
    <row r="4151" spans="3:31" s="260" customFormat="1" x14ac:dyDescent="0.25">
      <c r="C4151" s="84"/>
      <c r="D4151" s="380"/>
      <c r="E4151" s="381"/>
      <c r="F4151" s="381"/>
      <c r="G4151" s="381"/>
      <c r="H4151" s="381"/>
      <c r="I4151" s="381"/>
      <c r="J4151" s="382"/>
      <c r="K4151" s="88"/>
      <c r="M4151" s="99" t="s">
        <v>94</v>
      </c>
      <c r="N4151" s="561" t="s">
        <v>95</v>
      </c>
      <c r="O4151" s="561"/>
      <c r="P4151" s="561"/>
      <c r="Q4151" s="561"/>
      <c r="R4151" s="95" t="s">
        <v>96</v>
      </c>
      <c r="S4151" s="95" t="s">
        <v>97</v>
      </c>
      <c r="T4151" s="562" t="s">
        <v>8</v>
      </c>
      <c r="U4151" s="562"/>
      <c r="V4151" s="100" t="s">
        <v>98</v>
      </c>
      <c r="Y4151" s="383" t="s">
        <v>104</v>
      </c>
      <c r="Z4151" s="119" t="s">
        <v>9</v>
      </c>
      <c r="AA4151" s="86"/>
      <c r="AB4151" s="384"/>
      <c r="AC4151" s="385"/>
      <c r="AD4151" s="94"/>
      <c r="AE4151" s="386"/>
    </row>
    <row r="4152" spans="3:31" s="260" customFormat="1" x14ac:dyDescent="0.25">
      <c r="C4152" s="84"/>
      <c r="D4152" s="85"/>
      <c r="E4152" s="86"/>
      <c r="F4152" s="86"/>
      <c r="G4152" s="86"/>
      <c r="H4152" s="86"/>
      <c r="I4152" s="86"/>
      <c r="J4152" s="87"/>
      <c r="K4152" s="88"/>
      <c r="M4152" s="102"/>
      <c r="N4152" s="533" t="s">
        <v>99</v>
      </c>
      <c r="O4152" s="533"/>
      <c r="P4152" s="533"/>
      <c r="Q4152" s="533"/>
      <c r="R4152" s="78" t="s">
        <v>100</v>
      </c>
      <c r="S4152" s="387">
        <f>+$AA$10</f>
        <v>0.05</v>
      </c>
      <c r="T4152" s="563">
        <f>V4182</f>
        <v>4184.2299999999996</v>
      </c>
      <c r="U4152" s="563"/>
      <c r="V4152" s="389">
        <f>+IFERROR(T4152*S4152,0)</f>
        <v>209.2115</v>
      </c>
      <c r="Y4152" s="390"/>
      <c r="Z4152" s="391">
        <f>Y4148*V4152</f>
        <v>6276.3450000000003</v>
      </c>
      <c r="AA4152" s="86"/>
      <c r="AB4152" s="384"/>
      <c r="AC4152" s="385"/>
      <c r="AD4152" s="94"/>
      <c r="AE4152" s="386" t="str">
        <f>+IF(V4152=0,"CERO","NO")</f>
        <v>NO</v>
      </c>
    </row>
    <row r="4153" spans="3:31" s="260" customFormat="1" x14ac:dyDescent="0.25">
      <c r="C4153" s="84"/>
      <c r="D4153" s="85"/>
      <c r="E4153" s="86"/>
      <c r="F4153" s="86"/>
      <c r="G4153" s="86"/>
      <c r="H4153" s="86"/>
      <c r="I4153" s="86"/>
      <c r="J4153" s="87"/>
      <c r="K4153" s="88"/>
      <c r="M4153" s="106"/>
      <c r="N4153" s="533" t="str">
        <f>IFERROR(VLOOKUP(M4153,INSUMOS!$C$8:$K$928,2,0),"-----")</f>
        <v>-----</v>
      </c>
      <c r="O4153" s="533"/>
      <c r="P4153" s="533"/>
      <c r="Q4153" s="533"/>
      <c r="R4153" s="78" t="str">
        <f>IFERROR(VLOOKUP(M4153,INSUMOS!$C$8:$K$928,6,0),"-----")</f>
        <v>-----</v>
      </c>
      <c r="S4153" s="392"/>
      <c r="T4153" s="529" t="str">
        <f>IFERROR(VLOOKUP(M4153,INSUMOS!$C$8:$K$928,7,0),"0")</f>
        <v>0</v>
      </c>
      <c r="U4153" s="529"/>
      <c r="V4153" s="389">
        <f>+IFERROR(T4153*S4153,0)</f>
        <v>0</v>
      </c>
      <c r="Y4153" s="393">
        <f>+IFERROR(Y4148*S4153,0)</f>
        <v>0</v>
      </c>
      <c r="Z4153" s="391">
        <f>Y4148*V4153</f>
        <v>0</v>
      </c>
      <c r="AA4153" s="394"/>
      <c r="AB4153" s="395">
        <f>+Y4153*T4153</f>
        <v>0</v>
      </c>
      <c r="AC4153" s="93">
        <f>+AB4153-Z4153</f>
        <v>0</v>
      </c>
      <c r="AD4153" s="94"/>
      <c r="AE4153" s="386" t="str">
        <f>+IF(V4153=0,"CERO","NO")</f>
        <v>CERO</v>
      </c>
    </row>
    <row r="4154" spans="3:31" s="260" customFormat="1" x14ac:dyDescent="0.25">
      <c r="C4154" s="84"/>
      <c r="D4154" s="85"/>
      <c r="E4154" s="86"/>
      <c r="F4154" s="86"/>
      <c r="G4154" s="86"/>
      <c r="H4154" s="86"/>
      <c r="I4154" s="86"/>
      <c r="J4154" s="87"/>
      <c r="K4154" s="88"/>
      <c r="M4154" s="102">
        <v>0</v>
      </c>
      <c r="N4154" s="533"/>
      <c r="O4154" s="533"/>
      <c r="P4154" s="533"/>
      <c r="Q4154" s="533"/>
      <c r="R4154" s="78"/>
      <c r="S4154" s="396"/>
      <c r="T4154" s="529"/>
      <c r="U4154" s="529"/>
      <c r="V4154" s="397"/>
      <c r="Y4154" s="393">
        <f>+IFERROR(Y4148*S4154,0)</f>
        <v>0</v>
      </c>
      <c r="Z4154" s="391">
        <f>Y4148*V4154</f>
        <v>0</v>
      </c>
      <c r="AA4154" s="394"/>
      <c r="AB4154" s="395">
        <f>+Y4154*T4154</f>
        <v>0</v>
      </c>
      <c r="AC4154" s="93">
        <f>+AB4154-Z4154</f>
        <v>0</v>
      </c>
      <c r="AD4154" s="94"/>
      <c r="AE4154" s="386" t="str">
        <f>+IF(V4154=0,"CERO","NO")</f>
        <v>CERO</v>
      </c>
    </row>
    <row r="4155" spans="3:31" s="260" customFormat="1" x14ac:dyDescent="0.25">
      <c r="C4155" s="84"/>
      <c r="D4155" s="85"/>
      <c r="E4155" s="86"/>
      <c r="F4155" s="86"/>
      <c r="G4155" s="86"/>
      <c r="H4155" s="86"/>
      <c r="I4155" s="86"/>
      <c r="J4155" s="87"/>
      <c r="K4155" s="88"/>
      <c r="M4155" s="102">
        <v>0</v>
      </c>
      <c r="N4155" s="533"/>
      <c r="O4155" s="533"/>
      <c r="P4155" s="533"/>
      <c r="Q4155" s="533"/>
      <c r="R4155" s="78"/>
      <c r="S4155" s="396"/>
      <c r="T4155" s="529"/>
      <c r="U4155" s="529"/>
      <c r="V4155" s="397"/>
      <c r="Y4155" s="393">
        <f>+IFERROR(Y4148*S4155,0)</f>
        <v>0</v>
      </c>
      <c r="Z4155" s="391">
        <f>Y4148*V4155</f>
        <v>0</v>
      </c>
      <c r="AA4155" s="394"/>
      <c r="AB4155" s="395">
        <f>+Y4155*T4155</f>
        <v>0</v>
      </c>
      <c r="AC4155" s="93">
        <f>+AB4155-Z4155</f>
        <v>0</v>
      </c>
      <c r="AD4155" s="94"/>
      <c r="AE4155" s="386" t="str">
        <f>+IF(V4155=0,"CERO","NO")</f>
        <v>CERO</v>
      </c>
    </row>
    <row r="4156" spans="3:31" s="260" customFormat="1" ht="15.75" thickBot="1" x14ac:dyDescent="0.3">
      <c r="C4156" s="84"/>
      <c r="D4156" s="85"/>
      <c r="E4156" s="86"/>
      <c r="F4156" s="86"/>
      <c r="G4156" s="86"/>
      <c r="H4156" s="86"/>
      <c r="I4156" s="86"/>
      <c r="J4156" s="87"/>
      <c r="K4156" s="88"/>
      <c r="M4156" s="102">
        <v>0</v>
      </c>
      <c r="N4156" s="564"/>
      <c r="O4156" s="564"/>
      <c r="P4156" s="564"/>
      <c r="Q4156" s="564"/>
      <c r="R4156" s="96"/>
      <c r="S4156" s="96"/>
      <c r="T4156" s="565"/>
      <c r="U4156" s="565"/>
      <c r="V4156" s="101"/>
      <c r="Y4156" s="393">
        <f>+IFERROR(Y4148*S4156,0)</f>
        <v>0</v>
      </c>
      <c r="Z4156" s="391">
        <f>Y4148*V4156</f>
        <v>0</v>
      </c>
      <c r="AA4156" s="394"/>
      <c r="AB4156" s="395">
        <f>+Y4156*T4156</f>
        <v>0</v>
      </c>
      <c r="AC4156" s="93">
        <f>+AB4156-Z4156</f>
        <v>0</v>
      </c>
      <c r="AD4156" s="94"/>
      <c r="AE4156" s="386" t="str">
        <f>+IF(V4156=0,"CERO","NO")</f>
        <v>CERO</v>
      </c>
    </row>
    <row r="4157" spans="3:31" s="260" customFormat="1" ht="15.75" thickBot="1" x14ac:dyDescent="0.3">
      <c r="C4157" s="84"/>
      <c r="D4157" s="375" t="s">
        <v>128</v>
      </c>
      <c r="E4157" s="376" t="s">
        <v>129</v>
      </c>
      <c r="F4157" s="376" t="s">
        <v>130</v>
      </c>
      <c r="G4157" s="376" t="s">
        <v>131</v>
      </c>
      <c r="H4157" s="376" t="s">
        <v>132</v>
      </c>
      <c r="I4157" s="376" t="s">
        <v>133</v>
      </c>
      <c r="J4157" s="377" t="s">
        <v>134</v>
      </c>
      <c r="K4157" s="88"/>
      <c r="M4157" s="534"/>
      <c r="N4157" s="536" t="s">
        <v>101</v>
      </c>
      <c r="O4157" s="536"/>
      <c r="P4157" s="536"/>
      <c r="Q4157" s="536"/>
      <c r="R4157" s="536"/>
      <c r="S4157" s="536"/>
      <c r="T4157" s="536"/>
      <c r="U4157" s="536"/>
      <c r="V4157" s="389">
        <f>+SUM(V4152:V4156)</f>
        <v>209.2115</v>
      </c>
      <c r="Y4157" s="398" t="s">
        <v>135</v>
      </c>
      <c r="Z4157" s="397">
        <f>+SUM(Z4152:Z4156)</f>
        <v>6276.3450000000003</v>
      </c>
      <c r="AA4157" s="86"/>
      <c r="AB4157" s="384"/>
      <c r="AC4157" s="385"/>
      <c r="AD4157" s="94"/>
      <c r="AE4157" s="399"/>
    </row>
    <row r="4158" spans="3:31" s="260" customFormat="1" ht="15.75" thickBot="1" x14ac:dyDescent="0.3">
      <c r="C4158" s="84"/>
      <c r="D4158" s="375">
        <f>C4148</f>
        <v>4.08</v>
      </c>
      <c r="E4158" s="376"/>
      <c r="F4158" s="376"/>
      <c r="G4158" s="376"/>
      <c r="H4158" s="376"/>
      <c r="I4158" s="376"/>
      <c r="J4158" s="377"/>
      <c r="K4158" s="88"/>
      <c r="M4158" s="566"/>
      <c r="N4158" s="567" t="s">
        <v>102</v>
      </c>
      <c r="O4158" s="567"/>
      <c r="P4158" s="567"/>
      <c r="Q4158" s="567"/>
      <c r="R4158" s="567"/>
      <c r="S4158" s="567"/>
      <c r="T4158" s="567"/>
      <c r="U4158" s="567"/>
      <c r="V4158" s="400">
        <f>+ROUND(V4157,$AA$5)</f>
        <v>209.21</v>
      </c>
      <c r="Y4158" s="401" t="s">
        <v>136</v>
      </c>
      <c r="Z4158" s="402">
        <f>+ROUND(Z4157,$AA$5)</f>
        <v>6276.35</v>
      </c>
      <c r="AA4158" s="86"/>
      <c r="AB4158" s="403">
        <f>+V4158*Y4148</f>
        <v>6276.3</v>
      </c>
      <c r="AC4158" s="404">
        <f>+AB4158-Z4158</f>
        <v>-5.0000000000181899E-2</v>
      </c>
      <c r="AD4158" s="94"/>
      <c r="AE4158" s="405"/>
    </row>
    <row r="4159" spans="3:31" s="260" customFormat="1" x14ac:dyDescent="0.25">
      <c r="C4159" s="84"/>
      <c r="D4159" s="380"/>
      <c r="E4159" s="381"/>
      <c r="F4159" s="381"/>
      <c r="G4159" s="381"/>
      <c r="H4159" s="381"/>
      <c r="I4159" s="381"/>
      <c r="J4159" s="382"/>
      <c r="K4159" s="88"/>
      <c r="M4159" s="510" t="s">
        <v>103</v>
      </c>
      <c r="N4159" s="511"/>
      <c r="O4159" s="511"/>
      <c r="P4159" s="511"/>
      <c r="Q4159" s="511"/>
      <c r="R4159" s="511"/>
      <c r="S4159" s="511"/>
      <c r="T4159" s="511"/>
      <c r="U4159" s="511"/>
      <c r="V4159" s="512"/>
      <c r="Y4159" s="378"/>
      <c r="Z4159" s="121"/>
      <c r="AA4159" s="86"/>
      <c r="AB4159" s="513"/>
      <c r="AC4159" s="514"/>
      <c r="AD4159" s="94"/>
      <c r="AE4159" s="126"/>
    </row>
    <row r="4160" spans="3:31" s="260" customFormat="1" x14ac:dyDescent="0.25">
      <c r="C4160" s="84"/>
      <c r="D4160" s="85"/>
      <c r="E4160" s="86"/>
      <c r="F4160" s="86"/>
      <c r="G4160" s="86"/>
      <c r="H4160" s="86"/>
      <c r="I4160" s="86"/>
      <c r="J4160" s="87"/>
      <c r="K4160" s="88"/>
      <c r="M4160" s="99" t="s">
        <v>94</v>
      </c>
      <c r="N4160" s="561" t="s">
        <v>95</v>
      </c>
      <c r="O4160" s="561"/>
      <c r="P4160" s="561"/>
      <c r="Q4160" s="561"/>
      <c r="R4160" s="95" t="s">
        <v>96</v>
      </c>
      <c r="S4160" s="95" t="s">
        <v>104</v>
      </c>
      <c r="T4160" s="356" t="s">
        <v>105</v>
      </c>
      <c r="U4160" s="356" t="s">
        <v>8</v>
      </c>
      <c r="V4160" s="100" t="s">
        <v>98</v>
      </c>
      <c r="Y4160" s="383" t="s">
        <v>104</v>
      </c>
      <c r="Z4160" s="119" t="s">
        <v>9</v>
      </c>
      <c r="AA4160" s="86"/>
      <c r="AB4160" s="384"/>
      <c r="AC4160" s="385"/>
      <c r="AD4160" s="94"/>
      <c r="AE4160" s="406"/>
    </row>
    <row r="4161" spans="3:31" s="260" customFormat="1" x14ac:dyDescent="0.25">
      <c r="C4161" s="84"/>
      <c r="D4161" s="85"/>
      <c r="E4161" s="86"/>
      <c r="F4161" s="86"/>
      <c r="G4161" s="86"/>
      <c r="H4161" s="86"/>
      <c r="I4161" s="86"/>
      <c r="J4161" s="87"/>
      <c r="K4161" s="88"/>
      <c r="M4161" s="102">
        <v>538</v>
      </c>
      <c r="N4161" s="533" t="str">
        <f>IFERROR(VLOOKUP(M4161,INSUMOS!$C$8:$K$928,2,0),"-----")</f>
        <v>CODO 2" 45° SANITARIO</v>
      </c>
      <c r="O4161" s="533"/>
      <c r="P4161" s="533"/>
      <c r="Q4161" s="533"/>
      <c r="R4161" s="78" t="str">
        <f>IFERROR(VLOOKUP(M4161,INSUMOS!$C$8:$K$928,6,0),"-----")</f>
        <v>und</v>
      </c>
      <c r="S4161" s="396">
        <v>1</v>
      </c>
      <c r="T4161" s="387">
        <v>0</v>
      </c>
      <c r="U4161" s="388">
        <f>IFERROR(VLOOKUP(M4161,INSUMOS!$C$8:$K$928,7,0),"0")</f>
        <v>5308</v>
      </c>
      <c r="V4161" s="389">
        <f>+IFERROR(U4161*(S4161*(1+T4161)),0)</f>
        <v>5308</v>
      </c>
      <c r="Y4161" s="393">
        <f>+IFERROR(Y4148*(S4161*(1+T4161)),0)</f>
        <v>30</v>
      </c>
      <c r="Z4161" s="391">
        <f>Y4148*V4161</f>
        <v>159240</v>
      </c>
      <c r="AA4161" s="394"/>
      <c r="AB4161" s="395">
        <f>+Y4161*U4161</f>
        <v>159240</v>
      </c>
      <c r="AC4161" s="93">
        <f>+AB4161-Z4161</f>
        <v>0</v>
      </c>
      <c r="AD4161" s="94"/>
      <c r="AE4161" s="406" t="str">
        <f>+IF(V4161=0,"CERO","NO")</f>
        <v>NO</v>
      </c>
    </row>
    <row r="4162" spans="3:31" s="260" customFormat="1" x14ac:dyDescent="0.25">
      <c r="C4162" s="84"/>
      <c r="D4162" s="85"/>
      <c r="E4162" s="86"/>
      <c r="F4162" s="86"/>
      <c r="G4162" s="86"/>
      <c r="H4162" s="86"/>
      <c r="I4162" s="86"/>
      <c r="J4162" s="87"/>
      <c r="K4162" s="88"/>
      <c r="M4162" s="102">
        <v>699</v>
      </c>
      <c r="N4162" s="533" t="str">
        <f>IFERROR(VLOOKUP(M4162,INSUMOS!$C$8:$K$928,2,0),"-----")</f>
        <v>SOLDADURA PVC LIQUIDA 1/4"</v>
      </c>
      <c r="O4162" s="533"/>
      <c r="P4162" s="533"/>
      <c r="Q4162" s="533"/>
      <c r="R4162" s="78" t="str">
        <f>IFERROR(VLOOKUP(M4162,INSUMOS!$C$8:$K$928,6,0),"-----")</f>
        <v>und</v>
      </c>
      <c r="S4162" s="396">
        <v>0.01</v>
      </c>
      <c r="T4162" s="387">
        <v>0.02</v>
      </c>
      <c r="U4162" s="388">
        <f>IFERROR(VLOOKUP(M4162,INSUMOS!$C$8:$K$928,7,0),"0")</f>
        <v>146569</v>
      </c>
      <c r="V4162" s="389">
        <f>+IFERROR(U4162*(S4162*(1+T4162)),0)</f>
        <v>1495.0038000000002</v>
      </c>
      <c r="Y4162" s="393">
        <f>+IFERROR(Y4148*(S4162*(1+T4162)),0)</f>
        <v>0.30600000000000005</v>
      </c>
      <c r="Z4162" s="391">
        <f>Y4148*V4162</f>
        <v>44850.114000000009</v>
      </c>
      <c r="AA4162" s="394"/>
      <c r="AB4162" s="395">
        <f>+Y4162*U4162</f>
        <v>44850.114000000009</v>
      </c>
      <c r="AC4162" s="93">
        <f>+AB4162-Z4162</f>
        <v>0</v>
      </c>
      <c r="AD4162" s="94"/>
      <c r="AE4162" s="406" t="str">
        <f>+IF(V4162=0,"CERO","NO")</f>
        <v>NO</v>
      </c>
    </row>
    <row r="4163" spans="3:31" s="260" customFormat="1" x14ac:dyDescent="0.25">
      <c r="C4163" s="84"/>
      <c r="D4163" s="85"/>
      <c r="E4163" s="86"/>
      <c r="F4163" s="86"/>
      <c r="G4163" s="86"/>
      <c r="H4163" s="86"/>
      <c r="I4163" s="86"/>
      <c r="J4163" s="87"/>
      <c r="K4163" s="88"/>
      <c r="M4163" s="102">
        <v>700</v>
      </c>
      <c r="N4163" s="533" t="str">
        <f>IFERROR(VLOOKUP(M4163,INSUMOS!$C$8:$K$928,2,0),"-----")</f>
        <v>LIMPIADOR PVC 1/4</v>
      </c>
      <c r="O4163" s="533"/>
      <c r="P4163" s="533"/>
      <c r="Q4163" s="533"/>
      <c r="R4163" s="78" t="str">
        <f>IFERROR(VLOOKUP(M4163,INSUMOS!$C$8:$K$928,6,0),"-----")</f>
        <v>und</v>
      </c>
      <c r="S4163" s="396">
        <v>0.01</v>
      </c>
      <c r="T4163" s="387">
        <v>0.02</v>
      </c>
      <c r="U4163" s="388">
        <f>IFERROR(VLOOKUP(M4163,INSUMOS!$C$8:$K$928,7,0),"0")</f>
        <v>65913</v>
      </c>
      <c r="V4163" s="389">
        <f>+IFERROR(U4163*(S4163*(1+T4163)),0)</f>
        <v>672.31260000000009</v>
      </c>
      <c r="Y4163" s="393">
        <f>+IFERROR(Y4148*(S4163*(1+T4163)),0)</f>
        <v>0.30600000000000005</v>
      </c>
      <c r="Z4163" s="391">
        <f>Y4148*V4163</f>
        <v>20169.378000000004</v>
      </c>
      <c r="AA4163" s="394"/>
      <c r="AB4163" s="395">
        <f>+Y4163*U4163</f>
        <v>20169.378000000004</v>
      </c>
      <c r="AC4163" s="93">
        <f>+AB4163-Z4163</f>
        <v>0</v>
      </c>
      <c r="AD4163" s="94"/>
      <c r="AE4163" s="406" t="str">
        <f>+IF(V4163=0,"CERO","NO")</f>
        <v>NO</v>
      </c>
    </row>
    <row r="4164" spans="3:31" s="260" customFormat="1" x14ac:dyDescent="0.25">
      <c r="C4164" s="84"/>
      <c r="D4164" s="85"/>
      <c r="E4164" s="86"/>
      <c r="F4164" s="86"/>
      <c r="G4164" s="86"/>
      <c r="H4164" s="86"/>
      <c r="I4164" s="86"/>
      <c r="J4164" s="87"/>
      <c r="K4164" s="88"/>
      <c r="M4164" s="102">
        <v>0</v>
      </c>
      <c r="N4164" s="533" t="str">
        <f>IFERROR(VLOOKUP(M4164,INSUMOS!$C$8:$K$928,2,0),"-----")</f>
        <v>-----</v>
      </c>
      <c r="O4164" s="533"/>
      <c r="P4164" s="533"/>
      <c r="Q4164" s="533"/>
      <c r="R4164" s="78" t="str">
        <f>IFERROR(VLOOKUP(M4164,INSUMOS!$C$8:$K$928,6,0),"-----")</f>
        <v>-----</v>
      </c>
      <c r="S4164" s="396"/>
      <c r="T4164" s="387"/>
      <c r="U4164" s="388" t="str">
        <f>IFERROR(VLOOKUP(M4164,INSUMOS!$C$8:$K$928,7,0),"0")</f>
        <v>0</v>
      </c>
      <c r="V4164" s="389">
        <f>+IFERROR(U4164*(S4164*(1+T4164)),0)</f>
        <v>0</v>
      </c>
      <c r="Y4164" s="393">
        <f>+IFERROR(Y4148*(S4164*(1+T4164)),0)</f>
        <v>0</v>
      </c>
      <c r="Z4164" s="391">
        <f>Y4148*V4164</f>
        <v>0</v>
      </c>
      <c r="AA4164" s="394"/>
      <c r="AB4164" s="395">
        <f>+Y4164*U4164</f>
        <v>0</v>
      </c>
      <c r="AC4164" s="93">
        <f>+AB4164-Z4164</f>
        <v>0</v>
      </c>
      <c r="AD4164" s="94"/>
      <c r="AE4164" s="406" t="str">
        <f>+IF(V4164=0,"CERO","NO")</f>
        <v>CERO</v>
      </c>
    </row>
    <row r="4165" spans="3:31" s="260" customFormat="1" ht="15.75" thickBot="1" x14ac:dyDescent="0.3">
      <c r="C4165" s="84"/>
      <c r="D4165" s="85"/>
      <c r="E4165" s="86"/>
      <c r="F4165" s="86"/>
      <c r="G4165" s="86"/>
      <c r="H4165" s="86"/>
      <c r="I4165" s="86"/>
      <c r="J4165" s="87"/>
      <c r="K4165" s="88"/>
      <c r="M4165" s="102">
        <v>0</v>
      </c>
      <c r="N4165" s="564"/>
      <c r="O4165" s="564"/>
      <c r="P4165" s="564"/>
      <c r="Q4165" s="564"/>
      <c r="R4165" s="96"/>
      <c r="S4165" s="79"/>
      <c r="T4165" s="97"/>
      <c r="U4165" s="358"/>
      <c r="V4165" s="397"/>
      <c r="Y4165" s="393">
        <f>+IFERROR(Y4148*(S4165*(1+T4165)),0)</f>
        <v>0</v>
      </c>
      <c r="Z4165" s="391">
        <f>Y4148*V4165</f>
        <v>0</v>
      </c>
      <c r="AA4165" s="394"/>
      <c r="AB4165" s="395">
        <f>+Y4165*U4165</f>
        <v>0</v>
      </c>
      <c r="AC4165" s="93">
        <f>+AB4165-Z4165</f>
        <v>0</v>
      </c>
      <c r="AD4165" s="94"/>
      <c r="AE4165" s="406" t="str">
        <f>+IF(V4165=0,"CERO","NO")</f>
        <v>CERO</v>
      </c>
    </row>
    <row r="4166" spans="3:31" s="260" customFormat="1" ht="15.75" thickBot="1" x14ac:dyDescent="0.3">
      <c r="C4166" s="84"/>
      <c r="D4166" s="375" t="s">
        <v>128</v>
      </c>
      <c r="E4166" s="376" t="s">
        <v>129</v>
      </c>
      <c r="F4166" s="376" t="s">
        <v>130</v>
      </c>
      <c r="G4166" s="376" t="s">
        <v>131</v>
      </c>
      <c r="H4166" s="376" t="s">
        <v>132</v>
      </c>
      <c r="I4166" s="376" t="s">
        <v>133</v>
      </c>
      <c r="J4166" s="377" t="s">
        <v>134</v>
      </c>
      <c r="K4166" s="88"/>
      <c r="M4166" s="534"/>
      <c r="N4166" s="536" t="s">
        <v>106</v>
      </c>
      <c r="O4166" s="536"/>
      <c r="P4166" s="536"/>
      <c r="Q4166" s="536"/>
      <c r="R4166" s="536"/>
      <c r="S4166" s="536"/>
      <c r="T4166" s="536"/>
      <c r="U4166" s="536"/>
      <c r="V4166" s="389">
        <f>+SUM(V4161:V4165)</f>
        <v>7475.3164000000006</v>
      </c>
      <c r="Y4166" s="398" t="s">
        <v>135</v>
      </c>
      <c r="Z4166" s="397">
        <f>+SUM(Z4161:Z4165)</f>
        <v>224259.492</v>
      </c>
      <c r="AA4166" s="86"/>
      <c r="AB4166" s="384"/>
      <c r="AC4166" s="385"/>
      <c r="AD4166" s="94"/>
      <c r="AE4166" s="399"/>
    </row>
    <row r="4167" spans="3:31" s="260" customFormat="1" ht="15.75" thickBot="1" x14ac:dyDescent="0.3">
      <c r="C4167" s="84"/>
      <c r="D4167" s="375"/>
      <c r="E4167" s="407">
        <f>+D4158</f>
        <v>4.08</v>
      </c>
      <c r="F4167" s="376"/>
      <c r="G4167" s="376"/>
      <c r="H4167" s="376"/>
      <c r="I4167" s="376"/>
      <c r="J4167" s="377"/>
      <c r="K4167" s="88"/>
      <c r="M4167" s="535"/>
      <c r="N4167" s="537" t="s">
        <v>107</v>
      </c>
      <c r="O4167" s="537"/>
      <c r="P4167" s="537"/>
      <c r="Q4167" s="537"/>
      <c r="R4167" s="537"/>
      <c r="S4167" s="537"/>
      <c r="T4167" s="537"/>
      <c r="U4167" s="537"/>
      <c r="V4167" s="408">
        <f>+ROUND(V4166,$AA$5)</f>
        <v>7475.32</v>
      </c>
      <c r="Y4167" s="401" t="s">
        <v>136</v>
      </c>
      <c r="Z4167" s="402">
        <f>+ROUND(Z4166,$AA$5)</f>
        <v>224259.49</v>
      </c>
      <c r="AA4167" s="86"/>
      <c r="AB4167" s="403">
        <f>+V4167*Y4148</f>
        <v>224259.59999999998</v>
      </c>
      <c r="AC4167" s="404">
        <f>+AB4167-Z4167</f>
        <v>0.10999999998603016</v>
      </c>
      <c r="AD4167" s="94"/>
      <c r="AE4167" s="405"/>
    </row>
    <row r="4168" spans="3:31" s="260" customFormat="1" x14ac:dyDescent="0.25">
      <c r="C4168" s="84"/>
      <c r="D4168" s="380"/>
      <c r="E4168" s="381"/>
      <c r="F4168" s="381"/>
      <c r="G4168" s="381"/>
      <c r="H4168" s="381"/>
      <c r="I4168" s="381"/>
      <c r="J4168" s="382"/>
      <c r="K4168" s="88"/>
      <c r="M4168" s="568" t="s">
        <v>108</v>
      </c>
      <c r="N4168" s="569"/>
      <c r="O4168" s="569"/>
      <c r="P4168" s="569"/>
      <c r="Q4168" s="569"/>
      <c r="R4168" s="569"/>
      <c r="S4168" s="569"/>
      <c r="T4168" s="569"/>
      <c r="U4168" s="569"/>
      <c r="V4168" s="570"/>
      <c r="Y4168" s="378"/>
      <c r="Z4168" s="121"/>
      <c r="AA4168" s="86"/>
      <c r="AB4168" s="409"/>
      <c r="AC4168" s="121"/>
      <c r="AD4168" s="94"/>
      <c r="AE4168" s="126"/>
    </row>
    <row r="4169" spans="3:31" s="260" customFormat="1" ht="25.5" x14ac:dyDescent="0.25">
      <c r="C4169" s="84"/>
      <c r="D4169" s="85"/>
      <c r="E4169" s="86"/>
      <c r="F4169" s="86"/>
      <c r="G4169" s="86"/>
      <c r="H4169" s="86"/>
      <c r="I4169" s="86"/>
      <c r="J4169" s="87"/>
      <c r="K4169" s="88"/>
      <c r="M4169" s="99" t="s">
        <v>94</v>
      </c>
      <c r="N4169" s="561" t="s">
        <v>95</v>
      </c>
      <c r="O4169" s="561"/>
      <c r="P4169" s="561"/>
      <c r="Q4169" s="95" t="s">
        <v>109</v>
      </c>
      <c r="R4169" s="95" t="s">
        <v>110</v>
      </c>
      <c r="S4169" s="95" t="s">
        <v>111</v>
      </c>
      <c r="T4169" s="562" t="s">
        <v>112</v>
      </c>
      <c r="U4169" s="562"/>
      <c r="V4169" s="100" t="s">
        <v>98</v>
      </c>
      <c r="Y4169" s="383" t="s">
        <v>104</v>
      </c>
      <c r="Z4169" s="119" t="s">
        <v>9</v>
      </c>
      <c r="AA4169" s="86"/>
      <c r="AB4169" s="384"/>
      <c r="AC4169" s="385"/>
      <c r="AD4169" s="94"/>
      <c r="AE4169" s="410"/>
    </row>
    <row r="4170" spans="3:31" s="260" customFormat="1" x14ac:dyDescent="0.25">
      <c r="C4170" s="84"/>
      <c r="D4170" s="85"/>
      <c r="E4170" s="86"/>
      <c r="F4170" s="86"/>
      <c r="G4170" s="86"/>
      <c r="H4170" s="86"/>
      <c r="I4170" s="86"/>
      <c r="J4170" s="87"/>
      <c r="K4170" s="88"/>
      <c r="M4170" s="102">
        <v>129</v>
      </c>
      <c r="N4170" s="530" t="str">
        <f>IFERROR(VLOOKUP(M4170,INSUMOS!$C$8:$K$928,2,0),"-----")</f>
        <v>transporte materiales en general</v>
      </c>
      <c r="O4170" s="531"/>
      <c r="P4170" s="532"/>
      <c r="Q4170" s="78" t="str">
        <f>IFERROR(VLOOKUP(M4170,INSUMOS!$C$8:$K$928,5,0),"-----")</f>
        <v>Km</v>
      </c>
      <c r="R4170" s="80">
        <v>1</v>
      </c>
      <c r="S4170" s="80">
        <f>IFERROR(VLOOKUP(M4170,INSUMOS!$C$8:$K$928,6,0),"0")</f>
        <v>348</v>
      </c>
      <c r="T4170" s="529">
        <f>IFERROR(VLOOKUP(M4170,INSUMOS!$C$8:$K$928,7,0),"0")</f>
        <v>0.99776362060288992</v>
      </c>
      <c r="U4170" s="529"/>
      <c r="V4170" s="82">
        <f>+T4170*S4170*R4170</f>
        <v>347.2217399698057</v>
      </c>
      <c r="Y4170" s="393">
        <f>+IFERROR((R4170*S4170)*Y4148,0)</f>
        <v>10440</v>
      </c>
      <c r="Z4170" s="391">
        <f>Y4148*V4170</f>
        <v>10416.652199094171</v>
      </c>
      <c r="AA4170" s="86"/>
      <c r="AB4170" s="92">
        <f>+Y4170*T4170</f>
        <v>10416.652199094171</v>
      </c>
      <c r="AC4170" s="93">
        <f>+AB4170-Z4170</f>
        <v>0</v>
      </c>
      <c r="AD4170" s="94"/>
      <c r="AE4170" s="406" t="str">
        <f>+IF(V4170=0,"CERO","NO")</f>
        <v>NO</v>
      </c>
    </row>
    <row r="4171" spans="3:31" s="260" customFormat="1" x14ac:dyDescent="0.25">
      <c r="C4171" s="84"/>
      <c r="D4171" s="85"/>
      <c r="E4171" s="86"/>
      <c r="F4171" s="86"/>
      <c r="G4171" s="86"/>
      <c r="H4171" s="86"/>
      <c r="I4171" s="86"/>
      <c r="J4171" s="87"/>
      <c r="K4171" s="88"/>
      <c r="M4171" s="102">
        <v>0</v>
      </c>
      <c r="N4171" s="530" t="str">
        <f>IFERROR(VLOOKUP(M4171,INSUMOS!$C$8:$K$928,2,0),"-----")</f>
        <v>-----</v>
      </c>
      <c r="O4171" s="531"/>
      <c r="P4171" s="532"/>
      <c r="Q4171" s="78" t="str">
        <f>IFERROR(VLOOKUP(M4171,INSUMOS!$C$8:$K$928,5,0),"-----")</f>
        <v>-----</v>
      </c>
      <c r="R4171" s="80"/>
      <c r="S4171" s="80" t="str">
        <f>IFERROR(VLOOKUP(M4171,INSUMOS!$C$8:$K$928,6,0),"0")</f>
        <v>0</v>
      </c>
      <c r="T4171" s="529" t="str">
        <f>IFERROR(VLOOKUP(M4171,INSUMOS!$C$8:$K$928,7,0),"0")</f>
        <v>0</v>
      </c>
      <c r="U4171" s="529"/>
      <c r="V4171" s="82">
        <f>+T4171*S4171*R4171</f>
        <v>0</v>
      </c>
      <c r="Y4171" s="393">
        <f>+IFERROR((R4171*S4171)*Y4148,0)</f>
        <v>0</v>
      </c>
      <c r="Z4171" s="391">
        <f>Y4148*V4171</f>
        <v>0</v>
      </c>
      <c r="AA4171" s="86"/>
      <c r="AB4171" s="92">
        <f>+Y4171*T4171</f>
        <v>0</v>
      </c>
      <c r="AC4171" s="93">
        <f>+AB4171-Z4171</f>
        <v>0</v>
      </c>
      <c r="AD4171" s="94"/>
      <c r="AE4171" s="406" t="str">
        <f>+IF(V4171=0,"CERO","NO")</f>
        <v>CERO</v>
      </c>
    </row>
    <row r="4172" spans="3:31" s="260" customFormat="1" x14ac:dyDescent="0.25">
      <c r="C4172" s="84"/>
      <c r="D4172" s="85"/>
      <c r="E4172" s="86"/>
      <c r="F4172" s="86"/>
      <c r="G4172" s="86"/>
      <c r="H4172" s="86"/>
      <c r="I4172" s="86"/>
      <c r="J4172" s="87"/>
      <c r="K4172" s="88"/>
      <c r="M4172" s="102">
        <v>0</v>
      </c>
      <c r="N4172" s="530" t="str">
        <f>IFERROR(VLOOKUP(M4172,INSUMOS!$C$8:$K$928,2,0),"-----")</f>
        <v>-----</v>
      </c>
      <c r="O4172" s="531"/>
      <c r="P4172" s="532"/>
      <c r="Q4172" s="78" t="str">
        <f>IFERROR(VLOOKUP(M4172,INSUMOS!$C$8:$K$928,5,0),"-----")</f>
        <v>-----</v>
      </c>
      <c r="R4172" s="80"/>
      <c r="S4172" s="80" t="str">
        <f>IFERROR(VLOOKUP(M4172,INSUMOS!$C$8:$K$928,6,0),"0")</f>
        <v>0</v>
      </c>
      <c r="T4172" s="529" t="str">
        <f>IFERROR(VLOOKUP(M4172,INSUMOS!$C$8:$K$928,7,0),"0")</f>
        <v>0</v>
      </c>
      <c r="U4172" s="529"/>
      <c r="V4172" s="82">
        <f>+T4172*S4172*R4172</f>
        <v>0</v>
      </c>
      <c r="Y4172" s="393">
        <f>+IFERROR((R4172*S4172)*Y4148,0)</f>
        <v>0</v>
      </c>
      <c r="Z4172" s="391">
        <f>Y4148*V4172</f>
        <v>0</v>
      </c>
      <c r="AA4172" s="86"/>
      <c r="AB4172" s="92">
        <f>+Y4172*T4172</f>
        <v>0</v>
      </c>
      <c r="AC4172" s="93">
        <f>+AB4172-Z4172</f>
        <v>0</v>
      </c>
      <c r="AD4172" s="94"/>
      <c r="AE4172" s="406" t="str">
        <f>+IF(V4172=0,"CERO","NO")</f>
        <v>CERO</v>
      </c>
    </row>
    <row r="4173" spans="3:31" s="260" customFormat="1" ht="15.75" thickBot="1" x14ac:dyDescent="0.3">
      <c r="C4173" s="84"/>
      <c r="D4173" s="89"/>
      <c r="E4173" s="90"/>
      <c r="F4173" s="90"/>
      <c r="G4173" s="90"/>
      <c r="H4173" s="90"/>
      <c r="I4173" s="90"/>
      <c r="J4173" s="91"/>
      <c r="K4173" s="88"/>
      <c r="M4173" s="102">
        <v>0</v>
      </c>
      <c r="N4173" s="533"/>
      <c r="O4173" s="533"/>
      <c r="P4173" s="533"/>
      <c r="Q4173" s="79"/>
      <c r="R4173" s="78"/>
      <c r="S4173" s="81"/>
      <c r="T4173" s="529"/>
      <c r="U4173" s="529"/>
      <c r="V4173" s="82"/>
      <c r="Y4173" s="393">
        <f>+IFERROR((R4173*S4173)*Y4148,0)</f>
        <v>0</v>
      </c>
      <c r="Z4173" s="391">
        <f>Y4148*V4173</f>
        <v>0</v>
      </c>
      <c r="AA4173" s="86"/>
      <c r="AB4173" s="92">
        <f>+Y4173*T4173</f>
        <v>0</v>
      </c>
      <c r="AC4173" s="93">
        <f>+AB4173-Z4173</f>
        <v>0</v>
      </c>
      <c r="AD4173" s="94"/>
      <c r="AE4173" s="406" t="str">
        <f>+IF(V4173=0,"CERO","NO")</f>
        <v>CERO</v>
      </c>
    </row>
    <row r="4174" spans="3:31" s="260" customFormat="1" ht="15.75" thickBot="1" x14ac:dyDescent="0.3">
      <c r="C4174" s="84"/>
      <c r="D4174" s="375" t="s">
        <v>128</v>
      </c>
      <c r="E4174" s="376" t="s">
        <v>129</v>
      </c>
      <c r="F4174" s="376" t="s">
        <v>130</v>
      </c>
      <c r="G4174" s="376" t="s">
        <v>131</v>
      </c>
      <c r="H4174" s="376" t="s">
        <v>132</v>
      </c>
      <c r="I4174" s="376" t="s">
        <v>133</v>
      </c>
      <c r="J4174" s="377" t="s">
        <v>134</v>
      </c>
      <c r="K4174" s="88"/>
      <c r="M4174" s="534"/>
      <c r="N4174" s="536" t="s">
        <v>113</v>
      </c>
      <c r="O4174" s="536"/>
      <c r="P4174" s="536"/>
      <c r="Q4174" s="536"/>
      <c r="R4174" s="536"/>
      <c r="S4174" s="536"/>
      <c r="T4174" s="536"/>
      <c r="U4174" s="536"/>
      <c r="V4174" s="411">
        <f>+SUM(V4170:V4173)</f>
        <v>347.2217399698057</v>
      </c>
      <c r="Y4174" s="398" t="s">
        <v>135</v>
      </c>
      <c r="Z4174" s="397">
        <f>+SUM(Z4170:Z4173)</f>
        <v>10416.652199094171</v>
      </c>
      <c r="AA4174" s="86"/>
      <c r="AB4174" s="384"/>
      <c r="AC4174" s="385"/>
      <c r="AD4174" s="94"/>
      <c r="AE4174" s="399"/>
    </row>
    <row r="4175" spans="3:31" s="260" customFormat="1" ht="15.75" thickBot="1" x14ac:dyDescent="0.3">
      <c r="C4175" s="84"/>
      <c r="D4175" s="355"/>
      <c r="E4175" s="367"/>
      <c r="F4175" s="412">
        <f>+E4167</f>
        <v>4.08</v>
      </c>
      <c r="G4175" s="367"/>
      <c r="H4175" s="367"/>
      <c r="I4175" s="367"/>
      <c r="J4175" s="368"/>
      <c r="K4175" s="88"/>
      <c r="M4175" s="535"/>
      <c r="N4175" s="537" t="s">
        <v>114</v>
      </c>
      <c r="O4175" s="537"/>
      <c r="P4175" s="537"/>
      <c r="Q4175" s="537"/>
      <c r="R4175" s="537"/>
      <c r="S4175" s="537"/>
      <c r="T4175" s="537"/>
      <c r="U4175" s="537"/>
      <c r="V4175" s="413">
        <f>+ROUND(V4174,$AA$5)</f>
        <v>347.22</v>
      </c>
      <c r="Y4175" s="401" t="s">
        <v>136</v>
      </c>
      <c r="Z4175" s="402">
        <f>+ROUND(Z4174,$AA$5)</f>
        <v>10416.65</v>
      </c>
      <c r="AA4175" s="86"/>
      <c r="AB4175" s="403">
        <f>+V4175*Y4148</f>
        <v>10416.6</v>
      </c>
      <c r="AC4175" s="414"/>
      <c r="AD4175" s="94"/>
      <c r="AE4175" s="405"/>
    </row>
    <row r="4176" spans="3:31" s="260" customFormat="1" ht="15.75" thickBot="1" x14ac:dyDescent="0.3">
      <c r="C4176" s="84"/>
      <c r="D4176" s="415"/>
      <c r="E4176" s="416"/>
      <c r="F4176" s="416"/>
      <c r="G4176" s="416"/>
      <c r="H4176" s="416"/>
      <c r="I4176" s="416"/>
      <c r="J4176" s="417"/>
      <c r="K4176" s="88"/>
      <c r="M4176" s="538" t="s">
        <v>115</v>
      </c>
      <c r="N4176" s="539"/>
      <c r="O4176" s="539"/>
      <c r="P4176" s="539"/>
      <c r="Q4176" s="539"/>
      <c r="R4176" s="539"/>
      <c r="S4176" s="539"/>
      <c r="T4176" s="539"/>
      <c r="U4176" s="539"/>
      <c r="V4176" s="540"/>
      <c r="Y4176" s="378"/>
      <c r="Z4176" s="121"/>
      <c r="AA4176" s="86"/>
      <c r="AB4176" s="409"/>
      <c r="AC4176" s="121"/>
      <c r="AD4176" s="94"/>
      <c r="AE4176" s="126"/>
    </row>
    <row r="4177" spans="3:31" s="260" customFormat="1" ht="15.75" thickBot="1" x14ac:dyDescent="0.3">
      <c r="C4177" s="84"/>
      <c r="D4177" s="375" t="s">
        <v>128</v>
      </c>
      <c r="E4177" s="376" t="s">
        <v>129</v>
      </c>
      <c r="F4177" s="376" t="s">
        <v>130</v>
      </c>
      <c r="G4177" s="376" t="s">
        <v>131</v>
      </c>
      <c r="H4177" s="376" t="s">
        <v>132</v>
      </c>
      <c r="I4177" s="376" t="s">
        <v>133</v>
      </c>
      <c r="J4177" s="377" t="s">
        <v>134</v>
      </c>
      <c r="K4177" s="88"/>
      <c r="M4177" s="99" t="s">
        <v>94</v>
      </c>
      <c r="N4177" s="98" t="s">
        <v>95</v>
      </c>
      <c r="O4177" s="95" t="s">
        <v>96</v>
      </c>
      <c r="P4177" s="359" t="s">
        <v>104</v>
      </c>
      <c r="Q4177" s="95" t="s">
        <v>116</v>
      </c>
      <c r="R4177" s="418" t="s">
        <v>117</v>
      </c>
      <c r="S4177" s="95" t="s">
        <v>347</v>
      </c>
      <c r="T4177" s="419" t="s">
        <v>118</v>
      </c>
      <c r="U4177" s="189" t="s">
        <v>119</v>
      </c>
      <c r="V4177" s="100" t="s">
        <v>98</v>
      </c>
      <c r="Y4177" s="383" t="s">
        <v>104</v>
      </c>
      <c r="Z4177" s="119" t="s">
        <v>9</v>
      </c>
      <c r="AA4177" s="86"/>
      <c r="AB4177" s="384"/>
      <c r="AC4177" s="385"/>
      <c r="AD4177" s="94"/>
      <c r="AE4177" s="410"/>
    </row>
    <row r="4178" spans="3:31" s="260" customFormat="1" ht="25.5" x14ac:dyDescent="0.25">
      <c r="C4178" s="84"/>
      <c r="D4178" s="354"/>
      <c r="E4178" s="96"/>
      <c r="F4178" s="96"/>
      <c r="G4178" s="96"/>
      <c r="H4178" s="96"/>
      <c r="I4178" s="96"/>
      <c r="J4178" s="420">
        <f>+F4175</f>
        <v>4.08</v>
      </c>
      <c r="K4178" s="88"/>
      <c r="M4178" s="102">
        <v>207</v>
      </c>
      <c r="N4178" s="347" t="str">
        <f>IFERROR(VLOOKUP(M4178,INSUMOS!$C$8:$K$928,2,0),"-----")</f>
        <v>Oficial Hidrosanitario</v>
      </c>
      <c r="O4178" s="78" t="str">
        <f>IFERROR(VLOOKUP(M4178,INSUMOS!$C$8:$K$928,3,0),"-----")</f>
        <v>JORNAL+PS</v>
      </c>
      <c r="P4178" s="80">
        <v>1</v>
      </c>
      <c r="Q4178" s="79">
        <v>40</v>
      </c>
      <c r="R4178" s="190">
        <f>IFERROR(VLOOKUP(M4178,INSUMOS!$C$8:$K$928,4,0),"-----")</f>
        <v>92983</v>
      </c>
      <c r="S4178" s="190">
        <f>IFERROR(VLOOKUP(M4178,INSUMOS!$C$8:$K$928,6,0),"-----")</f>
        <v>74386</v>
      </c>
      <c r="T4178" s="190">
        <f>IFERROR(VLOOKUP(M4178,INSUMOS!$C$8:$K$928,5,0),"-----")</f>
        <v>0</v>
      </c>
      <c r="U4178" s="388">
        <f>SUM(R4178:T4178)</f>
        <v>167369</v>
      </c>
      <c r="V4178" s="82">
        <f>+IFERROR((P4178/Q4178)*U4178,0)</f>
        <v>4184.2250000000004</v>
      </c>
      <c r="Y4178" s="393">
        <f>+IFERROR((Y4148/Q4178*P4178),0)</f>
        <v>0.75</v>
      </c>
      <c r="Z4178" s="391">
        <f>Y4148*V4178</f>
        <v>125526.75000000001</v>
      </c>
      <c r="AA4178" s="86"/>
      <c r="AB4178" s="92">
        <f>+(U4178)*Y4178</f>
        <v>125526.75</v>
      </c>
      <c r="AC4178" s="93">
        <f>+AB4178-Z4178</f>
        <v>0</v>
      </c>
      <c r="AD4178" s="421"/>
      <c r="AE4178" s="410" t="str">
        <f>+IF(V4178=0,"CERO","NO")</f>
        <v>NO</v>
      </c>
    </row>
    <row r="4179" spans="3:31" s="260" customFormat="1" ht="15.75" thickBot="1" x14ac:dyDescent="0.3">
      <c r="C4179" s="84"/>
      <c r="D4179" s="355"/>
      <c r="E4179" s="367"/>
      <c r="F4179" s="367"/>
      <c r="G4179" s="367"/>
      <c r="H4179" s="367"/>
      <c r="I4179" s="367"/>
      <c r="J4179" s="422">
        <f>+J4178</f>
        <v>4.08</v>
      </c>
      <c r="K4179" s="88"/>
      <c r="M4179" s="102"/>
      <c r="N4179" s="347" t="str">
        <f>IFERROR(VLOOKUP(M4179,INSUMOS!$C$8:$K$928,2,0),"-----")</f>
        <v>-----</v>
      </c>
      <c r="O4179" s="78" t="str">
        <f>IFERROR(VLOOKUP(M4179,INSUMOS!$C$8:$K$928,3,0),"-----")</f>
        <v>-----</v>
      </c>
      <c r="P4179" s="80"/>
      <c r="Q4179" s="79"/>
      <c r="R4179" s="190" t="str">
        <f>IFERROR(VLOOKUP(M4179,INSUMOS!$C$8:$K$928,4,0),"-----")</f>
        <v>-----</v>
      </c>
      <c r="S4179" s="190" t="str">
        <f>IFERROR(VLOOKUP(M4179,INSUMOS!$C$8:$K$928,6,0),"-----")</f>
        <v>-----</v>
      </c>
      <c r="T4179" s="190" t="str">
        <f>IFERROR(VLOOKUP(M4179,INSUMOS!$C$8:$K$928,5,0),"-----")</f>
        <v>-----</v>
      </c>
      <c r="U4179" s="388">
        <f>SUM(R4179:T4179)</f>
        <v>0</v>
      </c>
      <c r="V4179" s="82">
        <f>+IFERROR((P4179/Q4179)*U4179,0)</f>
        <v>0</v>
      </c>
      <c r="Y4179" s="393">
        <f>+IFERROR((Y4148/Q4179*P4179),0)</f>
        <v>0</v>
      </c>
      <c r="Z4179" s="391">
        <f>Y4148*V4179</f>
        <v>0</v>
      </c>
      <c r="AA4179" s="86"/>
      <c r="AB4179" s="92">
        <f>+U4179*Y4179</f>
        <v>0</v>
      </c>
      <c r="AC4179" s="93">
        <f>+AB4179-Z4179</f>
        <v>0</v>
      </c>
      <c r="AD4179" s="94"/>
      <c r="AE4179" s="410" t="str">
        <f>+IF(V4179=0,"CERO","NO")</f>
        <v>CERO</v>
      </c>
    </row>
    <row r="4180" spans="3:31" s="260" customFormat="1" ht="15.75" thickBot="1" x14ac:dyDescent="0.3">
      <c r="C4180" s="84"/>
      <c r="D4180" s="380"/>
      <c r="E4180" s="381"/>
      <c r="F4180" s="381"/>
      <c r="G4180" s="381"/>
      <c r="H4180" s="381"/>
      <c r="I4180" s="381"/>
      <c r="J4180" s="382"/>
      <c r="K4180" s="88"/>
      <c r="M4180" s="102">
        <v>0</v>
      </c>
      <c r="N4180" s="347"/>
      <c r="O4180" s="79"/>
      <c r="P4180" s="423"/>
      <c r="Q4180" s="81"/>
      <c r="R4180" s="111"/>
      <c r="S4180" s="357"/>
      <c r="T4180" s="111"/>
      <c r="U4180" s="388"/>
      <c r="V4180" s="426"/>
      <c r="Y4180" s="393">
        <f>+IFERROR((Y4148/Q4180*P4180),0)</f>
        <v>0</v>
      </c>
      <c r="Z4180" s="391">
        <f>Y4148*V4180</f>
        <v>0</v>
      </c>
      <c r="AA4180" s="86"/>
      <c r="AB4180" s="92">
        <f>+(U4180)*Y4180*P4180</f>
        <v>0</v>
      </c>
      <c r="AC4180" s="93">
        <f>+AB4180-Z4180</f>
        <v>0</v>
      </c>
      <c r="AD4180" s="94"/>
      <c r="AE4180" s="410" t="str">
        <f>+IF(V4180=0,"CERO","NO")</f>
        <v>CERO</v>
      </c>
    </row>
    <row r="4181" spans="3:31" s="260" customFormat="1" ht="15.75" thickBot="1" x14ac:dyDescent="0.3">
      <c r="C4181" s="84"/>
      <c r="D4181" s="375" t="s">
        <v>128</v>
      </c>
      <c r="E4181" s="376" t="s">
        <v>129</v>
      </c>
      <c r="F4181" s="376" t="s">
        <v>130</v>
      </c>
      <c r="G4181" s="376" t="s">
        <v>131</v>
      </c>
      <c r="H4181" s="376" t="s">
        <v>132</v>
      </c>
      <c r="I4181" s="376" t="s">
        <v>133</v>
      </c>
      <c r="J4181" s="377" t="s">
        <v>134</v>
      </c>
      <c r="K4181" s="88"/>
      <c r="M4181" s="534"/>
      <c r="N4181" s="536" t="s">
        <v>120</v>
      </c>
      <c r="O4181" s="536"/>
      <c r="P4181" s="536"/>
      <c r="Q4181" s="536"/>
      <c r="R4181" s="536"/>
      <c r="S4181" s="536"/>
      <c r="T4181" s="536"/>
      <c r="U4181" s="536"/>
      <c r="V4181" s="82">
        <f>+SUM(V4178:V4180)</f>
        <v>4184.2250000000004</v>
      </c>
      <c r="Y4181" s="398" t="s">
        <v>135</v>
      </c>
      <c r="Z4181" s="397">
        <f>+SUM(Z4178:Z4180)</f>
        <v>125526.75000000001</v>
      </c>
      <c r="AA4181" s="86"/>
      <c r="AB4181" s="384"/>
      <c r="AC4181" s="385"/>
      <c r="AD4181" s="94"/>
      <c r="AE4181" s="399"/>
    </row>
    <row r="4182" spans="3:31" s="260" customFormat="1" ht="15.75" thickBot="1" x14ac:dyDescent="0.3">
      <c r="C4182" s="84"/>
      <c r="D4182" s="354"/>
      <c r="E4182" s="96"/>
      <c r="F4182" s="96"/>
      <c r="G4182" s="107">
        <f>+F4175</f>
        <v>4.08</v>
      </c>
      <c r="H4182" s="96"/>
      <c r="I4182" s="96"/>
      <c r="J4182" s="427"/>
      <c r="K4182" s="88"/>
      <c r="M4182" s="535"/>
      <c r="N4182" s="537" t="s">
        <v>121</v>
      </c>
      <c r="O4182" s="537"/>
      <c r="P4182" s="537"/>
      <c r="Q4182" s="537"/>
      <c r="R4182" s="537"/>
      <c r="S4182" s="537"/>
      <c r="T4182" s="537"/>
      <c r="U4182" s="537"/>
      <c r="V4182" s="413">
        <f>+ROUND(V4181,$AA$5)</f>
        <v>4184.2299999999996</v>
      </c>
      <c r="Y4182" s="401" t="s">
        <v>136</v>
      </c>
      <c r="Z4182" s="402">
        <f>+ROUND(Z4181,$AA$5)</f>
        <v>125526.75</v>
      </c>
      <c r="AA4182" s="86"/>
      <c r="AB4182" s="403">
        <f>+V4182*Y4148</f>
        <v>125526.9</v>
      </c>
      <c r="AC4182" s="404">
        <f>+AB4182-Z4182</f>
        <v>0.14999999999417923</v>
      </c>
      <c r="AD4182" s="94"/>
      <c r="AE4182" s="405"/>
    </row>
    <row r="4183" spans="3:31" s="260" customFormat="1" ht="15.75" thickBot="1" x14ac:dyDescent="0.3">
      <c r="C4183" s="84"/>
      <c r="D4183" s="375" t="s">
        <v>128</v>
      </c>
      <c r="E4183" s="376" t="s">
        <v>129</v>
      </c>
      <c r="F4183" s="376" t="s">
        <v>130</v>
      </c>
      <c r="G4183" s="376" t="s">
        <v>131</v>
      </c>
      <c r="H4183" s="376" t="s">
        <v>132</v>
      </c>
      <c r="I4183" s="376" t="s">
        <v>133</v>
      </c>
      <c r="J4183" s="377" t="s">
        <v>134</v>
      </c>
      <c r="K4183" s="88"/>
      <c r="M4183" s="541"/>
      <c r="N4183" s="542"/>
      <c r="O4183" s="542"/>
      <c r="P4183" s="542"/>
      <c r="Q4183" s="542"/>
      <c r="R4183" s="542"/>
      <c r="S4183" s="542"/>
      <c r="T4183" s="542"/>
      <c r="U4183" s="542"/>
      <c r="V4183" s="543"/>
      <c r="Y4183" s="378"/>
      <c r="Z4183" s="121"/>
      <c r="AA4183" s="86"/>
      <c r="AB4183" s="409"/>
      <c r="AC4183" s="121"/>
      <c r="AD4183" s="94"/>
      <c r="AE4183" s="428"/>
    </row>
    <row r="4184" spans="3:31" s="260" customFormat="1" ht="15.75" thickBot="1" x14ac:dyDescent="0.3">
      <c r="C4184" s="84"/>
      <c r="D4184" s="355"/>
      <c r="E4184" s="367"/>
      <c r="F4184" s="367"/>
      <c r="G4184" s="367"/>
      <c r="H4184" s="412">
        <f>G4182</f>
        <v>4.08</v>
      </c>
      <c r="I4184" s="412"/>
      <c r="J4184" s="422"/>
      <c r="K4184" s="88"/>
      <c r="M4184" s="544" t="s">
        <v>122</v>
      </c>
      <c r="N4184" s="537"/>
      <c r="O4184" s="537"/>
      <c r="P4184" s="537"/>
      <c r="Q4184" s="537"/>
      <c r="R4184" s="537"/>
      <c r="S4184" s="537"/>
      <c r="T4184" s="537"/>
      <c r="U4184" s="545">
        <f>+V4182+V4175+V4167+V4158</f>
        <v>12215.98</v>
      </c>
      <c r="V4184" s="546"/>
      <c r="Y4184" s="429"/>
      <c r="Z4184" s="430">
        <f>+Z4182+Z4175+Z4167+Z4158</f>
        <v>366479.24</v>
      </c>
      <c r="AA4184" s="86"/>
      <c r="AB4184" s="431">
        <f>+AB4182+AB4175+AB4167+AB4158</f>
        <v>366479.39999999997</v>
      </c>
      <c r="AC4184" s="404">
        <f>+AB4184-Z4184</f>
        <v>0.15999999997438863</v>
      </c>
      <c r="AD4184" s="94"/>
      <c r="AE4184" s="432"/>
    </row>
    <row r="4185" spans="3:31" s="260" customFormat="1" ht="15.75" thickBot="1" x14ac:dyDescent="0.3"/>
    <row r="4186" spans="3:31" s="260" customFormat="1" x14ac:dyDescent="0.25">
      <c r="M4186" s="547" t="s">
        <v>348</v>
      </c>
      <c r="N4186" s="548"/>
      <c r="O4186" s="548"/>
      <c r="P4186" s="548"/>
      <c r="Q4186" s="548"/>
      <c r="R4186" s="548"/>
      <c r="S4186" s="548"/>
      <c r="T4186" s="548"/>
      <c r="U4186" s="548"/>
      <c r="V4186" s="549"/>
      <c r="Y4186" s="378"/>
      <c r="Z4186" s="121"/>
      <c r="AA4186" s="86"/>
      <c r="AB4186" s="94"/>
      <c r="AC4186" s="94"/>
      <c r="AD4186" s="94"/>
      <c r="AE4186" s="126" t="s">
        <v>133</v>
      </c>
    </row>
    <row r="4187" spans="3:31" s="260" customFormat="1" x14ac:dyDescent="0.25">
      <c r="M4187" s="515" t="s">
        <v>138</v>
      </c>
      <c r="N4187" s="516"/>
      <c r="O4187" s="516"/>
      <c r="P4187" s="516"/>
      <c r="Q4187" s="516"/>
      <c r="R4187" s="516"/>
      <c r="S4187" s="516"/>
      <c r="T4187" s="437">
        <v>0</v>
      </c>
      <c r="U4187" s="517">
        <f>+ROUND(U4184*T4187,$AA$5)</f>
        <v>0</v>
      </c>
      <c r="V4187" s="518"/>
      <c r="Y4187" s="390"/>
      <c r="Z4187" s="438">
        <f>+Z4184*T4187</f>
        <v>0</v>
      </c>
      <c r="AA4187" s="86"/>
      <c r="AB4187" s="94"/>
      <c r="AC4187" s="94"/>
      <c r="AD4187" s="94"/>
      <c r="AE4187" s="386" t="s">
        <v>133</v>
      </c>
    </row>
    <row r="4188" spans="3:31" s="260" customFormat="1" x14ac:dyDescent="0.25">
      <c r="M4188" s="515" t="s">
        <v>19</v>
      </c>
      <c r="N4188" s="516"/>
      <c r="O4188" s="516"/>
      <c r="P4188" s="516"/>
      <c r="Q4188" s="516"/>
      <c r="R4188" s="516"/>
      <c r="S4188" s="516"/>
      <c r="T4188" s="437">
        <v>0.05</v>
      </c>
      <c r="U4188" s="517">
        <f>+ROUND(U4184*T4188,$AA$5)</f>
        <v>610.79999999999995</v>
      </c>
      <c r="V4188" s="518"/>
      <c r="Y4188" s="390"/>
      <c r="Z4188" s="438">
        <f>+Z4184*T4188</f>
        <v>18323.962</v>
      </c>
      <c r="AA4188" s="86"/>
      <c r="AB4188" s="94"/>
      <c r="AC4188" s="94"/>
      <c r="AD4188" s="94"/>
      <c r="AE4188" s="386" t="s">
        <v>133</v>
      </c>
    </row>
    <row r="4189" spans="3:31" s="260" customFormat="1" x14ac:dyDescent="0.25">
      <c r="M4189" s="515" t="s">
        <v>20</v>
      </c>
      <c r="N4189" s="516"/>
      <c r="O4189" s="516"/>
      <c r="P4189" s="516"/>
      <c r="Q4189" s="516"/>
      <c r="R4189" s="516"/>
      <c r="S4189" s="516"/>
      <c r="T4189" s="437">
        <v>0</v>
      </c>
      <c r="U4189" s="517">
        <f>+ROUND(U4184*T4189,$AA$5)</f>
        <v>0</v>
      </c>
      <c r="V4189" s="518"/>
      <c r="Y4189" s="390"/>
      <c r="Z4189" s="438">
        <f>+Z4184*T4189</f>
        <v>0</v>
      </c>
      <c r="AA4189" s="86"/>
      <c r="AB4189" s="94"/>
      <c r="AC4189" s="94"/>
      <c r="AD4189" s="94"/>
      <c r="AE4189" s="386" t="s">
        <v>133</v>
      </c>
    </row>
    <row r="4190" spans="3:31" s="260" customFormat="1" x14ac:dyDescent="0.25">
      <c r="M4190" s="515" t="s">
        <v>21</v>
      </c>
      <c r="N4190" s="516"/>
      <c r="O4190" s="516"/>
      <c r="P4190" s="516"/>
      <c r="Q4190" s="516"/>
      <c r="R4190" s="516"/>
      <c r="S4190" s="516"/>
      <c r="T4190" s="437">
        <f>$AA$9</f>
        <v>0</v>
      </c>
      <c r="U4190" s="517">
        <f>+ROUND(U4184*T4190,$AA$5)</f>
        <v>0</v>
      </c>
      <c r="V4190" s="518"/>
      <c r="Y4190" s="390"/>
      <c r="Z4190" s="438">
        <f>+Z4189*T4190</f>
        <v>0</v>
      </c>
      <c r="AA4190" s="86"/>
      <c r="AB4190" s="94"/>
      <c r="AC4190" s="94"/>
      <c r="AD4190" s="94"/>
      <c r="AE4190" s="386" t="s">
        <v>133</v>
      </c>
    </row>
    <row r="4191" spans="3:31" s="260" customFormat="1" ht="15.75" thickBot="1" x14ac:dyDescent="0.3">
      <c r="M4191" s="519" t="s">
        <v>349</v>
      </c>
      <c r="N4191" s="520"/>
      <c r="O4191" s="520"/>
      <c r="P4191" s="520"/>
      <c r="Q4191" s="520"/>
      <c r="R4191" s="520"/>
      <c r="S4191" s="520"/>
      <c r="T4191" s="520"/>
      <c r="U4191" s="521">
        <f>+SUM(U4187:V4190)</f>
        <v>610.79999999999995</v>
      </c>
      <c r="V4191" s="522"/>
      <c r="Y4191" s="390"/>
      <c r="Z4191" s="439">
        <f>+SUM(Z4187:Z4190)</f>
        <v>18323.962</v>
      </c>
      <c r="AA4191" s="86"/>
      <c r="AB4191" s="94"/>
      <c r="AC4191" s="94"/>
      <c r="AD4191" s="94"/>
      <c r="AE4191" s="386" t="s">
        <v>133</v>
      </c>
    </row>
    <row r="4192" spans="3:31" s="260" customFormat="1" ht="15.75" thickBot="1" x14ac:dyDescent="0.3">
      <c r="D4192" s="375" t="s">
        <v>128</v>
      </c>
      <c r="E4192" s="376" t="s">
        <v>129</v>
      </c>
      <c r="F4192" s="376" t="s">
        <v>130</v>
      </c>
      <c r="G4192" s="376" t="s">
        <v>131</v>
      </c>
      <c r="H4192" s="376" t="s">
        <v>132</v>
      </c>
      <c r="I4192" s="376" t="s">
        <v>133</v>
      </c>
      <c r="J4192" s="377" t="s">
        <v>134</v>
      </c>
      <c r="M4192" s="86"/>
      <c r="N4192" s="94"/>
      <c r="O4192" s="94"/>
      <c r="P4192" s="94"/>
      <c r="Q4192" s="86"/>
      <c r="R4192" s="86"/>
      <c r="S4192" s="86"/>
      <c r="T4192" s="440"/>
      <c r="U4192" s="523"/>
      <c r="V4192" s="523"/>
      <c r="Y4192" s="390"/>
      <c r="Z4192" s="385"/>
      <c r="AA4192" s="86"/>
      <c r="AB4192" s="94"/>
      <c r="AC4192" s="94"/>
      <c r="AD4192" s="94"/>
      <c r="AE4192" s="386" t="s">
        <v>133</v>
      </c>
    </row>
    <row r="4193" spans="3:31" s="260" customFormat="1" ht="15.75" thickBot="1" x14ac:dyDescent="0.3">
      <c r="D4193" s="355"/>
      <c r="E4193" s="367"/>
      <c r="F4193" s="367"/>
      <c r="G4193" s="367"/>
      <c r="H4193" s="412"/>
      <c r="I4193" s="412">
        <f>H4184</f>
        <v>4.08</v>
      </c>
      <c r="J4193" s="422"/>
      <c r="M4193" s="524" t="s">
        <v>11</v>
      </c>
      <c r="N4193" s="525"/>
      <c r="O4193" s="525"/>
      <c r="P4193" s="525"/>
      <c r="Q4193" s="525"/>
      <c r="R4193" s="525"/>
      <c r="S4193" s="525"/>
      <c r="T4193" s="526"/>
      <c r="U4193" s="527">
        <f>+U4191+U4184</f>
        <v>12826.779999999999</v>
      </c>
      <c r="V4193" s="528"/>
      <c r="Y4193" s="429"/>
      <c r="Z4193" s="441">
        <f>+Z4191+Z4184</f>
        <v>384803.20199999999</v>
      </c>
      <c r="AA4193" s="86"/>
      <c r="AB4193" s="94"/>
      <c r="AC4193" s="94"/>
      <c r="AD4193" s="94"/>
      <c r="AE4193" s="405" t="s">
        <v>133</v>
      </c>
    </row>
    <row r="4194" spans="3:31" s="260" customFormat="1" x14ac:dyDescent="0.25"/>
    <row r="4195" spans="3:31" s="260" customFormat="1" ht="15.75" thickBot="1" x14ac:dyDescent="0.3"/>
    <row r="4196" spans="3:31" s="260" customFormat="1" ht="15.75" thickBot="1" x14ac:dyDescent="0.3">
      <c r="M4196" s="363" t="s">
        <v>88</v>
      </c>
      <c r="N4196" s="436" t="str">
        <f>+N4147</f>
        <v>CAP.4</v>
      </c>
      <c r="O4196" s="550" t="str">
        <f>IFERROR(VLOOKUP(N4196,PPTO!C:H,2,0),"----")</f>
        <v>RED SANITARIA</v>
      </c>
      <c r="P4196" s="551"/>
      <c r="Q4196" s="551"/>
      <c r="R4196" s="551"/>
      <c r="S4196" s="551"/>
      <c r="T4196" s="551"/>
      <c r="U4196" s="552"/>
      <c r="V4196" s="74" t="s">
        <v>91</v>
      </c>
      <c r="Y4196" s="365" t="s">
        <v>104</v>
      </c>
      <c r="Z4196" s="94"/>
      <c r="AA4196" s="188"/>
      <c r="AB4196" s="553"/>
      <c r="AC4196" s="553"/>
      <c r="AD4196" s="553"/>
      <c r="AE4196" s="94"/>
    </row>
    <row r="4197" spans="3:31" s="260" customFormat="1" ht="15.75" thickBot="1" x14ac:dyDescent="0.3">
      <c r="C4197" s="369">
        <f>+N4197</f>
        <v>4.09</v>
      </c>
      <c r="D4197" s="86"/>
      <c r="E4197" s="86"/>
      <c r="F4197" s="86"/>
      <c r="G4197" s="86"/>
      <c r="H4197" s="86"/>
      <c r="I4197" s="86"/>
      <c r="J4197" s="86"/>
      <c r="K4197" s="370"/>
      <c r="M4197" s="75" t="s">
        <v>92</v>
      </c>
      <c r="N4197" s="371">
        <f>+ROUNDUP(N4148+0.01,2)</f>
        <v>4.09</v>
      </c>
      <c r="O4197" s="554" t="str">
        <f>IFERROR(VLOOKUP(N4197,PPTO!C:H,2,0),"----")</f>
        <v>Yee Sanitaria PVC Ø4"</v>
      </c>
      <c r="P4197" s="555"/>
      <c r="Q4197" s="555"/>
      <c r="R4197" s="555"/>
      <c r="S4197" s="555"/>
      <c r="T4197" s="555"/>
      <c r="U4197" s="556"/>
      <c r="V4197" s="76" t="str">
        <f>IFERROR(VLOOKUP(N4197,PPTO!C:H,3,0),"----")</f>
        <v>UND</v>
      </c>
      <c r="Y4197" s="373">
        <f>SUMIFS(PPTO!F:F,PPTO!C:C,APUS!N4197)</f>
        <v>15</v>
      </c>
      <c r="Z4197" s="94"/>
      <c r="AA4197" s="86"/>
      <c r="AB4197" s="94"/>
      <c r="AC4197" s="94"/>
      <c r="AD4197" s="94"/>
      <c r="AE4197" s="94"/>
    </row>
    <row r="4198" spans="3:31" s="260" customFormat="1" ht="15.75" thickBot="1" x14ac:dyDescent="0.3">
      <c r="C4198" s="84"/>
      <c r="D4198" s="86"/>
      <c r="E4198" s="86"/>
      <c r="F4198" s="86"/>
      <c r="G4198" s="86"/>
      <c r="H4198" s="86"/>
      <c r="I4198" s="86"/>
      <c r="J4198" s="86"/>
      <c r="K4198" s="88"/>
      <c r="M4198" s="557"/>
      <c r="N4198" s="557"/>
      <c r="O4198" s="557"/>
      <c r="P4198" s="557"/>
      <c r="Q4198" s="557"/>
      <c r="R4198" s="557"/>
      <c r="S4198" s="557"/>
      <c r="T4198" s="557"/>
      <c r="U4198" s="557"/>
      <c r="V4198" s="557"/>
      <c r="Y4198" s="374"/>
      <c r="Z4198" s="94"/>
      <c r="AA4198" s="86"/>
      <c r="AB4198" s="94"/>
      <c r="AC4198" s="94"/>
      <c r="AD4198" s="94"/>
      <c r="AE4198" s="94"/>
    </row>
    <row r="4199" spans="3:31" s="260" customFormat="1" ht="15.75" thickBot="1" x14ac:dyDescent="0.3">
      <c r="C4199" s="84"/>
      <c r="D4199" s="375" t="s">
        <v>128</v>
      </c>
      <c r="E4199" s="376" t="s">
        <v>129</v>
      </c>
      <c r="F4199" s="376" t="s">
        <v>130</v>
      </c>
      <c r="G4199" s="376" t="s">
        <v>131</v>
      </c>
      <c r="H4199" s="376" t="s">
        <v>132</v>
      </c>
      <c r="I4199" s="376" t="s">
        <v>133</v>
      </c>
      <c r="J4199" s="377" t="s">
        <v>134</v>
      </c>
      <c r="K4199" s="88"/>
      <c r="M4199" s="558" t="s">
        <v>93</v>
      </c>
      <c r="N4199" s="559"/>
      <c r="O4199" s="559"/>
      <c r="P4199" s="559"/>
      <c r="Q4199" s="559"/>
      <c r="R4199" s="559"/>
      <c r="S4199" s="559"/>
      <c r="T4199" s="559"/>
      <c r="U4199" s="559"/>
      <c r="V4199" s="560"/>
      <c r="Y4199" s="378"/>
      <c r="Z4199" s="121"/>
      <c r="AA4199" s="86"/>
      <c r="AB4199" s="513"/>
      <c r="AC4199" s="514"/>
      <c r="AD4199" s="94"/>
      <c r="AE4199" s="379"/>
    </row>
    <row r="4200" spans="3:31" s="260" customFormat="1" x14ac:dyDescent="0.25">
      <c r="C4200" s="84"/>
      <c r="D4200" s="380"/>
      <c r="E4200" s="381"/>
      <c r="F4200" s="381"/>
      <c r="G4200" s="381"/>
      <c r="H4200" s="381"/>
      <c r="I4200" s="381"/>
      <c r="J4200" s="382"/>
      <c r="K4200" s="88"/>
      <c r="M4200" s="99" t="s">
        <v>94</v>
      </c>
      <c r="N4200" s="561" t="s">
        <v>95</v>
      </c>
      <c r="O4200" s="561"/>
      <c r="P4200" s="561"/>
      <c r="Q4200" s="561"/>
      <c r="R4200" s="95" t="s">
        <v>96</v>
      </c>
      <c r="S4200" s="95" t="s">
        <v>97</v>
      </c>
      <c r="T4200" s="562" t="s">
        <v>8</v>
      </c>
      <c r="U4200" s="562"/>
      <c r="V4200" s="100" t="s">
        <v>98</v>
      </c>
      <c r="Y4200" s="383" t="s">
        <v>104</v>
      </c>
      <c r="Z4200" s="119" t="s">
        <v>9</v>
      </c>
      <c r="AA4200" s="86"/>
      <c r="AB4200" s="384"/>
      <c r="AC4200" s="385"/>
      <c r="AD4200" s="94"/>
      <c r="AE4200" s="386"/>
    </row>
    <row r="4201" spans="3:31" s="260" customFormat="1" x14ac:dyDescent="0.25">
      <c r="C4201" s="84"/>
      <c r="D4201" s="85"/>
      <c r="E4201" s="86"/>
      <c r="F4201" s="86"/>
      <c r="G4201" s="86"/>
      <c r="H4201" s="86"/>
      <c r="I4201" s="86"/>
      <c r="J4201" s="87"/>
      <c r="K4201" s="88"/>
      <c r="M4201" s="102"/>
      <c r="N4201" s="533" t="s">
        <v>99</v>
      </c>
      <c r="O4201" s="533"/>
      <c r="P4201" s="533"/>
      <c r="Q4201" s="533"/>
      <c r="R4201" s="78" t="s">
        <v>100</v>
      </c>
      <c r="S4201" s="387">
        <f>+$AA$10</f>
        <v>0.05</v>
      </c>
      <c r="T4201" s="563">
        <f>V4231</f>
        <v>4184.2299999999996</v>
      </c>
      <c r="U4201" s="563"/>
      <c r="V4201" s="389">
        <f>+IFERROR(T4201*S4201,0)</f>
        <v>209.2115</v>
      </c>
      <c r="Y4201" s="390"/>
      <c r="Z4201" s="391">
        <f>Y4197*V4201</f>
        <v>3138.1725000000001</v>
      </c>
      <c r="AA4201" s="86"/>
      <c r="AB4201" s="384"/>
      <c r="AC4201" s="385"/>
      <c r="AD4201" s="94"/>
      <c r="AE4201" s="386" t="str">
        <f>+IF(V4201=0,"CERO","NO")</f>
        <v>NO</v>
      </c>
    </row>
    <row r="4202" spans="3:31" s="260" customFormat="1" x14ac:dyDescent="0.25">
      <c r="C4202" s="84"/>
      <c r="D4202" s="85"/>
      <c r="E4202" s="86"/>
      <c r="F4202" s="86"/>
      <c r="G4202" s="86"/>
      <c r="H4202" s="86"/>
      <c r="I4202" s="86"/>
      <c r="J4202" s="87"/>
      <c r="K4202" s="88"/>
      <c r="M4202" s="106"/>
      <c r="N4202" s="533" t="str">
        <f>IFERROR(VLOOKUP(M4202,INSUMOS!$C$8:$K$928,2,0),"-----")</f>
        <v>-----</v>
      </c>
      <c r="O4202" s="533"/>
      <c r="P4202" s="533"/>
      <c r="Q4202" s="533"/>
      <c r="R4202" s="78" t="str">
        <f>IFERROR(VLOOKUP(M4202,INSUMOS!$C$8:$K$928,6,0),"-----")</f>
        <v>-----</v>
      </c>
      <c r="S4202" s="392"/>
      <c r="T4202" s="529" t="str">
        <f>IFERROR(VLOOKUP(M4202,INSUMOS!$C$8:$K$928,7,0),"0")</f>
        <v>0</v>
      </c>
      <c r="U4202" s="529"/>
      <c r="V4202" s="389">
        <f>+IFERROR(T4202*S4202,0)</f>
        <v>0</v>
      </c>
      <c r="Y4202" s="393">
        <f>+IFERROR(Y4197*S4202,0)</f>
        <v>0</v>
      </c>
      <c r="Z4202" s="391">
        <f>Y4197*V4202</f>
        <v>0</v>
      </c>
      <c r="AA4202" s="394"/>
      <c r="AB4202" s="395">
        <f>+Y4202*T4202</f>
        <v>0</v>
      </c>
      <c r="AC4202" s="93">
        <f>+AB4202-Z4202</f>
        <v>0</v>
      </c>
      <c r="AD4202" s="94"/>
      <c r="AE4202" s="386" t="str">
        <f>+IF(V4202=0,"CERO","NO")</f>
        <v>CERO</v>
      </c>
    </row>
    <row r="4203" spans="3:31" s="260" customFormat="1" x14ac:dyDescent="0.25">
      <c r="C4203" s="84"/>
      <c r="D4203" s="85"/>
      <c r="E4203" s="86"/>
      <c r="F4203" s="86"/>
      <c r="G4203" s="86"/>
      <c r="H4203" s="86"/>
      <c r="I4203" s="86"/>
      <c r="J4203" s="87"/>
      <c r="K4203" s="88"/>
      <c r="M4203" s="102">
        <v>0</v>
      </c>
      <c r="N4203" s="533"/>
      <c r="O4203" s="533"/>
      <c r="P4203" s="533"/>
      <c r="Q4203" s="533"/>
      <c r="R4203" s="78"/>
      <c r="S4203" s="396"/>
      <c r="T4203" s="529"/>
      <c r="U4203" s="529"/>
      <c r="V4203" s="397"/>
      <c r="Y4203" s="393">
        <f>+IFERROR(Y4197*S4203,0)</f>
        <v>0</v>
      </c>
      <c r="Z4203" s="391">
        <f>Y4197*V4203</f>
        <v>0</v>
      </c>
      <c r="AA4203" s="394"/>
      <c r="AB4203" s="395">
        <f>+Y4203*T4203</f>
        <v>0</v>
      </c>
      <c r="AC4203" s="93">
        <f>+AB4203-Z4203</f>
        <v>0</v>
      </c>
      <c r="AD4203" s="94"/>
      <c r="AE4203" s="386" t="str">
        <f>+IF(V4203=0,"CERO","NO")</f>
        <v>CERO</v>
      </c>
    </row>
    <row r="4204" spans="3:31" s="260" customFormat="1" x14ac:dyDescent="0.25">
      <c r="C4204" s="84"/>
      <c r="D4204" s="85"/>
      <c r="E4204" s="86"/>
      <c r="F4204" s="86"/>
      <c r="G4204" s="86"/>
      <c r="H4204" s="86"/>
      <c r="I4204" s="86"/>
      <c r="J4204" s="87"/>
      <c r="K4204" s="88"/>
      <c r="M4204" s="102">
        <v>0</v>
      </c>
      <c r="N4204" s="533"/>
      <c r="O4204" s="533"/>
      <c r="P4204" s="533"/>
      <c r="Q4204" s="533"/>
      <c r="R4204" s="78"/>
      <c r="S4204" s="396"/>
      <c r="T4204" s="529"/>
      <c r="U4204" s="529"/>
      <c r="V4204" s="397"/>
      <c r="Y4204" s="393">
        <f>+IFERROR(Y4197*S4204,0)</f>
        <v>0</v>
      </c>
      <c r="Z4204" s="391">
        <f>Y4197*V4204</f>
        <v>0</v>
      </c>
      <c r="AA4204" s="394"/>
      <c r="AB4204" s="395">
        <f>+Y4204*T4204</f>
        <v>0</v>
      </c>
      <c r="AC4204" s="93">
        <f>+AB4204-Z4204</f>
        <v>0</v>
      </c>
      <c r="AD4204" s="94"/>
      <c r="AE4204" s="386" t="str">
        <f>+IF(V4204=0,"CERO","NO")</f>
        <v>CERO</v>
      </c>
    </row>
    <row r="4205" spans="3:31" s="260" customFormat="1" ht="15.75" thickBot="1" x14ac:dyDescent="0.3">
      <c r="C4205" s="84"/>
      <c r="D4205" s="85"/>
      <c r="E4205" s="86"/>
      <c r="F4205" s="86"/>
      <c r="G4205" s="86"/>
      <c r="H4205" s="86"/>
      <c r="I4205" s="86"/>
      <c r="J4205" s="87"/>
      <c r="K4205" s="88"/>
      <c r="M4205" s="102">
        <v>0</v>
      </c>
      <c r="N4205" s="564"/>
      <c r="O4205" s="564"/>
      <c r="P4205" s="564"/>
      <c r="Q4205" s="564"/>
      <c r="R4205" s="96"/>
      <c r="S4205" s="96"/>
      <c r="T4205" s="565"/>
      <c r="U4205" s="565"/>
      <c r="V4205" s="101"/>
      <c r="Y4205" s="393">
        <f>+IFERROR(Y4197*S4205,0)</f>
        <v>0</v>
      </c>
      <c r="Z4205" s="391">
        <f>Y4197*V4205</f>
        <v>0</v>
      </c>
      <c r="AA4205" s="394"/>
      <c r="AB4205" s="395">
        <f>+Y4205*T4205</f>
        <v>0</v>
      </c>
      <c r="AC4205" s="93">
        <f>+AB4205-Z4205</f>
        <v>0</v>
      </c>
      <c r="AD4205" s="94"/>
      <c r="AE4205" s="386" t="str">
        <f>+IF(V4205=0,"CERO","NO")</f>
        <v>CERO</v>
      </c>
    </row>
    <row r="4206" spans="3:31" s="260" customFormat="1" ht="15.75" thickBot="1" x14ac:dyDescent="0.3">
      <c r="C4206" s="84"/>
      <c r="D4206" s="375" t="s">
        <v>128</v>
      </c>
      <c r="E4206" s="376" t="s">
        <v>129</v>
      </c>
      <c r="F4206" s="376" t="s">
        <v>130</v>
      </c>
      <c r="G4206" s="376" t="s">
        <v>131</v>
      </c>
      <c r="H4206" s="376" t="s">
        <v>132</v>
      </c>
      <c r="I4206" s="376" t="s">
        <v>133</v>
      </c>
      <c r="J4206" s="377" t="s">
        <v>134</v>
      </c>
      <c r="K4206" s="88"/>
      <c r="M4206" s="534"/>
      <c r="N4206" s="536" t="s">
        <v>101</v>
      </c>
      <c r="O4206" s="536"/>
      <c r="P4206" s="536"/>
      <c r="Q4206" s="536"/>
      <c r="R4206" s="536"/>
      <c r="S4206" s="536"/>
      <c r="T4206" s="536"/>
      <c r="U4206" s="536"/>
      <c r="V4206" s="389">
        <f>+SUM(V4201:V4205)</f>
        <v>209.2115</v>
      </c>
      <c r="Y4206" s="398" t="s">
        <v>135</v>
      </c>
      <c r="Z4206" s="397">
        <f>+SUM(Z4201:Z4205)</f>
        <v>3138.1725000000001</v>
      </c>
      <c r="AA4206" s="86"/>
      <c r="AB4206" s="384"/>
      <c r="AC4206" s="385"/>
      <c r="AD4206" s="94"/>
      <c r="AE4206" s="399"/>
    </row>
    <row r="4207" spans="3:31" s="260" customFormat="1" ht="15.75" thickBot="1" x14ac:dyDescent="0.3">
      <c r="C4207" s="84"/>
      <c r="D4207" s="375">
        <f>C4197</f>
        <v>4.09</v>
      </c>
      <c r="E4207" s="376"/>
      <c r="F4207" s="376"/>
      <c r="G4207" s="376"/>
      <c r="H4207" s="376"/>
      <c r="I4207" s="376"/>
      <c r="J4207" s="377"/>
      <c r="K4207" s="88"/>
      <c r="M4207" s="566"/>
      <c r="N4207" s="567" t="s">
        <v>102</v>
      </c>
      <c r="O4207" s="567"/>
      <c r="P4207" s="567"/>
      <c r="Q4207" s="567"/>
      <c r="R4207" s="567"/>
      <c r="S4207" s="567"/>
      <c r="T4207" s="567"/>
      <c r="U4207" s="567"/>
      <c r="V4207" s="400">
        <f>+ROUND(V4206,$AA$5)</f>
        <v>209.21</v>
      </c>
      <c r="Y4207" s="401" t="s">
        <v>136</v>
      </c>
      <c r="Z4207" s="402">
        <f>+ROUND(Z4206,$AA$5)</f>
        <v>3138.17</v>
      </c>
      <c r="AA4207" s="86"/>
      <c r="AB4207" s="403">
        <f>+V4207*Y4197</f>
        <v>3138.15</v>
      </c>
      <c r="AC4207" s="404">
        <f>+AB4207-Z4207</f>
        <v>-1.999999999998181E-2</v>
      </c>
      <c r="AD4207" s="94"/>
      <c r="AE4207" s="405"/>
    </row>
    <row r="4208" spans="3:31" s="260" customFormat="1" x14ac:dyDescent="0.25">
      <c r="C4208" s="84"/>
      <c r="D4208" s="380"/>
      <c r="E4208" s="381"/>
      <c r="F4208" s="381"/>
      <c r="G4208" s="381"/>
      <c r="H4208" s="381"/>
      <c r="I4208" s="381"/>
      <c r="J4208" s="382"/>
      <c r="K4208" s="88"/>
      <c r="M4208" s="510" t="s">
        <v>103</v>
      </c>
      <c r="N4208" s="511"/>
      <c r="O4208" s="511"/>
      <c r="P4208" s="511"/>
      <c r="Q4208" s="511"/>
      <c r="R4208" s="511"/>
      <c r="S4208" s="511"/>
      <c r="T4208" s="511"/>
      <c r="U4208" s="511"/>
      <c r="V4208" s="512"/>
      <c r="Y4208" s="378"/>
      <c r="Z4208" s="121"/>
      <c r="AA4208" s="86"/>
      <c r="AB4208" s="513"/>
      <c r="AC4208" s="514"/>
      <c r="AD4208" s="94"/>
      <c r="AE4208" s="126"/>
    </row>
    <row r="4209" spans="3:31" s="260" customFormat="1" x14ac:dyDescent="0.25">
      <c r="C4209" s="84"/>
      <c r="D4209" s="85"/>
      <c r="E4209" s="86"/>
      <c r="F4209" s="86"/>
      <c r="G4209" s="86"/>
      <c r="H4209" s="86"/>
      <c r="I4209" s="86"/>
      <c r="J4209" s="87"/>
      <c r="K4209" s="88"/>
      <c r="M4209" s="99" t="s">
        <v>94</v>
      </c>
      <c r="N4209" s="561" t="s">
        <v>95</v>
      </c>
      <c r="O4209" s="561"/>
      <c r="P4209" s="561"/>
      <c r="Q4209" s="561"/>
      <c r="R4209" s="95" t="s">
        <v>96</v>
      </c>
      <c r="S4209" s="95" t="s">
        <v>104</v>
      </c>
      <c r="T4209" s="356" t="s">
        <v>105</v>
      </c>
      <c r="U4209" s="356" t="s">
        <v>8</v>
      </c>
      <c r="V4209" s="100" t="s">
        <v>98</v>
      </c>
      <c r="Y4209" s="383" t="s">
        <v>104</v>
      </c>
      <c r="Z4209" s="119" t="s">
        <v>9</v>
      </c>
      <c r="AA4209" s="86"/>
      <c r="AB4209" s="384"/>
      <c r="AC4209" s="385"/>
      <c r="AD4209" s="94"/>
      <c r="AE4209" s="406"/>
    </row>
    <row r="4210" spans="3:31" s="260" customFormat="1" x14ac:dyDescent="0.25">
      <c r="C4210" s="84"/>
      <c r="D4210" s="85"/>
      <c r="E4210" s="86"/>
      <c r="F4210" s="86"/>
      <c r="G4210" s="86"/>
      <c r="H4210" s="86"/>
      <c r="I4210" s="86"/>
      <c r="J4210" s="87"/>
      <c r="K4210" s="88"/>
      <c r="M4210" s="102">
        <v>541</v>
      </c>
      <c r="N4210" s="533" t="str">
        <f>IFERROR(VLOOKUP(M4210,INSUMOS!$C$8:$K$928,2,0),"-----")</f>
        <v>YEE 4" SANITARIO</v>
      </c>
      <c r="O4210" s="533"/>
      <c r="P4210" s="533"/>
      <c r="Q4210" s="533"/>
      <c r="R4210" s="78" t="str">
        <f>IFERROR(VLOOKUP(M4210,INSUMOS!$C$8:$K$928,6,0),"-----")</f>
        <v>und</v>
      </c>
      <c r="S4210" s="396">
        <v>1</v>
      </c>
      <c r="T4210" s="387">
        <v>0</v>
      </c>
      <c r="U4210" s="388">
        <f>IFERROR(VLOOKUP(M4210,INSUMOS!$C$8:$K$928,7,0),"0")</f>
        <v>36357</v>
      </c>
      <c r="V4210" s="389">
        <f>+IFERROR(U4210*(S4210*(1+T4210)),0)</f>
        <v>36357</v>
      </c>
      <c r="Y4210" s="393">
        <f>+IFERROR(Y4197*(S4210*(1+T4210)),0)</f>
        <v>15</v>
      </c>
      <c r="Z4210" s="391">
        <f>Y4197*V4210</f>
        <v>545355</v>
      </c>
      <c r="AA4210" s="394"/>
      <c r="AB4210" s="395">
        <f>+Y4210*U4210</f>
        <v>545355</v>
      </c>
      <c r="AC4210" s="93">
        <f>+AB4210-Z4210</f>
        <v>0</v>
      </c>
      <c r="AD4210" s="94"/>
      <c r="AE4210" s="406" t="str">
        <f>+IF(V4210=0,"CERO","NO")</f>
        <v>NO</v>
      </c>
    </row>
    <row r="4211" spans="3:31" s="260" customFormat="1" x14ac:dyDescent="0.25">
      <c r="C4211" s="84"/>
      <c r="D4211" s="85"/>
      <c r="E4211" s="86"/>
      <c r="F4211" s="86"/>
      <c r="G4211" s="86"/>
      <c r="H4211" s="86"/>
      <c r="I4211" s="86"/>
      <c r="J4211" s="87"/>
      <c r="K4211" s="88"/>
      <c r="M4211" s="102">
        <v>699</v>
      </c>
      <c r="N4211" s="533" t="str">
        <f>IFERROR(VLOOKUP(M4211,INSUMOS!$C$8:$K$928,2,0),"-----")</f>
        <v>SOLDADURA PVC LIQUIDA 1/4"</v>
      </c>
      <c r="O4211" s="533"/>
      <c r="P4211" s="533"/>
      <c r="Q4211" s="533"/>
      <c r="R4211" s="78" t="str">
        <f>IFERROR(VLOOKUP(M4211,INSUMOS!$C$8:$K$928,6,0),"-----")</f>
        <v>und</v>
      </c>
      <c r="S4211" s="396">
        <v>0.01</v>
      </c>
      <c r="T4211" s="387">
        <v>0.02</v>
      </c>
      <c r="U4211" s="388">
        <f>IFERROR(VLOOKUP(M4211,INSUMOS!$C$8:$K$928,7,0),"0")</f>
        <v>146569</v>
      </c>
      <c r="V4211" s="389">
        <f>+IFERROR(U4211*(S4211*(1+T4211)),0)</f>
        <v>1495.0038000000002</v>
      </c>
      <c r="Y4211" s="393">
        <f>+IFERROR(Y4197*(S4211*(1+T4211)),0)</f>
        <v>0.15300000000000002</v>
      </c>
      <c r="Z4211" s="391">
        <f>Y4197*V4211</f>
        <v>22425.057000000004</v>
      </c>
      <c r="AA4211" s="394"/>
      <c r="AB4211" s="395">
        <f>+Y4211*U4211</f>
        <v>22425.057000000004</v>
      </c>
      <c r="AC4211" s="93">
        <f>+AB4211-Z4211</f>
        <v>0</v>
      </c>
      <c r="AD4211" s="94"/>
      <c r="AE4211" s="406" t="str">
        <f>+IF(V4211=0,"CERO","NO")</f>
        <v>NO</v>
      </c>
    </row>
    <row r="4212" spans="3:31" s="260" customFormat="1" x14ac:dyDescent="0.25">
      <c r="C4212" s="84"/>
      <c r="D4212" s="85"/>
      <c r="E4212" s="86"/>
      <c r="F4212" s="86"/>
      <c r="G4212" s="86"/>
      <c r="H4212" s="86"/>
      <c r="I4212" s="86"/>
      <c r="J4212" s="87"/>
      <c r="K4212" s="88"/>
      <c r="M4212" s="102">
        <v>700</v>
      </c>
      <c r="N4212" s="533" t="str">
        <f>IFERROR(VLOOKUP(M4212,INSUMOS!$C$8:$K$928,2,0),"-----")</f>
        <v>LIMPIADOR PVC 1/4</v>
      </c>
      <c r="O4212" s="533"/>
      <c r="P4212" s="533"/>
      <c r="Q4212" s="533"/>
      <c r="R4212" s="78" t="str">
        <f>IFERROR(VLOOKUP(M4212,INSUMOS!$C$8:$K$928,6,0),"-----")</f>
        <v>und</v>
      </c>
      <c r="S4212" s="396">
        <v>0.01</v>
      </c>
      <c r="T4212" s="387">
        <v>0.02</v>
      </c>
      <c r="U4212" s="388">
        <f>IFERROR(VLOOKUP(M4212,INSUMOS!$C$8:$K$928,7,0),"0")</f>
        <v>65913</v>
      </c>
      <c r="V4212" s="389">
        <f>+IFERROR(U4212*(S4212*(1+T4212)),0)</f>
        <v>672.31260000000009</v>
      </c>
      <c r="Y4212" s="393">
        <f>+IFERROR(Y4197*(S4212*(1+T4212)),0)</f>
        <v>0.15300000000000002</v>
      </c>
      <c r="Z4212" s="391">
        <f>Y4197*V4212</f>
        <v>10084.689000000002</v>
      </c>
      <c r="AA4212" s="394"/>
      <c r="AB4212" s="395">
        <f>+Y4212*U4212</f>
        <v>10084.689000000002</v>
      </c>
      <c r="AC4212" s="93">
        <f>+AB4212-Z4212</f>
        <v>0</v>
      </c>
      <c r="AD4212" s="94"/>
      <c r="AE4212" s="406" t="str">
        <f>+IF(V4212=0,"CERO","NO")</f>
        <v>NO</v>
      </c>
    </row>
    <row r="4213" spans="3:31" s="260" customFormat="1" x14ac:dyDescent="0.25">
      <c r="C4213" s="84"/>
      <c r="D4213" s="85"/>
      <c r="E4213" s="86"/>
      <c r="F4213" s="86"/>
      <c r="G4213" s="86"/>
      <c r="H4213" s="86"/>
      <c r="I4213" s="86"/>
      <c r="J4213" s="87"/>
      <c r="K4213" s="88"/>
      <c r="M4213" s="102">
        <v>0</v>
      </c>
      <c r="N4213" s="533" t="str">
        <f>IFERROR(VLOOKUP(M4213,INSUMOS!$C$8:$K$928,2,0),"-----")</f>
        <v>-----</v>
      </c>
      <c r="O4213" s="533"/>
      <c r="P4213" s="533"/>
      <c r="Q4213" s="533"/>
      <c r="R4213" s="78" t="str">
        <f>IFERROR(VLOOKUP(M4213,INSUMOS!$C$8:$K$928,6,0),"-----")</f>
        <v>-----</v>
      </c>
      <c r="S4213" s="396"/>
      <c r="T4213" s="387"/>
      <c r="U4213" s="388" t="str">
        <f>IFERROR(VLOOKUP(M4213,INSUMOS!$C$8:$K$928,7,0),"0")</f>
        <v>0</v>
      </c>
      <c r="V4213" s="389">
        <f>+IFERROR(U4213*(S4213*(1+T4213)),0)</f>
        <v>0</v>
      </c>
      <c r="Y4213" s="393">
        <f>+IFERROR(Y4197*(S4213*(1+T4213)),0)</f>
        <v>0</v>
      </c>
      <c r="Z4213" s="391">
        <f>Y4197*V4213</f>
        <v>0</v>
      </c>
      <c r="AA4213" s="394"/>
      <c r="AB4213" s="395">
        <f>+Y4213*U4213</f>
        <v>0</v>
      </c>
      <c r="AC4213" s="93">
        <f>+AB4213-Z4213</f>
        <v>0</v>
      </c>
      <c r="AD4213" s="94"/>
      <c r="AE4213" s="406" t="str">
        <f>+IF(V4213=0,"CERO","NO")</f>
        <v>CERO</v>
      </c>
    </row>
    <row r="4214" spans="3:31" s="260" customFormat="1" ht="15.75" thickBot="1" x14ac:dyDescent="0.3">
      <c r="C4214" s="84"/>
      <c r="D4214" s="85"/>
      <c r="E4214" s="86"/>
      <c r="F4214" s="86"/>
      <c r="G4214" s="86"/>
      <c r="H4214" s="86"/>
      <c r="I4214" s="86"/>
      <c r="J4214" s="87"/>
      <c r="K4214" s="88"/>
      <c r="M4214" s="102">
        <v>0</v>
      </c>
      <c r="N4214" s="564"/>
      <c r="O4214" s="564"/>
      <c r="P4214" s="564"/>
      <c r="Q4214" s="564"/>
      <c r="R4214" s="96"/>
      <c r="S4214" s="79"/>
      <c r="T4214" s="97"/>
      <c r="U4214" s="358"/>
      <c r="V4214" s="397"/>
      <c r="Y4214" s="393">
        <f>+IFERROR(Y4197*(S4214*(1+T4214)),0)</f>
        <v>0</v>
      </c>
      <c r="Z4214" s="391">
        <f>Y4197*V4214</f>
        <v>0</v>
      </c>
      <c r="AA4214" s="394"/>
      <c r="AB4214" s="395">
        <f>+Y4214*U4214</f>
        <v>0</v>
      </c>
      <c r="AC4214" s="93">
        <f>+AB4214-Z4214</f>
        <v>0</v>
      </c>
      <c r="AD4214" s="94"/>
      <c r="AE4214" s="406" t="str">
        <f>+IF(V4214=0,"CERO","NO")</f>
        <v>CERO</v>
      </c>
    </row>
    <row r="4215" spans="3:31" s="260" customFormat="1" ht="15.75" thickBot="1" x14ac:dyDescent="0.3">
      <c r="C4215" s="84"/>
      <c r="D4215" s="375" t="s">
        <v>128</v>
      </c>
      <c r="E4215" s="376" t="s">
        <v>129</v>
      </c>
      <c r="F4215" s="376" t="s">
        <v>130</v>
      </c>
      <c r="G4215" s="376" t="s">
        <v>131</v>
      </c>
      <c r="H4215" s="376" t="s">
        <v>132</v>
      </c>
      <c r="I4215" s="376" t="s">
        <v>133</v>
      </c>
      <c r="J4215" s="377" t="s">
        <v>134</v>
      </c>
      <c r="K4215" s="88"/>
      <c r="M4215" s="534"/>
      <c r="N4215" s="536" t="s">
        <v>106</v>
      </c>
      <c r="O4215" s="536"/>
      <c r="P4215" s="536"/>
      <c r="Q4215" s="536"/>
      <c r="R4215" s="536"/>
      <c r="S4215" s="536"/>
      <c r="T4215" s="536"/>
      <c r="U4215" s="536"/>
      <c r="V4215" s="389">
        <f>+SUM(V4210:V4214)</f>
        <v>38524.316399999996</v>
      </c>
      <c r="Y4215" s="398" t="s">
        <v>135</v>
      </c>
      <c r="Z4215" s="397">
        <f>+SUM(Z4210:Z4214)</f>
        <v>577864.74600000004</v>
      </c>
      <c r="AA4215" s="86"/>
      <c r="AB4215" s="384"/>
      <c r="AC4215" s="385"/>
      <c r="AD4215" s="94"/>
      <c r="AE4215" s="399"/>
    </row>
    <row r="4216" spans="3:31" s="260" customFormat="1" ht="15.75" thickBot="1" x14ac:dyDescent="0.3">
      <c r="C4216" s="84"/>
      <c r="D4216" s="375"/>
      <c r="E4216" s="407">
        <f>+D4207</f>
        <v>4.09</v>
      </c>
      <c r="F4216" s="376"/>
      <c r="G4216" s="376"/>
      <c r="H4216" s="376"/>
      <c r="I4216" s="376"/>
      <c r="J4216" s="377"/>
      <c r="K4216" s="88"/>
      <c r="M4216" s="535"/>
      <c r="N4216" s="537" t="s">
        <v>107</v>
      </c>
      <c r="O4216" s="537"/>
      <c r="P4216" s="537"/>
      <c r="Q4216" s="537"/>
      <c r="R4216" s="537"/>
      <c r="S4216" s="537"/>
      <c r="T4216" s="537"/>
      <c r="U4216" s="537"/>
      <c r="V4216" s="408">
        <f>+ROUND(V4215,$AA$5)</f>
        <v>38524.32</v>
      </c>
      <c r="Y4216" s="401" t="s">
        <v>136</v>
      </c>
      <c r="Z4216" s="402">
        <f>+ROUND(Z4215,$AA$5)</f>
        <v>577864.75</v>
      </c>
      <c r="AA4216" s="86"/>
      <c r="AB4216" s="403">
        <f>+V4216*Y4197</f>
        <v>577864.80000000005</v>
      </c>
      <c r="AC4216" s="404">
        <f>+AB4216-Z4216</f>
        <v>5.0000000046566129E-2</v>
      </c>
      <c r="AD4216" s="94"/>
      <c r="AE4216" s="405"/>
    </row>
    <row r="4217" spans="3:31" s="260" customFormat="1" x14ac:dyDescent="0.25">
      <c r="C4217" s="84"/>
      <c r="D4217" s="380"/>
      <c r="E4217" s="381"/>
      <c r="F4217" s="381"/>
      <c r="G4217" s="381"/>
      <c r="H4217" s="381"/>
      <c r="I4217" s="381"/>
      <c r="J4217" s="382"/>
      <c r="K4217" s="88"/>
      <c r="M4217" s="568" t="s">
        <v>108</v>
      </c>
      <c r="N4217" s="569"/>
      <c r="O4217" s="569"/>
      <c r="P4217" s="569"/>
      <c r="Q4217" s="569"/>
      <c r="R4217" s="569"/>
      <c r="S4217" s="569"/>
      <c r="T4217" s="569"/>
      <c r="U4217" s="569"/>
      <c r="V4217" s="570"/>
      <c r="Y4217" s="378"/>
      <c r="Z4217" s="121"/>
      <c r="AA4217" s="86"/>
      <c r="AB4217" s="409"/>
      <c r="AC4217" s="121"/>
      <c r="AD4217" s="94"/>
      <c r="AE4217" s="126"/>
    </row>
    <row r="4218" spans="3:31" s="260" customFormat="1" ht="25.5" x14ac:dyDescent="0.25">
      <c r="C4218" s="84"/>
      <c r="D4218" s="85"/>
      <c r="E4218" s="86"/>
      <c r="F4218" s="86"/>
      <c r="G4218" s="86"/>
      <c r="H4218" s="86"/>
      <c r="I4218" s="86"/>
      <c r="J4218" s="87"/>
      <c r="K4218" s="88"/>
      <c r="M4218" s="99" t="s">
        <v>94</v>
      </c>
      <c r="N4218" s="561" t="s">
        <v>95</v>
      </c>
      <c r="O4218" s="561"/>
      <c r="P4218" s="561"/>
      <c r="Q4218" s="95" t="s">
        <v>109</v>
      </c>
      <c r="R4218" s="95" t="s">
        <v>110</v>
      </c>
      <c r="S4218" s="95" t="s">
        <v>111</v>
      </c>
      <c r="T4218" s="562" t="s">
        <v>112</v>
      </c>
      <c r="U4218" s="562"/>
      <c r="V4218" s="100" t="s">
        <v>98</v>
      </c>
      <c r="Y4218" s="383" t="s">
        <v>104</v>
      </c>
      <c r="Z4218" s="119" t="s">
        <v>9</v>
      </c>
      <c r="AA4218" s="86"/>
      <c r="AB4218" s="384"/>
      <c r="AC4218" s="385"/>
      <c r="AD4218" s="94"/>
      <c r="AE4218" s="410"/>
    </row>
    <row r="4219" spans="3:31" s="260" customFormat="1" x14ac:dyDescent="0.25">
      <c r="C4219" s="84"/>
      <c r="D4219" s="85"/>
      <c r="E4219" s="86"/>
      <c r="F4219" s="86"/>
      <c r="G4219" s="86"/>
      <c r="H4219" s="86"/>
      <c r="I4219" s="86"/>
      <c r="J4219" s="87"/>
      <c r="K4219" s="88"/>
      <c r="M4219" s="102">
        <v>129</v>
      </c>
      <c r="N4219" s="530" t="str">
        <f>IFERROR(VLOOKUP(M4219,INSUMOS!$C$8:$K$928,2,0),"-----")</f>
        <v>transporte materiales en general</v>
      </c>
      <c r="O4219" s="531"/>
      <c r="P4219" s="532"/>
      <c r="Q4219" s="78" t="str">
        <f>IFERROR(VLOOKUP(M4219,INSUMOS!$C$8:$K$928,5,0),"-----")</f>
        <v>Km</v>
      </c>
      <c r="R4219" s="80">
        <v>1</v>
      </c>
      <c r="S4219" s="80">
        <f>IFERROR(VLOOKUP(M4219,INSUMOS!$C$8:$K$928,6,0),"0")</f>
        <v>348</v>
      </c>
      <c r="T4219" s="529">
        <f>IFERROR(VLOOKUP(M4219,INSUMOS!$C$8:$K$928,7,0),"0")</f>
        <v>0.99776362060288992</v>
      </c>
      <c r="U4219" s="529"/>
      <c r="V4219" s="82">
        <f>+T4219*S4219*R4219</f>
        <v>347.2217399698057</v>
      </c>
      <c r="Y4219" s="393">
        <f>+IFERROR((R4219*S4219)*Y4197,0)</f>
        <v>5220</v>
      </c>
      <c r="Z4219" s="391">
        <f>Y4197*V4219</f>
        <v>5208.3260995470855</v>
      </c>
      <c r="AA4219" s="86"/>
      <c r="AB4219" s="92">
        <f>+Y4219*T4219</f>
        <v>5208.3260995470855</v>
      </c>
      <c r="AC4219" s="93">
        <f>+AB4219-Z4219</f>
        <v>0</v>
      </c>
      <c r="AD4219" s="94"/>
      <c r="AE4219" s="406" t="str">
        <f>+IF(V4219=0,"CERO","NO")</f>
        <v>NO</v>
      </c>
    </row>
    <row r="4220" spans="3:31" s="260" customFormat="1" x14ac:dyDescent="0.25">
      <c r="C4220" s="84"/>
      <c r="D4220" s="85"/>
      <c r="E4220" s="86"/>
      <c r="F4220" s="86"/>
      <c r="G4220" s="86"/>
      <c r="H4220" s="86"/>
      <c r="I4220" s="86"/>
      <c r="J4220" s="87"/>
      <c r="K4220" s="88"/>
      <c r="M4220" s="102">
        <v>0</v>
      </c>
      <c r="N4220" s="530" t="str">
        <f>IFERROR(VLOOKUP(M4220,INSUMOS!$C$8:$K$928,2,0),"-----")</f>
        <v>-----</v>
      </c>
      <c r="O4220" s="531"/>
      <c r="P4220" s="532"/>
      <c r="Q4220" s="78" t="str">
        <f>IFERROR(VLOOKUP(M4220,INSUMOS!$C$8:$K$928,5,0),"-----")</f>
        <v>-----</v>
      </c>
      <c r="R4220" s="80"/>
      <c r="S4220" s="80" t="str">
        <f>IFERROR(VLOOKUP(M4220,INSUMOS!$C$8:$K$928,6,0),"0")</f>
        <v>0</v>
      </c>
      <c r="T4220" s="529" t="str">
        <f>IFERROR(VLOOKUP(M4220,INSUMOS!$C$8:$K$928,7,0),"0")</f>
        <v>0</v>
      </c>
      <c r="U4220" s="529"/>
      <c r="V4220" s="82">
        <f>+T4220*S4220*R4220</f>
        <v>0</v>
      </c>
      <c r="Y4220" s="393">
        <f>+IFERROR((R4220*S4220)*Y4197,0)</f>
        <v>0</v>
      </c>
      <c r="Z4220" s="391">
        <f>Y4197*V4220</f>
        <v>0</v>
      </c>
      <c r="AA4220" s="86"/>
      <c r="AB4220" s="92">
        <f>+Y4220*T4220</f>
        <v>0</v>
      </c>
      <c r="AC4220" s="93">
        <f>+AB4220-Z4220</f>
        <v>0</v>
      </c>
      <c r="AD4220" s="94"/>
      <c r="AE4220" s="406" t="str">
        <f>+IF(V4220=0,"CERO","NO")</f>
        <v>CERO</v>
      </c>
    </row>
    <row r="4221" spans="3:31" s="260" customFormat="1" x14ac:dyDescent="0.25">
      <c r="C4221" s="84"/>
      <c r="D4221" s="85"/>
      <c r="E4221" s="86"/>
      <c r="F4221" s="86"/>
      <c r="G4221" s="86"/>
      <c r="H4221" s="86"/>
      <c r="I4221" s="86"/>
      <c r="J4221" s="87"/>
      <c r="K4221" s="88"/>
      <c r="M4221" s="102">
        <v>0</v>
      </c>
      <c r="N4221" s="530" t="str">
        <f>IFERROR(VLOOKUP(M4221,INSUMOS!$C$8:$K$928,2,0),"-----")</f>
        <v>-----</v>
      </c>
      <c r="O4221" s="531"/>
      <c r="P4221" s="532"/>
      <c r="Q4221" s="78" t="str">
        <f>IFERROR(VLOOKUP(M4221,INSUMOS!$C$8:$K$928,5,0),"-----")</f>
        <v>-----</v>
      </c>
      <c r="R4221" s="80"/>
      <c r="S4221" s="80" t="str">
        <f>IFERROR(VLOOKUP(M4221,INSUMOS!$C$8:$K$928,6,0),"0")</f>
        <v>0</v>
      </c>
      <c r="T4221" s="529" t="str">
        <f>IFERROR(VLOOKUP(M4221,INSUMOS!$C$8:$K$928,7,0),"0")</f>
        <v>0</v>
      </c>
      <c r="U4221" s="529"/>
      <c r="V4221" s="82">
        <f>+T4221*S4221*R4221</f>
        <v>0</v>
      </c>
      <c r="Y4221" s="393">
        <f>+IFERROR((R4221*S4221)*Y4197,0)</f>
        <v>0</v>
      </c>
      <c r="Z4221" s="391">
        <f>Y4197*V4221</f>
        <v>0</v>
      </c>
      <c r="AA4221" s="86"/>
      <c r="AB4221" s="92">
        <f>+Y4221*T4221</f>
        <v>0</v>
      </c>
      <c r="AC4221" s="93">
        <f>+AB4221-Z4221</f>
        <v>0</v>
      </c>
      <c r="AD4221" s="94"/>
      <c r="AE4221" s="406" t="str">
        <f>+IF(V4221=0,"CERO","NO")</f>
        <v>CERO</v>
      </c>
    </row>
    <row r="4222" spans="3:31" s="260" customFormat="1" ht="15.75" thickBot="1" x14ac:dyDescent="0.3">
      <c r="C4222" s="84"/>
      <c r="D4222" s="89"/>
      <c r="E4222" s="90"/>
      <c r="F4222" s="90"/>
      <c r="G4222" s="90"/>
      <c r="H4222" s="90"/>
      <c r="I4222" s="90"/>
      <c r="J4222" s="91"/>
      <c r="K4222" s="88"/>
      <c r="M4222" s="102">
        <v>0</v>
      </c>
      <c r="N4222" s="533"/>
      <c r="O4222" s="533"/>
      <c r="P4222" s="533"/>
      <c r="Q4222" s="79"/>
      <c r="R4222" s="78"/>
      <c r="S4222" s="81"/>
      <c r="T4222" s="529"/>
      <c r="U4222" s="529"/>
      <c r="V4222" s="82"/>
      <c r="Y4222" s="393">
        <f>+IFERROR((R4222*S4222)*Y4197,0)</f>
        <v>0</v>
      </c>
      <c r="Z4222" s="391">
        <f>Y4197*V4222</f>
        <v>0</v>
      </c>
      <c r="AA4222" s="86"/>
      <c r="AB4222" s="92">
        <f>+Y4222*T4222</f>
        <v>0</v>
      </c>
      <c r="AC4222" s="93">
        <f>+AB4222-Z4222</f>
        <v>0</v>
      </c>
      <c r="AD4222" s="94"/>
      <c r="AE4222" s="406" t="str">
        <f>+IF(V4222=0,"CERO","NO")</f>
        <v>CERO</v>
      </c>
    </row>
    <row r="4223" spans="3:31" s="260" customFormat="1" ht="15.75" thickBot="1" x14ac:dyDescent="0.3">
      <c r="C4223" s="84"/>
      <c r="D4223" s="375" t="s">
        <v>128</v>
      </c>
      <c r="E4223" s="376" t="s">
        <v>129</v>
      </c>
      <c r="F4223" s="376" t="s">
        <v>130</v>
      </c>
      <c r="G4223" s="376" t="s">
        <v>131</v>
      </c>
      <c r="H4223" s="376" t="s">
        <v>132</v>
      </c>
      <c r="I4223" s="376" t="s">
        <v>133</v>
      </c>
      <c r="J4223" s="377" t="s">
        <v>134</v>
      </c>
      <c r="K4223" s="88"/>
      <c r="M4223" s="534"/>
      <c r="N4223" s="536" t="s">
        <v>113</v>
      </c>
      <c r="O4223" s="536"/>
      <c r="P4223" s="536"/>
      <c r="Q4223" s="536"/>
      <c r="R4223" s="536"/>
      <c r="S4223" s="536"/>
      <c r="T4223" s="536"/>
      <c r="U4223" s="536"/>
      <c r="V4223" s="411">
        <f>+SUM(V4219:V4222)</f>
        <v>347.2217399698057</v>
      </c>
      <c r="Y4223" s="398" t="s">
        <v>135</v>
      </c>
      <c r="Z4223" s="397">
        <f>+SUM(Z4219:Z4222)</f>
        <v>5208.3260995470855</v>
      </c>
      <c r="AA4223" s="86"/>
      <c r="AB4223" s="384"/>
      <c r="AC4223" s="385"/>
      <c r="AD4223" s="94"/>
      <c r="AE4223" s="399"/>
    </row>
    <row r="4224" spans="3:31" s="260" customFormat="1" ht="15.75" thickBot="1" x14ac:dyDescent="0.3">
      <c r="C4224" s="84"/>
      <c r="D4224" s="355"/>
      <c r="E4224" s="367"/>
      <c r="F4224" s="412">
        <f>+E4216</f>
        <v>4.09</v>
      </c>
      <c r="G4224" s="367"/>
      <c r="H4224" s="367"/>
      <c r="I4224" s="367"/>
      <c r="J4224" s="368"/>
      <c r="K4224" s="88"/>
      <c r="M4224" s="535"/>
      <c r="N4224" s="537" t="s">
        <v>114</v>
      </c>
      <c r="O4224" s="537"/>
      <c r="P4224" s="537"/>
      <c r="Q4224" s="537"/>
      <c r="R4224" s="537"/>
      <c r="S4224" s="537"/>
      <c r="T4224" s="537"/>
      <c r="U4224" s="537"/>
      <c r="V4224" s="413">
        <f>+ROUND(V4223,$AA$5)</f>
        <v>347.22</v>
      </c>
      <c r="Y4224" s="401" t="s">
        <v>136</v>
      </c>
      <c r="Z4224" s="402">
        <f>+ROUND(Z4223,$AA$5)</f>
        <v>5208.33</v>
      </c>
      <c r="AA4224" s="86"/>
      <c r="AB4224" s="403">
        <f>+V4224*Y4197</f>
        <v>5208.3</v>
      </c>
      <c r="AC4224" s="414"/>
      <c r="AD4224" s="94"/>
      <c r="AE4224" s="405"/>
    </row>
    <row r="4225" spans="3:31" s="260" customFormat="1" ht="15.75" thickBot="1" x14ac:dyDescent="0.3">
      <c r="C4225" s="84"/>
      <c r="D4225" s="415"/>
      <c r="E4225" s="416"/>
      <c r="F4225" s="416"/>
      <c r="G4225" s="416"/>
      <c r="H4225" s="416"/>
      <c r="I4225" s="416"/>
      <c r="J4225" s="417"/>
      <c r="K4225" s="88"/>
      <c r="M4225" s="538" t="s">
        <v>115</v>
      </c>
      <c r="N4225" s="539"/>
      <c r="O4225" s="539"/>
      <c r="P4225" s="539"/>
      <c r="Q4225" s="539"/>
      <c r="R4225" s="539"/>
      <c r="S4225" s="539"/>
      <c r="T4225" s="539"/>
      <c r="U4225" s="539"/>
      <c r="V4225" s="540"/>
      <c r="Y4225" s="378"/>
      <c r="Z4225" s="121"/>
      <c r="AA4225" s="86"/>
      <c r="AB4225" s="409"/>
      <c r="AC4225" s="121"/>
      <c r="AD4225" s="94"/>
      <c r="AE4225" s="126"/>
    </row>
    <row r="4226" spans="3:31" s="260" customFormat="1" ht="15.75" thickBot="1" x14ac:dyDescent="0.3">
      <c r="C4226" s="84"/>
      <c r="D4226" s="375" t="s">
        <v>128</v>
      </c>
      <c r="E4226" s="376" t="s">
        <v>129</v>
      </c>
      <c r="F4226" s="376" t="s">
        <v>130</v>
      </c>
      <c r="G4226" s="376" t="s">
        <v>131</v>
      </c>
      <c r="H4226" s="376" t="s">
        <v>132</v>
      </c>
      <c r="I4226" s="376" t="s">
        <v>133</v>
      </c>
      <c r="J4226" s="377" t="s">
        <v>134</v>
      </c>
      <c r="K4226" s="88"/>
      <c r="M4226" s="99" t="s">
        <v>94</v>
      </c>
      <c r="N4226" s="98" t="s">
        <v>95</v>
      </c>
      <c r="O4226" s="95" t="s">
        <v>96</v>
      </c>
      <c r="P4226" s="359" t="s">
        <v>104</v>
      </c>
      <c r="Q4226" s="95" t="s">
        <v>116</v>
      </c>
      <c r="R4226" s="418" t="s">
        <v>117</v>
      </c>
      <c r="S4226" s="95" t="s">
        <v>347</v>
      </c>
      <c r="T4226" s="419" t="s">
        <v>118</v>
      </c>
      <c r="U4226" s="189" t="s">
        <v>119</v>
      </c>
      <c r="V4226" s="100" t="s">
        <v>98</v>
      </c>
      <c r="Y4226" s="383" t="s">
        <v>104</v>
      </c>
      <c r="Z4226" s="119" t="s">
        <v>9</v>
      </c>
      <c r="AA4226" s="86"/>
      <c r="AB4226" s="384"/>
      <c r="AC4226" s="385"/>
      <c r="AD4226" s="94"/>
      <c r="AE4226" s="410"/>
    </row>
    <row r="4227" spans="3:31" s="260" customFormat="1" ht="25.5" x14ac:dyDescent="0.25">
      <c r="C4227" s="84"/>
      <c r="D4227" s="354"/>
      <c r="E4227" s="96"/>
      <c r="F4227" s="96"/>
      <c r="G4227" s="96"/>
      <c r="H4227" s="96"/>
      <c r="I4227" s="96"/>
      <c r="J4227" s="420">
        <f>+F4224</f>
        <v>4.09</v>
      </c>
      <c r="K4227" s="88"/>
      <c r="M4227" s="102">
        <v>207</v>
      </c>
      <c r="N4227" s="347" t="str">
        <f>IFERROR(VLOOKUP(M4227,INSUMOS!$C$8:$K$928,2,0),"-----")</f>
        <v>Oficial Hidrosanitario</v>
      </c>
      <c r="O4227" s="78" t="str">
        <f>IFERROR(VLOOKUP(M4227,INSUMOS!$C$8:$K$928,3,0),"-----")</f>
        <v>JORNAL+PS</v>
      </c>
      <c r="P4227" s="80">
        <v>1</v>
      </c>
      <c r="Q4227" s="79">
        <v>40</v>
      </c>
      <c r="R4227" s="190">
        <f>IFERROR(VLOOKUP(M4227,INSUMOS!$C$8:$K$928,4,0),"-----")</f>
        <v>92983</v>
      </c>
      <c r="S4227" s="190">
        <f>IFERROR(VLOOKUP(M4227,INSUMOS!$C$8:$K$928,6,0),"-----")</f>
        <v>74386</v>
      </c>
      <c r="T4227" s="190">
        <f>IFERROR(VLOOKUP(M4227,INSUMOS!$C$8:$K$928,5,0),"-----")</f>
        <v>0</v>
      </c>
      <c r="U4227" s="388">
        <f>SUM(R4227:T4227)</f>
        <v>167369</v>
      </c>
      <c r="V4227" s="82">
        <f>+IFERROR((P4227/Q4227)*U4227,0)</f>
        <v>4184.2250000000004</v>
      </c>
      <c r="Y4227" s="393">
        <f>+IFERROR((Y4197/Q4227*P4227),0)</f>
        <v>0.375</v>
      </c>
      <c r="Z4227" s="391">
        <f>Y4197*V4227</f>
        <v>62763.375000000007</v>
      </c>
      <c r="AA4227" s="86"/>
      <c r="AB4227" s="92">
        <f>+(U4227)*Y4227</f>
        <v>62763.375</v>
      </c>
      <c r="AC4227" s="93">
        <f>+AB4227-Z4227</f>
        <v>0</v>
      </c>
      <c r="AD4227" s="421"/>
      <c r="AE4227" s="410" t="str">
        <f>+IF(V4227=0,"CERO","NO")</f>
        <v>NO</v>
      </c>
    </row>
    <row r="4228" spans="3:31" s="260" customFormat="1" ht="15.75" thickBot="1" x14ac:dyDescent="0.3">
      <c r="C4228" s="84"/>
      <c r="D4228" s="355"/>
      <c r="E4228" s="367"/>
      <c r="F4228" s="367"/>
      <c r="G4228" s="367"/>
      <c r="H4228" s="367"/>
      <c r="I4228" s="367"/>
      <c r="J4228" s="422">
        <f>+J4227</f>
        <v>4.09</v>
      </c>
      <c r="K4228" s="88"/>
      <c r="M4228" s="102"/>
      <c r="N4228" s="347" t="str">
        <f>IFERROR(VLOOKUP(M4228,INSUMOS!$C$8:$K$928,2,0),"-----")</f>
        <v>-----</v>
      </c>
      <c r="O4228" s="78" t="str">
        <f>IFERROR(VLOOKUP(M4228,INSUMOS!$C$8:$K$928,3,0),"-----")</f>
        <v>-----</v>
      </c>
      <c r="P4228" s="80"/>
      <c r="Q4228" s="79"/>
      <c r="R4228" s="190" t="str">
        <f>IFERROR(VLOOKUP(M4228,INSUMOS!$C$8:$K$928,4,0),"-----")</f>
        <v>-----</v>
      </c>
      <c r="S4228" s="190" t="str">
        <f>IFERROR(VLOOKUP(M4228,INSUMOS!$C$8:$K$928,6,0),"-----")</f>
        <v>-----</v>
      </c>
      <c r="T4228" s="190" t="str">
        <f>IFERROR(VLOOKUP(M4228,INSUMOS!$C$8:$K$928,5,0),"-----")</f>
        <v>-----</v>
      </c>
      <c r="U4228" s="388">
        <f>SUM(R4228:T4228)</f>
        <v>0</v>
      </c>
      <c r="V4228" s="82">
        <f>+IFERROR((P4228/Q4228)*U4228,0)</f>
        <v>0</v>
      </c>
      <c r="Y4228" s="393">
        <f>+IFERROR((Y4197/Q4228*P4228),0)</f>
        <v>0</v>
      </c>
      <c r="Z4228" s="391">
        <f>Y4197*V4228</f>
        <v>0</v>
      </c>
      <c r="AA4228" s="86"/>
      <c r="AB4228" s="92">
        <f>+U4228*Y4228</f>
        <v>0</v>
      </c>
      <c r="AC4228" s="93">
        <f>+AB4228-Z4228</f>
        <v>0</v>
      </c>
      <c r="AD4228" s="94"/>
      <c r="AE4228" s="410" t="str">
        <f>+IF(V4228=0,"CERO","NO")</f>
        <v>CERO</v>
      </c>
    </row>
    <row r="4229" spans="3:31" s="260" customFormat="1" ht="15.75" thickBot="1" x14ac:dyDescent="0.3">
      <c r="C4229" s="84"/>
      <c r="D4229" s="380"/>
      <c r="E4229" s="381"/>
      <c r="F4229" s="381"/>
      <c r="G4229" s="381"/>
      <c r="H4229" s="381"/>
      <c r="I4229" s="381"/>
      <c r="J4229" s="382"/>
      <c r="K4229" s="88"/>
      <c r="M4229" s="102">
        <v>0</v>
      </c>
      <c r="N4229" s="347"/>
      <c r="O4229" s="79"/>
      <c r="P4229" s="423"/>
      <c r="Q4229" s="81"/>
      <c r="R4229" s="111"/>
      <c r="S4229" s="357"/>
      <c r="T4229" s="111"/>
      <c r="U4229" s="388"/>
      <c r="V4229" s="426"/>
      <c r="Y4229" s="393">
        <f>+IFERROR((Y4197/Q4229*P4229),0)</f>
        <v>0</v>
      </c>
      <c r="Z4229" s="391">
        <f>Y4197*V4229</f>
        <v>0</v>
      </c>
      <c r="AA4229" s="86"/>
      <c r="AB4229" s="92">
        <f>+(U4229)*Y4229*P4229</f>
        <v>0</v>
      </c>
      <c r="AC4229" s="93">
        <f>+AB4229-Z4229</f>
        <v>0</v>
      </c>
      <c r="AD4229" s="94"/>
      <c r="AE4229" s="410" t="str">
        <f>+IF(V4229=0,"CERO","NO")</f>
        <v>CERO</v>
      </c>
    </row>
    <row r="4230" spans="3:31" s="260" customFormat="1" ht="15.75" thickBot="1" x14ac:dyDescent="0.3">
      <c r="C4230" s="84"/>
      <c r="D4230" s="375" t="s">
        <v>128</v>
      </c>
      <c r="E4230" s="376" t="s">
        <v>129</v>
      </c>
      <c r="F4230" s="376" t="s">
        <v>130</v>
      </c>
      <c r="G4230" s="376" t="s">
        <v>131</v>
      </c>
      <c r="H4230" s="376" t="s">
        <v>132</v>
      </c>
      <c r="I4230" s="376" t="s">
        <v>133</v>
      </c>
      <c r="J4230" s="377" t="s">
        <v>134</v>
      </c>
      <c r="K4230" s="88"/>
      <c r="M4230" s="534"/>
      <c r="N4230" s="536" t="s">
        <v>120</v>
      </c>
      <c r="O4230" s="536"/>
      <c r="P4230" s="536"/>
      <c r="Q4230" s="536"/>
      <c r="R4230" s="536"/>
      <c r="S4230" s="536"/>
      <c r="T4230" s="536"/>
      <c r="U4230" s="536"/>
      <c r="V4230" s="82">
        <f>+SUM(V4227:V4229)</f>
        <v>4184.2250000000004</v>
      </c>
      <c r="Y4230" s="398" t="s">
        <v>135</v>
      </c>
      <c r="Z4230" s="397">
        <f>+SUM(Z4227:Z4229)</f>
        <v>62763.375000000007</v>
      </c>
      <c r="AA4230" s="86"/>
      <c r="AB4230" s="384"/>
      <c r="AC4230" s="385"/>
      <c r="AD4230" s="94"/>
      <c r="AE4230" s="399"/>
    </row>
    <row r="4231" spans="3:31" s="260" customFormat="1" ht="15.75" thickBot="1" x14ac:dyDescent="0.3">
      <c r="C4231" s="84"/>
      <c r="D4231" s="354"/>
      <c r="E4231" s="96"/>
      <c r="F4231" s="96"/>
      <c r="G4231" s="107">
        <f>+F4224</f>
        <v>4.09</v>
      </c>
      <c r="H4231" s="96"/>
      <c r="I4231" s="96"/>
      <c r="J4231" s="427"/>
      <c r="K4231" s="88"/>
      <c r="M4231" s="535"/>
      <c r="N4231" s="537" t="s">
        <v>121</v>
      </c>
      <c r="O4231" s="537"/>
      <c r="P4231" s="537"/>
      <c r="Q4231" s="537"/>
      <c r="R4231" s="537"/>
      <c r="S4231" s="537"/>
      <c r="T4231" s="537"/>
      <c r="U4231" s="537"/>
      <c r="V4231" s="413">
        <f>+ROUND(V4230,$AA$5)</f>
        <v>4184.2299999999996</v>
      </c>
      <c r="Y4231" s="401" t="s">
        <v>136</v>
      </c>
      <c r="Z4231" s="402">
        <f>+ROUND(Z4230,$AA$5)</f>
        <v>62763.38</v>
      </c>
      <c r="AA4231" s="86"/>
      <c r="AB4231" s="403">
        <f>+V4231*Y4197</f>
        <v>62763.45</v>
      </c>
      <c r="AC4231" s="404">
        <f>+AB4231-Z4231</f>
        <v>6.9999999999708962E-2</v>
      </c>
      <c r="AD4231" s="94"/>
      <c r="AE4231" s="405"/>
    </row>
    <row r="4232" spans="3:31" s="260" customFormat="1" ht="15.75" thickBot="1" x14ac:dyDescent="0.3">
      <c r="C4232" s="84"/>
      <c r="D4232" s="375" t="s">
        <v>128</v>
      </c>
      <c r="E4232" s="376" t="s">
        <v>129</v>
      </c>
      <c r="F4232" s="376" t="s">
        <v>130</v>
      </c>
      <c r="G4232" s="376" t="s">
        <v>131</v>
      </c>
      <c r="H4232" s="376" t="s">
        <v>132</v>
      </c>
      <c r="I4232" s="376" t="s">
        <v>133</v>
      </c>
      <c r="J4232" s="377" t="s">
        <v>134</v>
      </c>
      <c r="K4232" s="88"/>
      <c r="M4232" s="541"/>
      <c r="N4232" s="542"/>
      <c r="O4232" s="542"/>
      <c r="P4232" s="542"/>
      <c r="Q4232" s="542"/>
      <c r="R4232" s="542"/>
      <c r="S4232" s="542"/>
      <c r="T4232" s="542"/>
      <c r="U4232" s="542"/>
      <c r="V4232" s="543"/>
      <c r="Y4232" s="378"/>
      <c r="Z4232" s="121"/>
      <c r="AA4232" s="86"/>
      <c r="AB4232" s="409"/>
      <c r="AC4232" s="121"/>
      <c r="AD4232" s="94"/>
      <c r="AE4232" s="428"/>
    </row>
    <row r="4233" spans="3:31" s="260" customFormat="1" ht="15.75" thickBot="1" x14ac:dyDescent="0.3">
      <c r="C4233" s="84"/>
      <c r="D4233" s="355"/>
      <c r="E4233" s="367"/>
      <c r="F4233" s="367"/>
      <c r="G4233" s="367"/>
      <c r="H4233" s="412">
        <f>G4231</f>
        <v>4.09</v>
      </c>
      <c r="I4233" s="412"/>
      <c r="J4233" s="422"/>
      <c r="K4233" s="88"/>
      <c r="M4233" s="544" t="s">
        <v>122</v>
      </c>
      <c r="N4233" s="537"/>
      <c r="O4233" s="537"/>
      <c r="P4233" s="537"/>
      <c r="Q4233" s="537"/>
      <c r="R4233" s="537"/>
      <c r="S4233" s="537"/>
      <c r="T4233" s="537"/>
      <c r="U4233" s="545">
        <f>+V4231+V4224+V4216+V4207</f>
        <v>43264.979999999996</v>
      </c>
      <c r="V4233" s="546"/>
      <c r="Y4233" s="429"/>
      <c r="Z4233" s="430">
        <f>+Z4231+Z4224+Z4216+Z4207</f>
        <v>648974.63</v>
      </c>
      <c r="AA4233" s="86"/>
      <c r="AB4233" s="431">
        <f>+AB4231+AB4224+AB4216+AB4207</f>
        <v>648974.70000000007</v>
      </c>
      <c r="AC4233" s="404">
        <f>+AB4233-Z4233</f>
        <v>7.000000006519258E-2</v>
      </c>
      <c r="AD4233" s="94"/>
      <c r="AE4233" s="432"/>
    </row>
    <row r="4234" spans="3:31" s="260" customFormat="1" ht="15.75" thickBot="1" x14ac:dyDescent="0.3"/>
    <row r="4235" spans="3:31" s="260" customFormat="1" x14ac:dyDescent="0.25">
      <c r="M4235" s="547" t="s">
        <v>348</v>
      </c>
      <c r="N4235" s="548"/>
      <c r="O4235" s="548"/>
      <c r="P4235" s="548"/>
      <c r="Q4235" s="548"/>
      <c r="R4235" s="548"/>
      <c r="S4235" s="548"/>
      <c r="T4235" s="548"/>
      <c r="U4235" s="548"/>
      <c r="V4235" s="549"/>
      <c r="Y4235" s="378"/>
      <c r="Z4235" s="121"/>
      <c r="AA4235" s="86"/>
      <c r="AB4235" s="94"/>
      <c r="AC4235" s="94"/>
      <c r="AD4235" s="94"/>
      <c r="AE4235" s="126" t="s">
        <v>133</v>
      </c>
    </row>
    <row r="4236" spans="3:31" s="260" customFormat="1" x14ac:dyDescent="0.25">
      <c r="M4236" s="515" t="s">
        <v>138</v>
      </c>
      <c r="N4236" s="516"/>
      <c r="O4236" s="516"/>
      <c r="P4236" s="516"/>
      <c r="Q4236" s="516"/>
      <c r="R4236" s="516"/>
      <c r="S4236" s="516"/>
      <c r="T4236" s="437">
        <v>0</v>
      </c>
      <c r="U4236" s="517">
        <f>+ROUND(U4233*T4236,$AA$5)</f>
        <v>0</v>
      </c>
      <c r="V4236" s="518"/>
      <c r="Y4236" s="390"/>
      <c r="Z4236" s="438">
        <f>+Z4233*T4236</f>
        <v>0</v>
      </c>
      <c r="AA4236" s="86"/>
      <c r="AB4236" s="94"/>
      <c r="AC4236" s="94"/>
      <c r="AD4236" s="94"/>
      <c r="AE4236" s="386" t="s">
        <v>133</v>
      </c>
    </row>
    <row r="4237" spans="3:31" s="260" customFormat="1" x14ac:dyDescent="0.25">
      <c r="M4237" s="515" t="s">
        <v>19</v>
      </c>
      <c r="N4237" s="516"/>
      <c r="O4237" s="516"/>
      <c r="P4237" s="516"/>
      <c r="Q4237" s="516"/>
      <c r="R4237" s="516"/>
      <c r="S4237" s="516"/>
      <c r="T4237" s="437">
        <v>0.05</v>
      </c>
      <c r="U4237" s="517">
        <f>+ROUND(U4233*T4237,$AA$5)</f>
        <v>2163.25</v>
      </c>
      <c r="V4237" s="518"/>
      <c r="Y4237" s="390"/>
      <c r="Z4237" s="438">
        <f>+Z4233*T4237</f>
        <v>32448.731500000002</v>
      </c>
      <c r="AA4237" s="86"/>
      <c r="AB4237" s="94"/>
      <c r="AC4237" s="94"/>
      <c r="AD4237" s="94"/>
      <c r="AE4237" s="386" t="s">
        <v>133</v>
      </c>
    </row>
    <row r="4238" spans="3:31" s="260" customFormat="1" x14ac:dyDescent="0.25">
      <c r="M4238" s="515" t="s">
        <v>20</v>
      </c>
      <c r="N4238" s="516"/>
      <c r="O4238" s="516"/>
      <c r="P4238" s="516"/>
      <c r="Q4238" s="516"/>
      <c r="R4238" s="516"/>
      <c r="S4238" s="516"/>
      <c r="T4238" s="437">
        <v>0</v>
      </c>
      <c r="U4238" s="517">
        <f>+ROUND(U4233*T4238,$AA$5)</f>
        <v>0</v>
      </c>
      <c r="V4238" s="518"/>
      <c r="Y4238" s="390"/>
      <c r="Z4238" s="438">
        <f>+Z4233*T4238</f>
        <v>0</v>
      </c>
      <c r="AA4238" s="86"/>
      <c r="AB4238" s="94"/>
      <c r="AC4238" s="94"/>
      <c r="AD4238" s="94"/>
      <c r="AE4238" s="386" t="s">
        <v>133</v>
      </c>
    </row>
    <row r="4239" spans="3:31" s="260" customFormat="1" x14ac:dyDescent="0.25">
      <c r="M4239" s="515" t="s">
        <v>21</v>
      </c>
      <c r="N4239" s="516"/>
      <c r="O4239" s="516"/>
      <c r="P4239" s="516"/>
      <c r="Q4239" s="516"/>
      <c r="R4239" s="516"/>
      <c r="S4239" s="516"/>
      <c r="T4239" s="437">
        <f>$AA$9</f>
        <v>0</v>
      </c>
      <c r="U4239" s="517">
        <f>+ROUND(U4233*T4239,$AA$5)</f>
        <v>0</v>
      </c>
      <c r="V4239" s="518"/>
      <c r="Y4239" s="390"/>
      <c r="Z4239" s="438">
        <f>+Z4238*T4239</f>
        <v>0</v>
      </c>
      <c r="AA4239" s="86"/>
      <c r="AB4239" s="94"/>
      <c r="AC4239" s="94"/>
      <c r="AD4239" s="94"/>
      <c r="AE4239" s="386" t="s">
        <v>133</v>
      </c>
    </row>
    <row r="4240" spans="3:31" s="260" customFormat="1" ht="15.75" thickBot="1" x14ac:dyDescent="0.3">
      <c r="M4240" s="519" t="s">
        <v>349</v>
      </c>
      <c r="N4240" s="520"/>
      <c r="O4240" s="520"/>
      <c r="P4240" s="520"/>
      <c r="Q4240" s="520"/>
      <c r="R4240" s="520"/>
      <c r="S4240" s="520"/>
      <c r="T4240" s="520"/>
      <c r="U4240" s="521">
        <f>+SUM(U4236:V4239)</f>
        <v>2163.25</v>
      </c>
      <c r="V4240" s="522"/>
      <c r="Y4240" s="390"/>
      <c r="Z4240" s="439">
        <f>+SUM(Z4236:Z4239)</f>
        <v>32448.731500000002</v>
      </c>
      <c r="AA4240" s="86"/>
      <c r="AB4240" s="94"/>
      <c r="AC4240" s="94"/>
      <c r="AD4240" s="94"/>
      <c r="AE4240" s="386" t="s">
        <v>133</v>
      </c>
    </row>
    <row r="4241" spans="3:31" s="260" customFormat="1" ht="15.75" thickBot="1" x14ac:dyDescent="0.3">
      <c r="D4241" s="375" t="s">
        <v>128</v>
      </c>
      <c r="E4241" s="376" t="s">
        <v>129</v>
      </c>
      <c r="F4241" s="376" t="s">
        <v>130</v>
      </c>
      <c r="G4241" s="376" t="s">
        <v>131</v>
      </c>
      <c r="H4241" s="376" t="s">
        <v>132</v>
      </c>
      <c r="I4241" s="376" t="s">
        <v>133</v>
      </c>
      <c r="J4241" s="377" t="s">
        <v>134</v>
      </c>
      <c r="M4241" s="86"/>
      <c r="N4241" s="94"/>
      <c r="O4241" s="94"/>
      <c r="P4241" s="94"/>
      <c r="Q4241" s="86"/>
      <c r="R4241" s="86"/>
      <c r="S4241" s="86"/>
      <c r="T4241" s="440"/>
      <c r="U4241" s="523"/>
      <c r="V4241" s="523"/>
      <c r="Y4241" s="390"/>
      <c r="Z4241" s="385"/>
      <c r="AA4241" s="86"/>
      <c r="AB4241" s="94"/>
      <c r="AC4241" s="94"/>
      <c r="AD4241" s="94"/>
      <c r="AE4241" s="386" t="s">
        <v>133</v>
      </c>
    </row>
    <row r="4242" spans="3:31" s="260" customFormat="1" ht="15.75" thickBot="1" x14ac:dyDescent="0.3">
      <c r="D4242" s="355"/>
      <c r="E4242" s="367"/>
      <c r="F4242" s="367"/>
      <c r="G4242" s="367"/>
      <c r="H4242" s="412"/>
      <c r="I4242" s="412">
        <f>H4233</f>
        <v>4.09</v>
      </c>
      <c r="J4242" s="422"/>
      <c r="M4242" s="524" t="s">
        <v>11</v>
      </c>
      <c r="N4242" s="525"/>
      <c r="O4242" s="525"/>
      <c r="P4242" s="525"/>
      <c r="Q4242" s="525"/>
      <c r="R4242" s="525"/>
      <c r="S4242" s="525"/>
      <c r="T4242" s="526"/>
      <c r="U4242" s="527">
        <f>+U4240+U4233</f>
        <v>45428.229999999996</v>
      </c>
      <c r="V4242" s="528"/>
      <c r="Y4242" s="429"/>
      <c r="Z4242" s="441">
        <f>+Z4240+Z4233</f>
        <v>681423.3615</v>
      </c>
      <c r="AA4242" s="86"/>
      <c r="AB4242" s="94"/>
      <c r="AC4242" s="94"/>
      <c r="AD4242" s="94"/>
      <c r="AE4242" s="405" t="s">
        <v>133</v>
      </c>
    </row>
    <row r="4243" spans="3:31" s="260" customFormat="1" x14ac:dyDescent="0.25"/>
    <row r="4244" spans="3:31" s="260" customFormat="1" ht="15.75" thickBot="1" x14ac:dyDescent="0.3"/>
    <row r="4245" spans="3:31" s="260" customFormat="1" ht="15.75" thickBot="1" x14ac:dyDescent="0.3">
      <c r="M4245" s="363" t="s">
        <v>88</v>
      </c>
      <c r="N4245" s="436" t="str">
        <f>+N4196</f>
        <v>CAP.4</v>
      </c>
      <c r="O4245" s="550" t="str">
        <f>IFERROR(VLOOKUP(N4245,PPTO!C:H,2,0),"----")</f>
        <v>RED SANITARIA</v>
      </c>
      <c r="P4245" s="551"/>
      <c r="Q4245" s="551"/>
      <c r="R4245" s="551"/>
      <c r="S4245" s="551"/>
      <c r="T4245" s="551"/>
      <c r="U4245" s="552"/>
      <c r="V4245" s="74" t="s">
        <v>91</v>
      </c>
      <c r="Y4245" s="365" t="s">
        <v>104</v>
      </c>
      <c r="Z4245" s="94"/>
      <c r="AA4245" s="188"/>
      <c r="AB4245" s="553"/>
      <c r="AC4245" s="553"/>
      <c r="AD4245" s="553"/>
      <c r="AE4245" s="94"/>
    </row>
    <row r="4246" spans="3:31" s="260" customFormat="1" ht="15.75" thickBot="1" x14ac:dyDescent="0.3">
      <c r="C4246" s="369">
        <f>+N4246</f>
        <v>4.0999999999999996</v>
      </c>
      <c r="D4246" s="86"/>
      <c r="E4246" s="86"/>
      <c r="F4246" s="86"/>
      <c r="G4246" s="86"/>
      <c r="H4246" s="86"/>
      <c r="I4246" s="86"/>
      <c r="J4246" s="86"/>
      <c r="K4246" s="370"/>
      <c r="M4246" s="75" t="s">
        <v>92</v>
      </c>
      <c r="N4246" s="371">
        <f>+ROUNDUP(N4197+0.01,2)</f>
        <v>4.0999999999999996</v>
      </c>
      <c r="O4246" s="554" t="str">
        <f>IFERROR(VLOOKUP(N4246,PPTO!C:H,2,0),"----")</f>
        <v>Yee Sanitaria PVC Ø2"</v>
      </c>
      <c r="P4246" s="555"/>
      <c r="Q4246" s="555"/>
      <c r="R4246" s="555"/>
      <c r="S4246" s="555"/>
      <c r="T4246" s="555"/>
      <c r="U4246" s="556"/>
      <c r="V4246" s="76" t="str">
        <f>IFERROR(VLOOKUP(N4246,PPTO!C:H,3,0),"----")</f>
        <v>UND</v>
      </c>
      <c r="Y4246" s="373">
        <f>SUMIFS(PPTO!F:F,PPTO!C:C,APUS!N4246)</f>
        <v>24</v>
      </c>
      <c r="Z4246" s="94"/>
      <c r="AA4246" s="86"/>
      <c r="AB4246" s="94"/>
      <c r="AC4246" s="94"/>
      <c r="AD4246" s="94"/>
      <c r="AE4246" s="94"/>
    </row>
    <row r="4247" spans="3:31" s="260" customFormat="1" ht="15.75" thickBot="1" x14ac:dyDescent="0.3">
      <c r="C4247" s="84"/>
      <c r="D4247" s="86"/>
      <c r="E4247" s="86"/>
      <c r="F4247" s="86"/>
      <c r="G4247" s="86"/>
      <c r="H4247" s="86"/>
      <c r="I4247" s="86"/>
      <c r="J4247" s="86"/>
      <c r="K4247" s="88"/>
      <c r="M4247" s="557"/>
      <c r="N4247" s="557"/>
      <c r="O4247" s="557"/>
      <c r="P4247" s="557"/>
      <c r="Q4247" s="557"/>
      <c r="R4247" s="557"/>
      <c r="S4247" s="557"/>
      <c r="T4247" s="557"/>
      <c r="U4247" s="557"/>
      <c r="V4247" s="557"/>
      <c r="Y4247" s="374"/>
      <c r="Z4247" s="94"/>
      <c r="AA4247" s="86"/>
      <c r="AB4247" s="94"/>
      <c r="AC4247" s="94"/>
      <c r="AD4247" s="94"/>
      <c r="AE4247" s="94"/>
    </row>
    <row r="4248" spans="3:31" s="260" customFormat="1" ht="15.75" thickBot="1" x14ac:dyDescent="0.3">
      <c r="C4248" s="84"/>
      <c r="D4248" s="375" t="s">
        <v>128</v>
      </c>
      <c r="E4248" s="376" t="s">
        <v>129</v>
      </c>
      <c r="F4248" s="376" t="s">
        <v>130</v>
      </c>
      <c r="G4248" s="376" t="s">
        <v>131</v>
      </c>
      <c r="H4248" s="376" t="s">
        <v>132</v>
      </c>
      <c r="I4248" s="376" t="s">
        <v>133</v>
      </c>
      <c r="J4248" s="377" t="s">
        <v>134</v>
      </c>
      <c r="K4248" s="88"/>
      <c r="M4248" s="558" t="s">
        <v>93</v>
      </c>
      <c r="N4248" s="559"/>
      <c r="O4248" s="559"/>
      <c r="P4248" s="559"/>
      <c r="Q4248" s="559"/>
      <c r="R4248" s="559"/>
      <c r="S4248" s="559"/>
      <c r="T4248" s="559"/>
      <c r="U4248" s="559"/>
      <c r="V4248" s="560"/>
      <c r="Y4248" s="378"/>
      <c r="Z4248" s="121"/>
      <c r="AA4248" s="86"/>
      <c r="AB4248" s="513"/>
      <c r="AC4248" s="514"/>
      <c r="AD4248" s="94"/>
      <c r="AE4248" s="379"/>
    </row>
    <row r="4249" spans="3:31" s="260" customFormat="1" x14ac:dyDescent="0.25">
      <c r="C4249" s="84"/>
      <c r="D4249" s="380"/>
      <c r="E4249" s="381"/>
      <c r="F4249" s="381"/>
      <c r="G4249" s="381"/>
      <c r="H4249" s="381"/>
      <c r="I4249" s="381"/>
      <c r="J4249" s="382"/>
      <c r="K4249" s="88"/>
      <c r="M4249" s="99" t="s">
        <v>94</v>
      </c>
      <c r="N4249" s="561" t="s">
        <v>95</v>
      </c>
      <c r="O4249" s="561"/>
      <c r="P4249" s="561"/>
      <c r="Q4249" s="561"/>
      <c r="R4249" s="95" t="s">
        <v>96</v>
      </c>
      <c r="S4249" s="95" t="s">
        <v>97</v>
      </c>
      <c r="T4249" s="562" t="s">
        <v>8</v>
      </c>
      <c r="U4249" s="562"/>
      <c r="V4249" s="100" t="s">
        <v>98</v>
      </c>
      <c r="Y4249" s="383" t="s">
        <v>104</v>
      </c>
      <c r="Z4249" s="119" t="s">
        <v>9</v>
      </c>
      <c r="AA4249" s="86"/>
      <c r="AB4249" s="384"/>
      <c r="AC4249" s="385"/>
      <c r="AD4249" s="94"/>
      <c r="AE4249" s="386"/>
    </row>
    <row r="4250" spans="3:31" s="260" customFormat="1" x14ac:dyDescent="0.25">
      <c r="C4250" s="84"/>
      <c r="D4250" s="85"/>
      <c r="E4250" s="86"/>
      <c r="F4250" s="86"/>
      <c r="G4250" s="86"/>
      <c r="H4250" s="86"/>
      <c r="I4250" s="86"/>
      <c r="J4250" s="87"/>
      <c r="K4250" s="88"/>
      <c r="M4250" s="102"/>
      <c r="N4250" s="533" t="s">
        <v>99</v>
      </c>
      <c r="O4250" s="533"/>
      <c r="P4250" s="533"/>
      <c r="Q4250" s="533"/>
      <c r="R4250" s="78" t="s">
        <v>100</v>
      </c>
      <c r="S4250" s="387">
        <f>+$AA$10</f>
        <v>0.05</v>
      </c>
      <c r="T4250" s="563">
        <f>V4280</f>
        <v>4184.2299999999996</v>
      </c>
      <c r="U4250" s="563"/>
      <c r="V4250" s="389">
        <f>+IFERROR(T4250*S4250,0)</f>
        <v>209.2115</v>
      </c>
      <c r="Y4250" s="390"/>
      <c r="Z4250" s="391">
        <f>Y4246*V4250</f>
        <v>5021.076</v>
      </c>
      <c r="AA4250" s="86"/>
      <c r="AB4250" s="384"/>
      <c r="AC4250" s="385"/>
      <c r="AD4250" s="94"/>
      <c r="AE4250" s="386" t="str">
        <f>+IF(V4250=0,"CERO","NO")</f>
        <v>NO</v>
      </c>
    </row>
    <row r="4251" spans="3:31" s="260" customFormat="1" x14ac:dyDescent="0.25">
      <c r="C4251" s="84"/>
      <c r="D4251" s="85"/>
      <c r="E4251" s="86"/>
      <c r="F4251" s="86"/>
      <c r="G4251" s="86"/>
      <c r="H4251" s="86"/>
      <c r="I4251" s="86"/>
      <c r="J4251" s="87"/>
      <c r="K4251" s="88"/>
      <c r="M4251" s="106"/>
      <c r="N4251" s="533" t="str">
        <f>IFERROR(VLOOKUP(M4251,INSUMOS!$C$8:$K$928,2,0),"-----")</f>
        <v>-----</v>
      </c>
      <c r="O4251" s="533"/>
      <c r="P4251" s="533"/>
      <c r="Q4251" s="533"/>
      <c r="R4251" s="78" t="str">
        <f>IFERROR(VLOOKUP(M4251,INSUMOS!$C$8:$K$928,6,0),"-----")</f>
        <v>-----</v>
      </c>
      <c r="S4251" s="392"/>
      <c r="T4251" s="529" t="str">
        <f>IFERROR(VLOOKUP(M4251,INSUMOS!$C$8:$K$928,7,0),"0")</f>
        <v>0</v>
      </c>
      <c r="U4251" s="529"/>
      <c r="V4251" s="389">
        <f>+IFERROR(T4251*S4251,0)</f>
        <v>0</v>
      </c>
      <c r="Y4251" s="393">
        <f>+IFERROR(Y4246*S4251,0)</f>
        <v>0</v>
      </c>
      <c r="Z4251" s="391">
        <f>Y4246*V4251</f>
        <v>0</v>
      </c>
      <c r="AA4251" s="394"/>
      <c r="AB4251" s="395">
        <f>+Y4251*T4251</f>
        <v>0</v>
      </c>
      <c r="AC4251" s="93">
        <f>+AB4251-Z4251</f>
        <v>0</v>
      </c>
      <c r="AD4251" s="94"/>
      <c r="AE4251" s="386" t="str">
        <f>+IF(V4251=0,"CERO","NO")</f>
        <v>CERO</v>
      </c>
    </row>
    <row r="4252" spans="3:31" s="260" customFormat="1" x14ac:dyDescent="0.25">
      <c r="C4252" s="84"/>
      <c r="D4252" s="85"/>
      <c r="E4252" s="86"/>
      <c r="F4252" s="86"/>
      <c r="G4252" s="86"/>
      <c r="H4252" s="86"/>
      <c r="I4252" s="86"/>
      <c r="J4252" s="87"/>
      <c r="K4252" s="88"/>
      <c r="M4252" s="102">
        <v>0</v>
      </c>
      <c r="N4252" s="533"/>
      <c r="O4252" s="533"/>
      <c r="P4252" s="533"/>
      <c r="Q4252" s="533"/>
      <c r="R4252" s="78"/>
      <c r="S4252" s="396"/>
      <c r="T4252" s="529"/>
      <c r="U4252" s="529"/>
      <c r="V4252" s="397"/>
      <c r="Y4252" s="393">
        <f>+IFERROR(Y4246*S4252,0)</f>
        <v>0</v>
      </c>
      <c r="Z4252" s="391">
        <f>Y4246*V4252</f>
        <v>0</v>
      </c>
      <c r="AA4252" s="394"/>
      <c r="AB4252" s="395">
        <f>+Y4252*T4252</f>
        <v>0</v>
      </c>
      <c r="AC4252" s="93">
        <f>+AB4252-Z4252</f>
        <v>0</v>
      </c>
      <c r="AD4252" s="94"/>
      <c r="AE4252" s="386" t="str">
        <f>+IF(V4252=0,"CERO","NO")</f>
        <v>CERO</v>
      </c>
    </row>
    <row r="4253" spans="3:31" s="260" customFormat="1" x14ac:dyDescent="0.25">
      <c r="C4253" s="84"/>
      <c r="D4253" s="85"/>
      <c r="E4253" s="86"/>
      <c r="F4253" s="86"/>
      <c r="G4253" s="86"/>
      <c r="H4253" s="86"/>
      <c r="I4253" s="86"/>
      <c r="J4253" s="87"/>
      <c r="K4253" s="88"/>
      <c r="M4253" s="102">
        <v>0</v>
      </c>
      <c r="N4253" s="533"/>
      <c r="O4253" s="533"/>
      <c r="P4253" s="533"/>
      <c r="Q4253" s="533"/>
      <c r="R4253" s="78"/>
      <c r="S4253" s="396"/>
      <c r="T4253" s="529"/>
      <c r="U4253" s="529"/>
      <c r="V4253" s="397"/>
      <c r="Y4253" s="393">
        <f>+IFERROR(Y4246*S4253,0)</f>
        <v>0</v>
      </c>
      <c r="Z4253" s="391">
        <f>Y4246*V4253</f>
        <v>0</v>
      </c>
      <c r="AA4253" s="394"/>
      <c r="AB4253" s="395">
        <f>+Y4253*T4253</f>
        <v>0</v>
      </c>
      <c r="AC4253" s="93">
        <f>+AB4253-Z4253</f>
        <v>0</v>
      </c>
      <c r="AD4253" s="94"/>
      <c r="AE4253" s="386" t="str">
        <f>+IF(V4253=0,"CERO","NO")</f>
        <v>CERO</v>
      </c>
    </row>
    <row r="4254" spans="3:31" s="260" customFormat="1" ht="15.75" thickBot="1" x14ac:dyDescent="0.3">
      <c r="C4254" s="84"/>
      <c r="D4254" s="85"/>
      <c r="E4254" s="86"/>
      <c r="F4254" s="86"/>
      <c r="G4254" s="86"/>
      <c r="H4254" s="86"/>
      <c r="I4254" s="86"/>
      <c r="J4254" s="87"/>
      <c r="K4254" s="88"/>
      <c r="M4254" s="102">
        <v>0</v>
      </c>
      <c r="N4254" s="564"/>
      <c r="O4254" s="564"/>
      <c r="P4254" s="564"/>
      <c r="Q4254" s="564"/>
      <c r="R4254" s="96"/>
      <c r="S4254" s="96"/>
      <c r="T4254" s="565"/>
      <c r="U4254" s="565"/>
      <c r="V4254" s="101"/>
      <c r="Y4254" s="393">
        <f>+IFERROR(Y4246*S4254,0)</f>
        <v>0</v>
      </c>
      <c r="Z4254" s="391">
        <f>Y4246*V4254</f>
        <v>0</v>
      </c>
      <c r="AA4254" s="394"/>
      <c r="AB4254" s="395">
        <f>+Y4254*T4254</f>
        <v>0</v>
      </c>
      <c r="AC4254" s="93">
        <f>+AB4254-Z4254</f>
        <v>0</v>
      </c>
      <c r="AD4254" s="94"/>
      <c r="AE4254" s="386" t="str">
        <f>+IF(V4254=0,"CERO","NO")</f>
        <v>CERO</v>
      </c>
    </row>
    <row r="4255" spans="3:31" s="260" customFormat="1" ht="15.75" thickBot="1" x14ac:dyDescent="0.3">
      <c r="C4255" s="84"/>
      <c r="D4255" s="375" t="s">
        <v>128</v>
      </c>
      <c r="E4255" s="376" t="s">
        <v>129</v>
      </c>
      <c r="F4255" s="376" t="s">
        <v>130</v>
      </c>
      <c r="G4255" s="376" t="s">
        <v>131</v>
      </c>
      <c r="H4255" s="376" t="s">
        <v>132</v>
      </c>
      <c r="I4255" s="376" t="s">
        <v>133</v>
      </c>
      <c r="J4255" s="377" t="s">
        <v>134</v>
      </c>
      <c r="K4255" s="88"/>
      <c r="M4255" s="534"/>
      <c r="N4255" s="536" t="s">
        <v>101</v>
      </c>
      <c r="O4255" s="536"/>
      <c r="P4255" s="536"/>
      <c r="Q4255" s="536"/>
      <c r="R4255" s="536"/>
      <c r="S4255" s="536"/>
      <c r="T4255" s="536"/>
      <c r="U4255" s="536"/>
      <c r="V4255" s="389">
        <f>+SUM(V4250:V4254)</f>
        <v>209.2115</v>
      </c>
      <c r="Y4255" s="398" t="s">
        <v>135</v>
      </c>
      <c r="Z4255" s="397">
        <f>+SUM(Z4250:Z4254)</f>
        <v>5021.076</v>
      </c>
      <c r="AA4255" s="86"/>
      <c r="AB4255" s="384"/>
      <c r="AC4255" s="385"/>
      <c r="AD4255" s="94"/>
      <c r="AE4255" s="399"/>
    </row>
    <row r="4256" spans="3:31" s="260" customFormat="1" ht="15.75" thickBot="1" x14ac:dyDescent="0.3">
      <c r="C4256" s="84"/>
      <c r="D4256" s="375">
        <f>C4246</f>
        <v>4.0999999999999996</v>
      </c>
      <c r="E4256" s="376"/>
      <c r="F4256" s="376"/>
      <c r="G4256" s="376"/>
      <c r="H4256" s="376"/>
      <c r="I4256" s="376"/>
      <c r="J4256" s="377"/>
      <c r="K4256" s="88"/>
      <c r="M4256" s="566"/>
      <c r="N4256" s="567" t="s">
        <v>102</v>
      </c>
      <c r="O4256" s="567"/>
      <c r="P4256" s="567"/>
      <c r="Q4256" s="567"/>
      <c r="R4256" s="567"/>
      <c r="S4256" s="567"/>
      <c r="T4256" s="567"/>
      <c r="U4256" s="567"/>
      <c r="V4256" s="400">
        <f>+ROUND(V4255,$AA$5)</f>
        <v>209.21</v>
      </c>
      <c r="Y4256" s="401" t="s">
        <v>136</v>
      </c>
      <c r="Z4256" s="402">
        <f>+ROUND(Z4255,$AA$5)</f>
        <v>5021.08</v>
      </c>
      <c r="AA4256" s="86"/>
      <c r="AB4256" s="403">
        <f>+V4256*Y4246</f>
        <v>5021.04</v>
      </c>
      <c r="AC4256" s="404">
        <f>+AB4256-Z4256</f>
        <v>-3.999999999996362E-2</v>
      </c>
      <c r="AD4256" s="94"/>
      <c r="AE4256" s="405"/>
    </row>
    <row r="4257" spans="3:31" s="260" customFormat="1" x14ac:dyDescent="0.25">
      <c r="C4257" s="84"/>
      <c r="D4257" s="380"/>
      <c r="E4257" s="381"/>
      <c r="F4257" s="381"/>
      <c r="G4257" s="381"/>
      <c r="H4257" s="381"/>
      <c r="I4257" s="381"/>
      <c r="J4257" s="382"/>
      <c r="K4257" s="88"/>
      <c r="M4257" s="510" t="s">
        <v>103</v>
      </c>
      <c r="N4257" s="511"/>
      <c r="O4257" s="511"/>
      <c r="P4257" s="511"/>
      <c r="Q4257" s="511"/>
      <c r="R4257" s="511"/>
      <c r="S4257" s="511"/>
      <c r="T4257" s="511"/>
      <c r="U4257" s="511"/>
      <c r="V4257" s="512"/>
      <c r="Y4257" s="378"/>
      <c r="Z4257" s="121"/>
      <c r="AA4257" s="86"/>
      <c r="AB4257" s="513"/>
      <c r="AC4257" s="514"/>
      <c r="AD4257" s="94"/>
      <c r="AE4257" s="126"/>
    </row>
    <row r="4258" spans="3:31" s="260" customFormat="1" x14ac:dyDescent="0.25">
      <c r="C4258" s="84"/>
      <c r="D4258" s="85"/>
      <c r="E4258" s="86"/>
      <c r="F4258" s="86"/>
      <c r="G4258" s="86"/>
      <c r="H4258" s="86"/>
      <c r="I4258" s="86"/>
      <c r="J4258" s="87"/>
      <c r="K4258" s="88"/>
      <c r="M4258" s="99" t="s">
        <v>94</v>
      </c>
      <c r="N4258" s="561" t="s">
        <v>95</v>
      </c>
      <c r="O4258" s="561"/>
      <c r="P4258" s="561"/>
      <c r="Q4258" s="561"/>
      <c r="R4258" s="95" t="s">
        <v>96</v>
      </c>
      <c r="S4258" s="95" t="s">
        <v>104</v>
      </c>
      <c r="T4258" s="356" t="s">
        <v>105</v>
      </c>
      <c r="U4258" s="356" t="s">
        <v>8</v>
      </c>
      <c r="V4258" s="100" t="s">
        <v>98</v>
      </c>
      <c r="Y4258" s="383" t="s">
        <v>104</v>
      </c>
      <c r="Z4258" s="119" t="s">
        <v>9</v>
      </c>
      <c r="AA4258" s="86"/>
      <c r="AB4258" s="384"/>
      <c r="AC4258" s="385"/>
      <c r="AD4258" s="94"/>
      <c r="AE4258" s="406"/>
    </row>
    <row r="4259" spans="3:31" s="260" customFormat="1" x14ac:dyDescent="0.25">
      <c r="C4259" s="84"/>
      <c r="D4259" s="85"/>
      <c r="E4259" s="86"/>
      <c r="F4259" s="86"/>
      <c r="G4259" s="86"/>
      <c r="H4259" s="86"/>
      <c r="I4259" s="86"/>
      <c r="J4259" s="87"/>
      <c r="K4259" s="88"/>
      <c r="M4259" s="102">
        <v>540</v>
      </c>
      <c r="N4259" s="533" t="str">
        <f>IFERROR(VLOOKUP(M4259,INSUMOS!$C$8:$K$928,2,0),"-----")</f>
        <v>YEE 2" SANITARIO</v>
      </c>
      <c r="O4259" s="533"/>
      <c r="P4259" s="533"/>
      <c r="Q4259" s="533"/>
      <c r="R4259" s="78" t="str">
        <f>IFERROR(VLOOKUP(M4259,INSUMOS!$C$8:$K$928,6,0),"-----")</f>
        <v>und</v>
      </c>
      <c r="S4259" s="396">
        <v>1</v>
      </c>
      <c r="T4259" s="387">
        <v>0</v>
      </c>
      <c r="U4259" s="388">
        <f>IFERROR(VLOOKUP(M4259,INSUMOS!$C$8:$K$928,7,0),"0")</f>
        <v>10172</v>
      </c>
      <c r="V4259" s="389">
        <f>+IFERROR(U4259*(S4259*(1+T4259)),0)</f>
        <v>10172</v>
      </c>
      <c r="Y4259" s="393">
        <f>+IFERROR(Y4246*(S4259*(1+T4259)),0)</f>
        <v>24</v>
      </c>
      <c r="Z4259" s="391">
        <f>Y4246*V4259</f>
        <v>244128</v>
      </c>
      <c r="AA4259" s="394"/>
      <c r="AB4259" s="395">
        <f>+Y4259*U4259</f>
        <v>244128</v>
      </c>
      <c r="AC4259" s="93">
        <f>+AB4259-Z4259</f>
        <v>0</v>
      </c>
      <c r="AD4259" s="94"/>
      <c r="AE4259" s="406" t="str">
        <f>+IF(V4259=0,"CERO","NO")</f>
        <v>NO</v>
      </c>
    </row>
    <row r="4260" spans="3:31" s="260" customFormat="1" x14ac:dyDescent="0.25">
      <c r="C4260" s="84"/>
      <c r="D4260" s="85"/>
      <c r="E4260" s="86"/>
      <c r="F4260" s="86"/>
      <c r="G4260" s="86"/>
      <c r="H4260" s="86"/>
      <c r="I4260" s="86"/>
      <c r="J4260" s="87"/>
      <c r="K4260" s="88"/>
      <c r="M4260" s="102">
        <v>699</v>
      </c>
      <c r="N4260" s="533" t="str">
        <f>IFERROR(VLOOKUP(M4260,INSUMOS!$C$8:$K$928,2,0),"-----")</f>
        <v>SOLDADURA PVC LIQUIDA 1/4"</v>
      </c>
      <c r="O4260" s="533"/>
      <c r="P4260" s="533"/>
      <c r="Q4260" s="533"/>
      <c r="R4260" s="78" t="str">
        <f>IFERROR(VLOOKUP(M4260,INSUMOS!$C$8:$K$928,6,0),"-----")</f>
        <v>und</v>
      </c>
      <c r="S4260" s="396">
        <v>0.01</v>
      </c>
      <c r="T4260" s="387">
        <v>0.02</v>
      </c>
      <c r="U4260" s="388">
        <f>IFERROR(VLOOKUP(M4260,INSUMOS!$C$8:$K$928,7,0),"0")</f>
        <v>146569</v>
      </c>
      <c r="V4260" s="389">
        <f>+IFERROR(U4260*(S4260*(1+T4260)),0)</f>
        <v>1495.0038000000002</v>
      </c>
      <c r="Y4260" s="393">
        <f>+IFERROR(Y4246*(S4260*(1+T4260)),0)</f>
        <v>0.24480000000000002</v>
      </c>
      <c r="Z4260" s="391">
        <f>Y4246*V4260</f>
        <v>35880.091200000003</v>
      </c>
      <c r="AA4260" s="394"/>
      <c r="AB4260" s="395">
        <f>+Y4260*U4260</f>
        <v>35880.091200000003</v>
      </c>
      <c r="AC4260" s="93">
        <f>+AB4260-Z4260</f>
        <v>0</v>
      </c>
      <c r="AD4260" s="94"/>
      <c r="AE4260" s="406" t="str">
        <f>+IF(V4260=0,"CERO","NO")</f>
        <v>NO</v>
      </c>
    </row>
    <row r="4261" spans="3:31" s="260" customFormat="1" x14ac:dyDescent="0.25">
      <c r="C4261" s="84"/>
      <c r="D4261" s="85"/>
      <c r="E4261" s="86"/>
      <c r="F4261" s="86"/>
      <c r="G4261" s="86"/>
      <c r="H4261" s="86"/>
      <c r="I4261" s="86"/>
      <c r="J4261" s="87"/>
      <c r="K4261" s="88"/>
      <c r="M4261" s="102">
        <v>700</v>
      </c>
      <c r="N4261" s="533" t="str">
        <f>IFERROR(VLOOKUP(M4261,INSUMOS!$C$8:$K$928,2,0),"-----")</f>
        <v>LIMPIADOR PVC 1/4</v>
      </c>
      <c r="O4261" s="533"/>
      <c r="P4261" s="533"/>
      <c r="Q4261" s="533"/>
      <c r="R4261" s="78" t="str">
        <f>IFERROR(VLOOKUP(M4261,INSUMOS!$C$8:$K$928,6,0),"-----")</f>
        <v>und</v>
      </c>
      <c r="S4261" s="396">
        <v>0.01</v>
      </c>
      <c r="T4261" s="387">
        <v>0.02</v>
      </c>
      <c r="U4261" s="388">
        <f>IFERROR(VLOOKUP(M4261,INSUMOS!$C$8:$K$928,7,0),"0")</f>
        <v>65913</v>
      </c>
      <c r="V4261" s="389">
        <f>+IFERROR(U4261*(S4261*(1+T4261)),0)</f>
        <v>672.31260000000009</v>
      </c>
      <c r="Y4261" s="393">
        <f>+IFERROR(Y4246*(S4261*(1+T4261)),0)</f>
        <v>0.24480000000000002</v>
      </c>
      <c r="Z4261" s="391">
        <f>Y4246*V4261</f>
        <v>16135.502400000001</v>
      </c>
      <c r="AA4261" s="394"/>
      <c r="AB4261" s="395">
        <f>+Y4261*U4261</f>
        <v>16135.502400000001</v>
      </c>
      <c r="AC4261" s="93">
        <f>+AB4261-Z4261</f>
        <v>0</v>
      </c>
      <c r="AD4261" s="94"/>
      <c r="AE4261" s="406" t="str">
        <f>+IF(V4261=0,"CERO","NO")</f>
        <v>NO</v>
      </c>
    </row>
    <row r="4262" spans="3:31" s="260" customFormat="1" x14ac:dyDescent="0.25">
      <c r="C4262" s="84"/>
      <c r="D4262" s="85"/>
      <c r="E4262" s="86"/>
      <c r="F4262" s="86"/>
      <c r="G4262" s="86"/>
      <c r="H4262" s="86"/>
      <c r="I4262" s="86"/>
      <c r="J4262" s="87"/>
      <c r="K4262" s="88"/>
      <c r="M4262" s="102">
        <v>0</v>
      </c>
      <c r="N4262" s="533" t="str">
        <f>IFERROR(VLOOKUP(M4262,INSUMOS!$C$8:$K$928,2,0),"-----")</f>
        <v>-----</v>
      </c>
      <c r="O4262" s="533"/>
      <c r="P4262" s="533"/>
      <c r="Q4262" s="533"/>
      <c r="R4262" s="78" t="str">
        <f>IFERROR(VLOOKUP(M4262,INSUMOS!$C$8:$K$928,6,0),"-----")</f>
        <v>-----</v>
      </c>
      <c r="S4262" s="396"/>
      <c r="T4262" s="387"/>
      <c r="U4262" s="388" t="str">
        <f>IFERROR(VLOOKUP(M4262,INSUMOS!$C$8:$K$928,7,0),"0")</f>
        <v>0</v>
      </c>
      <c r="V4262" s="389">
        <f>+IFERROR(U4262*(S4262*(1+T4262)),0)</f>
        <v>0</v>
      </c>
      <c r="Y4262" s="393">
        <f>+IFERROR(Y4246*(S4262*(1+T4262)),0)</f>
        <v>0</v>
      </c>
      <c r="Z4262" s="391">
        <f>Y4246*V4262</f>
        <v>0</v>
      </c>
      <c r="AA4262" s="394"/>
      <c r="AB4262" s="395">
        <f>+Y4262*U4262</f>
        <v>0</v>
      </c>
      <c r="AC4262" s="93">
        <f>+AB4262-Z4262</f>
        <v>0</v>
      </c>
      <c r="AD4262" s="94"/>
      <c r="AE4262" s="406" t="str">
        <f>+IF(V4262=0,"CERO","NO")</f>
        <v>CERO</v>
      </c>
    </row>
    <row r="4263" spans="3:31" s="260" customFormat="1" ht="15.75" thickBot="1" x14ac:dyDescent="0.3">
      <c r="C4263" s="84"/>
      <c r="D4263" s="85"/>
      <c r="E4263" s="86"/>
      <c r="F4263" s="86"/>
      <c r="G4263" s="86"/>
      <c r="H4263" s="86"/>
      <c r="I4263" s="86"/>
      <c r="J4263" s="87"/>
      <c r="K4263" s="88"/>
      <c r="M4263" s="102">
        <v>0</v>
      </c>
      <c r="N4263" s="564"/>
      <c r="O4263" s="564"/>
      <c r="P4263" s="564"/>
      <c r="Q4263" s="564"/>
      <c r="R4263" s="96"/>
      <c r="S4263" s="79"/>
      <c r="T4263" s="97"/>
      <c r="U4263" s="358"/>
      <c r="V4263" s="397"/>
      <c r="Y4263" s="393">
        <f>+IFERROR(Y4246*(S4263*(1+T4263)),0)</f>
        <v>0</v>
      </c>
      <c r="Z4263" s="391">
        <f>Y4246*V4263</f>
        <v>0</v>
      </c>
      <c r="AA4263" s="394"/>
      <c r="AB4263" s="395">
        <f>+Y4263*U4263</f>
        <v>0</v>
      </c>
      <c r="AC4263" s="93">
        <f>+AB4263-Z4263</f>
        <v>0</v>
      </c>
      <c r="AD4263" s="94"/>
      <c r="AE4263" s="406" t="str">
        <f>+IF(V4263=0,"CERO","NO")</f>
        <v>CERO</v>
      </c>
    </row>
    <row r="4264" spans="3:31" s="260" customFormat="1" ht="15.75" thickBot="1" x14ac:dyDescent="0.3">
      <c r="C4264" s="84"/>
      <c r="D4264" s="375" t="s">
        <v>128</v>
      </c>
      <c r="E4264" s="376" t="s">
        <v>129</v>
      </c>
      <c r="F4264" s="376" t="s">
        <v>130</v>
      </c>
      <c r="G4264" s="376" t="s">
        <v>131</v>
      </c>
      <c r="H4264" s="376" t="s">
        <v>132</v>
      </c>
      <c r="I4264" s="376" t="s">
        <v>133</v>
      </c>
      <c r="J4264" s="377" t="s">
        <v>134</v>
      </c>
      <c r="K4264" s="88"/>
      <c r="M4264" s="534"/>
      <c r="N4264" s="536" t="s">
        <v>106</v>
      </c>
      <c r="O4264" s="536"/>
      <c r="P4264" s="536"/>
      <c r="Q4264" s="536"/>
      <c r="R4264" s="536"/>
      <c r="S4264" s="536"/>
      <c r="T4264" s="536"/>
      <c r="U4264" s="536"/>
      <c r="V4264" s="389">
        <f>+SUM(V4259:V4263)</f>
        <v>12339.3164</v>
      </c>
      <c r="Y4264" s="398" t="s">
        <v>135</v>
      </c>
      <c r="Z4264" s="397">
        <f>+SUM(Z4259:Z4263)</f>
        <v>296143.59360000002</v>
      </c>
      <c r="AA4264" s="86"/>
      <c r="AB4264" s="384"/>
      <c r="AC4264" s="385"/>
      <c r="AD4264" s="94"/>
      <c r="AE4264" s="399"/>
    </row>
    <row r="4265" spans="3:31" s="260" customFormat="1" ht="15.75" thickBot="1" x14ac:dyDescent="0.3">
      <c r="C4265" s="84"/>
      <c r="D4265" s="375"/>
      <c r="E4265" s="407">
        <f>+D4256</f>
        <v>4.0999999999999996</v>
      </c>
      <c r="F4265" s="376"/>
      <c r="G4265" s="376"/>
      <c r="H4265" s="376"/>
      <c r="I4265" s="376"/>
      <c r="J4265" s="377"/>
      <c r="K4265" s="88"/>
      <c r="M4265" s="535"/>
      <c r="N4265" s="537" t="s">
        <v>107</v>
      </c>
      <c r="O4265" s="537"/>
      <c r="P4265" s="537"/>
      <c r="Q4265" s="537"/>
      <c r="R4265" s="537"/>
      <c r="S4265" s="537"/>
      <c r="T4265" s="537"/>
      <c r="U4265" s="537"/>
      <c r="V4265" s="408">
        <f>+ROUND(V4264,$AA$5)</f>
        <v>12339.32</v>
      </c>
      <c r="Y4265" s="401" t="s">
        <v>136</v>
      </c>
      <c r="Z4265" s="402">
        <f>+ROUND(Z4264,$AA$5)</f>
        <v>296143.59000000003</v>
      </c>
      <c r="AA4265" s="86"/>
      <c r="AB4265" s="403">
        <f>+V4265*Y4246</f>
        <v>296143.68</v>
      </c>
      <c r="AC4265" s="404">
        <f>+AB4265-Z4265</f>
        <v>8.999999996740371E-2</v>
      </c>
      <c r="AD4265" s="94"/>
      <c r="AE4265" s="405"/>
    </row>
    <row r="4266" spans="3:31" s="260" customFormat="1" x14ac:dyDescent="0.25">
      <c r="C4266" s="84"/>
      <c r="D4266" s="380"/>
      <c r="E4266" s="381"/>
      <c r="F4266" s="381"/>
      <c r="G4266" s="381"/>
      <c r="H4266" s="381"/>
      <c r="I4266" s="381"/>
      <c r="J4266" s="382"/>
      <c r="K4266" s="88"/>
      <c r="M4266" s="568" t="s">
        <v>108</v>
      </c>
      <c r="N4266" s="569"/>
      <c r="O4266" s="569"/>
      <c r="P4266" s="569"/>
      <c r="Q4266" s="569"/>
      <c r="R4266" s="569"/>
      <c r="S4266" s="569"/>
      <c r="T4266" s="569"/>
      <c r="U4266" s="569"/>
      <c r="V4266" s="570"/>
      <c r="Y4266" s="378"/>
      <c r="Z4266" s="121"/>
      <c r="AA4266" s="86"/>
      <c r="AB4266" s="409"/>
      <c r="AC4266" s="121"/>
      <c r="AD4266" s="94"/>
      <c r="AE4266" s="126"/>
    </row>
    <row r="4267" spans="3:31" s="260" customFormat="1" ht="25.5" x14ac:dyDescent="0.25">
      <c r="C4267" s="84"/>
      <c r="D4267" s="85"/>
      <c r="E4267" s="86"/>
      <c r="F4267" s="86"/>
      <c r="G4267" s="86"/>
      <c r="H4267" s="86"/>
      <c r="I4267" s="86"/>
      <c r="J4267" s="87"/>
      <c r="K4267" s="88"/>
      <c r="M4267" s="99" t="s">
        <v>94</v>
      </c>
      <c r="N4267" s="561" t="s">
        <v>95</v>
      </c>
      <c r="O4267" s="561"/>
      <c r="P4267" s="561"/>
      <c r="Q4267" s="95" t="s">
        <v>109</v>
      </c>
      <c r="R4267" s="95" t="s">
        <v>110</v>
      </c>
      <c r="S4267" s="95" t="s">
        <v>111</v>
      </c>
      <c r="T4267" s="562" t="s">
        <v>112</v>
      </c>
      <c r="U4267" s="562"/>
      <c r="V4267" s="100" t="s">
        <v>98</v>
      </c>
      <c r="Y4267" s="383" t="s">
        <v>104</v>
      </c>
      <c r="Z4267" s="119" t="s">
        <v>9</v>
      </c>
      <c r="AA4267" s="86"/>
      <c r="AB4267" s="384"/>
      <c r="AC4267" s="385"/>
      <c r="AD4267" s="94"/>
      <c r="AE4267" s="410"/>
    </row>
    <row r="4268" spans="3:31" s="260" customFormat="1" x14ac:dyDescent="0.25">
      <c r="C4268" s="84"/>
      <c r="D4268" s="85"/>
      <c r="E4268" s="86"/>
      <c r="F4268" s="86"/>
      <c r="G4268" s="86"/>
      <c r="H4268" s="86"/>
      <c r="I4268" s="86"/>
      <c r="J4268" s="87"/>
      <c r="K4268" s="88"/>
      <c r="M4268" s="102">
        <v>129</v>
      </c>
      <c r="N4268" s="530" t="str">
        <f>IFERROR(VLOOKUP(M4268,INSUMOS!$C$8:$K$928,2,0),"-----")</f>
        <v>transporte materiales en general</v>
      </c>
      <c r="O4268" s="531"/>
      <c r="P4268" s="532"/>
      <c r="Q4268" s="78" t="str">
        <f>IFERROR(VLOOKUP(M4268,INSUMOS!$C$8:$K$928,5,0),"-----")</f>
        <v>Km</v>
      </c>
      <c r="R4268" s="80">
        <v>1</v>
      </c>
      <c r="S4268" s="80">
        <f>IFERROR(VLOOKUP(M4268,INSUMOS!$C$8:$K$928,6,0),"0")</f>
        <v>348</v>
      </c>
      <c r="T4268" s="529">
        <f>IFERROR(VLOOKUP(M4268,INSUMOS!$C$8:$K$928,7,0),"0")</f>
        <v>0.99776362060288992</v>
      </c>
      <c r="U4268" s="529"/>
      <c r="V4268" s="82">
        <f>+T4268*S4268*R4268</f>
        <v>347.2217399698057</v>
      </c>
      <c r="Y4268" s="393">
        <f>+IFERROR((R4268*S4268)*Y4246,0)</f>
        <v>8352</v>
      </c>
      <c r="Z4268" s="391">
        <f>Y4246*V4268</f>
        <v>8333.3217592753372</v>
      </c>
      <c r="AA4268" s="86"/>
      <c r="AB4268" s="92">
        <f>+Y4268*T4268</f>
        <v>8333.3217592753372</v>
      </c>
      <c r="AC4268" s="93">
        <f>+AB4268-Z4268</f>
        <v>0</v>
      </c>
      <c r="AD4268" s="94"/>
      <c r="AE4268" s="406" t="str">
        <f>+IF(V4268=0,"CERO","NO")</f>
        <v>NO</v>
      </c>
    </row>
    <row r="4269" spans="3:31" s="260" customFormat="1" x14ac:dyDescent="0.25">
      <c r="C4269" s="84"/>
      <c r="D4269" s="85"/>
      <c r="E4269" s="86"/>
      <c r="F4269" s="86"/>
      <c r="G4269" s="86"/>
      <c r="H4269" s="86"/>
      <c r="I4269" s="86"/>
      <c r="J4269" s="87"/>
      <c r="K4269" s="88"/>
      <c r="M4269" s="102">
        <v>0</v>
      </c>
      <c r="N4269" s="530" t="str">
        <f>IFERROR(VLOOKUP(M4269,INSUMOS!$C$8:$K$928,2,0),"-----")</f>
        <v>-----</v>
      </c>
      <c r="O4269" s="531"/>
      <c r="P4269" s="532"/>
      <c r="Q4269" s="78" t="str">
        <f>IFERROR(VLOOKUP(M4269,INSUMOS!$C$8:$K$928,5,0),"-----")</f>
        <v>-----</v>
      </c>
      <c r="R4269" s="80"/>
      <c r="S4269" s="80" t="str">
        <f>IFERROR(VLOOKUP(M4269,INSUMOS!$C$8:$K$928,6,0),"0")</f>
        <v>0</v>
      </c>
      <c r="T4269" s="529" t="str">
        <f>IFERROR(VLOOKUP(M4269,INSUMOS!$C$8:$K$928,7,0),"0")</f>
        <v>0</v>
      </c>
      <c r="U4269" s="529"/>
      <c r="V4269" s="82">
        <f>+T4269*S4269*R4269</f>
        <v>0</v>
      </c>
      <c r="Y4269" s="393">
        <f>+IFERROR((R4269*S4269)*Y4246,0)</f>
        <v>0</v>
      </c>
      <c r="Z4269" s="391">
        <f>Y4246*V4269</f>
        <v>0</v>
      </c>
      <c r="AA4269" s="86"/>
      <c r="AB4269" s="92">
        <f>+Y4269*T4269</f>
        <v>0</v>
      </c>
      <c r="AC4269" s="93">
        <f>+AB4269-Z4269</f>
        <v>0</v>
      </c>
      <c r="AD4269" s="94"/>
      <c r="AE4269" s="406" t="str">
        <f>+IF(V4269=0,"CERO","NO")</f>
        <v>CERO</v>
      </c>
    </row>
    <row r="4270" spans="3:31" s="260" customFormat="1" x14ac:dyDescent="0.25">
      <c r="C4270" s="84"/>
      <c r="D4270" s="85"/>
      <c r="E4270" s="86"/>
      <c r="F4270" s="86"/>
      <c r="G4270" s="86"/>
      <c r="H4270" s="86"/>
      <c r="I4270" s="86"/>
      <c r="J4270" s="87"/>
      <c r="K4270" s="88"/>
      <c r="M4270" s="102">
        <v>0</v>
      </c>
      <c r="N4270" s="530" t="str">
        <f>IFERROR(VLOOKUP(M4270,INSUMOS!$C$8:$K$928,2,0),"-----")</f>
        <v>-----</v>
      </c>
      <c r="O4270" s="531"/>
      <c r="P4270" s="532"/>
      <c r="Q4270" s="78" t="str">
        <f>IFERROR(VLOOKUP(M4270,INSUMOS!$C$8:$K$928,5,0),"-----")</f>
        <v>-----</v>
      </c>
      <c r="R4270" s="80"/>
      <c r="S4270" s="80" t="str">
        <f>IFERROR(VLOOKUP(M4270,INSUMOS!$C$8:$K$928,6,0),"0")</f>
        <v>0</v>
      </c>
      <c r="T4270" s="529" t="str">
        <f>IFERROR(VLOOKUP(M4270,INSUMOS!$C$8:$K$928,7,0),"0")</f>
        <v>0</v>
      </c>
      <c r="U4270" s="529"/>
      <c r="V4270" s="82">
        <f>+T4270*S4270*R4270</f>
        <v>0</v>
      </c>
      <c r="Y4270" s="393">
        <f>+IFERROR((R4270*S4270)*Y4246,0)</f>
        <v>0</v>
      </c>
      <c r="Z4270" s="391">
        <f>Y4246*V4270</f>
        <v>0</v>
      </c>
      <c r="AA4270" s="86"/>
      <c r="AB4270" s="92">
        <f>+Y4270*T4270</f>
        <v>0</v>
      </c>
      <c r="AC4270" s="93">
        <f>+AB4270-Z4270</f>
        <v>0</v>
      </c>
      <c r="AD4270" s="94"/>
      <c r="AE4270" s="406" t="str">
        <f>+IF(V4270=0,"CERO","NO")</f>
        <v>CERO</v>
      </c>
    </row>
    <row r="4271" spans="3:31" s="260" customFormat="1" ht="15.75" thickBot="1" x14ac:dyDescent="0.3">
      <c r="C4271" s="84"/>
      <c r="D4271" s="89"/>
      <c r="E4271" s="90"/>
      <c r="F4271" s="90"/>
      <c r="G4271" s="90"/>
      <c r="H4271" s="90"/>
      <c r="I4271" s="90"/>
      <c r="J4271" s="91"/>
      <c r="K4271" s="88"/>
      <c r="M4271" s="102">
        <v>0</v>
      </c>
      <c r="N4271" s="533"/>
      <c r="O4271" s="533"/>
      <c r="P4271" s="533"/>
      <c r="Q4271" s="79"/>
      <c r="R4271" s="78"/>
      <c r="S4271" s="81"/>
      <c r="T4271" s="529"/>
      <c r="U4271" s="529"/>
      <c r="V4271" s="82"/>
      <c r="Y4271" s="393">
        <f>+IFERROR((R4271*S4271)*Y4246,0)</f>
        <v>0</v>
      </c>
      <c r="Z4271" s="391">
        <f>Y4246*V4271</f>
        <v>0</v>
      </c>
      <c r="AA4271" s="86"/>
      <c r="AB4271" s="92">
        <f>+Y4271*T4271</f>
        <v>0</v>
      </c>
      <c r="AC4271" s="93">
        <f>+AB4271-Z4271</f>
        <v>0</v>
      </c>
      <c r="AD4271" s="94"/>
      <c r="AE4271" s="406" t="str">
        <f>+IF(V4271=0,"CERO","NO")</f>
        <v>CERO</v>
      </c>
    </row>
    <row r="4272" spans="3:31" s="260" customFormat="1" ht="15.75" thickBot="1" x14ac:dyDescent="0.3">
      <c r="C4272" s="84"/>
      <c r="D4272" s="375" t="s">
        <v>128</v>
      </c>
      <c r="E4272" s="376" t="s">
        <v>129</v>
      </c>
      <c r="F4272" s="376" t="s">
        <v>130</v>
      </c>
      <c r="G4272" s="376" t="s">
        <v>131</v>
      </c>
      <c r="H4272" s="376" t="s">
        <v>132</v>
      </c>
      <c r="I4272" s="376" t="s">
        <v>133</v>
      </c>
      <c r="J4272" s="377" t="s">
        <v>134</v>
      </c>
      <c r="K4272" s="88"/>
      <c r="M4272" s="534"/>
      <c r="N4272" s="536" t="s">
        <v>113</v>
      </c>
      <c r="O4272" s="536"/>
      <c r="P4272" s="536"/>
      <c r="Q4272" s="536"/>
      <c r="R4272" s="536"/>
      <c r="S4272" s="536"/>
      <c r="T4272" s="536"/>
      <c r="U4272" s="536"/>
      <c r="V4272" s="411">
        <f>+SUM(V4268:V4271)</f>
        <v>347.2217399698057</v>
      </c>
      <c r="Y4272" s="398" t="s">
        <v>135</v>
      </c>
      <c r="Z4272" s="397">
        <f>+SUM(Z4268:Z4271)</f>
        <v>8333.3217592753372</v>
      </c>
      <c r="AA4272" s="86"/>
      <c r="AB4272" s="384"/>
      <c r="AC4272" s="385"/>
      <c r="AD4272" s="94"/>
      <c r="AE4272" s="399"/>
    </row>
    <row r="4273" spans="3:31" s="260" customFormat="1" ht="15.75" thickBot="1" x14ac:dyDescent="0.3">
      <c r="C4273" s="84"/>
      <c r="D4273" s="355"/>
      <c r="E4273" s="367"/>
      <c r="F4273" s="412">
        <f>+E4265</f>
        <v>4.0999999999999996</v>
      </c>
      <c r="G4273" s="367"/>
      <c r="H4273" s="367"/>
      <c r="I4273" s="367"/>
      <c r="J4273" s="368"/>
      <c r="K4273" s="88"/>
      <c r="M4273" s="535"/>
      <c r="N4273" s="537" t="s">
        <v>114</v>
      </c>
      <c r="O4273" s="537"/>
      <c r="P4273" s="537"/>
      <c r="Q4273" s="537"/>
      <c r="R4273" s="537"/>
      <c r="S4273" s="537"/>
      <c r="T4273" s="537"/>
      <c r="U4273" s="537"/>
      <c r="V4273" s="413">
        <f>+ROUND(V4272,$AA$5)</f>
        <v>347.22</v>
      </c>
      <c r="Y4273" s="401" t="s">
        <v>136</v>
      </c>
      <c r="Z4273" s="402">
        <f>+ROUND(Z4272,$AA$5)</f>
        <v>8333.32</v>
      </c>
      <c r="AA4273" s="86"/>
      <c r="AB4273" s="403">
        <f>+V4273*Y4246</f>
        <v>8333.2800000000007</v>
      </c>
      <c r="AC4273" s="414"/>
      <c r="AD4273" s="94"/>
      <c r="AE4273" s="405"/>
    </row>
    <row r="4274" spans="3:31" s="260" customFormat="1" ht="15.75" thickBot="1" x14ac:dyDescent="0.3">
      <c r="C4274" s="84"/>
      <c r="D4274" s="415"/>
      <c r="E4274" s="416"/>
      <c r="F4274" s="416"/>
      <c r="G4274" s="416"/>
      <c r="H4274" s="416"/>
      <c r="I4274" s="416"/>
      <c r="J4274" s="417"/>
      <c r="K4274" s="88"/>
      <c r="M4274" s="538" t="s">
        <v>115</v>
      </c>
      <c r="N4274" s="539"/>
      <c r="O4274" s="539"/>
      <c r="P4274" s="539"/>
      <c r="Q4274" s="539"/>
      <c r="R4274" s="539"/>
      <c r="S4274" s="539"/>
      <c r="T4274" s="539"/>
      <c r="U4274" s="539"/>
      <c r="V4274" s="540"/>
      <c r="Y4274" s="378"/>
      <c r="Z4274" s="121"/>
      <c r="AA4274" s="86"/>
      <c r="AB4274" s="409"/>
      <c r="AC4274" s="121"/>
      <c r="AD4274" s="94"/>
      <c r="AE4274" s="126"/>
    </row>
    <row r="4275" spans="3:31" s="260" customFormat="1" ht="15.75" thickBot="1" x14ac:dyDescent="0.3">
      <c r="C4275" s="84"/>
      <c r="D4275" s="375" t="s">
        <v>128</v>
      </c>
      <c r="E4275" s="376" t="s">
        <v>129</v>
      </c>
      <c r="F4275" s="376" t="s">
        <v>130</v>
      </c>
      <c r="G4275" s="376" t="s">
        <v>131</v>
      </c>
      <c r="H4275" s="376" t="s">
        <v>132</v>
      </c>
      <c r="I4275" s="376" t="s">
        <v>133</v>
      </c>
      <c r="J4275" s="377" t="s">
        <v>134</v>
      </c>
      <c r="K4275" s="88"/>
      <c r="M4275" s="99" t="s">
        <v>94</v>
      </c>
      <c r="N4275" s="98" t="s">
        <v>95</v>
      </c>
      <c r="O4275" s="95" t="s">
        <v>96</v>
      </c>
      <c r="P4275" s="359" t="s">
        <v>104</v>
      </c>
      <c r="Q4275" s="95" t="s">
        <v>116</v>
      </c>
      <c r="R4275" s="418" t="s">
        <v>117</v>
      </c>
      <c r="S4275" s="95" t="s">
        <v>347</v>
      </c>
      <c r="T4275" s="419" t="s">
        <v>118</v>
      </c>
      <c r="U4275" s="189" t="s">
        <v>119</v>
      </c>
      <c r="V4275" s="100" t="s">
        <v>98</v>
      </c>
      <c r="Y4275" s="383" t="s">
        <v>104</v>
      </c>
      <c r="Z4275" s="119" t="s">
        <v>9</v>
      </c>
      <c r="AA4275" s="86"/>
      <c r="AB4275" s="384"/>
      <c r="AC4275" s="385"/>
      <c r="AD4275" s="94"/>
      <c r="AE4275" s="410"/>
    </row>
    <row r="4276" spans="3:31" s="260" customFormat="1" ht="25.5" x14ac:dyDescent="0.25">
      <c r="C4276" s="84"/>
      <c r="D4276" s="354"/>
      <c r="E4276" s="96"/>
      <c r="F4276" s="96"/>
      <c r="G4276" s="96"/>
      <c r="H4276" s="96"/>
      <c r="I4276" s="96"/>
      <c r="J4276" s="420">
        <f>+F4273</f>
        <v>4.0999999999999996</v>
      </c>
      <c r="K4276" s="88"/>
      <c r="M4276" s="102">
        <v>207</v>
      </c>
      <c r="N4276" s="347" t="str">
        <f>IFERROR(VLOOKUP(M4276,INSUMOS!$C$8:$K$928,2,0),"-----")</f>
        <v>Oficial Hidrosanitario</v>
      </c>
      <c r="O4276" s="78" t="str">
        <f>IFERROR(VLOOKUP(M4276,INSUMOS!$C$8:$K$928,3,0),"-----")</f>
        <v>JORNAL+PS</v>
      </c>
      <c r="P4276" s="80">
        <v>1</v>
      </c>
      <c r="Q4276" s="79">
        <v>40</v>
      </c>
      <c r="R4276" s="190">
        <f>IFERROR(VLOOKUP(M4276,INSUMOS!$C$8:$K$928,4,0),"-----")</f>
        <v>92983</v>
      </c>
      <c r="S4276" s="190">
        <f>IFERROR(VLOOKUP(M4276,INSUMOS!$C$8:$K$928,6,0),"-----")</f>
        <v>74386</v>
      </c>
      <c r="T4276" s="190">
        <f>IFERROR(VLOOKUP(M4276,INSUMOS!$C$8:$K$928,5,0),"-----")</f>
        <v>0</v>
      </c>
      <c r="U4276" s="388">
        <f>SUM(R4276:T4276)</f>
        <v>167369</v>
      </c>
      <c r="V4276" s="82">
        <f>+IFERROR((P4276/Q4276)*U4276,0)</f>
        <v>4184.2250000000004</v>
      </c>
      <c r="Y4276" s="393">
        <f>+IFERROR((Y4246/Q4276*P4276),0)</f>
        <v>0.6</v>
      </c>
      <c r="Z4276" s="391">
        <f>Y4246*V4276</f>
        <v>100421.40000000001</v>
      </c>
      <c r="AA4276" s="86"/>
      <c r="AB4276" s="92">
        <f>+(U4276)*Y4276</f>
        <v>100421.4</v>
      </c>
      <c r="AC4276" s="93">
        <f>+AB4276-Z4276</f>
        <v>0</v>
      </c>
      <c r="AD4276" s="421"/>
      <c r="AE4276" s="410" t="str">
        <f>+IF(V4276=0,"CERO","NO")</f>
        <v>NO</v>
      </c>
    </row>
    <row r="4277" spans="3:31" s="260" customFormat="1" ht="15.75" thickBot="1" x14ac:dyDescent="0.3">
      <c r="C4277" s="84"/>
      <c r="D4277" s="355"/>
      <c r="E4277" s="367"/>
      <c r="F4277" s="367"/>
      <c r="G4277" s="367"/>
      <c r="H4277" s="367"/>
      <c r="I4277" s="367"/>
      <c r="J4277" s="422">
        <f>+J4276</f>
        <v>4.0999999999999996</v>
      </c>
      <c r="K4277" s="88"/>
      <c r="M4277" s="102"/>
      <c r="N4277" s="347" t="str">
        <f>IFERROR(VLOOKUP(M4277,INSUMOS!$C$8:$K$928,2,0),"-----")</f>
        <v>-----</v>
      </c>
      <c r="O4277" s="78" t="str">
        <f>IFERROR(VLOOKUP(M4277,INSUMOS!$C$8:$K$928,3,0),"-----")</f>
        <v>-----</v>
      </c>
      <c r="P4277" s="80"/>
      <c r="Q4277" s="79"/>
      <c r="R4277" s="190" t="str">
        <f>IFERROR(VLOOKUP(M4277,INSUMOS!$C$8:$K$928,4,0),"-----")</f>
        <v>-----</v>
      </c>
      <c r="S4277" s="190" t="str">
        <f>IFERROR(VLOOKUP(M4277,INSUMOS!$C$8:$K$928,6,0),"-----")</f>
        <v>-----</v>
      </c>
      <c r="T4277" s="190" t="str">
        <f>IFERROR(VLOOKUP(M4277,INSUMOS!$C$8:$K$928,5,0),"-----")</f>
        <v>-----</v>
      </c>
      <c r="U4277" s="388">
        <f>SUM(R4277:T4277)</f>
        <v>0</v>
      </c>
      <c r="V4277" s="82">
        <f>+IFERROR((P4277/Q4277)*U4277,0)</f>
        <v>0</v>
      </c>
      <c r="Y4277" s="393">
        <f>+IFERROR((Y4246/Q4277*P4277),0)</f>
        <v>0</v>
      </c>
      <c r="Z4277" s="391">
        <f>Y4246*V4277</f>
        <v>0</v>
      </c>
      <c r="AA4277" s="86"/>
      <c r="AB4277" s="92">
        <f>+U4277*Y4277</f>
        <v>0</v>
      </c>
      <c r="AC4277" s="93">
        <f>+AB4277-Z4277</f>
        <v>0</v>
      </c>
      <c r="AD4277" s="94"/>
      <c r="AE4277" s="410" t="str">
        <f>+IF(V4277=0,"CERO","NO")</f>
        <v>CERO</v>
      </c>
    </row>
    <row r="4278" spans="3:31" s="260" customFormat="1" ht="15.75" thickBot="1" x14ac:dyDescent="0.3">
      <c r="C4278" s="84"/>
      <c r="D4278" s="380"/>
      <c r="E4278" s="381"/>
      <c r="F4278" s="381"/>
      <c r="G4278" s="381"/>
      <c r="H4278" s="381"/>
      <c r="I4278" s="381"/>
      <c r="J4278" s="382"/>
      <c r="K4278" s="88"/>
      <c r="M4278" s="102">
        <v>0</v>
      </c>
      <c r="N4278" s="347"/>
      <c r="O4278" s="79"/>
      <c r="P4278" s="423"/>
      <c r="Q4278" s="81"/>
      <c r="R4278" s="111"/>
      <c r="S4278" s="357"/>
      <c r="T4278" s="111"/>
      <c r="U4278" s="388"/>
      <c r="V4278" s="426"/>
      <c r="Y4278" s="393">
        <f>+IFERROR((Y4246/Q4278*P4278),0)</f>
        <v>0</v>
      </c>
      <c r="Z4278" s="391">
        <f>Y4246*V4278</f>
        <v>0</v>
      </c>
      <c r="AA4278" s="86"/>
      <c r="AB4278" s="92">
        <f>+(U4278)*Y4278*P4278</f>
        <v>0</v>
      </c>
      <c r="AC4278" s="93">
        <f>+AB4278-Z4278</f>
        <v>0</v>
      </c>
      <c r="AD4278" s="94"/>
      <c r="AE4278" s="410" t="str">
        <f>+IF(V4278=0,"CERO","NO")</f>
        <v>CERO</v>
      </c>
    </row>
    <row r="4279" spans="3:31" s="260" customFormat="1" ht="15.75" thickBot="1" x14ac:dyDescent="0.3">
      <c r="C4279" s="84"/>
      <c r="D4279" s="375" t="s">
        <v>128</v>
      </c>
      <c r="E4279" s="376" t="s">
        <v>129</v>
      </c>
      <c r="F4279" s="376" t="s">
        <v>130</v>
      </c>
      <c r="G4279" s="376" t="s">
        <v>131</v>
      </c>
      <c r="H4279" s="376" t="s">
        <v>132</v>
      </c>
      <c r="I4279" s="376" t="s">
        <v>133</v>
      </c>
      <c r="J4279" s="377" t="s">
        <v>134</v>
      </c>
      <c r="K4279" s="88"/>
      <c r="M4279" s="534"/>
      <c r="N4279" s="536" t="s">
        <v>120</v>
      </c>
      <c r="O4279" s="536"/>
      <c r="P4279" s="536"/>
      <c r="Q4279" s="536"/>
      <c r="R4279" s="536"/>
      <c r="S4279" s="536"/>
      <c r="T4279" s="536"/>
      <c r="U4279" s="536"/>
      <c r="V4279" s="82">
        <f>+SUM(V4276:V4278)</f>
        <v>4184.2250000000004</v>
      </c>
      <c r="Y4279" s="398" t="s">
        <v>135</v>
      </c>
      <c r="Z4279" s="397">
        <f>+SUM(Z4276:Z4278)</f>
        <v>100421.40000000001</v>
      </c>
      <c r="AA4279" s="86"/>
      <c r="AB4279" s="384"/>
      <c r="AC4279" s="385"/>
      <c r="AD4279" s="94"/>
      <c r="AE4279" s="399"/>
    </row>
    <row r="4280" spans="3:31" s="260" customFormat="1" ht="15.75" thickBot="1" x14ac:dyDescent="0.3">
      <c r="C4280" s="84"/>
      <c r="D4280" s="354"/>
      <c r="E4280" s="96"/>
      <c r="F4280" s="96"/>
      <c r="G4280" s="107">
        <f>+F4273</f>
        <v>4.0999999999999996</v>
      </c>
      <c r="H4280" s="96"/>
      <c r="I4280" s="96"/>
      <c r="J4280" s="427"/>
      <c r="K4280" s="88"/>
      <c r="M4280" s="535"/>
      <c r="N4280" s="537" t="s">
        <v>121</v>
      </c>
      <c r="O4280" s="537"/>
      <c r="P4280" s="537"/>
      <c r="Q4280" s="537"/>
      <c r="R4280" s="537"/>
      <c r="S4280" s="537"/>
      <c r="T4280" s="537"/>
      <c r="U4280" s="537"/>
      <c r="V4280" s="413">
        <f>+ROUND(V4279,$AA$5)</f>
        <v>4184.2299999999996</v>
      </c>
      <c r="Y4280" s="401" t="s">
        <v>136</v>
      </c>
      <c r="Z4280" s="402">
        <f>+ROUND(Z4279,$AA$5)</f>
        <v>100421.4</v>
      </c>
      <c r="AA4280" s="86"/>
      <c r="AB4280" s="403">
        <f>+V4280*Y4246</f>
        <v>100421.51999999999</v>
      </c>
      <c r="AC4280" s="404">
        <f>+AB4280-Z4280</f>
        <v>0.11999999999534339</v>
      </c>
      <c r="AD4280" s="94"/>
      <c r="AE4280" s="405"/>
    </row>
    <row r="4281" spans="3:31" s="260" customFormat="1" ht="15.75" thickBot="1" x14ac:dyDescent="0.3">
      <c r="C4281" s="84"/>
      <c r="D4281" s="375" t="s">
        <v>128</v>
      </c>
      <c r="E4281" s="376" t="s">
        <v>129</v>
      </c>
      <c r="F4281" s="376" t="s">
        <v>130</v>
      </c>
      <c r="G4281" s="376" t="s">
        <v>131</v>
      </c>
      <c r="H4281" s="376" t="s">
        <v>132</v>
      </c>
      <c r="I4281" s="376" t="s">
        <v>133</v>
      </c>
      <c r="J4281" s="377" t="s">
        <v>134</v>
      </c>
      <c r="K4281" s="88"/>
      <c r="M4281" s="541"/>
      <c r="N4281" s="542"/>
      <c r="O4281" s="542"/>
      <c r="P4281" s="542"/>
      <c r="Q4281" s="542"/>
      <c r="R4281" s="542"/>
      <c r="S4281" s="542"/>
      <c r="T4281" s="542"/>
      <c r="U4281" s="542"/>
      <c r="V4281" s="543"/>
      <c r="Y4281" s="378"/>
      <c r="Z4281" s="121"/>
      <c r="AA4281" s="86"/>
      <c r="AB4281" s="409"/>
      <c r="AC4281" s="121"/>
      <c r="AD4281" s="94"/>
      <c r="AE4281" s="428"/>
    </row>
    <row r="4282" spans="3:31" s="260" customFormat="1" ht="15.75" thickBot="1" x14ac:dyDescent="0.3">
      <c r="C4282" s="84"/>
      <c r="D4282" s="355"/>
      <c r="E4282" s="367"/>
      <c r="F4282" s="367"/>
      <c r="G4282" s="367"/>
      <c r="H4282" s="412">
        <f>G4280</f>
        <v>4.0999999999999996</v>
      </c>
      <c r="I4282" s="412"/>
      <c r="J4282" s="422"/>
      <c r="K4282" s="88"/>
      <c r="M4282" s="544" t="s">
        <v>122</v>
      </c>
      <c r="N4282" s="537"/>
      <c r="O4282" s="537"/>
      <c r="P4282" s="537"/>
      <c r="Q4282" s="537"/>
      <c r="R4282" s="537"/>
      <c r="S4282" s="537"/>
      <c r="T4282" s="537"/>
      <c r="U4282" s="545">
        <f>+V4280+V4273+V4265+V4256</f>
        <v>17079.98</v>
      </c>
      <c r="V4282" s="546"/>
      <c r="Y4282" s="429"/>
      <c r="Z4282" s="430">
        <f>+Z4280+Z4273+Z4265+Z4256</f>
        <v>409919.39000000007</v>
      </c>
      <c r="AA4282" s="86"/>
      <c r="AB4282" s="431">
        <f>+AB4280+AB4273+AB4265+AB4256</f>
        <v>409919.51999999996</v>
      </c>
      <c r="AC4282" s="404">
        <f>+AB4282-Z4282</f>
        <v>0.12999999988824129</v>
      </c>
      <c r="AD4282" s="94"/>
      <c r="AE4282" s="432"/>
    </row>
    <row r="4283" spans="3:31" s="260" customFormat="1" ht="15.75" thickBot="1" x14ac:dyDescent="0.3"/>
    <row r="4284" spans="3:31" s="260" customFormat="1" x14ac:dyDescent="0.25">
      <c r="M4284" s="547" t="s">
        <v>348</v>
      </c>
      <c r="N4284" s="548"/>
      <c r="O4284" s="548"/>
      <c r="P4284" s="548"/>
      <c r="Q4284" s="548"/>
      <c r="R4284" s="548"/>
      <c r="S4284" s="548"/>
      <c r="T4284" s="548"/>
      <c r="U4284" s="548"/>
      <c r="V4284" s="549"/>
      <c r="Y4284" s="378"/>
      <c r="Z4284" s="121"/>
      <c r="AA4284" s="86"/>
      <c r="AB4284" s="94"/>
      <c r="AC4284" s="94"/>
      <c r="AD4284" s="94"/>
      <c r="AE4284" s="126" t="s">
        <v>133</v>
      </c>
    </row>
    <row r="4285" spans="3:31" s="260" customFormat="1" x14ac:dyDescent="0.25">
      <c r="M4285" s="515" t="s">
        <v>138</v>
      </c>
      <c r="N4285" s="516"/>
      <c r="O4285" s="516"/>
      <c r="P4285" s="516"/>
      <c r="Q4285" s="516"/>
      <c r="R4285" s="516"/>
      <c r="S4285" s="516"/>
      <c r="T4285" s="437">
        <v>0</v>
      </c>
      <c r="U4285" s="517">
        <f>+ROUND(U4282*T4285,$AA$5)</f>
        <v>0</v>
      </c>
      <c r="V4285" s="518"/>
      <c r="Y4285" s="390"/>
      <c r="Z4285" s="438">
        <f>+Z4282*T4285</f>
        <v>0</v>
      </c>
      <c r="AA4285" s="86"/>
      <c r="AB4285" s="94"/>
      <c r="AC4285" s="94"/>
      <c r="AD4285" s="94"/>
      <c r="AE4285" s="386" t="s">
        <v>133</v>
      </c>
    </row>
    <row r="4286" spans="3:31" s="260" customFormat="1" x14ac:dyDescent="0.25">
      <c r="M4286" s="515" t="s">
        <v>19</v>
      </c>
      <c r="N4286" s="516"/>
      <c r="O4286" s="516"/>
      <c r="P4286" s="516"/>
      <c r="Q4286" s="516"/>
      <c r="R4286" s="516"/>
      <c r="S4286" s="516"/>
      <c r="T4286" s="437">
        <v>0.05</v>
      </c>
      <c r="U4286" s="517">
        <f>+ROUND(U4282*T4286,$AA$5)</f>
        <v>854</v>
      </c>
      <c r="V4286" s="518"/>
      <c r="Y4286" s="390"/>
      <c r="Z4286" s="438">
        <f>+Z4282*T4286</f>
        <v>20495.969500000007</v>
      </c>
      <c r="AA4286" s="86"/>
      <c r="AB4286" s="94"/>
      <c r="AC4286" s="94"/>
      <c r="AD4286" s="94"/>
      <c r="AE4286" s="386" t="s">
        <v>133</v>
      </c>
    </row>
    <row r="4287" spans="3:31" s="260" customFormat="1" x14ac:dyDescent="0.25">
      <c r="M4287" s="515" t="s">
        <v>20</v>
      </c>
      <c r="N4287" s="516"/>
      <c r="O4287" s="516"/>
      <c r="P4287" s="516"/>
      <c r="Q4287" s="516"/>
      <c r="R4287" s="516"/>
      <c r="S4287" s="516"/>
      <c r="T4287" s="437">
        <v>0</v>
      </c>
      <c r="U4287" s="517">
        <f>+ROUND(U4282*T4287,$AA$5)</f>
        <v>0</v>
      </c>
      <c r="V4287" s="518"/>
      <c r="Y4287" s="390"/>
      <c r="Z4287" s="438">
        <f>+Z4282*T4287</f>
        <v>0</v>
      </c>
      <c r="AA4287" s="86"/>
      <c r="AB4287" s="94"/>
      <c r="AC4287" s="94"/>
      <c r="AD4287" s="94"/>
      <c r="AE4287" s="386" t="s">
        <v>133</v>
      </c>
    </row>
    <row r="4288" spans="3:31" s="260" customFormat="1" x14ac:dyDescent="0.25">
      <c r="M4288" s="515" t="s">
        <v>21</v>
      </c>
      <c r="N4288" s="516"/>
      <c r="O4288" s="516"/>
      <c r="P4288" s="516"/>
      <c r="Q4288" s="516"/>
      <c r="R4288" s="516"/>
      <c r="S4288" s="516"/>
      <c r="T4288" s="437">
        <f>$AA$9</f>
        <v>0</v>
      </c>
      <c r="U4288" s="517">
        <f>+ROUND(U4282*T4288,$AA$5)</f>
        <v>0</v>
      </c>
      <c r="V4288" s="518"/>
      <c r="Y4288" s="390"/>
      <c r="Z4288" s="438">
        <f>+Z4287*T4288</f>
        <v>0</v>
      </c>
      <c r="AA4288" s="86"/>
      <c r="AB4288" s="94"/>
      <c r="AC4288" s="94"/>
      <c r="AD4288" s="94"/>
      <c r="AE4288" s="386" t="s">
        <v>133</v>
      </c>
    </row>
    <row r="4289" spans="3:31" s="260" customFormat="1" ht="15.75" thickBot="1" x14ac:dyDescent="0.3">
      <c r="M4289" s="519" t="s">
        <v>349</v>
      </c>
      <c r="N4289" s="520"/>
      <c r="O4289" s="520"/>
      <c r="P4289" s="520"/>
      <c r="Q4289" s="520"/>
      <c r="R4289" s="520"/>
      <c r="S4289" s="520"/>
      <c r="T4289" s="520"/>
      <c r="U4289" s="521">
        <f>+SUM(U4285:V4288)</f>
        <v>854</v>
      </c>
      <c r="V4289" s="522"/>
      <c r="Y4289" s="390"/>
      <c r="Z4289" s="439">
        <f>+SUM(Z4285:Z4288)</f>
        <v>20495.969500000007</v>
      </c>
      <c r="AA4289" s="86"/>
      <c r="AB4289" s="94"/>
      <c r="AC4289" s="94"/>
      <c r="AD4289" s="94"/>
      <c r="AE4289" s="386" t="s">
        <v>133</v>
      </c>
    </row>
    <row r="4290" spans="3:31" s="260" customFormat="1" ht="15.75" thickBot="1" x14ac:dyDescent="0.3">
      <c r="D4290" s="375" t="s">
        <v>128</v>
      </c>
      <c r="E4290" s="376" t="s">
        <v>129</v>
      </c>
      <c r="F4290" s="376" t="s">
        <v>130</v>
      </c>
      <c r="G4290" s="376" t="s">
        <v>131</v>
      </c>
      <c r="H4290" s="376" t="s">
        <v>132</v>
      </c>
      <c r="I4290" s="376" t="s">
        <v>133</v>
      </c>
      <c r="J4290" s="377" t="s">
        <v>134</v>
      </c>
      <c r="M4290" s="86"/>
      <c r="N4290" s="94"/>
      <c r="O4290" s="94"/>
      <c r="P4290" s="94"/>
      <c r="Q4290" s="86"/>
      <c r="R4290" s="86"/>
      <c r="S4290" s="86"/>
      <c r="T4290" s="440"/>
      <c r="U4290" s="523"/>
      <c r="V4290" s="523"/>
      <c r="Y4290" s="390"/>
      <c r="Z4290" s="385"/>
      <c r="AA4290" s="86"/>
      <c r="AB4290" s="94"/>
      <c r="AC4290" s="94"/>
      <c r="AD4290" s="94"/>
      <c r="AE4290" s="386" t="s">
        <v>133</v>
      </c>
    </row>
    <row r="4291" spans="3:31" s="260" customFormat="1" ht="15.75" thickBot="1" x14ac:dyDescent="0.3">
      <c r="D4291" s="355"/>
      <c r="E4291" s="367"/>
      <c r="F4291" s="367"/>
      <c r="G4291" s="367"/>
      <c r="H4291" s="412"/>
      <c r="I4291" s="412">
        <f>H4282</f>
        <v>4.0999999999999996</v>
      </c>
      <c r="J4291" s="422"/>
      <c r="M4291" s="524" t="s">
        <v>11</v>
      </c>
      <c r="N4291" s="525"/>
      <c r="O4291" s="525"/>
      <c r="P4291" s="525"/>
      <c r="Q4291" s="525"/>
      <c r="R4291" s="525"/>
      <c r="S4291" s="525"/>
      <c r="T4291" s="526"/>
      <c r="U4291" s="527">
        <f>+U4289+U4282</f>
        <v>17933.98</v>
      </c>
      <c r="V4291" s="528"/>
      <c r="Y4291" s="429"/>
      <c r="Z4291" s="441">
        <f>+Z4289+Z4282</f>
        <v>430415.35950000008</v>
      </c>
      <c r="AA4291" s="86"/>
      <c r="AB4291" s="94"/>
      <c r="AC4291" s="94"/>
      <c r="AD4291" s="94"/>
      <c r="AE4291" s="405" t="s">
        <v>133</v>
      </c>
    </row>
    <row r="4292" spans="3:31" s="260" customFormat="1" x14ac:dyDescent="0.25"/>
    <row r="4293" spans="3:31" s="260" customFormat="1" ht="15.75" thickBot="1" x14ac:dyDescent="0.3"/>
    <row r="4294" spans="3:31" s="260" customFormat="1" ht="15.75" thickBot="1" x14ac:dyDescent="0.3">
      <c r="M4294" s="363" t="s">
        <v>88</v>
      </c>
      <c r="N4294" s="436" t="str">
        <f>+N4245</f>
        <v>CAP.4</v>
      </c>
      <c r="O4294" s="550" t="str">
        <f>IFERROR(VLOOKUP(N4294,PPTO!C:H,2,0),"----")</f>
        <v>RED SANITARIA</v>
      </c>
      <c r="P4294" s="551"/>
      <c r="Q4294" s="551"/>
      <c r="R4294" s="551"/>
      <c r="S4294" s="551"/>
      <c r="T4294" s="551"/>
      <c r="U4294" s="552"/>
      <c r="V4294" s="74" t="s">
        <v>91</v>
      </c>
      <c r="Y4294" s="365" t="s">
        <v>104</v>
      </c>
      <c r="Z4294" s="94"/>
      <c r="AA4294" s="188"/>
      <c r="AB4294" s="553"/>
      <c r="AC4294" s="553"/>
      <c r="AD4294" s="553"/>
      <c r="AE4294" s="94"/>
    </row>
    <row r="4295" spans="3:31" s="260" customFormat="1" ht="15.75" thickBot="1" x14ac:dyDescent="0.3">
      <c r="C4295" s="369">
        <f>+N4295</f>
        <v>4.1100000000000003</v>
      </c>
      <c r="D4295" s="86"/>
      <c r="E4295" s="86"/>
      <c r="F4295" s="86"/>
      <c r="G4295" s="86"/>
      <c r="H4295" s="86"/>
      <c r="I4295" s="86"/>
      <c r="J4295" s="86"/>
      <c r="K4295" s="370"/>
      <c r="M4295" s="75" t="s">
        <v>92</v>
      </c>
      <c r="N4295" s="371">
        <f>+ROUNDUP(N4246+0.01,2)</f>
        <v>4.1100000000000003</v>
      </c>
      <c r="O4295" s="554" t="str">
        <f>IFERROR(VLOOKUP(N4295,PPTO!C:H,2,0),"----")</f>
        <v>Yee Sanitaria reducida PVC Ø4" a Ø2"</v>
      </c>
      <c r="P4295" s="555"/>
      <c r="Q4295" s="555"/>
      <c r="R4295" s="555"/>
      <c r="S4295" s="555"/>
      <c r="T4295" s="555"/>
      <c r="U4295" s="556"/>
      <c r="V4295" s="76" t="str">
        <f>IFERROR(VLOOKUP(N4295,PPTO!C:H,3,0),"----")</f>
        <v>UND</v>
      </c>
      <c r="Y4295" s="373">
        <f>SUMIFS(PPTO!F:F,PPTO!C:C,APUS!N4295)</f>
        <v>38</v>
      </c>
      <c r="Z4295" s="94"/>
      <c r="AA4295" s="86"/>
      <c r="AB4295" s="94"/>
      <c r="AC4295" s="94"/>
      <c r="AD4295" s="94"/>
      <c r="AE4295" s="94"/>
    </row>
    <row r="4296" spans="3:31" s="260" customFormat="1" ht="15.75" thickBot="1" x14ac:dyDescent="0.3">
      <c r="C4296" s="84"/>
      <c r="D4296" s="86"/>
      <c r="E4296" s="86"/>
      <c r="F4296" s="86"/>
      <c r="G4296" s="86"/>
      <c r="H4296" s="86"/>
      <c r="I4296" s="86"/>
      <c r="J4296" s="86"/>
      <c r="K4296" s="88"/>
      <c r="M4296" s="557"/>
      <c r="N4296" s="557"/>
      <c r="O4296" s="557"/>
      <c r="P4296" s="557"/>
      <c r="Q4296" s="557"/>
      <c r="R4296" s="557"/>
      <c r="S4296" s="557"/>
      <c r="T4296" s="557"/>
      <c r="U4296" s="557"/>
      <c r="V4296" s="557"/>
      <c r="Y4296" s="374"/>
      <c r="Z4296" s="94"/>
      <c r="AA4296" s="86"/>
      <c r="AB4296" s="94"/>
      <c r="AC4296" s="94"/>
      <c r="AD4296" s="94"/>
      <c r="AE4296" s="94"/>
    </row>
    <row r="4297" spans="3:31" s="260" customFormat="1" ht="15.75" thickBot="1" x14ac:dyDescent="0.3">
      <c r="C4297" s="84"/>
      <c r="D4297" s="375" t="s">
        <v>128</v>
      </c>
      <c r="E4297" s="376" t="s">
        <v>129</v>
      </c>
      <c r="F4297" s="376" t="s">
        <v>130</v>
      </c>
      <c r="G4297" s="376" t="s">
        <v>131</v>
      </c>
      <c r="H4297" s="376" t="s">
        <v>132</v>
      </c>
      <c r="I4297" s="376" t="s">
        <v>133</v>
      </c>
      <c r="J4297" s="377" t="s">
        <v>134</v>
      </c>
      <c r="K4297" s="88"/>
      <c r="M4297" s="558" t="s">
        <v>93</v>
      </c>
      <c r="N4297" s="559"/>
      <c r="O4297" s="559"/>
      <c r="P4297" s="559"/>
      <c r="Q4297" s="559"/>
      <c r="R4297" s="559"/>
      <c r="S4297" s="559"/>
      <c r="T4297" s="559"/>
      <c r="U4297" s="559"/>
      <c r="V4297" s="560"/>
      <c r="Y4297" s="378"/>
      <c r="Z4297" s="121"/>
      <c r="AA4297" s="86"/>
      <c r="AB4297" s="513"/>
      <c r="AC4297" s="514"/>
      <c r="AD4297" s="94"/>
      <c r="AE4297" s="379"/>
    </row>
    <row r="4298" spans="3:31" s="260" customFormat="1" x14ac:dyDescent="0.25">
      <c r="C4298" s="84"/>
      <c r="D4298" s="380"/>
      <c r="E4298" s="381"/>
      <c r="F4298" s="381"/>
      <c r="G4298" s="381"/>
      <c r="H4298" s="381"/>
      <c r="I4298" s="381"/>
      <c r="J4298" s="382"/>
      <c r="K4298" s="88"/>
      <c r="M4298" s="99" t="s">
        <v>94</v>
      </c>
      <c r="N4298" s="561" t="s">
        <v>95</v>
      </c>
      <c r="O4298" s="561"/>
      <c r="P4298" s="561"/>
      <c r="Q4298" s="561"/>
      <c r="R4298" s="95" t="s">
        <v>96</v>
      </c>
      <c r="S4298" s="95" t="s">
        <v>97</v>
      </c>
      <c r="T4298" s="562" t="s">
        <v>8</v>
      </c>
      <c r="U4298" s="562"/>
      <c r="V4298" s="100" t="s">
        <v>98</v>
      </c>
      <c r="Y4298" s="383" t="s">
        <v>104</v>
      </c>
      <c r="Z4298" s="119" t="s">
        <v>9</v>
      </c>
      <c r="AA4298" s="86"/>
      <c r="AB4298" s="384"/>
      <c r="AC4298" s="385"/>
      <c r="AD4298" s="94"/>
      <c r="AE4298" s="386"/>
    </row>
    <row r="4299" spans="3:31" s="260" customFormat="1" x14ac:dyDescent="0.25">
      <c r="C4299" s="84"/>
      <c r="D4299" s="85"/>
      <c r="E4299" s="86"/>
      <c r="F4299" s="86"/>
      <c r="G4299" s="86"/>
      <c r="H4299" s="86"/>
      <c r="I4299" s="86"/>
      <c r="J4299" s="87"/>
      <c r="K4299" s="88"/>
      <c r="M4299" s="102"/>
      <c r="N4299" s="533" t="s">
        <v>99</v>
      </c>
      <c r="O4299" s="533"/>
      <c r="P4299" s="533"/>
      <c r="Q4299" s="533"/>
      <c r="R4299" s="78" t="s">
        <v>100</v>
      </c>
      <c r="S4299" s="387">
        <f>+$AA$10</f>
        <v>0.05</v>
      </c>
      <c r="T4299" s="563">
        <f>V4329</f>
        <v>4184.2299999999996</v>
      </c>
      <c r="U4299" s="563"/>
      <c r="V4299" s="389">
        <f>+IFERROR(T4299*S4299,0)</f>
        <v>209.2115</v>
      </c>
      <c r="Y4299" s="390"/>
      <c r="Z4299" s="391">
        <f>Y4295*V4299</f>
        <v>7950.0370000000003</v>
      </c>
      <c r="AA4299" s="86"/>
      <c r="AB4299" s="384"/>
      <c r="AC4299" s="385"/>
      <c r="AD4299" s="94"/>
      <c r="AE4299" s="386" t="str">
        <f>+IF(V4299=0,"CERO","NO")</f>
        <v>NO</v>
      </c>
    </row>
    <row r="4300" spans="3:31" s="260" customFormat="1" x14ac:dyDescent="0.25">
      <c r="C4300" s="84"/>
      <c r="D4300" s="85"/>
      <c r="E4300" s="86"/>
      <c r="F4300" s="86"/>
      <c r="G4300" s="86"/>
      <c r="H4300" s="86"/>
      <c r="I4300" s="86"/>
      <c r="J4300" s="87"/>
      <c r="K4300" s="88"/>
      <c r="M4300" s="106"/>
      <c r="N4300" s="533" t="str">
        <f>IFERROR(VLOOKUP(M4300,INSUMOS!$C$8:$K$928,2,0),"-----")</f>
        <v>-----</v>
      </c>
      <c r="O4300" s="533"/>
      <c r="P4300" s="533"/>
      <c r="Q4300" s="533"/>
      <c r="R4300" s="78" t="str">
        <f>IFERROR(VLOOKUP(M4300,INSUMOS!$C$8:$K$928,6,0),"-----")</f>
        <v>-----</v>
      </c>
      <c r="S4300" s="392"/>
      <c r="T4300" s="529" t="str">
        <f>IFERROR(VLOOKUP(M4300,INSUMOS!$C$8:$K$928,7,0),"0")</f>
        <v>0</v>
      </c>
      <c r="U4300" s="529"/>
      <c r="V4300" s="389">
        <f>+IFERROR(T4300*S4300,0)</f>
        <v>0</v>
      </c>
      <c r="Y4300" s="393">
        <f>+IFERROR(Y4295*S4300,0)</f>
        <v>0</v>
      </c>
      <c r="Z4300" s="391">
        <f>Y4295*V4300</f>
        <v>0</v>
      </c>
      <c r="AA4300" s="394"/>
      <c r="AB4300" s="395">
        <f>+Y4300*T4300</f>
        <v>0</v>
      </c>
      <c r="AC4300" s="93">
        <f>+AB4300-Z4300</f>
        <v>0</v>
      </c>
      <c r="AD4300" s="94"/>
      <c r="AE4300" s="386" t="str">
        <f>+IF(V4300=0,"CERO","NO")</f>
        <v>CERO</v>
      </c>
    </row>
    <row r="4301" spans="3:31" s="260" customFormat="1" x14ac:dyDescent="0.25">
      <c r="C4301" s="84"/>
      <c r="D4301" s="85"/>
      <c r="E4301" s="86"/>
      <c r="F4301" s="86"/>
      <c r="G4301" s="86"/>
      <c r="H4301" s="86"/>
      <c r="I4301" s="86"/>
      <c r="J4301" s="87"/>
      <c r="K4301" s="88"/>
      <c r="M4301" s="102">
        <v>0</v>
      </c>
      <c r="N4301" s="533"/>
      <c r="O4301" s="533"/>
      <c r="P4301" s="533"/>
      <c r="Q4301" s="533"/>
      <c r="R4301" s="78"/>
      <c r="S4301" s="396"/>
      <c r="T4301" s="529"/>
      <c r="U4301" s="529"/>
      <c r="V4301" s="397"/>
      <c r="Y4301" s="393">
        <f>+IFERROR(Y4295*S4301,0)</f>
        <v>0</v>
      </c>
      <c r="Z4301" s="391">
        <f>Y4295*V4301</f>
        <v>0</v>
      </c>
      <c r="AA4301" s="394"/>
      <c r="AB4301" s="395">
        <f>+Y4301*T4301</f>
        <v>0</v>
      </c>
      <c r="AC4301" s="93">
        <f>+AB4301-Z4301</f>
        <v>0</v>
      </c>
      <c r="AD4301" s="94"/>
      <c r="AE4301" s="386" t="str">
        <f>+IF(V4301=0,"CERO","NO")</f>
        <v>CERO</v>
      </c>
    </row>
    <row r="4302" spans="3:31" s="260" customFormat="1" x14ac:dyDescent="0.25">
      <c r="C4302" s="84"/>
      <c r="D4302" s="85"/>
      <c r="E4302" s="86"/>
      <c r="F4302" s="86"/>
      <c r="G4302" s="86"/>
      <c r="H4302" s="86"/>
      <c r="I4302" s="86"/>
      <c r="J4302" s="87"/>
      <c r="K4302" s="88"/>
      <c r="M4302" s="102">
        <v>0</v>
      </c>
      <c r="N4302" s="533"/>
      <c r="O4302" s="533"/>
      <c r="P4302" s="533"/>
      <c r="Q4302" s="533"/>
      <c r="R4302" s="78"/>
      <c r="S4302" s="396"/>
      <c r="T4302" s="529"/>
      <c r="U4302" s="529"/>
      <c r="V4302" s="397"/>
      <c r="Y4302" s="393">
        <f>+IFERROR(Y4295*S4302,0)</f>
        <v>0</v>
      </c>
      <c r="Z4302" s="391">
        <f>Y4295*V4302</f>
        <v>0</v>
      </c>
      <c r="AA4302" s="394"/>
      <c r="AB4302" s="395">
        <f>+Y4302*T4302</f>
        <v>0</v>
      </c>
      <c r="AC4302" s="93">
        <f>+AB4302-Z4302</f>
        <v>0</v>
      </c>
      <c r="AD4302" s="94"/>
      <c r="AE4302" s="386" t="str">
        <f>+IF(V4302=0,"CERO","NO")</f>
        <v>CERO</v>
      </c>
    </row>
    <row r="4303" spans="3:31" s="260" customFormat="1" ht="15.75" thickBot="1" x14ac:dyDescent="0.3">
      <c r="C4303" s="84"/>
      <c r="D4303" s="85"/>
      <c r="E4303" s="86"/>
      <c r="F4303" s="86"/>
      <c r="G4303" s="86"/>
      <c r="H4303" s="86"/>
      <c r="I4303" s="86"/>
      <c r="J4303" s="87"/>
      <c r="K4303" s="88"/>
      <c r="M4303" s="102">
        <v>0</v>
      </c>
      <c r="N4303" s="564"/>
      <c r="O4303" s="564"/>
      <c r="P4303" s="564"/>
      <c r="Q4303" s="564"/>
      <c r="R4303" s="96"/>
      <c r="S4303" s="96"/>
      <c r="T4303" s="565"/>
      <c r="U4303" s="565"/>
      <c r="V4303" s="101"/>
      <c r="Y4303" s="393">
        <f>+IFERROR(Y4295*S4303,0)</f>
        <v>0</v>
      </c>
      <c r="Z4303" s="391">
        <f>Y4295*V4303</f>
        <v>0</v>
      </c>
      <c r="AA4303" s="394"/>
      <c r="AB4303" s="395">
        <f>+Y4303*T4303</f>
        <v>0</v>
      </c>
      <c r="AC4303" s="93">
        <f>+AB4303-Z4303</f>
        <v>0</v>
      </c>
      <c r="AD4303" s="94"/>
      <c r="AE4303" s="386" t="str">
        <f>+IF(V4303=0,"CERO","NO")</f>
        <v>CERO</v>
      </c>
    </row>
    <row r="4304" spans="3:31" s="260" customFormat="1" ht="15.75" thickBot="1" x14ac:dyDescent="0.3">
      <c r="C4304" s="84"/>
      <c r="D4304" s="375" t="s">
        <v>128</v>
      </c>
      <c r="E4304" s="376" t="s">
        <v>129</v>
      </c>
      <c r="F4304" s="376" t="s">
        <v>130</v>
      </c>
      <c r="G4304" s="376" t="s">
        <v>131</v>
      </c>
      <c r="H4304" s="376" t="s">
        <v>132</v>
      </c>
      <c r="I4304" s="376" t="s">
        <v>133</v>
      </c>
      <c r="J4304" s="377" t="s">
        <v>134</v>
      </c>
      <c r="K4304" s="88"/>
      <c r="M4304" s="534"/>
      <c r="N4304" s="536" t="s">
        <v>101</v>
      </c>
      <c r="O4304" s="536"/>
      <c r="P4304" s="536"/>
      <c r="Q4304" s="536"/>
      <c r="R4304" s="536"/>
      <c r="S4304" s="536"/>
      <c r="T4304" s="536"/>
      <c r="U4304" s="536"/>
      <c r="V4304" s="389">
        <f>+SUM(V4299:V4303)</f>
        <v>209.2115</v>
      </c>
      <c r="Y4304" s="398" t="s">
        <v>135</v>
      </c>
      <c r="Z4304" s="397">
        <f>+SUM(Z4299:Z4303)</f>
        <v>7950.0370000000003</v>
      </c>
      <c r="AA4304" s="86"/>
      <c r="AB4304" s="384"/>
      <c r="AC4304" s="385"/>
      <c r="AD4304" s="94"/>
      <c r="AE4304" s="399"/>
    </row>
    <row r="4305" spans="3:31" s="260" customFormat="1" ht="15.75" thickBot="1" x14ac:dyDescent="0.3">
      <c r="C4305" s="84"/>
      <c r="D4305" s="375">
        <f>C4295</f>
        <v>4.1100000000000003</v>
      </c>
      <c r="E4305" s="376"/>
      <c r="F4305" s="376"/>
      <c r="G4305" s="376"/>
      <c r="H4305" s="376"/>
      <c r="I4305" s="376"/>
      <c r="J4305" s="377"/>
      <c r="K4305" s="88"/>
      <c r="M4305" s="566"/>
      <c r="N4305" s="567" t="s">
        <v>102</v>
      </c>
      <c r="O4305" s="567"/>
      <c r="P4305" s="567"/>
      <c r="Q4305" s="567"/>
      <c r="R4305" s="567"/>
      <c r="S4305" s="567"/>
      <c r="T4305" s="567"/>
      <c r="U4305" s="567"/>
      <c r="V4305" s="400">
        <f>+ROUND(V4304,$AA$5)</f>
        <v>209.21</v>
      </c>
      <c r="Y4305" s="401" t="s">
        <v>136</v>
      </c>
      <c r="Z4305" s="402">
        <f>+ROUND(Z4304,$AA$5)</f>
        <v>7950.04</v>
      </c>
      <c r="AA4305" s="86"/>
      <c r="AB4305" s="403">
        <f>+V4305*Y4295</f>
        <v>7949.9800000000005</v>
      </c>
      <c r="AC4305" s="404">
        <f>+AB4305-Z4305</f>
        <v>-5.9999999999490683E-2</v>
      </c>
      <c r="AD4305" s="94"/>
      <c r="AE4305" s="405"/>
    </row>
    <row r="4306" spans="3:31" s="260" customFormat="1" x14ac:dyDescent="0.25">
      <c r="C4306" s="84"/>
      <c r="D4306" s="380"/>
      <c r="E4306" s="381"/>
      <c r="F4306" s="381"/>
      <c r="G4306" s="381"/>
      <c r="H4306" s="381"/>
      <c r="I4306" s="381"/>
      <c r="J4306" s="382"/>
      <c r="K4306" s="88"/>
      <c r="M4306" s="510" t="s">
        <v>103</v>
      </c>
      <c r="N4306" s="511"/>
      <c r="O4306" s="511"/>
      <c r="P4306" s="511"/>
      <c r="Q4306" s="511"/>
      <c r="R4306" s="511"/>
      <c r="S4306" s="511"/>
      <c r="T4306" s="511"/>
      <c r="U4306" s="511"/>
      <c r="V4306" s="512"/>
      <c r="Y4306" s="378"/>
      <c r="Z4306" s="121"/>
      <c r="AA4306" s="86"/>
      <c r="AB4306" s="513"/>
      <c r="AC4306" s="514"/>
      <c r="AD4306" s="94"/>
      <c r="AE4306" s="126"/>
    </row>
    <row r="4307" spans="3:31" s="260" customFormat="1" x14ac:dyDescent="0.25">
      <c r="C4307" s="84"/>
      <c r="D4307" s="85"/>
      <c r="E4307" s="86"/>
      <c r="F4307" s="86"/>
      <c r="G4307" s="86"/>
      <c r="H4307" s="86"/>
      <c r="I4307" s="86"/>
      <c r="J4307" s="87"/>
      <c r="K4307" s="88"/>
      <c r="M4307" s="99" t="s">
        <v>94</v>
      </c>
      <c r="N4307" s="561" t="s">
        <v>95</v>
      </c>
      <c r="O4307" s="561"/>
      <c r="P4307" s="561"/>
      <c r="Q4307" s="561"/>
      <c r="R4307" s="95" t="s">
        <v>96</v>
      </c>
      <c r="S4307" s="95" t="s">
        <v>104</v>
      </c>
      <c r="T4307" s="356" t="s">
        <v>105</v>
      </c>
      <c r="U4307" s="356" t="s">
        <v>8</v>
      </c>
      <c r="V4307" s="100" t="s">
        <v>98</v>
      </c>
      <c r="Y4307" s="383" t="s">
        <v>104</v>
      </c>
      <c r="Z4307" s="119" t="s">
        <v>9</v>
      </c>
      <c r="AA4307" s="86"/>
      <c r="AB4307" s="384"/>
      <c r="AC4307" s="385"/>
      <c r="AD4307" s="94"/>
      <c r="AE4307" s="406"/>
    </row>
    <row r="4308" spans="3:31" s="260" customFormat="1" x14ac:dyDescent="0.25">
      <c r="C4308" s="84"/>
      <c r="D4308" s="85"/>
      <c r="E4308" s="86"/>
      <c r="F4308" s="86"/>
      <c r="G4308" s="86"/>
      <c r="H4308" s="86"/>
      <c r="I4308" s="86"/>
      <c r="J4308" s="87"/>
      <c r="K4308" s="88"/>
      <c r="M4308" s="102">
        <v>542</v>
      </c>
      <c r="N4308" s="533" t="str">
        <f>IFERROR(VLOOKUP(M4308,INSUMOS!$C$8:$K$928,2,0),"-----")</f>
        <v>YEE 4" A 2" SANITARIO</v>
      </c>
      <c r="O4308" s="533"/>
      <c r="P4308" s="533"/>
      <c r="Q4308" s="533"/>
      <c r="R4308" s="78" t="str">
        <f>IFERROR(VLOOKUP(M4308,INSUMOS!$C$8:$K$928,6,0),"-----")</f>
        <v>und</v>
      </c>
      <c r="S4308" s="396">
        <v>1</v>
      </c>
      <c r="T4308" s="387">
        <v>0</v>
      </c>
      <c r="U4308" s="388">
        <f>IFERROR(VLOOKUP(M4308,INSUMOS!$C$8:$K$928,7,0),"0")</f>
        <v>31209</v>
      </c>
      <c r="V4308" s="389">
        <f>+IFERROR(U4308*(S4308*(1+T4308)),0)</f>
        <v>31209</v>
      </c>
      <c r="Y4308" s="393">
        <f>+IFERROR(Y4295*(S4308*(1+T4308)),0)</f>
        <v>38</v>
      </c>
      <c r="Z4308" s="391">
        <f>Y4295*V4308</f>
        <v>1185942</v>
      </c>
      <c r="AA4308" s="394"/>
      <c r="AB4308" s="395">
        <f>+Y4308*U4308</f>
        <v>1185942</v>
      </c>
      <c r="AC4308" s="93">
        <f>+AB4308-Z4308</f>
        <v>0</v>
      </c>
      <c r="AD4308" s="94"/>
      <c r="AE4308" s="406" t="str">
        <f>+IF(V4308=0,"CERO","NO")</f>
        <v>NO</v>
      </c>
    </row>
    <row r="4309" spans="3:31" s="260" customFormat="1" x14ac:dyDescent="0.25">
      <c r="C4309" s="84"/>
      <c r="D4309" s="85"/>
      <c r="E4309" s="86"/>
      <c r="F4309" s="86"/>
      <c r="G4309" s="86"/>
      <c r="H4309" s="86"/>
      <c r="I4309" s="86"/>
      <c r="J4309" s="87"/>
      <c r="K4309" s="88"/>
      <c r="M4309" s="102">
        <v>699</v>
      </c>
      <c r="N4309" s="533" t="str">
        <f>IFERROR(VLOOKUP(M4309,INSUMOS!$C$8:$K$928,2,0),"-----")</f>
        <v>SOLDADURA PVC LIQUIDA 1/4"</v>
      </c>
      <c r="O4309" s="533"/>
      <c r="P4309" s="533"/>
      <c r="Q4309" s="533"/>
      <c r="R4309" s="78" t="str">
        <f>IFERROR(VLOOKUP(M4309,INSUMOS!$C$8:$K$928,6,0),"-----")</f>
        <v>und</v>
      </c>
      <c r="S4309" s="396">
        <v>0.01</v>
      </c>
      <c r="T4309" s="387">
        <v>0.02</v>
      </c>
      <c r="U4309" s="388">
        <f>IFERROR(VLOOKUP(M4309,INSUMOS!$C$8:$K$928,7,0),"0")</f>
        <v>146569</v>
      </c>
      <c r="V4309" s="389">
        <f>+IFERROR(U4309*(S4309*(1+T4309)),0)</f>
        <v>1495.0038000000002</v>
      </c>
      <c r="Y4309" s="393">
        <f>+IFERROR(Y4295*(S4309*(1+T4309)),0)</f>
        <v>0.38760000000000006</v>
      </c>
      <c r="Z4309" s="391">
        <f>Y4295*V4309</f>
        <v>56810.144400000005</v>
      </c>
      <c r="AA4309" s="394"/>
      <c r="AB4309" s="395">
        <f>+Y4309*U4309</f>
        <v>56810.144400000005</v>
      </c>
      <c r="AC4309" s="93">
        <f>+AB4309-Z4309</f>
        <v>0</v>
      </c>
      <c r="AD4309" s="94"/>
      <c r="AE4309" s="406" t="str">
        <f>+IF(V4309=0,"CERO","NO")</f>
        <v>NO</v>
      </c>
    </row>
    <row r="4310" spans="3:31" s="260" customFormat="1" x14ac:dyDescent="0.25">
      <c r="C4310" s="84"/>
      <c r="D4310" s="85"/>
      <c r="E4310" s="86"/>
      <c r="F4310" s="86"/>
      <c r="G4310" s="86"/>
      <c r="H4310" s="86"/>
      <c r="I4310" s="86"/>
      <c r="J4310" s="87"/>
      <c r="K4310" s="88"/>
      <c r="M4310" s="102">
        <v>700</v>
      </c>
      <c r="N4310" s="533" t="str">
        <f>IFERROR(VLOOKUP(M4310,INSUMOS!$C$8:$K$928,2,0),"-----")</f>
        <v>LIMPIADOR PVC 1/4</v>
      </c>
      <c r="O4310" s="533"/>
      <c r="P4310" s="533"/>
      <c r="Q4310" s="533"/>
      <c r="R4310" s="78" t="str">
        <f>IFERROR(VLOOKUP(M4310,INSUMOS!$C$8:$K$928,6,0),"-----")</f>
        <v>und</v>
      </c>
      <c r="S4310" s="396">
        <v>0.01</v>
      </c>
      <c r="T4310" s="387">
        <v>0.02</v>
      </c>
      <c r="U4310" s="388">
        <f>IFERROR(VLOOKUP(M4310,INSUMOS!$C$8:$K$928,7,0),"0")</f>
        <v>65913</v>
      </c>
      <c r="V4310" s="389">
        <f>+IFERROR(U4310*(S4310*(1+T4310)),0)</f>
        <v>672.31260000000009</v>
      </c>
      <c r="Y4310" s="393">
        <f>+IFERROR(Y4295*(S4310*(1+T4310)),0)</f>
        <v>0.38760000000000006</v>
      </c>
      <c r="Z4310" s="391">
        <f>Y4295*V4310</f>
        <v>25547.878800000002</v>
      </c>
      <c r="AA4310" s="394"/>
      <c r="AB4310" s="395">
        <f>+Y4310*U4310</f>
        <v>25547.878800000002</v>
      </c>
      <c r="AC4310" s="93">
        <f>+AB4310-Z4310</f>
        <v>0</v>
      </c>
      <c r="AD4310" s="94"/>
      <c r="AE4310" s="406" t="str">
        <f>+IF(V4310=0,"CERO","NO")</f>
        <v>NO</v>
      </c>
    </row>
    <row r="4311" spans="3:31" s="260" customFormat="1" x14ac:dyDescent="0.25">
      <c r="C4311" s="84"/>
      <c r="D4311" s="85"/>
      <c r="E4311" s="86"/>
      <c r="F4311" s="86"/>
      <c r="G4311" s="86"/>
      <c r="H4311" s="86"/>
      <c r="I4311" s="86"/>
      <c r="J4311" s="87"/>
      <c r="K4311" s="88"/>
      <c r="M4311" s="102">
        <v>0</v>
      </c>
      <c r="N4311" s="533" t="str">
        <f>IFERROR(VLOOKUP(M4311,INSUMOS!$C$8:$K$928,2,0),"-----")</f>
        <v>-----</v>
      </c>
      <c r="O4311" s="533"/>
      <c r="P4311" s="533"/>
      <c r="Q4311" s="533"/>
      <c r="R4311" s="78" t="str">
        <f>IFERROR(VLOOKUP(M4311,INSUMOS!$C$8:$K$928,6,0),"-----")</f>
        <v>-----</v>
      </c>
      <c r="S4311" s="396"/>
      <c r="T4311" s="387"/>
      <c r="U4311" s="388" t="str">
        <f>IFERROR(VLOOKUP(M4311,INSUMOS!$C$8:$K$928,7,0),"0")</f>
        <v>0</v>
      </c>
      <c r="V4311" s="389">
        <f>+IFERROR(U4311*(S4311*(1+T4311)),0)</f>
        <v>0</v>
      </c>
      <c r="Y4311" s="393">
        <f>+IFERROR(Y4295*(S4311*(1+T4311)),0)</f>
        <v>0</v>
      </c>
      <c r="Z4311" s="391">
        <f>Y4295*V4311</f>
        <v>0</v>
      </c>
      <c r="AA4311" s="394"/>
      <c r="AB4311" s="395">
        <f>+Y4311*U4311</f>
        <v>0</v>
      </c>
      <c r="AC4311" s="93">
        <f>+AB4311-Z4311</f>
        <v>0</v>
      </c>
      <c r="AD4311" s="94"/>
      <c r="AE4311" s="406" t="str">
        <f>+IF(V4311=0,"CERO","NO")</f>
        <v>CERO</v>
      </c>
    </row>
    <row r="4312" spans="3:31" s="260" customFormat="1" ht="15.75" thickBot="1" x14ac:dyDescent="0.3">
      <c r="C4312" s="84"/>
      <c r="D4312" s="85"/>
      <c r="E4312" s="86"/>
      <c r="F4312" s="86"/>
      <c r="G4312" s="86"/>
      <c r="H4312" s="86"/>
      <c r="I4312" s="86"/>
      <c r="J4312" s="87"/>
      <c r="K4312" s="88"/>
      <c r="M4312" s="102">
        <v>0</v>
      </c>
      <c r="N4312" s="564"/>
      <c r="O4312" s="564"/>
      <c r="P4312" s="564"/>
      <c r="Q4312" s="564"/>
      <c r="R4312" s="96"/>
      <c r="S4312" s="79"/>
      <c r="T4312" s="97"/>
      <c r="U4312" s="358"/>
      <c r="V4312" s="397"/>
      <c r="Y4312" s="393">
        <f>+IFERROR(Y4295*(S4312*(1+T4312)),0)</f>
        <v>0</v>
      </c>
      <c r="Z4312" s="391">
        <f>Y4295*V4312</f>
        <v>0</v>
      </c>
      <c r="AA4312" s="394"/>
      <c r="AB4312" s="395">
        <f>+Y4312*U4312</f>
        <v>0</v>
      </c>
      <c r="AC4312" s="93">
        <f>+AB4312-Z4312</f>
        <v>0</v>
      </c>
      <c r="AD4312" s="94"/>
      <c r="AE4312" s="406" t="str">
        <f>+IF(V4312=0,"CERO","NO")</f>
        <v>CERO</v>
      </c>
    </row>
    <row r="4313" spans="3:31" s="260" customFormat="1" ht="15.75" thickBot="1" x14ac:dyDescent="0.3">
      <c r="C4313" s="84"/>
      <c r="D4313" s="375" t="s">
        <v>128</v>
      </c>
      <c r="E4313" s="376" t="s">
        <v>129</v>
      </c>
      <c r="F4313" s="376" t="s">
        <v>130</v>
      </c>
      <c r="G4313" s="376" t="s">
        <v>131</v>
      </c>
      <c r="H4313" s="376" t="s">
        <v>132</v>
      </c>
      <c r="I4313" s="376" t="s">
        <v>133</v>
      </c>
      <c r="J4313" s="377" t="s">
        <v>134</v>
      </c>
      <c r="K4313" s="88"/>
      <c r="M4313" s="534"/>
      <c r="N4313" s="536" t="s">
        <v>106</v>
      </c>
      <c r="O4313" s="536"/>
      <c r="P4313" s="536"/>
      <c r="Q4313" s="536"/>
      <c r="R4313" s="536"/>
      <c r="S4313" s="536"/>
      <c r="T4313" s="536"/>
      <c r="U4313" s="536"/>
      <c r="V4313" s="389">
        <f>+SUM(V4308:V4312)</f>
        <v>33376.316399999996</v>
      </c>
      <c r="Y4313" s="398" t="s">
        <v>135</v>
      </c>
      <c r="Z4313" s="397">
        <f>+SUM(Z4308:Z4312)</f>
        <v>1268300.0232000002</v>
      </c>
      <c r="AA4313" s="86"/>
      <c r="AB4313" s="384"/>
      <c r="AC4313" s="385"/>
      <c r="AD4313" s="94"/>
      <c r="AE4313" s="399"/>
    </row>
    <row r="4314" spans="3:31" s="260" customFormat="1" ht="15.75" thickBot="1" x14ac:dyDescent="0.3">
      <c r="C4314" s="84"/>
      <c r="D4314" s="375"/>
      <c r="E4314" s="407">
        <f>+D4305</f>
        <v>4.1100000000000003</v>
      </c>
      <c r="F4314" s="376"/>
      <c r="G4314" s="376"/>
      <c r="H4314" s="376"/>
      <c r="I4314" s="376"/>
      <c r="J4314" s="377"/>
      <c r="K4314" s="88"/>
      <c r="M4314" s="535"/>
      <c r="N4314" s="537" t="s">
        <v>107</v>
      </c>
      <c r="O4314" s="537"/>
      <c r="P4314" s="537"/>
      <c r="Q4314" s="537"/>
      <c r="R4314" s="537"/>
      <c r="S4314" s="537"/>
      <c r="T4314" s="537"/>
      <c r="U4314" s="537"/>
      <c r="V4314" s="408">
        <f>+ROUND(V4313,$AA$5)</f>
        <v>33376.32</v>
      </c>
      <c r="Y4314" s="401" t="s">
        <v>136</v>
      </c>
      <c r="Z4314" s="402">
        <f>+ROUND(Z4313,$AA$5)</f>
        <v>1268300.02</v>
      </c>
      <c r="AA4314" s="86"/>
      <c r="AB4314" s="403">
        <f>+V4314*Y4295</f>
        <v>1268300.1599999999</v>
      </c>
      <c r="AC4314" s="404">
        <f>+AB4314-Z4314</f>
        <v>0.13999999989755452</v>
      </c>
      <c r="AD4314" s="94"/>
      <c r="AE4314" s="405"/>
    </row>
    <row r="4315" spans="3:31" s="260" customFormat="1" x14ac:dyDescent="0.25">
      <c r="C4315" s="84"/>
      <c r="D4315" s="380"/>
      <c r="E4315" s="381"/>
      <c r="F4315" s="381"/>
      <c r="G4315" s="381"/>
      <c r="H4315" s="381"/>
      <c r="I4315" s="381"/>
      <c r="J4315" s="382"/>
      <c r="K4315" s="88"/>
      <c r="M4315" s="568" t="s">
        <v>108</v>
      </c>
      <c r="N4315" s="569"/>
      <c r="O4315" s="569"/>
      <c r="P4315" s="569"/>
      <c r="Q4315" s="569"/>
      <c r="R4315" s="569"/>
      <c r="S4315" s="569"/>
      <c r="T4315" s="569"/>
      <c r="U4315" s="569"/>
      <c r="V4315" s="570"/>
      <c r="Y4315" s="378"/>
      <c r="Z4315" s="121"/>
      <c r="AA4315" s="86"/>
      <c r="AB4315" s="409"/>
      <c r="AC4315" s="121"/>
      <c r="AD4315" s="94"/>
      <c r="AE4315" s="126"/>
    </row>
    <row r="4316" spans="3:31" s="260" customFormat="1" ht="25.5" x14ac:dyDescent="0.25">
      <c r="C4316" s="84"/>
      <c r="D4316" s="85"/>
      <c r="E4316" s="86"/>
      <c r="F4316" s="86"/>
      <c r="G4316" s="86"/>
      <c r="H4316" s="86"/>
      <c r="I4316" s="86"/>
      <c r="J4316" s="87"/>
      <c r="K4316" s="88"/>
      <c r="M4316" s="99" t="s">
        <v>94</v>
      </c>
      <c r="N4316" s="561" t="s">
        <v>95</v>
      </c>
      <c r="O4316" s="561"/>
      <c r="P4316" s="561"/>
      <c r="Q4316" s="95" t="s">
        <v>109</v>
      </c>
      <c r="R4316" s="95" t="s">
        <v>110</v>
      </c>
      <c r="S4316" s="95" t="s">
        <v>111</v>
      </c>
      <c r="T4316" s="562" t="s">
        <v>112</v>
      </c>
      <c r="U4316" s="562"/>
      <c r="V4316" s="100" t="s">
        <v>98</v>
      </c>
      <c r="Y4316" s="383" t="s">
        <v>104</v>
      </c>
      <c r="Z4316" s="119" t="s">
        <v>9</v>
      </c>
      <c r="AA4316" s="86"/>
      <c r="AB4316" s="384"/>
      <c r="AC4316" s="385"/>
      <c r="AD4316" s="94"/>
      <c r="AE4316" s="410"/>
    </row>
    <row r="4317" spans="3:31" s="260" customFormat="1" x14ac:dyDescent="0.25">
      <c r="C4317" s="84"/>
      <c r="D4317" s="85"/>
      <c r="E4317" s="86"/>
      <c r="F4317" s="86"/>
      <c r="G4317" s="86"/>
      <c r="H4317" s="86"/>
      <c r="I4317" s="86"/>
      <c r="J4317" s="87"/>
      <c r="K4317" s="88"/>
      <c r="M4317" s="102">
        <v>129</v>
      </c>
      <c r="N4317" s="530" t="str">
        <f>IFERROR(VLOOKUP(M4317,INSUMOS!$C$8:$K$928,2,0),"-----")</f>
        <v>transporte materiales en general</v>
      </c>
      <c r="O4317" s="531"/>
      <c r="P4317" s="532"/>
      <c r="Q4317" s="78" t="str">
        <f>IFERROR(VLOOKUP(M4317,INSUMOS!$C$8:$K$928,5,0),"-----")</f>
        <v>Km</v>
      </c>
      <c r="R4317" s="80">
        <v>1</v>
      </c>
      <c r="S4317" s="80">
        <f>IFERROR(VLOOKUP(M4317,INSUMOS!$C$8:$K$928,6,0),"0")</f>
        <v>348</v>
      </c>
      <c r="T4317" s="529">
        <f>IFERROR(VLOOKUP(M4317,INSUMOS!$C$8:$K$928,7,0),"0")</f>
        <v>0.99776362060288992</v>
      </c>
      <c r="U4317" s="529"/>
      <c r="V4317" s="82">
        <f>+T4317*S4317*R4317</f>
        <v>347.2217399698057</v>
      </c>
      <c r="Y4317" s="393">
        <f>+IFERROR((R4317*S4317)*Y4295,0)</f>
        <v>13224</v>
      </c>
      <c r="Z4317" s="391">
        <f>Y4295*V4317</f>
        <v>13194.426118852616</v>
      </c>
      <c r="AA4317" s="86"/>
      <c r="AB4317" s="92">
        <f>+Y4317*T4317</f>
        <v>13194.426118852616</v>
      </c>
      <c r="AC4317" s="93">
        <f>+AB4317-Z4317</f>
        <v>0</v>
      </c>
      <c r="AD4317" s="94"/>
      <c r="AE4317" s="406" t="str">
        <f>+IF(V4317=0,"CERO","NO")</f>
        <v>NO</v>
      </c>
    </row>
    <row r="4318" spans="3:31" s="260" customFormat="1" x14ac:dyDescent="0.25">
      <c r="C4318" s="84"/>
      <c r="D4318" s="85"/>
      <c r="E4318" s="86"/>
      <c r="F4318" s="86"/>
      <c r="G4318" s="86"/>
      <c r="H4318" s="86"/>
      <c r="I4318" s="86"/>
      <c r="J4318" s="87"/>
      <c r="K4318" s="88"/>
      <c r="M4318" s="102">
        <v>0</v>
      </c>
      <c r="N4318" s="530" t="str">
        <f>IFERROR(VLOOKUP(M4318,INSUMOS!$C$8:$K$928,2,0),"-----")</f>
        <v>-----</v>
      </c>
      <c r="O4318" s="531"/>
      <c r="P4318" s="532"/>
      <c r="Q4318" s="78" t="str">
        <f>IFERROR(VLOOKUP(M4318,INSUMOS!$C$8:$K$928,5,0),"-----")</f>
        <v>-----</v>
      </c>
      <c r="R4318" s="80"/>
      <c r="S4318" s="80" t="str">
        <f>IFERROR(VLOOKUP(M4318,INSUMOS!$C$8:$K$928,6,0),"0")</f>
        <v>0</v>
      </c>
      <c r="T4318" s="529" t="str">
        <f>IFERROR(VLOOKUP(M4318,INSUMOS!$C$8:$K$928,7,0),"0")</f>
        <v>0</v>
      </c>
      <c r="U4318" s="529"/>
      <c r="V4318" s="82">
        <f>+T4318*S4318*R4318</f>
        <v>0</v>
      </c>
      <c r="Y4318" s="393">
        <f>+IFERROR((R4318*S4318)*Y4295,0)</f>
        <v>0</v>
      </c>
      <c r="Z4318" s="391">
        <f>Y4295*V4318</f>
        <v>0</v>
      </c>
      <c r="AA4318" s="86"/>
      <c r="AB4318" s="92">
        <f>+Y4318*T4318</f>
        <v>0</v>
      </c>
      <c r="AC4318" s="93">
        <f>+AB4318-Z4318</f>
        <v>0</v>
      </c>
      <c r="AD4318" s="94"/>
      <c r="AE4318" s="406" t="str">
        <f>+IF(V4318=0,"CERO","NO")</f>
        <v>CERO</v>
      </c>
    </row>
    <row r="4319" spans="3:31" s="260" customFormat="1" x14ac:dyDescent="0.25">
      <c r="C4319" s="84"/>
      <c r="D4319" s="85"/>
      <c r="E4319" s="86"/>
      <c r="F4319" s="86"/>
      <c r="G4319" s="86"/>
      <c r="H4319" s="86"/>
      <c r="I4319" s="86"/>
      <c r="J4319" s="87"/>
      <c r="K4319" s="88"/>
      <c r="M4319" s="102">
        <v>0</v>
      </c>
      <c r="N4319" s="530" t="str">
        <f>IFERROR(VLOOKUP(M4319,INSUMOS!$C$8:$K$928,2,0),"-----")</f>
        <v>-----</v>
      </c>
      <c r="O4319" s="531"/>
      <c r="P4319" s="532"/>
      <c r="Q4319" s="78" t="str">
        <f>IFERROR(VLOOKUP(M4319,INSUMOS!$C$8:$K$928,5,0),"-----")</f>
        <v>-----</v>
      </c>
      <c r="R4319" s="80"/>
      <c r="S4319" s="80" t="str">
        <f>IFERROR(VLOOKUP(M4319,INSUMOS!$C$8:$K$928,6,0),"0")</f>
        <v>0</v>
      </c>
      <c r="T4319" s="529" t="str">
        <f>IFERROR(VLOOKUP(M4319,INSUMOS!$C$8:$K$928,7,0),"0")</f>
        <v>0</v>
      </c>
      <c r="U4319" s="529"/>
      <c r="V4319" s="82">
        <f>+T4319*S4319*R4319</f>
        <v>0</v>
      </c>
      <c r="Y4319" s="393">
        <f>+IFERROR((R4319*S4319)*Y4295,0)</f>
        <v>0</v>
      </c>
      <c r="Z4319" s="391">
        <f>Y4295*V4319</f>
        <v>0</v>
      </c>
      <c r="AA4319" s="86"/>
      <c r="AB4319" s="92">
        <f>+Y4319*T4319</f>
        <v>0</v>
      </c>
      <c r="AC4319" s="93">
        <f>+AB4319-Z4319</f>
        <v>0</v>
      </c>
      <c r="AD4319" s="94"/>
      <c r="AE4319" s="406" t="str">
        <f>+IF(V4319=0,"CERO","NO")</f>
        <v>CERO</v>
      </c>
    </row>
    <row r="4320" spans="3:31" s="260" customFormat="1" ht="15.75" thickBot="1" x14ac:dyDescent="0.3">
      <c r="C4320" s="84"/>
      <c r="D4320" s="89"/>
      <c r="E4320" s="90"/>
      <c r="F4320" s="90"/>
      <c r="G4320" s="90"/>
      <c r="H4320" s="90"/>
      <c r="I4320" s="90"/>
      <c r="J4320" s="91"/>
      <c r="K4320" s="88"/>
      <c r="M4320" s="102">
        <v>0</v>
      </c>
      <c r="N4320" s="533"/>
      <c r="O4320" s="533"/>
      <c r="P4320" s="533"/>
      <c r="Q4320" s="79"/>
      <c r="R4320" s="78"/>
      <c r="S4320" s="81"/>
      <c r="T4320" s="529"/>
      <c r="U4320" s="529"/>
      <c r="V4320" s="82"/>
      <c r="Y4320" s="393">
        <f>+IFERROR((R4320*S4320)*Y4295,0)</f>
        <v>0</v>
      </c>
      <c r="Z4320" s="391">
        <f>Y4295*V4320</f>
        <v>0</v>
      </c>
      <c r="AA4320" s="86"/>
      <c r="AB4320" s="92">
        <f>+Y4320*T4320</f>
        <v>0</v>
      </c>
      <c r="AC4320" s="93">
        <f>+AB4320-Z4320</f>
        <v>0</v>
      </c>
      <c r="AD4320" s="94"/>
      <c r="AE4320" s="406" t="str">
        <f>+IF(V4320=0,"CERO","NO")</f>
        <v>CERO</v>
      </c>
    </row>
    <row r="4321" spans="3:31" s="260" customFormat="1" ht="15.75" thickBot="1" x14ac:dyDescent="0.3">
      <c r="C4321" s="84"/>
      <c r="D4321" s="375" t="s">
        <v>128</v>
      </c>
      <c r="E4321" s="376" t="s">
        <v>129</v>
      </c>
      <c r="F4321" s="376" t="s">
        <v>130</v>
      </c>
      <c r="G4321" s="376" t="s">
        <v>131</v>
      </c>
      <c r="H4321" s="376" t="s">
        <v>132</v>
      </c>
      <c r="I4321" s="376" t="s">
        <v>133</v>
      </c>
      <c r="J4321" s="377" t="s">
        <v>134</v>
      </c>
      <c r="K4321" s="88"/>
      <c r="M4321" s="534"/>
      <c r="N4321" s="536" t="s">
        <v>113</v>
      </c>
      <c r="O4321" s="536"/>
      <c r="P4321" s="536"/>
      <c r="Q4321" s="536"/>
      <c r="R4321" s="536"/>
      <c r="S4321" s="536"/>
      <c r="T4321" s="536"/>
      <c r="U4321" s="536"/>
      <c r="V4321" s="411">
        <f>+SUM(V4317:V4320)</f>
        <v>347.2217399698057</v>
      </c>
      <c r="Y4321" s="398" t="s">
        <v>135</v>
      </c>
      <c r="Z4321" s="397">
        <f>+SUM(Z4317:Z4320)</f>
        <v>13194.426118852616</v>
      </c>
      <c r="AA4321" s="86"/>
      <c r="AB4321" s="384"/>
      <c r="AC4321" s="385"/>
      <c r="AD4321" s="94"/>
      <c r="AE4321" s="399"/>
    </row>
    <row r="4322" spans="3:31" s="260" customFormat="1" ht="15.75" thickBot="1" x14ac:dyDescent="0.3">
      <c r="C4322" s="84"/>
      <c r="D4322" s="355"/>
      <c r="E4322" s="367"/>
      <c r="F4322" s="412">
        <f>+E4314</f>
        <v>4.1100000000000003</v>
      </c>
      <c r="G4322" s="367"/>
      <c r="H4322" s="367"/>
      <c r="I4322" s="367"/>
      <c r="J4322" s="368"/>
      <c r="K4322" s="88"/>
      <c r="M4322" s="535"/>
      <c r="N4322" s="537" t="s">
        <v>114</v>
      </c>
      <c r="O4322" s="537"/>
      <c r="P4322" s="537"/>
      <c r="Q4322" s="537"/>
      <c r="R4322" s="537"/>
      <c r="S4322" s="537"/>
      <c r="T4322" s="537"/>
      <c r="U4322" s="537"/>
      <c r="V4322" s="413">
        <f>+ROUND(V4321,$AA$5)</f>
        <v>347.22</v>
      </c>
      <c r="Y4322" s="401" t="s">
        <v>136</v>
      </c>
      <c r="Z4322" s="402">
        <f>+ROUND(Z4321,$AA$5)</f>
        <v>13194.43</v>
      </c>
      <c r="AA4322" s="86"/>
      <c r="AB4322" s="403">
        <f>+V4322*Y4295</f>
        <v>13194.36</v>
      </c>
      <c r="AC4322" s="414"/>
      <c r="AD4322" s="94"/>
      <c r="AE4322" s="405"/>
    </row>
    <row r="4323" spans="3:31" s="260" customFormat="1" ht="15.75" thickBot="1" x14ac:dyDescent="0.3">
      <c r="C4323" s="84"/>
      <c r="D4323" s="415"/>
      <c r="E4323" s="416"/>
      <c r="F4323" s="416"/>
      <c r="G4323" s="416"/>
      <c r="H4323" s="416"/>
      <c r="I4323" s="416"/>
      <c r="J4323" s="417"/>
      <c r="K4323" s="88"/>
      <c r="M4323" s="538" t="s">
        <v>115</v>
      </c>
      <c r="N4323" s="539"/>
      <c r="O4323" s="539"/>
      <c r="P4323" s="539"/>
      <c r="Q4323" s="539"/>
      <c r="R4323" s="539"/>
      <c r="S4323" s="539"/>
      <c r="T4323" s="539"/>
      <c r="U4323" s="539"/>
      <c r="V4323" s="540"/>
      <c r="Y4323" s="378"/>
      <c r="Z4323" s="121"/>
      <c r="AA4323" s="86"/>
      <c r="AB4323" s="409"/>
      <c r="AC4323" s="121"/>
      <c r="AD4323" s="94"/>
      <c r="AE4323" s="126"/>
    </row>
    <row r="4324" spans="3:31" s="260" customFormat="1" ht="15.75" thickBot="1" x14ac:dyDescent="0.3">
      <c r="C4324" s="84"/>
      <c r="D4324" s="375" t="s">
        <v>128</v>
      </c>
      <c r="E4324" s="376" t="s">
        <v>129</v>
      </c>
      <c r="F4324" s="376" t="s">
        <v>130</v>
      </c>
      <c r="G4324" s="376" t="s">
        <v>131</v>
      </c>
      <c r="H4324" s="376" t="s">
        <v>132</v>
      </c>
      <c r="I4324" s="376" t="s">
        <v>133</v>
      </c>
      <c r="J4324" s="377" t="s">
        <v>134</v>
      </c>
      <c r="K4324" s="88"/>
      <c r="M4324" s="99" t="s">
        <v>94</v>
      </c>
      <c r="N4324" s="98" t="s">
        <v>95</v>
      </c>
      <c r="O4324" s="95" t="s">
        <v>96</v>
      </c>
      <c r="P4324" s="359" t="s">
        <v>104</v>
      </c>
      <c r="Q4324" s="95" t="s">
        <v>116</v>
      </c>
      <c r="R4324" s="418" t="s">
        <v>117</v>
      </c>
      <c r="S4324" s="95" t="s">
        <v>347</v>
      </c>
      <c r="T4324" s="419" t="s">
        <v>118</v>
      </c>
      <c r="U4324" s="189" t="s">
        <v>119</v>
      </c>
      <c r="V4324" s="100" t="s">
        <v>98</v>
      </c>
      <c r="Y4324" s="383" t="s">
        <v>104</v>
      </c>
      <c r="Z4324" s="119" t="s">
        <v>9</v>
      </c>
      <c r="AA4324" s="86"/>
      <c r="AB4324" s="384"/>
      <c r="AC4324" s="385"/>
      <c r="AD4324" s="94"/>
      <c r="AE4324" s="410"/>
    </row>
    <row r="4325" spans="3:31" s="260" customFormat="1" ht="25.5" x14ac:dyDescent="0.25">
      <c r="C4325" s="84"/>
      <c r="D4325" s="354"/>
      <c r="E4325" s="96"/>
      <c r="F4325" s="96"/>
      <c r="G4325" s="96"/>
      <c r="H4325" s="96"/>
      <c r="I4325" s="96"/>
      <c r="J4325" s="420">
        <f>+F4322</f>
        <v>4.1100000000000003</v>
      </c>
      <c r="K4325" s="88"/>
      <c r="M4325" s="102">
        <v>207</v>
      </c>
      <c r="N4325" s="347" t="str">
        <f>IFERROR(VLOOKUP(M4325,INSUMOS!$C$8:$K$928,2,0),"-----")</f>
        <v>Oficial Hidrosanitario</v>
      </c>
      <c r="O4325" s="78" t="str">
        <f>IFERROR(VLOOKUP(M4325,INSUMOS!$C$8:$K$928,3,0),"-----")</f>
        <v>JORNAL+PS</v>
      </c>
      <c r="P4325" s="80">
        <v>1</v>
      </c>
      <c r="Q4325" s="79">
        <v>40</v>
      </c>
      <c r="R4325" s="190">
        <f>IFERROR(VLOOKUP(M4325,INSUMOS!$C$8:$K$928,4,0),"-----")</f>
        <v>92983</v>
      </c>
      <c r="S4325" s="190">
        <f>IFERROR(VLOOKUP(M4325,INSUMOS!$C$8:$K$928,6,0),"-----")</f>
        <v>74386</v>
      </c>
      <c r="T4325" s="190">
        <f>IFERROR(VLOOKUP(M4325,INSUMOS!$C$8:$K$928,5,0),"-----")</f>
        <v>0</v>
      </c>
      <c r="U4325" s="388">
        <f>SUM(R4325:T4325)</f>
        <v>167369</v>
      </c>
      <c r="V4325" s="82">
        <f>+IFERROR((P4325/Q4325)*U4325,0)</f>
        <v>4184.2250000000004</v>
      </c>
      <c r="Y4325" s="393">
        <f>+IFERROR((Y4295/Q4325*P4325),0)</f>
        <v>0.95</v>
      </c>
      <c r="Z4325" s="391">
        <f>Y4295*V4325</f>
        <v>159000.55000000002</v>
      </c>
      <c r="AA4325" s="86"/>
      <c r="AB4325" s="92">
        <f>+(U4325)*Y4325</f>
        <v>159000.54999999999</v>
      </c>
      <c r="AC4325" s="93">
        <f>+AB4325-Z4325</f>
        <v>0</v>
      </c>
      <c r="AD4325" s="421"/>
      <c r="AE4325" s="410" t="str">
        <f>+IF(V4325=0,"CERO","NO")</f>
        <v>NO</v>
      </c>
    </row>
    <row r="4326" spans="3:31" s="260" customFormat="1" ht="15.75" thickBot="1" x14ac:dyDescent="0.3">
      <c r="C4326" s="84"/>
      <c r="D4326" s="355"/>
      <c r="E4326" s="367"/>
      <c r="F4326" s="367"/>
      <c r="G4326" s="367"/>
      <c r="H4326" s="367"/>
      <c r="I4326" s="367"/>
      <c r="J4326" s="422">
        <f>+J4325</f>
        <v>4.1100000000000003</v>
      </c>
      <c r="K4326" s="88"/>
      <c r="M4326" s="102"/>
      <c r="N4326" s="347" t="str">
        <f>IFERROR(VLOOKUP(M4326,INSUMOS!$C$8:$K$928,2,0),"-----")</f>
        <v>-----</v>
      </c>
      <c r="O4326" s="78" t="str">
        <f>IFERROR(VLOOKUP(M4326,INSUMOS!$C$8:$K$928,3,0),"-----")</f>
        <v>-----</v>
      </c>
      <c r="P4326" s="80"/>
      <c r="Q4326" s="79"/>
      <c r="R4326" s="190" t="str">
        <f>IFERROR(VLOOKUP(M4326,INSUMOS!$C$8:$K$928,4,0),"-----")</f>
        <v>-----</v>
      </c>
      <c r="S4326" s="190" t="str">
        <f>IFERROR(VLOOKUP(M4326,INSUMOS!$C$8:$K$928,6,0),"-----")</f>
        <v>-----</v>
      </c>
      <c r="T4326" s="190" t="str">
        <f>IFERROR(VLOOKUP(M4326,INSUMOS!$C$8:$K$928,5,0),"-----")</f>
        <v>-----</v>
      </c>
      <c r="U4326" s="388">
        <f>SUM(R4326:T4326)</f>
        <v>0</v>
      </c>
      <c r="V4326" s="82">
        <f>+IFERROR((P4326/Q4326)*U4326,0)</f>
        <v>0</v>
      </c>
      <c r="Y4326" s="393">
        <f>+IFERROR((Y4295/Q4326*P4326),0)</f>
        <v>0</v>
      </c>
      <c r="Z4326" s="391">
        <f>Y4295*V4326</f>
        <v>0</v>
      </c>
      <c r="AA4326" s="86"/>
      <c r="AB4326" s="92">
        <f>+U4326*Y4326</f>
        <v>0</v>
      </c>
      <c r="AC4326" s="93">
        <f>+AB4326-Z4326</f>
        <v>0</v>
      </c>
      <c r="AD4326" s="94"/>
      <c r="AE4326" s="410" t="str">
        <f>+IF(V4326=0,"CERO","NO")</f>
        <v>CERO</v>
      </c>
    </row>
    <row r="4327" spans="3:31" s="260" customFormat="1" ht="15.75" thickBot="1" x14ac:dyDescent="0.3">
      <c r="C4327" s="84"/>
      <c r="D4327" s="380"/>
      <c r="E4327" s="381"/>
      <c r="F4327" s="381"/>
      <c r="G4327" s="381"/>
      <c r="H4327" s="381"/>
      <c r="I4327" s="381"/>
      <c r="J4327" s="382"/>
      <c r="K4327" s="88"/>
      <c r="M4327" s="102">
        <v>0</v>
      </c>
      <c r="N4327" s="347"/>
      <c r="O4327" s="79"/>
      <c r="P4327" s="423"/>
      <c r="Q4327" s="81"/>
      <c r="R4327" s="111"/>
      <c r="S4327" s="357"/>
      <c r="T4327" s="111"/>
      <c r="U4327" s="388"/>
      <c r="V4327" s="426"/>
      <c r="Y4327" s="393">
        <f>+IFERROR((Y4295/Q4327*P4327),0)</f>
        <v>0</v>
      </c>
      <c r="Z4327" s="391">
        <f>Y4295*V4327</f>
        <v>0</v>
      </c>
      <c r="AA4327" s="86"/>
      <c r="AB4327" s="92">
        <f>+(U4327)*Y4327*P4327</f>
        <v>0</v>
      </c>
      <c r="AC4327" s="93">
        <f>+AB4327-Z4327</f>
        <v>0</v>
      </c>
      <c r="AD4327" s="94"/>
      <c r="AE4327" s="410" t="str">
        <f>+IF(V4327=0,"CERO","NO")</f>
        <v>CERO</v>
      </c>
    </row>
    <row r="4328" spans="3:31" s="260" customFormat="1" ht="15.75" thickBot="1" x14ac:dyDescent="0.3">
      <c r="C4328" s="84"/>
      <c r="D4328" s="375" t="s">
        <v>128</v>
      </c>
      <c r="E4328" s="376" t="s">
        <v>129</v>
      </c>
      <c r="F4328" s="376" t="s">
        <v>130</v>
      </c>
      <c r="G4328" s="376" t="s">
        <v>131</v>
      </c>
      <c r="H4328" s="376" t="s">
        <v>132</v>
      </c>
      <c r="I4328" s="376" t="s">
        <v>133</v>
      </c>
      <c r="J4328" s="377" t="s">
        <v>134</v>
      </c>
      <c r="K4328" s="88"/>
      <c r="M4328" s="534"/>
      <c r="N4328" s="536" t="s">
        <v>120</v>
      </c>
      <c r="O4328" s="536"/>
      <c r="P4328" s="536"/>
      <c r="Q4328" s="536"/>
      <c r="R4328" s="536"/>
      <c r="S4328" s="536"/>
      <c r="T4328" s="536"/>
      <c r="U4328" s="536"/>
      <c r="V4328" s="82">
        <f>+SUM(V4325:V4327)</f>
        <v>4184.2250000000004</v>
      </c>
      <c r="Y4328" s="398" t="s">
        <v>135</v>
      </c>
      <c r="Z4328" s="397">
        <f>+SUM(Z4325:Z4327)</f>
        <v>159000.55000000002</v>
      </c>
      <c r="AA4328" s="86"/>
      <c r="AB4328" s="384"/>
      <c r="AC4328" s="385"/>
      <c r="AD4328" s="94"/>
      <c r="AE4328" s="399"/>
    </row>
    <row r="4329" spans="3:31" s="260" customFormat="1" ht="15.75" thickBot="1" x14ac:dyDescent="0.3">
      <c r="C4329" s="84"/>
      <c r="D4329" s="354"/>
      <c r="E4329" s="96"/>
      <c r="F4329" s="96"/>
      <c r="G4329" s="107">
        <f>+F4322</f>
        <v>4.1100000000000003</v>
      </c>
      <c r="H4329" s="96"/>
      <c r="I4329" s="96"/>
      <c r="J4329" s="427"/>
      <c r="K4329" s="88"/>
      <c r="M4329" s="535"/>
      <c r="N4329" s="537" t="s">
        <v>121</v>
      </c>
      <c r="O4329" s="537"/>
      <c r="P4329" s="537"/>
      <c r="Q4329" s="537"/>
      <c r="R4329" s="537"/>
      <c r="S4329" s="537"/>
      <c r="T4329" s="537"/>
      <c r="U4329" s="537"/>
      <c r="V4329" s="413">
        <f>+ROUND(V4328,$AA$5)</f>
        <v>4184.2299999999996</v>
      </c>
      <c r="Y4329" s="401" t="s">
        <v>136</v>
      </c>
      <c r="Z4329" s="402">
        <f>+ROUND(Z4328,$AA$5)</f>
        <v>159000.54999999999</v>
      </c>
      <c r="AA4329" s="86"/>
      <c r="AB4329" s="403">
        <f>+V4329*Y4295</f>
        <v>159000.74</v>
      </c>
      <c r="AC4329" s="404">
        <f>+AB4329-Z4329</f>
        <v>0.19000000000232831</v>
      </c>
      <c r="AD4329" s="94"/>
      <c r="AE4329" s="405"/>
    </row>
    <row r="4330" spans="3:31" s="260" customFormat="1" ht="15.75" thickBot="1" x14ac:dyDescent="0.3">
      <c r="C4330" s="84"/>
      <c r="D4330" s="375" t="s">
        <v>128</v>
      </c>
      <c r="E4330" s="376" t="s">
        <v>129</v>
      </c>
      <c r="F4330" s="376" t="s">
        <v>130</v>
      </c>
      <c r="G4330" s="376" t="s">
        <v>131</v>
      </c>
      <c r="H4330" s="376" t="s">
        <v>132</v>
      </c>
      <c r="I4330" s="376" t="s">
        <v>133</v>
      </c>
      <c r="J4330" s="377" t="s">
        <v>134</v>
      </c>
      <c r="K4330" s="88"/>
      <c r="M4330" s="541"/>
      <c r="N4330" s="542"/>
      <c r="O4330" s="542"/>
      <c r="P4330" s="542"/>
      <c r="Q4330" s="542"/>
      <c r="R4330" s="542"/>
      <c r="S4330" s="542"/>
      <c r="T4330" s="542"/>
      <c r="U4330" s="542"/>
      <c r="V4330" s="543"/>
      <c r="Y4330" s="378"/>
      <c r="Z4330" s="121"/>
      <c r="AA4330" s="86"/>
      <c r="AB4330" s="409"/>
      <c r="AC4330" s="121"/>
      <c r="AD4330" s="94"/>
      <c r="AE4330" s="428"/>
    </row>
    <row r="4331" spans="3:31" s="260" customFormat="1" ht="15.75" thickBot="1" x14ac:dyDescent="0.3">
      <c r="C4331" s="84"/>
      <c r="D4331" s="355"/>
      <c r="E4331" s="367"/>
      <c r="F4331" s="367"/>
      <c r="G4331" s="367"/>
      <c r="H4331" s="412">
        <f>G4329</f>
        <v>4.1100000000000003</v>
      </c>
      <c r="I4331" s="412"/>
      <c r="J4331" s="422"/>
      <c r="K4331" s="88"/>
      <c r="M4331" s="544" t="s">
        <v>122</v>
      </c>
      <c r="N4331" s="537"/>
      <c r="O4331" s="537"/>
      <c r="P4331" s="537"/>
      <c r="Q4331" s="537"/>
      <c r="R4331" s="537"/>
      <c r="S4331" s="537"/>
      <c r="T4331" s="537"/>
      <c r="U4331" s="545">
        <f>+V4329+V4322+V4314+V4305</f>
        <v>38116.979999999996</v>
      </c>
      <c r="V4331" s="546"/>
      <c r="Y4331" s="429"/>
      <c r="Z4331" s="430">
        <f>+Z4329+Z4322+Z4314+Z4305</f>
        <v>1448445.04</v>
      </c>
      <c r="AA4331" s="86"/>
      <c r="AB4331" s="431">
        <f>+AB4329+AB4322+AB4314+AB4305</f>
        <v>1448445.2399999998</v>
      </c>
      <c r="AC4331" s="404">
        <f>+AB4331-Z4331</f>
        <v>0.19999999972060323</v>
      </c>
      <c r="AD4331" s="94"/>
      <c r="AE4331" s="432"/>
    </row>
    <row r="4332" spans="3:31" s="260" customFormat="1" ht="15.75" thickBot="1" x14ac:dyDescent="0.3"/>
    <row r="4333" spans="3:31" s="260" customFormat="1" x14ac:dyDescent="0.25">
      <c r="M4333" s="547" t="s">
        <v>348</v>
      </c>
      <c r="N4333" s="548"/>
      <c r="O4333" s="548"/>
      <c r="P4333" s="548"/>
      <c r="Q4333" s="548"/>
      <c r="R4333" s="548"/>
      <c r="S4333" s="548"/>
      <c r="T4333" s="548"/>
      <c r="U4333" s="548"/>
      <c r="V4333" s="549"/>
      <c r="Y4333" s="378"/>
      <c r="Z4333" s="121"/>
      <c r="AA4333" s="86"/>
      <c r="AB4333" s="94"/>
      <c r="AC4333" s="94"/>
      <c r="AD4333" s="94"/>
      <c r="AE4333" s="126" t="s">
        <v>133</v>
      </c>
    </row>
    <row r="4334" spans="3:31" s="260" customFormat="1" x14ac:dyDescent="0.25">
      <c r="M4334" s="515" t="s">
        <v>138</v>
      </c>
      <c r="N4334" s="516"/>
      <c r="O4334" s="516"/>
      <c r="P4334" s="516"/>
      <c r="Q4334" s="516"/>
      <c r="R4334" s="516"/>
      <c r="S4334" s="516"/>
      <c r="T4334" s="437">
        <v>0</v>
      </c>
      <c r="U4334" s="517">
        <f>+ROUND(U4331*T4334,$AA$5)</f>
        <v>0</v>
      </c>
      <c r="V4334" s="518"/>
      <c r="Y4334" s="390"/>
      <c r="Z4334" s="438">
        <f>+Z4331*T4334</f>
        <v>0</v>
      </c>
      <c r="AA4334" s="86"/>
      <c r="AB4334" s="94"/>
      <c r="AC4334" s="94"/>
      <c r="AD4334" s="94"/>
      <c r="AE4334" s="386" t="s">
        <v>133</v>
      </c>
    </row>
    <row r="4335" spans="3:31" s="260" customFormat="1" x14ac:dyDescent="0.25">
      <c r="M4335" s="515" t="s">
        <v>19</v>
      </c>
      <c r="N4335" s="516"/>
      <c r="O4335" s="516"/>
      <c r="P4335" s="516"/>
      <c r="Q4335" s="516"/>
      <c r="R4335" s="516"/>
      <c r="S4335" s="516"/>
      <c r="T4335" s="437">
        <v>0.05</v>
      </c>
      <c r="U4335" s="517">
        <f>+ROUND(U4331*T4335,$AA$5)</f>
        <v>1905.85</v>
      </c>
      <c r="V4335" s="518"/>
      <c r="Y4335" s="390"/>
      <c r="Z4335" s="438">
        <f>+Z4331*T4335</f>
        <v>72422.252000000008</v>
      </c>
      <c r="AA4335" s="86"/>
      <c r="AB4335" s="94"/>
      <c r="AC4335" s="94"/>
      <c r="AD4335" s="94"/>
      <c r="AE4335" s="386" t="s">
        <v>133</v>
      </c>
    </row>
    <row r="4336" spans="3:31" s="260" customFormat="1" x14ac:dyDescent="0.25">
      <c r="M4336" s="515" t="s">
        <v>20</v>
      </c>
      <c r="N4336" s="516"/>
      <c r="O4336" s="516"/>
      <c r="P4336" s="516"/>
      <c r="Q4336" s="516"/>
      <c r="R4336" s="516"/>
      <c r="S4336" s="516"/>
      <c r="T4336" s="437">
        <v>0</v>
      </c>
      <c r="U4336" s="517">
        <f>+ROUND(U4331*T4336,$AA$5)</f>
        <v>0</v>
      </c>
      <c r="V4336" s="518"/>
      <c r="Y4336" s="390"/>
      <c r="Z4336" s="438">
        <f>+Z4331*T4336</f>
        <v>0</v>
      </c>
      <c r="AA4336" s="86"/>
      <c r="AB4336" s="94"/>
      <c r="AC4336" s="94"/>
      <c r="AD4336" s="94"/>
      <c r="AE4336" s="386" t="s">
        <v>133</v>
      </c>
    </row>
    <row r="4337" spans="3:31" s="260" customFormat="1" x14ac:dyDescent="0.25">
      <c r="M4337" s="515" t="s">
        <v>21</v>
      </c>
      <c r="N4337" s="516"/>
      <c r="O4337" s="516"/>
      <c r="P4337" s="516"/>
      <c r="Q4337" s="516"/>
      <c r="R4337" s="516"/>
      <c r="S4337" s="516"/>
      <c r="T4337" s="437">
        <f>$AA$9</f>
        <v>0</v>
      </c>
      <c r="U4337" s="517">
        <f>+ROUND(U4331*T4337,$AA$5)</f>
        <v>0</v>
      </c>
      <c r="V4337" s="518"/>
      <c r="Y4337" s="390"/>
      <c r="Z4337" s="438">
        <f>+Z4336*T4337</f>
        <v>0</v>
      </c>
      <c r="AA4337" s="86"/>
      <c r="AB4337" s="94"/>
      <c r="AC4337" s="94"/>
      <c r="AD4337" s="94"/>
      <c r="AE4337" s="386" t="s">
        <v>133</v>
      </c>
    </row>
    <row r="4338" spans="3:31" s="260" customFormat="1" ht="15.75" thickBot="1" x14ac:dyDescent="0.3">
      <c r="M4338" s="519" t="s">
        <v>349</v>
      </c>
      <c r="N4338" s="520"/>
      <c r="O4338" s="520"/>
      <c r="P4338" s="520"/>
      <c r="Q4338" s="520"/>
      <c r="R4338" s="520"/>
      <c r="S4338" s="520"/>
      <c r="T4338" s="520"/>
      <c r="U4338" s="521">
        <f>+SUM(U4334:V4337)</f>
        <v>1905.85</v>
      </c>
      <c r="V4338" s="522"/>
      <c r="Y4338" s="390"/>
      <c r="Z4338" s="439">
        <f>+SUM(Z4334:Z4337)</f>
        <v>72422.252000000008</v>
      </c>
      <c r="AA4338" s="86"/>
      <c r="AB4338" s="94"/>
      <c r="AC4338" s="94"/>
      <c r="AD4338" s="94"/>
      <c r="AE4338" s="386" t="s">
        <v>133</v>
      </c>
    </row>
    <row r="4339" spans="3:31" s="260" customFormat="1" ht="15.75" thickBot="1" x14ac:dyDescent="0.3">
      <c r="D4339" s="375" t="s">
        <v>128</v>
      </c>
      <c r="E4339" s="376" t="s">
        <v>129</v>
      </c>
      <c r="F4339" s="376" t="s">
        <v>130</v>
      </c>
      <c r="G4339" s="376" t="s">
        <v>131</v>
      </c>
      <c r="H4339" s="376" t="s">
        <v>132</v>
      </c>
      <c r="I4339" s="376" t="s">
        <v>133</v>
      </c>
      <c r="J4339" s="377" t="s">
        <v>134</v>
      </c>
      <c r="M4339" s="86"/>
      <c r="N4339" s="94"/>
      <c r="O4339" s="94"/>
      <c r="P4339" s="94"/>
      <c r="Q4339" s="86"/>
      <c r="R4339" s="86"/>
      <c r="S4339" s="86"/>
      <c r="T4339" s="440"/>
      <c r="U4339" s="523"/>
      <c r="V4339" s="523"/>
      <c r="Y4339" s="390"/>
      <c r="Z4339" s="385"/>
      <c r="AA4339" s="86"/>
      <c r="AB4339" s="94"/>
      <c r="AC4339" s="94"/>
      <c r="AD4339" s="94"/>
      <c r="AE4339" s="386" t="s">
        <v>133</v>
      </c>
    </row>
    <row r="4340" spans="3:31" s="260" customFormat="1" ht="15.75" thickBot="1" x14ac:dyDescent="0.3">
      <c r="D4340" s="355"/>
      <c r="E4340" s="367"/>
      <c r="F4340" s="367"/>
      <c r="G4340" s="367"/>
      <c r="H4340" s="412"/>
      <c r="I4340" s="412">
        <f>H4331</f>
        <v>4.1100000000000003</v>
      </c>
      <c r="J4340" s="422"/>
      <c r="M4340" s="524" t="s">
        <v>11</v>
      </c>
      <c r="N4340" s="525"/>
      <c r="O4340" s="525"/>
      <c r="P4340" s="525"/>
      <c r="Q4340" s="525"/>
      <c r="R4340" s="525"/>
      <c r="S4340" s="525"/>
      <c r="T4340" s="526"/>
      <c r="U4340" s="527">
        <f>+U4338+U4331</f>
        <v>40022.829999999994</v>
      </c>
      <c r="V4340" s="528"/>
      <c r="Y4340" s="429"/>
      <c r="Z4340" s="441">
        <f>+Z4338+Z4331</f>
        <v>1520867.2920000001</v>
      </c>
      <c r="AA4340" s="86"/>
      <c r="AB4340" s="94"/>
      <c r="AC4340" s="94"/>
      <c r="AD4340" s="94"/>
      <c r="AE4340" s="405" t="s">
        <v>133</v>
      </c>
    </row>
    <row r="4341" spans="3:31" s="260" customFormat="1" x14ac:dyDescent="0.25"/>
    <row r="4342" spans="3:31" s="260" customFormat="1" ht="15.75" thickBot="1" x14ac:dyDescent="0.3"/>
    <row r="4343" spans="3:31" s="260" customFormat="1" ht="15.75" thickBot="1" x14ac:dyDescent="0.3">
      <c r="M4343" s="363" t="s">
        <v>88</v>
      </c>
      <c r="N4343" s="436" t="str">
        <f>+N4294</f>
        <v>CAP.4</v>
      </c>
      <c r="O4343" s="550" t="str">
        <f>IFERROR(VLOOKUP(N4343,PPTO!C:H,2,0),"----")</f>
        <v>RED SANITARIA</v>
      </c>
      <c r="P4343" s="551"/>
      <c r="Q4343" s="551"/>
      <c r="R4343" s="551"/>
      <c r="S4343" s="551"/>
      <c r="T4343" s="551"/>
      <c r="U4343" s="552"/>
      <c r="V4343" s="74" t="s">
        <v>91</v>
      </c>
      <c r="Y4343" s="365" t="s">
        <v>104</v>
      </c>
      <c r="Z4343" s="94"/>
      <c r="AA4343" s="188"/>
      <c r="AB4343" s="553"/>
      <c r="AC4343" s="553"/>
      <c r="AD4343" s="553"/>
      <c r="AE4343" s="94"/>
    </row>
    <row r="4344" spans="3:31" s="260" customFormat="1" ht="15.75" thickBot="1" x14ac:dyDescent="0.3">
      <c r="C4344" s="369">
        <f>+N4344</f>
        <v>4.12</v>
      </c>
      <c r="D4344" s="86"/>
      <c r="E4344" s="86"/>
      <c r="F4344" s="86"/>
      <c r="G4344" s="86"/>
      <c r="H4344" s="86"/>
      <c r="I4344" s="86"/>
      <c r="J4344" s="86"/>
      <c r="K4344" s="370"/>
      <c r="M4344" s="75" t="s">
        <v>92</v>
      </c>
      <c r="N4344" s="371">
        <f>+ROUNDUP(N4295+0.01,2)</f>
        <v>4.12</v>
      </c>
      <c r="O4344" s="554" t="str">
        <f>IFERROR(VLOOKUP(N4344,PPTO!C:H,2,0),"----")</f>
        <v>Sifon Sanitario Ø2"</v>
      </c>
      <c r="P4344" s="555"/>
      <c r="Q4344" s="555"/>
      <c r="R4344" s="555"/>
      <c r="S4344" s="555"/>
      <c r="T4344" s="555"/>
      <c r="U4344" s="556"/>
      <c r="V4344" s="76" t="str">
        <f>IFERROR(VLOOKUP(N4344,PPTO!C:H,3,0),"----")</f>
        <v>UND</v>
      </c>
      <c r="Y4344" s="373">
        <f>SUMIFS(PPTO!F:F,PPTO!C:C,APUS!N4344)</f>
        <v>19</v>
      </c>
      <c r="Z4344" s="94"/>
      <c r="AA4344" s="86"/>
      <c r="AB4344" s="94"/>
      <c r="AC4344" s="94"/>
      <c r="AD4344" s="94"/>
      <c r="AE4344" s="94"/>
    </row>
    <row r="4345" spans="3:31" s="260" customFormat="1" ht="15.75" thickBot="1" x14ac:dyDescent="0.3">
      <c r="C4345" s="84"/>
      <c r="D4345" s="86"/>
      <c r="E4345" s="86"/>
      <c r="F4345" s="86"/>
      <c r="G4345" s="86"/>
      <c r="H4345" s="86"/>
      <c r="I4345" s="86"/>
      <c r="J4345" s="86"/>
      <c r="K4345" s="88"/>
      <c r="M4345" s="557"/>
      <c r="N4345" s="557"/>
      <c r="O4345" s="557"/>
      <c r="P4345" s="557"/>
      <c r="Q4345" s="557"/>
      <c r="R4345" s="557"/>
      <c r="S4345" s="557"/>
      <c r="T4345" s="557"/>
      <c r="U4345" s="557"/>
      <c r="V4345" s="557"/>
      <c r="Y4345" s="374"/>
      <c r="Z4345" s="94"/>
      <c r="AA4345" s="86"/>
      <c r="AB4345" s="94"/>
      <c r="AC4345" s="94"/>
      <c r="AD4345" s="94"/>
      <c r="AE4345" s="94"/>
    </row>
    <row r="4346" spans="3:31" s="260" customFormat="1" ht="15.75" thickBot="1" x14ac:dyDescent="0.3">
      <c r="C4346" s="84"/>
      <c r="D4346" s="375" t="s">
        <v>128</v>
      </c>
      <c r="E4346" s="376" t="s">
        <v>129</v>
      </c>
      <c r="F4346" s="376" t="s">
        <v>130</v>
      </c>
      <c r="G4346" s="376" t="s">
        <v>131</v>
      </c>
      <c r="H4346" s="376" t="s">
        <v>132</v>
      </c>
      <c r="I4346" s="376" t="s">
        <v>133</v>
      </c>
      <c r="J4346" s="377" t="s">
        <v>134</v>
      </c>
      <c r="K4346" s="88"/>
      <c r="M4346" s="558" t="s">
        <v>93</v>
      </c>
      <c r="N4346" s="559"/>
      <c r="O4346" s="559"/>
      <c r="P4346" s="559"/>
      <c r="Q4346" s="559"/>
      <c r="R4346" s="559"/>
      <c r="S4346" s="559"/>
      <c r="T4346" s="559"/>
      <c r="U4346" s="559"/>
      <c r="V4346" s="560"/>
      <c r="Y4346" s="378"/>
      <c r="Z4346" s="121"/>
      <c r="AA4346" s="86"/>
      <c r="AB4346" s="513"/>
      <c r="AC4346" s="514"/>
      <c r="AD4346" s="94"/>
      <c r="AE4346" s="379"/>
    </row>
    <row r="4347" spans="3:31" s="260" customFormat="1" x14ac:dyDescent="0.25">
      <c r="C4347" s="84"/>
      <c r="D4347" s="380"/>
      <c r="E4347" s="381"/>
      <c r="F4347" s="381"/>
      <c r="G4347" s="381"/>
      <c r="H4347" s="381"/>
      <c r="I4347" s="381"/>
      <c r="J4347" s="382"/>
      <c r="K4347" s="88"/>
      <c r="M4347" s="99" t="s">
        <v>94</v>
      </c>
      <c r="N4347" s="561" t="s">
        <v>95</v>
      </c>
      <c r="O4347" s="561"/>
      <c r="P4347" s="561"/>
      <c r="Q4347" s="561"/>
      <c r="R4347" s="95" t="s">
        <v>96</v>
      </c>
      <c r="S4347" s="95" t="s">
        <v>97</v>
      </c>
      <c r="T4347" s="562" t="s">
        <v>8</v>
      </c>
      <c r="U4347" s="562"/>
      <c r="V4347" s="100" t="s">
        <v>98</v>
      </c>
      <c r="Y4347" s="383" t="s">
        <v>104</v>
      </c>
      <c r="Z4347" s="119" t="s">
        <v>9</v>
      </c>
      <c r="AA4347" s="86"/>
      <c r="AB4347" s="384"/>
      <c r="AC4347" s="385"/>
      <c r="AD4347" s="94"/>
      <c r="AE4347" s="386"/>
    </row>
    <row r="4348" spans="3:31" s="260" customFormat="1" x14ac:dyDescent="0.25">
      <c r="C4348" s="84"/>
      <c r="D4348" s="85"/>
      <c r="E4348" s="86"/>
      <c r="F4348" s="86"/>
      <c r="G4348" s="86"/>
      <c r="H4348" s="86"/>
      <c r="I4348" s="86"/>
      <c r="J4348" s="87"/>
      <c r="K4348" s="88"/>
      <c r="M4348" s="102"/>
      <c r="N4348" s="533" t="s">
        <v>99</v>
      </c>
      <c r="O4348" s="533"/>
      <c r="P4348" s="533"/>
      <c r="Q4348" s="533"/>
      <c r="R4348" s="78" t="s">
        <v>100</v>
      </c>
      <c r="S4348" s="387">
        <f>+$AA$10</f>
        <v>0.05</v>
      </c>
      <c r="T4348" s="563">
        <f>V4378</f>
        <v>5578.97</v>
      </c>
      <c r="U4348" s="563"/>
      <c r="V4348" s="389">
        <f>+IFERROR(T4348*S4348,0)</f>
        <v>278.94850000000002</v>
      </c>
      <c r="Y4348" s="390"/>
      <c r="Z4348" s="391">
        <f>Y4344*V4348</f>
        <v>5300.0215000000007</v>
      </c>
      <c r="AA4348" s="86"/>
      <c r="AB4348" s="384"/>
      <c r="AC4348" s="385"/>
      <c r="AD4348" s="94"/>
      <c r="AE4348" s="386" t="str">
        <f>+IF(V4348=0,"CERO","NO")</f>
        <v>NO</v>
      </c>
    </row>
    <row r="4349" spans="3:31" s="260" customFormat="1" x14ac:dyDescent="0.25">
      <c r="C4349" s="84"/>
      <c r="D4349" s="85"/>
      <c r="E4349" s="86"/>
      <c r="F4349" s="86"/>
      <c r="G4349" s="86"/>
      <c r="H4349" s="86"/>
      <c r="I4349" s="86"/>
      <c r="J4349" s="87"/>
      <c r="K4349" s="88"/>
      <c r="M4349" s="106"/>
      <c r="N4349" s="533" t="str">
        <f>IFERROR(VLOOKUP(M4349,INSUMOS!$C$8:$K$928,2,0),"-----")</f>
        <v>-----</v>
      </c>
      <c r="O4349" s="533"/>
      <c r="P4349" s="533"/>
      <c r="Q4349" s="533"/>
      <c r="R4349" s="78" t="str">
        <f>IFERROR(VLOOKUP(M4349,INSUMOS!$C$8:$K$928,6,0),"-----")</f>
        <v>-----</v>
      </c>
      <c r="S4349" s="392"/>
      <c r="T4349" s="529" t="str">
        <f>IFERROR(VLOOKUP(M4349,INSUMOS!$C$8:$K$928,7,0),"0")</f>
        <v>0</v>
      </c>
      <c r="U4349" s="529"/>
      <c r="V4349" s="389">
        <f>+IFERROR(T4349*S4349,0)</f>
        <v>0</v>
      </c>
      <c r="Y4349" s="393">
        <f>+IFERROR(Y4344*S4349,0)</f>
        <v>0</v>
      </c>
      <c r="Z4349" s="391">
        <f>Y4344*V4349</f>
        <v>0</v>
      </c>
      <c r="AA4349" s="394"/>
      <c r="AB4349" s="395">
        <f>+Y4349*T4349</f>
        <v>0</v>
      </c>
      <c r="AC4349" s="93">
        <f>+AB4349-Z4349</f>
        <v>0</v>
      </c>
      <c r="AD4349" s="94"/>
      <c r="AE4349" s="386" t="str">
        <f>+IF(V4349=0,"CERO","NO")</f>
        <v>CERO</v>
      </c>
    </row>
    <row r="4350" spans="3:31" s="260" customFormat="1" x14ac:dyDescent="0.25">
      <c r="C4350" s="84"/>
      <c r="D4350" s="85"/>
      <c r="E4350" s="86"/>
      <c r="F4350" s="86"/>
      <c r="G4350" s="86"/>
      <c r="H4350" s="86"/>
      <c r="I4350" s="86"/>
      <c r="J4350" s="87"/>
      <c r="K4350" s="88"/>
      <c r="M4350" s="102">
        <v>0</v>
      </c>
      <c r="N4350" s="533"/>
      <c r="O4350" s="533"/>
      <c r="P4350" s="533"/>
      <c r="Q4350" s="533"/>
      <c r="R4350" s="78"/>
      <c r="S4350" s="396"/>
      <c r="T4350" s="529"/>
      <c r="U4350" s="529"/>
      <c r="V4350" s="397"/>
      <c r="Y4350" s="393">
        <f>+IFERROR(Y4344*S4350,0)</f>
        <v>0</v>
      </c>
      <c r="Z4350" s="391">
        <f>Y4344*V4350</f>
        <v>0</v>
      </c>
      <c r="AA4350" s="394"/>
      <c r="AB4350" s="395">
        <f>+Y4350*T4350</f>
        <v>0</v>
      </c>
      <c r="AC4350" s="93">
        <f>+AB4350-Z4350</f>
        <v>0</v>
      </c>
      <c r="AD4350" s="94"/>
      <c r="AE4350" s="386" t="str">
        <f>+IF(V4350=0,"CERO","NO")</f>
        <v>CERO</v>
      </c>
    </row>
    <row r="4351" spans="3:31" s="260" customFormat="1" x14ac:dyDescent="0.25">
      <c r="C4351" s="84"/>
      <c r="D4351" s="85"/>
      <c r="E4351" s="86"/>
      <c r="F4351" s="86"/>
      <c r="G4351" s="86"/>
      <c r="H4351" s="86"/>
      <c r="I4351" s="86"/>
      <c r="J4351" s="87"/>
      <c r="K4351" s="88"/>
      <c r="M4351" s="102">
        <v>0</v>
      </c>
      <c r="N4351" s="533"/>
      <c r="O4351" s="533"/>
      <c r="P4351" s="533"/>
      <c r="Q4351" s="533"/>
      <c r="R4351" s="78"/>
      <c r="S4351" s="396"/>
      <c r="T4351" s="529"/>
      <c r="U4351" s="529"/>
      <c r="V4351" s="397"/>
      <c r="Y4351" s="393">
        <f>+IFERROR(Y4344*S4351,0)</f>
        <v>0</v>
      </c>
      <c r="Z4351" s="391">
        <f>Y4344*V4351</f>
        <v>0</v>
      </c>
      <c r="AA4351" s="394"/>
      <c r="AB4351" s="395">
        <f>+Y4351*T4351</f>
        <v>0</v>
      </c>
      <c r="AC4351" s="93">
        <f>+AB4351-Z4351</f>
        <v>0</v>
      </c>
      <c r="AD4351" s="94"/>
      <c r="AE4351" s="386" t="str">
        <f>+IF(V4351=0,"CERO","NO")</f>
        <v>CERO</v>
      </c>
    </row>
    <row r="4352" spans="3:31" s="260" customFormat="1" ht="15.75" thickBot="1" x14ac:dyDescent="0.3">
      <c r="C4352" s="84"/>
      <c r="D4352" s="85"/>
      <c r="E4352" s="86"/>
      <c r="F4352" s="86"/>
      <c r="G4352" s="86"/>
      <c r="H4352" s="86"/>
      <c r="I4352" s="86"/>
      <c r="J4352" s="87"/>
      <c r="K4352" s="88"/>
      <c r="M4352" s="102">
        <v>0</v>
      </c>
      <c r="N4352" s="564"/>
      <c r="O4352" s="564"/>
      <c r="P4352" s="564"/>
      <c r="Q4352" s="564"/>
      <c r="R4352" s="96"/>
      <c r="S4352" s="96"/>
      <c r="T4352" s="565"/>
      <c r="U4352" s="565"/>
      <c r="V4352" s="101"/>
      <c r="Y4352" s="393">
        <f>+IFERROR(Y4344*S4352,0)</f>
        <v>0</v>
      </c>
      <c r="Z4352" s="391">
        <f>Y4344*V4352</f>
        <v>0</v>
      </c>
      <c r="AA4352" s="394"/>
      <c r="AB4352" s="395">
        <f>+Y4352*T4352</f>
        <v>0</v>
      </c>
      <c r="AC4352" s="93">
        <f>+AB4352-Z4352</f>
        <v>0</v>
      </c>
      <c r="AD4352" s="94"/>
      <c r="AE4352" s="386" t="str">
        <f>+IF(V4352=0,"CERO","NO")</f>
        <v>CERO</v>
      </c>
    </row>
    <row r="4353" spans="3:31" s="260" customFormat="1" ht="15.75" thickBot="1" x14ac:dyDescent="0.3">
      <c r="C4353" s="84"/>
      <c r="D4353" s="375" t="s">
        <v>128</v>
      </c>
      <c r="E4353" s="376" t="s">
        <v>129</v>
      </c>
      <c r="F4353" s="376" t="s">
        <v>130</v>
      </c>
      <c r="G4353" s="376" t="s">
        <v>131</v>
      </c>
      <c r="H4353" s="376" t="s">
        <v>132</v>
      </c>
      <c r="I4353" s="376" t="s">
        <v>133</v>
      </c>
      <c r="J4353" s="377" t="s">
        <v>134</v>
      </c>
      <c r="K4353" s="88"/>
      <c r="M4353" s="534"/>
      <c r="N4353" s="536" t="s">
        <v>101</v>
      </c>
      <c r="O4353" s="536"/>
      <c r="P4353" s="536"/>
      <c r="Q4353" s="536"/>
      <c r="R4353" s="536"/>
      <c r="S4353" s="536"/>
      <c r="T4353" s="536"/>
      <c r="U4353" s="536"/>
      <c r="V4353" s="389">
        <f>+SUM(V4348:V4352)</f>
        <v>278.94850000000002</v>
      </c>
      <c r="Y4353" s="398" t="s">
        <v>135</v>
      </c>
      <c r="Z4353" s="397">
        <f>+SUM(Z4348:Z4352)</f>
        <v>5300.0215000000007</v>
      </c>
      <c r="AA4353" s="86"/>
      <c r="AB4353" s="384"/>
      <c r="AC4353" s="385"/>
      <c r="AD4353" s="94"/>
      <c r="AE4353" s="399"/>
    </row>
    <row r="4354" spans="3:31" s="260" customFormat="1" ht="15.75" thickBot="1" x14ac:dyDescent="0.3">
      <c r="C4354" s="84"/>
      <c r="D4354" s="375">
        <f>C4344</f>
        <v>4.12</v>
      </c>
      <c r="E4354" s="376"/>
      <c r="F4354" s="376"/>
      <c r="G4354" s="376"/>
      <c r="H4354" s="376"/>
      <c r="I4354" s="376"/>
      <c r="J4354" s="377"/>
      <c r="K4354" s="88"/>
      <c r="M4354" s="566"/>
      <c r="N4354" s="567" t="s">
        <v>102</v>
      </c>
      <c r="O4354" s="567"/>
      <c r="P4354" s="567"/>
      <c r="Q4354" s="567"/>
      <c r="R4354" s="567"/>
      <c r="S4354" s="567"/>
      <c r="T4354" s="567"/>
      <c r="U4354" s="567"/>
      <c r="V4354" s="400">
        <f>+ROUND(V4353,$AA$5)</f>
        <v>278.95</v>
      </c>
      <c r="Y4354" s="401" t="s">
        <v>136</v>
      </c>
      <c r="Z4354" s="402">
        <f>+ROUND(Z4353,$AA$5)</f>
        <v>5300.02</v>
      </c>
      <c r="AA4354" s="86"/>
      <c r="AB4354" s="403">
        <f>+V4354*Y4344</f>
        <v>5300.05</v>
      </c>
      <c r="AC4354" s="404">
        <f>+AB4354-Z4354</f>
        <v>2.9999999999745341E-2</v>
      </c>
      <c r="AD4354" s="94"/>
      <c r="AE4354" s="405"/>
    </row>
    <row r="4355" spans="3:31" s="260" customFormat="1" x14ac:dyDescent="0.25">
      <c r="C4355" s="84"/>
      <c r="D4355" s="380"/>
      <c r="E4355" s="381"/>
      <c r="F4355" s="381"/>
      <c r="G4355" s="381"/>
      <c r="H4355" s="381"/>
      <c r="I4355" s="381"/>
      <c r="J4355" s="382"/>
      <c r="K4355" s="88"/>
      <c r="M4355" s="510" t="s">
        <v>103</v>
      </c>
      <c r="N4355" s="511"/>
      <c r="O4355" s="511"/>
      <c r="P4355" s="511"/>
      <c r="Q4355" s="511"/>
      <c r="R4355" s="511"/>
      <c r="S4355" s="511"/>
      <c r="T4355" s="511"/>
      <c r="U4355" s="511"/>
      <c r="V4355" s="512"/>
      <c r="Y4355" s="378"/>
      <c r="Z4355" s="121"/>
      <c r="AA4355" s="86"/>
      <c r="AB4355" s="513"/>
      <c r="AC4355" s="514"/>
      <c r="AD4355" s="94"/>
      <c r="AE4355" s="126"/>
    </row>
    <row r="4356" spans="3:31" s="260" customFormat="1" x14ac:dyDescent="0.25">
      <c r="C4356" s="84"/>
      <c r="D4356" s="85"/>
      <c r="E4356" s="86"/>
      <c r="F4356" s="86"/>
      <c r="G4356" s="86"/>
      <c r="H4356" s="86"/>
      <c r="I4356" s="86"/>
      <c r="J4356" s="87"/>
      <c r="K4356" s="88"/>
      <c r="M4356" s="99" t="s">
        <v>94</v>
      </c>
      <c r="N4356" s="561" t="s">
        <v>95</v>
      </c>
      <c r="O4356" s="561"/>
      <c r="P4356" s="561"/>
      <c r="Q4356" s="561"/>
      <c r="R4356" s="95" t="s">
        <v>96</v>
      </c>
      <c r="S4356" s="95" t="s">
        <v>104</v>
      </c>
      <c r="T4356" s="356" t="s">
        <v>105</v>
      </c>
      <c r="U4356" s="356" t="s">
        <v>8</v>
      </c>
      <c r="V4356" s="100" t="s">
        <v>98</v>
      </c>
      <c r="Y4356" s="383" t="s">
        <v>104</v>
      </c>
      <c r="Z4356" s="119" t="s">
        <v>9</v>
      </c>
      <c r="AA4356" s="86"/>
      <c r="AB4356" s="384"/>
      <c r="AC4356" s="385"/>
      <c r="AD4356" s="94"/>
      <c r="AE4356" s="406"/>
    </row>
    <row r="4357" spans="3:31" s="260" customFormat="1" x14ac:dyDescent="0.25">
      <c r="C4357" s="84"/>
      <c r="D4357" s="85"/>
      <c r="E4357" s="86"/>
      <c r="F4357" s="86"/>
      <c r="G4357" s="86"/>
      <c r="H4357" s="86"/>
      <c r="I4357" s="86"/>
      <c r="J4357" s="87"/>
      <c r="K4357" s="88"/>
      <c r="M4357" s="102">
        <v>545</v>
      </c>
      <c r="N4357" s="533" t="str">
        <f>IFERROR(VLOOKUP(M4357,INSUMOS!$C$8:$K$928,2,0),"-----")</f>
        <v>SIFÓN PVC SANITARIO 2" (INCLUYE REJILLA)</v>
      </c>
      <c r="O4357" s="533"/>
      <c r="P4357" s="533"/>
      <c r="Q4357" s="533"/>
      <c r="R4357" s="78" t="str">
        <f>IFERROR(VLOOKUP(M4357,INSUMOS!$C$8:$K$928,6,0),"-----")</f>
        <v>und</v>
      </c>
      <c r="S4357" s="396">
        <v>1</v>
      </c>
      <c r="T4357" s="387">
        <v>0</v>
      </c>
      <c r="U4357" s="388">
        <f>IFERROR(VLOOKUP(M4357,INSUMOS!$C$8:$K$928,7,0),"0")</f>
        <v>17078</v>
      </c>
      <c r="V4357" s="389">
        <f>+IFERROR(U4357*(S4357*(1+T4357)),0)</f>
        <v>17078</v>
      </c>
      <c r="Y4357" s="393">
        <f>+IFERROR(Y4344*(S4357*(1+T4357)),0)</f>
        <v>19</v>
      </c>
      <c r="Z4357" s="391">
        <f>Y4344*V4357</f>
        <v>324482</v>
      </c>
      <c r="AA4357" s="394"/>
      <c r="AB4357" s="395">
        <f>+Y4357*U4357</f>
        <v>324482</v>
      </c>
      <c r="AC4357" s="93">
        <f>+AB4357-Z4357</f>
        <v>0</v>
      </c>
      <c r="AD4357" s="94"/>
      <c r="AE4357" s="406" t="str">
        <f>+IF(V4357=0,"CERO","NO")</f>
        <v>NO</v>
      </c>
    </row>
    <row r="4358" spans="3:31" s="260" customFormat="1" x14ac:dyDescent="0.25">
      <c r="C4358" s="84"/>
      <c r="D4358" s="85"/>
      <c r="E4358" s="86"/>
      <c r="F4358" s="86"/>
      <c r="G4358" s="86"/>
      <c r="H4358" s="86"/>
      <c r="I4358" s="86"/>
      <c r="J4358" s="87"/>
      <c r="K4358" s="88"/>
      <c r="M4358" s="102">
        <v>700</v>
      </c>
      <c r="N4358" s="533" t="str">
        <f>IFERROR(VLOOKUP(M4358,INSUMOS!$C$8:$K$928,2,0),"-----")</f>
        <v>LIMPIADOR PVC 1/4</v>
      </c>
      <c r="O4358" s="533"/>
      <c r="P4358" s="533"/>
      <c r="Q4358" s="533"/>
      <c r="R4358" s="78" t="str">
        <f>IFERROR(VLOOKUP(M4358,INSUMOS!$C$8:$K$928,6,0),"-----")</f>
        <v>und</v>
      </c>
      <c r="S4358" s="396">
        <v>0.01</v>
      </c>
      <c r="T4358" s="387">
        <v>0.02</v>
      </c>
      <c r="U4358" s="388">
        <f>IFERROR(VLOOKUP(M4358,INSUMOS!$C$8:$K$928,7,0),"0")</f>
        <v>65913</v>
      </c>
      <c r="V4358" s="389">
        <f>+IFERROR(U4358*(S4358*(1+T4358)),0)</f>
        <v>672.31260000000009</v>
      </c>
      <c r="Y4358" s="393">
        <f>+IFERROR(Y4344*(S4358*(1+T4358)),0)</f>
        <v>0.19380000000000003</v>
      </c>
      <c r="Z4358" s="391">
        <f>Y4344*V4358</f>
        <v>12773.939400000001</v>
      </c>
      <c r="AA4358" s="394"/>
      <c r="AB4358" s="395">
        <f>+Y4358*U4358</f>
        <v>12773.939400000001</v>
      </c>
      <c r="AC4358" s="93">
        <f>+AB4358-Z4358</f>
        <v>0</v>
      </c>
      <c r="AD4358" s="94"/>
      <c r="AE4358" s="406" t="str">
        <f>+IF(V4358=0,"CERO","NO")</f>
        <v>NO</v>
      </c>
    </row>
    <row r="4359" spans="3:31" s="260" customFormat="1" x14ac:dyDescent="0.25">
      <c r="C4359" s="84"/>
      <c r="D4359" s="85"/>
      <c r="E4359" s="86"/>
      <c r="F4359" s="86"/>
      <c r="G4359" s="86"/>
      <c r="H4359" s="86"/>
      <c r="I4359" s="86"/>
      <c r="J4359" s="87"/>
      <c r="K4359" s="88"/>
      <c r="M4359" s="102"/>
      <c r="N4359" s="533" t="str">
        <f>IFERROR(VLOOKUP(M4359,INSUMOS!$C$8:$K$928,2,0),"-----")</f>
        <v>-----</v>
      </c>
      <c r="O4359" s="533"/>
      <c r="P4359" s="533"/>
      <c r="Q4359" s="533"/>
      <c r="R4359" s="78" t="str">
        <f>IFERROR(VLOOKUP(M4359,INSUMOS!$C$8:$K$928,6,0),"-----")</f>
        <v>-----</v>
      </c>
      <c r="S4359" s="396"/>
      <c r="T4359" s="387"/>
      <c r="U4359" s="388" t="str">
        <f>IFERROR(VLOOKUP(M4359,INSUMOS!$C$8:$K$928,7,0),"0")</f>
        <v>0</v>
      </c>
      <c r="V4359" s="389">
        <f>+IFERROR(U4359*(S4359*(1+T4359)),0)</f>
        <v>0</v>
      </c>
      <c r="Y4359" s="393">
        <f>+IFERROR(Y4344*(S4359*(1+T4359)),0)</f>
        <v>0</v>
      </c>
      <c r="Z4359" s="391">
        <f>Y4344*V4359</f>
        <v>0</v>
      </c>
      <c r="AA4359" s="394"/>
      <c r="AB4359" s="395">
        <f>+Y4359*U4359</f>
        <v>0</v>
      </c>
      <c r="AC4359" s="93">
        <f>+AB4359-Z4359</f>
        <v>0</v>
      </c>
      <c r="AD4359" s="94"/>
      <c r="AE4359" s="406" t="str">
        <f>+IF(V4359=0,"CERO","NO")</f>
        <v>CERO</v>
      </c>
    </row>
    <row r="4360" spans="3:31" s="260" customFormat="1" x14ac:dyDescent="0.25">
      <c r="C4360" s="84"/>
      <c r="D4360" s="85"/>
      <c r="E4360" s="86"/>
      <c r="F4360" s="86"/>
      <c r="G4360" s="86"/>
      <c r="H4360" s="86"/>
      <c r="I4360" s="86"/>
      <c r="J4360" s="87"/>
      <c r="K4360" s="88"/>
      <c r="M4360" s="102">
        <v>0</v>
      </c>
      <c r="N4360" s="533" t="str">
        <f>IFERROR(VLOOKUP(M4360,INSUMOS!$C$8:$K$928,2,0),"-----")</f>
        <v>-----</v>
      </c>
      <c r="O4360" s="533"/>
      <c r="P4360" s="533"/>
      <c r="Q4360" s="533"/>
      <c r="R4360" s="78" t="str">
        <f>IFERROR(VLOOKUP(M4360,INSUMOS!$C$8:$K$928,6,0),"-----")</f>
        <v>-----</v>
      </c>
      <c r="S4360" s="396"/>
      <c r="T4360" s="387"/>
      <c r="U4360" s="388" t="str">
        <f>IFERROR(VLOOKUP(M4360,INSUMOS!$C$8:$K$928,7,0),"0")</f>
        <v>0</v>
      </c>
      <c r="V4360" s="389">
        <f>+IFERROR(U4360*(S4360*(1+T4360)),0)</f>
        <v>0</v>
      </c>
      <c r="Y4360" s="393">
        <f>+IFERROR(Y4344*(S4360*(1+T4360)),0)</f>
        <v>0</v>
      </c>
      <c r="Z4360" s="391">
        <f>Y4344*V4360</f>
        <v>0</v>
      </c>
      <c r="AA4360" s="394"/>
      <c r="AB4360" s="395">
        <f>+Y4360*U4360</f>
        <v>0</v>
      </c>
      <c r="AC4360" s="93">
        <f>+AB4360-Z4360</f>
        <v>0</v>
      </c>
      <c r="AD4360" s="94"/>
      <c r="AE4360" s="406" t="str">
        <f>+IF(V4360=0,"CERO","NO")</f>
        <v>CERO</v>
      </c>
    </row>
    <row r="4361" spans="3:31" s="260" customFormat="1" ht="15.75" thickBot="1" x14ac:dyDescent="0.3">
      <c r="C4361" s="84"/>
      <c r="D4361" s="85"/>
      <c r="E4361" s="86"/>
      <c r="F4361" s="86"/>
      <c r="G4361" s="86"/>
      <c r="H4361" s="86"/>
      <c r="I4361" s="86"/>
      <c r="J4361" s="87"/>
      <c r="K4361" s="88"/>
      <c r="M4361" s="102">
        <v>0</v>
      </c>
      <c r="N4361" s="564"/>
      <c r="O4361" s="564"/>
      <c r="P4361" s="564"/>
      <c r="Q4361" s="564"/>
      <c r="R4361" s="96"/>
      <c r="S4361" s="79"/>
      <c r="T4361" s="97"/>
      <c r="U4361" s="358"/>
      <c r="V4361" s="397"/>
      <c r="Y4361" s="393">
        <f>+IFERROR(Y4344*(S4361*(1+T4361)),0)</f>
        <v>0</v>
      </c>
      <c r="Z4361" s="391">
        <f>Y4344*V4361</f>
        <v>0</v>
      </c>
      <c r="AA4361" s="394"/>
      <c r="AB4361" s="395">
        <f>+Y4361*U4361</f>
        <v>0</v>
      </c>
      <c r="AC4361" s="93">
        <f>+AB4361-Z4361</f>
        <v>0</v>
      </c>
      <c r="AD4361" s="94"/>
      <c r="AE4361" s="406" t="str">
        <f>+IF(V4361=0,"CERO","NO")</f>
        <v>CERO</v>
      </c>
    </row>
    <row r="4362" spans="3:31" s="260" customFormat="1" ht="15.75" thickBot="1" x14ac:dyDescent="0.3">
      <c r="C4362" s="84"/>
      <c r="D4362" s="375" t="s">
        <v>128</v>
      </c>
      <c r="E4362" s="376" t="s">
        <v>129</v>
      </c>
      <c r="F4362" s="376" t="s">
        <v>130</v>
      </c>
      <c r="G4362" s="376" t="s">
        <v>131</v>
      </c>
      <c r="H4362" s="376" t="s">
        <v>132</v>
      </c>
      <c r="I4362" s="376" t="s">
        <v>133</v>
      </c>
      <c r="J4362" s="377" t="s">
        <v>134</v>
      </c>
      <c r="K4362" s="88"/>
      <c r="M4362" s="534"/>
      <c r="N4362" s="536" t="s">
        <v>106</v>
      </c>
      <c r="O4362" s="536"/>
      <c r="P4362" s="536"/>
      <c r="Q4362" s="536"/>
      <c r="R4362" s="536"/>
      <c r="S4362" s="536"/>
      <c r="T4362" s="536"/>
      <c r="U4362" s="536"/>
      <c r="V4362" s="389">
        <f>+SUM(V4357:V4361)</f>
        <v>17750.312600000001</v>
      </c>
      <c r="Y4362" s="398" t="s">
        <v>135</v>
      </c>
      <c r="Z4362" s="397">
        <f>+SUM(Z4357:Z4361)</f>
        <v>337255.93939999997</v>
      </c>
      <c r="AA4362" s="86"/>
      <c r="AB4362" s="384"/>
      <c r="AC4362" s="385"/>
      <c r="AD4362" s="94"/>
      <c r="AE4362" s="399"/>
    </row>
    <row r="4363" spans="3:31" s="260" customFormat="1" ht="15.75" thickBot="1" x14ac:dyDescent="0.3">
      <c r="C4363" s="84"/>
      <c r="D4363" s="375"/>
      <c r="E4363" s="407">
        <f>+D4354</f>
        <v>4.12</v>
      </c>
      <c r="F4363" s="376"/>
      <c r="G4363" s="376"/>
      <c r="H4363" s="376"/>
      <c r="I4363" s="376"/>
      <c r="J4363" s="377"/>
      <c r="K4363" s="88"/>
      <c r="M4363" s="535"/>
      <c r="N4363" s="537" t="s">
        <v>107</v>
      </c>
      <c r="O4363" s="537"/>
      <c r="P4363" s="537"/>
      <c r="Q4363" s="537"/>
      <c r="R4363" s="537"/>
      <c r="S4363" s="537"/>
      <c r="T4363" s="537"/>
      <c r="U4363" s="537"/>
      <c r="V4363" s="408">
        <f>+ROUND(V4362,$AA$5)</f>
        <v>17750.310000000001</v>
      </c>
      <c r="Y4363" s="401" t="s">
        <v>136</v>
      </c>
      <c r="Z4363" s="402">
        <f>+ROUND(Z4362,$AA$5)</f>
        <v>337255.94</v>
      </c>
      <c r="AA4363" s="86"/>
      <c r="AB4363" s="403">
        <f>+V4363*Y4344</f>
        <v>337255.89</v>
      </c>
      <c r="AC4363" s="404">
        <f>+AB4363-Z4363</f>
        <v>-4.9999999988358468E-2</v>
      </c>
      <c r="AD4363" s="94"/>
      <c r="AE4363" s="405"/>
    </row>
    <row r="4364" spans="3:31" s="260" customFormat="1" x14ac:dyDescent="0.25">
      <c r="C4364" s="84"/>
      <c r="D4364" s="380"/>
      <c r="E4364" s="381"/>
      <c r="F4364" s="381"/>
      <c r="G4364" s="381"/>
      <c r="H4364" s="381"/>
      <c r="I4364" s="381"/>
      <c r="J4364" s="382"/>
      <c r="K4364" s="88"/>
      <c r="M4364" s="568" t="s">
        <v>108</v>
      </c>
      <c r="N4364" s="569"/>
      <c r="O4364" s="569"/>
      <c r="P4364" s="569"/>
      <c r="Q4364" s="569"/>
      <c r="R4364" s="569"/>
      <c r="S4364" s="569"/>
      <c r="T4364" s="569"/>
      <c r="U4364" s="569"/>
      <c r="V4364" s="570"/>
      <c r="Y4364" s="378"/>
      <c r="Z4364" s="121"/>
      <c r="AA4364" s="86"/>
      <c r="AB4364" s="409"/>
      <c r="AC4364" s="121"/>
      <c r="AD4364" s="94"/>
      <c r="AE4364" s="126"/>
    </row>
    <row r="4365" spans="3:31" s="260" customFormat="1" ht="25.5" x14ac:dyDescent="0.25">
      <c r="C4365" s="84"/>
      <c r="D4365" s="85"/>
      <c r="E4365" s="86"/>
      <c r="F4365" s="86"/>
      <c r="G4365" s="86"/>
      <c r="H4365" s="86"/>
      <c r="I4365" s="86"/>
      <c r="J4365" s="87"/>
      <c r="K4365" s="88"/>
      <c r="M4365" s="99" t="s">
        <v>94</v>
      </c>
      <c r="N4365" s="561" t="s">
        <v>95</v>
      </c>
      <c r="O4365" s="561"/>
      <c r="P4365" s="561"/>
      <c r="Q4365" s="95" t="s">
        <v>109</v>
      </c>
      <c r="R4365" s="95" t="s">
        <v>110</v>
      </c>
      <c r="S4365" s="95" t="s">
        <v>111</v>
      </c>
      <c r="T4365" s="562" t="s">
        <v>112</v>
      </c>
      <c r="U4365" s="562"/>
      <c r="V4365" s="100" t="s">
        <v>98</v>
      </c>
      <c r="Y4365" s="383" t="s">
        <v>104</v>
      </c>
      <c r="Z4365" s="119" t="s">
        <v>9</v>
      </c>
      <c r="AA4365" s="86"/>
      <c r="AB4365" s="384"/>
      <c r="AC4365" s="385"/>
      <c r="AD4365" s="94"/>
      <c r="AE4365" s="410"/>
    </row>
    <row r="4366" spans="3:31" s="260" customFormat="1" x14ac:dyDescent="0.25">
      <c r="C4366" s="84"/>
      <c r="D4366" s="85"/>
      <c r="E4366" s="86"/>
      <c r="F4366" s="86"/>
      <c r="G4366" s="86"/>
      <c r="H4366" s="86"/>
      <c r="I4366" s="86"/>
      <c r="J4366" s="87"/>
      <c r="K4366" s="88"/>
      <c r="M4366" s="102">
        <v>129</v>
      </c>
      <c r="N4366" s="530" t="str">
        <f>IFERROR(VLOOKUP(M4366,INSUMOS!$C$8:$K$928,2,0),"-----")</f>
        <v>transporte materiales en general</v>
      </c>
      <c r="O4366" s="531"/>
      <c r="P4366" s="532"/>
      <c r="Q4366" s="78" t="str">
        <f>IFERROR(VLOOKUP(M4366,INSUMOS!$C$8:$K$928,5,0),"-----")</f>
        <v>Km</v>
      </c>
      <c r="R4366" s="80">
        <v>1</v>
      </c>
      <c r="S4366" s="80">
        <f>IFERROR(VLOOKUP(M4366,INSUMOS!$C$8:$K$928,6,0),"0")</f>
        <v>348</v>
      </c>
      <c r="T4366" s="529">
        <f>IFERROR(VLOOKUP(M4366,INSUMOS!$C$8:$K$928,7,0),"0")</f>
        <v>0.99776362060288992</v>
      </c>
      <c r="U4366" s="529"/>
      <c r="V4366" s="82">
        <f>+T4366*S4366*R4366</f>
        <v>347.2217399698057</v>
      </c>
      <c r="Y4366" s="393">
        <f>+IFERROR((R4366*S4366)*Y4344,0)</f>
        <v>6612</v>
      </c>
      <c r="Z4366" s="391">
        <f>Y4344*V4366</f>
        <v>6597.2130594263081</v>
      </c>
      <c r="AA4366" s="86"/>
      <c r="AB4366" s="92">
        <f>+Y4366*T4366</f>
        <v>6597.2130594263081</v>
      </c>
      <c r="AC4366" s="93">
        <f>+AB4366-Z4366</f>
        <v>0</v>
      </c>
      <c r="AD4366" s="94"/>
      <c r="AE4366" s="406" t="str">
        <f>+IF(V4366=0,"CERO","NO")</f>
        <v>NO</v>
      </c>
    </row>
    <row r="4367" spans="3:31" s="260" customFormat="1" x14ac:dyDescent="0.25">
      <c r="C4367" s="84"/>
      <c r="D4367" s="85"/>
      <c r="E4367" s="86"/>
      <c r="F4367" s="86"/>
      <c r="G4367" s="86"/>
      <c r="H4367" s="86"/>
      <c r="I4367" s="86"/>
      <c r="J4367" s="87"/>
      <c r="K4367" s="88"/>
      <c r="M4367" s="102">
        <v>0</v>
      </c>
      <c r="N4367" s="530" t="str">
        <f>IFERROR(VLOOKUP(M4367,INSUMOS!$C$8:$K$928,2,0),"-----")</f>
        <v>-----</v>
      </c>
      <c r="O4367" s="531"/>
      <c r="P4367" s="532"/>
      <c r="Q4367" s="78" t="str">
        <f>IFERROR(VLOOKUP(M4367,INSUMOS!$C$8:$K$928,5,0),"-----")</f>
        <v>-----</v>
      </c>
      <c r="R4367" s="80"/>
      <c r="S4367" s="80" t="str">
        <f>IFERROR(VLOOKUP(M4367,INSUMOS!$C$8:$K$928,6,0),"0")</f>
        <v>0</v>
      </c>
      <c r="T4367" s="529" t="str">
        <f>IFERROR(VLOOKUP(M4367,INSUMOS!$C$8:$K$928,7,0),"0")</f>
        <v>0</v>
      </c>
      <c r="U4367" s="529"/>
      <c r="V4367" s="82">
        <f>+T4367*S4367*R4367</f>
        <v>0</v>
      </c>
      <c r="Y4367" s="393">
        <f>+IFERROR((R4367*S4367)*Y4344,0)</f>
        <v>0</v>
      </c>
      <c r="Z4367" s="391">
        <f>Y4344*V4367</f>
        <v>0</v>
      </c>
      <c r="AA4367" s="86"/>
      <c r="AB4367" s="92">
        <f>+Y4367*T4367</f>
        <v>0</v>
      </c>
      <c r="AC4367" s="93">
        <f>+AB4367-Z4367</f>
        <v>0</v>
      </c>
      <c r="AD4367" s="94"/>
      <c r="AE4367" s="406" t="str">
        <f>+IF(V4367=0,"CERO","NO")</f>
        <v>CERO</v>
      </c>
    </row>
    <row r="4368" spans="3:31" s="260" customFormat="1" x14ac:dyDescent="0.25">
      <c r="C4368" s="84"/>
      <c r="D4368" s="85"/>
      <c r="E4368" s="86"/>
      <c r="F4368" s="86"/>
      <c r="G4368" s="86"/>
      <c r="H4368" s="86"/>
      <c r="I4368" s="86"/>
      <c r="J4368" s="87"/>
      <c r="K4368" s="88"/>
      <c r="M4368" s="102">
        <v>0</v>
      </c>
      <c r="N4368" s="530" t="str">
        <f>IFERROR(VLOOKUP(M4368,INSUMOS!$C$8:$K$928,2,0),"-----")</f>
        <v>-----</v>
      </c>
      <c r="O4368" s="531"/>
      <c r="P4368" s="532"/>
      <c r="Q4368" s="78" t="str">
        <f>IFERROR(VLOOKUP(M4368,INSUMOS!$C$8:$K$928,5,0),"-----")</f>
        <v>-----</v>
      </c>
      <c r="R4368" s="80"/>
      <c r="S4368" s="80" t="str">
        <f>IFERROR(VLOOKUP(M4368,INSUMOS!$C$8:$K$928,6,0),"0")</f>
        <v>0</v>
      </c>
      <c r="T4368" s="529" t="str">
        <f>IFERROR(VLOOKUP(M4368,INSUMOS!$C$8:$K$928,7,0),"0")</f>
        <v>0</v>
      </c>
      <c r="U4368" s="529"/>
      <c r="V4368" s="82">
        <f>+T4368*S4368*R4368</f>
        <v>0</v>
      </c>
      <c r="Y4368" s="393">
        <f>+IFERROR((R4368*S4368)*Y4344,0)</f>
        <v>0</v>
      </c>
      <c r="Z4368" s="391">
        <f>Y4344*V4368</f>
        <v>0</v>
      </c>
      <c r="AA4368" s="86"/>
      <c r="AB4368" s="92">
        <f>+Y4368*T4368</f>
        <v>0</v>
      </c>
      <c r="AC4368" s="93">
        <f>+AB4368-Z4368</f>
        <v>0</v>
      </c>
      <c r="AD4368" s="94"/>
      <c r="AE4368" s="406" t="str">
        <f>+IF(V4368=0,"CERO","NO")</f>
        <v>CERO</v>
      </c>
    </row>
    <row r="4369" spans="3:31" s="260" customFormat="1" ht="15.75" thickBot="1" x14ac:dyDescent="0.3">
      <c r="C4369" s="84"/>
      <c r="D4369" s="89"/>
      <c r="E4369" s="90"/>
      <c r="F4369" s="90"/>
      <c r="G4369" s="90"/>
      <c r="H4369" s="90"/>
      <c r="I4369" s="90"/>
      <c r="J4369" s="91"/>
      <c r="K4369" s="88"/>
      <c r="M4369" s="102">
        <v>0</v>
      </c>
      <c r="N4369" s="533"/>
      <c r="O4369" s="533"/>
      <c r="P4369" s="533"/>
      <c r="Q4369" s="79"/>
      <c r="R4369" s="78"/>
      <c r="S4369" s="81"/>
      <c r="T4369" s="529"/>
      <c r="U4369" s="529"/>
      <c r="V4369" s="82"/>
      <c r="Y4369" s="393">
        <f>+IFERROR((R4369*S4369)*Y4344,0)</f>
        <v>0</v>
      </c>
      <c r="Z4369" s="391">
        <f>Y4344*V4369</f>
        <v>0</v>
      </c>
      <c r="AA4369" s="86"/>
      <c r="AB4369" s="92">
        <f>+Y4369*T4369</f>
        <v>0</v>
      </c>
      <c r="AC4369" s="93">
        <f>+AB4369-Z4369</f>
        <v>0</v>
      </c>
      <c r="AD4369" s="94"/>
      <c r="AE4369" s="406" t="str">
        <f>+IF(V4369=0,"CERO","NO")</f>
        <v>CERO</v>
      </c>
    </row>
    <row r="4370" spans="3:31" s="260" customFormat="1" ht="15.75" thickBot="1" x14ac:dyDescent="0.3">
      <c r="C4370" s="84"/>
      <c r="D4370" s="375" t="s">
        <v>128</v>
      </c>
      <c r="E4370" s="376" t="s">
        <v>129</v>
      </c>
      <c r="F4370" s="376" t="s">
        <v>130</v>
      </c>
      <c r="G4370" s="376" t="s">
        <v>131</v>
      </c>
      <c r="H4370" s="376" t="s">
        <v>132</v>
      </c>
      <c r="I4370" s="376" t="s">
        <v>133</v>
      </c>
      <c r="J4370" s="377" t="s">
        <v>134</v>
      </c>
      <c r="K4370" s="88"/>
      <c r="M4370" s="534"/>
      <c r="N4370" s="536" t="s">
        <v>113</v>
      </c>
      <c r="O4370" s="536"/>
      <c r="P4370" s="536"/>
      <c r="Q4370" s="536"/>
      <c r="R4370" s="536"/>
      <c r="S4370" s="536"/>
      <c r="T4370" s="536"/>
      <c r="U4370" s="536"/>
      <c r="V4370" s="411">
        <f>+SUM(V4366:V4369)</f>
        <v>347.2217399698057</v>
      </c>
      <c r="Y4370" s="398" t="s">
        <v>135</v>
      </c>
      <c r="Z4370" s="397">
        <f>+SUM(Z4366:Z4369)</f>
        <v>6597.2130594263081</v>
      </c>
      <c r="AA4370" s="86"/>
      <c r="AB4370" s="384"/>
      <c r="AC4370" s="385"/>
      <c r="AD4370" s="94"/>
      <c r="AE4370" s="399"/>
    </row>
    <row r="4371" spans="3:31" s="260" customFormat="1" ht="15.75" thickBot="1" x14ac:dyDescent="0.3">
      <c r="C4371" s="84"/>
      <c r="D4371" s="355"/>
      <c r="E4371" s="367"/>
      <c r="F4371" s="412">
        <f>+E4363</f>
        <v>4.12</v>
      </c>
      <c r="G4371" s="367"/>
      <c r="H4371" s="367"/>
      <c r="I4371" s="367"/>
      <c r="J4371" s="368"/>
      <c r="K4371" s="88"/>
      <c r="M4371" s="535"/>
      <c r="N4371" s="537" t="s">
        <v>114</v>
      </c>
      <c r="O4371" s="537"/>
      <c r="P4371" s="537"/>
      <c r="Q4371" s="537"/>
      <c r="R4371" s="537"/>
      <c r="S4371" s="537"/>
      <c r="T4371" s="537"/>
      <c r="U4371" s="537"/>
      <c r="V4371" s="413">
        <f>+ROUND(V4370,$AA$5)</f>
        <v>347.22</v>
      </c>
      <c r="Y4371" s="401" t="s">
        <v>136</v>
      </c>
      <c r="Z4371" s="402">
        <f>+ROUND(Z4370,$AA$5)</f>
        <v>6597.21</v>
      </c>
      <c r="AA4371" s="86"/>
      <c r="AB4371" s="403">
        <f>+V4371*Y4344</f>
        <v>6597.18</v>
      </c>
      <c r="AC4371" s="414"/>
      <c r="AD4371" s="94"/>
      <c r="AE4371" s="405"/>
    </row>
    <row r="4372" spans="3:31" s="260" customFormat="1" ht="15.75" thickBot="1" x14ac:dyDescent="0.3">
      <c r="C4372" s="84"/>
      <c r="D4372" s="415"/>
      <c r="E4372" s="416"/>
      <c r="F4372" s="416"/>
      <c r="G4372" s="416"/>
      <c r="H4372" s="416"/>
      <c r="I4372" s="416"/>
      <c r="J4372" s="417"/>
      <c r="K4372" s="88"/>
      <c r="M4372" s="538" t="s">
        <v>115</v>
      </c>
      <c r="N4372" s="539"/>
      <c r="O4372" s="539"/>
      <c r="P4372" s="539"/>
      <c r="Q4372" s="539"/>
      <c r="R4372" s="539"/>
      <c r="S4372" s="539"/>
      <c r="T4372" s="539"/>
      <c r="U4372" s="539"/>
      <c r="V4372" s="540"/>
      <c r="Y4372" s="378"/>
      <c r="Z4372" s="121"/>
      <c r="AA4372" s="86"/>
      <c r="AB4372" s="409"/>
      <c r="AC4372" s="121"/>
      <c r="AD4372" s="94"/>
      <c r="AE4372" s="126"/>
    </row>
    <row r="4373" spans="3:31" s="260" customFormat="1" ht="15.75" thickBot="1" x14ac:dyDescent="0.3">
      <c r="C4373" s="84"/>
      <c r="D4373" s="375" t="s">
        <v>128</v>
      </c>
      <c r="E4373" s="376" t="s">
        <v>129</v>
      </c>
      <c r="F4373" s="376" t="s">
        <v>130</v>
      </c>
      <c r="G4373" s="376" t="s">
        <v>131</v>
      </c>
      <c r="H4373" s="376" t="s">
        <v>132</v>
      </c>
      <c r="I4373" s="376" t="s">
        <v>133</v>
      </c>
      <c r="J4373" s="377" t="s">
        <v>134</v>
      </c>
      <c r="K4373" s="88"/>
      <c r="M4373" s="99" t="s">
        <v>94</v>
      </c>
      <c r="N4373" s="98" t="s">
        <v>95</v>
      </c>
      <c r="O4373" s="95" t="s">
        <v>96</v>
      </c>
      <c r="P4373" s="359" t="s">
        <v>104</v>
      </c>
      <c r="Q4373" s="95" t="s">
        <v>116</v>
      </c>
      <c r="R4373" s="418" t="s">
        <v>117</v>
      </c>
      <c r="S4373" s="95" t="s">
        <v>347</v>
      </c>
      <c r="T4373" s="419" t="s">
        <v>118</v>
      </c>
      <c r="U4373" s="189" t="s">
        <v>119</v>
      </c>
      <c r="V4373" s="100" t="s">
        <v>98</v>
      </c>
      <c r="Y4373" s="383" t="s">
        <v>104</v>
      </c>
      <c r="Z4373" s="119" t="s">
        <v>9</v>
      </c>
      <c r="AA4373" s="86"/>
      <c r="AB4373" s="384"/>
      <c r="AC4373" s="385"/>
      <c r="AD4373" s="94"/>
      <c r="AE4373" s="410"/>
    </row>
    <row r="4374" spans="3:31" s="260" customFormat="1" ht="25.5" x14ac:dyDescent="0.25">
      <c r="C4374" s="84"/>
      <c r="D4374" s="354"/>
      <c r="E4374" s="96"/>
      <c r="F4374" s="96"/>
      <c r="G4374" s="96"/>
      <c r="H4374" s="96"/>
      <c r="I4374" s="96"/>
      <c r="J4374" s="420">
        <f>+F4371</f>
        <v>4.12</v>
      </c>
      <c r="K4374" s="88"/>
      <c r="M4374" s="102">
        <v>207</v>
      </c>
      <c r="N4374" s="347" t="str">
        <f>IFERROR(VLOOKUP(M4374,INSUMOS!$C$8:$K$928,2,0),"-----")</f>
        <v>Oficial Hidrosanitario</v>
      </c>
      <c r="O4374" s="78" t="str">
        <f>IFERROR(VLOOKUP(M4374,INSUMOS!$C$8:$K$928,3,0),"-----")</f>
        <v>JORNAL+PS</v>
      </c>
      <c r="P4374" s="80">
        <v>1</v>
      </c>
      <c r="Q4374" s="79">
        <v>30</v>
      </c>
      <c r="R4374" s="190">
        <f>IFERROR(VLOOKUP(M4374,INSUMOS!$C$8:$K$928,4,0),"-----")</f>
        <v>92983</v>
      </c>
      <c r="S4374" s="190">
        <f>IFERROR(VLOOKUP(M4374,INSUMOS!$C$8:$K$928,6,0),"-----")</f>
        <v>74386</v>
      </c>
      <c r="T4374" s="190">
        <f>IFERROR(VLOOKUP(M4374,INSUMOS!$C$8:$K$928,5,0),"-----")</f>
        <v>0</v>
      </c>
      <c r="U4374" s="388">
        <f>SUM(R4374:T4374)</f>
        <v>167369</v>
      </c>
      <c r="V4374" s="82">
        <f>+IFERROR((P4374/Q4374)*U4374,0)</f>
        <v>5578.9666666666662</v>
      </c>
      <c r="Y4374" s="393">
        <f>+IFERROR((Y4344/Q4374*P4374),0)</f>
        <v>0.6333333333333333</v>
      </c>
      <c r="Z4374" s="391">
        <f>Y4344*V4374</f>
        <v>106000.36666666665</v>
      </c>
      <c r="AA4374" s="86"/>
      <c r="AB4374" s="92">
        <f>+(U4374)*Y4374</f>
        <v>106000.36666666667</v>
      </c>
      <c r="AC4374" s="93">
        <f>+AB4374-Z4374</f>
        <v>0</v>
      </c>
      <c r="AD4374" s="421"/>
      <c r="AE4374" s="410" t="str">
        <f>+IF(V4374=0,"CERO","NO")</f>
        <v>NO</v>
      </c>
    </row>
    <row r="4375" spans="3:31" s="260" customFormat="1" ht="15.75" thickBot="1" x14ac:dyDescent="0.3">
      <c r="C4375" s="84"/>
      <c r="D4375" s="355"/>
      <c r="E4375" s="367"/>
      <c r="F4375" s="367"/>
      <c r="G4375" s="367"/>
      <c r="H4375" s="367"/>
      <c r="I4375" s="367"/>
      <c r="J4375" s="422">
        <f>+J4374</f>
        <v>4.12</v>
      </c>
      <c r="K4375" s="88"/>
      <c r="M4375" s="102"/>
      <c r="N4375" s="347" t="str">
        <f>IFERROR(VLOOKUP(M4375,INSUMOS!$C$8:$K$928,2,0),"-----")</f>
        <v>-----</v>
      </c>
      <c r="O4375" s="78" t="str">
        <f>IFERROR(VLOOKUP(M4375,INSUMOS!$C$8:$K$928,3,0),"-----")</f>
        <v>-----</v>
      </c>
      <c r="P4375" s="80"/>
      <c r="Q4375" s="79"/>
      <c r="R4375" s="190" t="str">
        <f>IFERROR(VLOOKUP(M4375,INSUMOS!$C$8:$K$928,4,0),"-----")</f>
        <v>-----</v>
      </c>
      <c r="S4375" s="190" t="str">
        <f>IFERROR(VLOOKUP(M4375,INSUMOS!$C$8:$K$928,6,0),"-----")</f>
        <v>-----</v>
      </c>
      <c r="T4375" s="190" t="str">
        <f>IFERROR(VLOOKUP(M4375,INSUMOS!$C$8:$K$928,5,0),"-----")</f>
        <v>-----</v>
      </c>
      <c r="U4375" s="388">
        <f>SUM(R4375:T4375)</f>
        <v>0</v>
      </c>
      <c r="V4375" s="82">
        <f>+IFERROR((P4375/Q4375)*U4375,0)</f>
        <v>0</v>
      </c>
      <c r="Y4375" s="393">
        <f>+IFERROR((Y4344/Q4375*P4375),0)</f>
        <v>0</v>
      </c>
      <c r="Z4375" s="391">
        <f>Y4344*V4375</f>
        <v>0</v>
      </c>
      <c r="AA4375" s="86"/>
      <c r="AB4375" s="92">
        <f>+U4375*Y4375</f>
        <v>0</v>
      </c>
      <c r="AC4375" s="93">
        <f>+AB4375-Z4375</f>
        <v>0</v>
      </c>
      <c r="AD4375" s="94"/>
      <c r="AE4375" s="410" t="str">
        <f>+IF(V4375=0,"CERO","NO")</f>
        <v>CERO</v>
      </c>
    </row>
    <row r="4376" spans="3:31" s="260" customFormat="1" ht="15.75" thickBot="1" x14ac:dyDescent="0.3">
      <c r="C4376" s="84"/>
      <c r="D4376" s="380"/>
      <c r="E4376" s="381"/>
      <c r="F4376" s="381"/>
      <c r="G4376" s="381"/>
      <c r="H4376" s="381"/>
      <c r="I4376" s="381"/>
      <c r="J4376" s="382"/>
      <c r="K4376" s="88"/>
      <c r="M4376" s="102">
        <v>0</v>
      </c>
      <c r="N4376" s="347"/>
      <c r="O4376" s="79"/>
      <c r="P4376" s="423"/>
      <c r="Q4376" s="81"/>
      <c r="R4376" s="111"/>
      <c r="S4376" s="357"/>
      <c r="T4376" s="111"/>
      <c r="U4376" s="388"/>
      <c r="V4376" s="426"/>
      <c r="Y4376" s="393">
        <f>+IFERROR((Y4344/Q4376*P4376),0)</f>
        <v>0</v>
      </c>
      <c r="Z4376" s="391">
        <f>Y4344*V4376</f>
        <v>0</v>
      </c>
      <c r="AA4376" s="86"/>
      <c r="AB4376" s="92">
        <f>+(U4376)*Y4376*P4376</f>
        <v>0</v>
      </c>
      <c r="AC4376" s="93">
        <f>+AB4376-Z4376</f>
        <v>0</v>
      </c>
      <c r="AD4376" s="94"/>
      <c r="AE4376" s="410" t="str">
        <f>+IF(V4376=0,"CERO","NO")</f>
        <v>CERO</v>
      </c>
    </row>
    <row r="4377" spans="3:31" s="260" customFormat="1" ht="15.75" thickBot="1" x14ac:dyDescent="0.3">
      <c r="C4377" s="84"/>
      <c r="D4377" s="375" t="s">
        <v>128</v>
      </c>
      <c r="E4377" s="376" t="s">
        <v>129</v>
      </c>
      <c r="F4377" s="376" t="s">
        <v>130</v>
      </c>
      <c r="G4377" s="376" t="s">
        <v>131</v>
      </c>
      <c r="H4377" s="376" t="s">
        <v>132</v>
      </c>
      <c r="I4377" s="376" t="s">
        <v>133</v>
      </c>
      <c r="J4377" s="377" t="s">
        <v>134</v>
      </c>
      <c r="K4377" s="88"/>
      <c r="M4377" s="534"/>
      <c r="N4377" s="536" t="s">
        <v>120</v>
      </c>
      <c r="O4377" s="536"/>
      <c r="P4377" s="536"/>
      <c r="Q4377" s="536"/>
      <c r="R4377" s="536"/>
      <c r="S4377" s="536"/>
      <c r="T4377" s="536"/>
      <c r="U4377" s="536"/>
      <c r="V4377" s="82">
        <f>+SUM(V4374:V4376)</f>
        <v>5578.9666666666662</v>
      </c>
      <c r="Y4377" s="398" t="s">
        <v>135</v>
      </c>
      <c r="Z4377" s="397">
        <f>+SUM(Z4374:Z4376)</f>
        <v>106000.36666666665</v>
      </c>
      <c r="AA4377" s="86"/>
      <c r="AB4377" s="384"/>
      <c r="AC4377" s="385"/>
      <c r="AD4377" s="94"/>
      <c r="AE4377" s="399"/>
    </row>
    <row r="4378" spans="3:31" s="260" customFormat="1" ht="15.75" thickBot="1" x14ac:dyDescent="0.3">
      <c r="C4378" s="84"/>
      <c r="D4378" s="354"/>
      <c r="E4378" s="96"/>
      <c r="F4378" s="96"/>
      <c r="G4378" s="107">
        <f>+F4371</f>
        <v>4.12</v>
      </c>
      <c r="H4378" s="96"/>
      <c r="I4378" s="96"/>
      <c r="J4378" s="427"/>
      <c r="K4378" s="88"/>
      <c r="M4378" s="535"/>
      <c r="N4378" s="537" t="s">
        <v>121</v>
      </c>
      <c r="O4378" s="537"/>
      <c r="P4378" s="537"/>
      <c r="Q4378" s="537"/>
      <c r="R4378" s="537"/>
      <c r="S4378" s="537"/>
      <c r="T4378" s="537"/>
      <c r="U4378" s="537"/>
      <c r="V4378" s="413">
        <f>+ROUND(V4377,$AA$5)</f>
        <v>5578.97</v>
      </c>
      <c r="Y4378" s="401" t="s">
        <v>136</v>
      </c>
      <c r="Z4378" s="402">
        <f>+ROUND(Z4377,$AA$5)</f>
        <v>106000.37</v>
      </c>
      <c r="AA4378" s="86"/>
      <c r="AB4378" s="403">
        <f>+V4378*Y4344</f>
        <v>106000.43000000001</v>
      </c>
      <c r="AC4378" s="404">
        <f>+AB4378-Z4378</f>
        <v>6.0000000012223609E-2</v>
      </c>
      <c r="AD4378" s="94"/>
      <c r="AE4378" s="405"/>
    </row>
    <row r="4379" spans="3:31" s="260" customFormat="1" ht="15.75" thickBot="1" x14ac:dyDescent="0.3">
      <c r="C4379" s="84"/>
      <c r="D4379" s="375" t="s">
        <v>128</v>
      </c>
      <c r="E4379" s="376" t="s">
        <v>129</v>
      </c>
      <c r="F4379" s="376" t="s">
        <v>130</v>
      </c>
      <c r="G4379" s="376" t="s">
        <v>131</v>
      </c>
      <c r="H4379" s="376" t="s">
        <v>132</v>
      </c>
      <c r="I4379" s="376" t="s">
        <v>133</v>
      </c>
      <c r="J4379" s="377" t="s">
        <v>134</v>
      </c>
      <c r="K4379" s="88"/>
      <c r="M4379" s="541"/>
      <c r="N4379" s="542"/>
      <c r="O4379" s="542"/>
      <c r="P4379" s="542"/>
      <c r="Q4379" s="542"/>
      <c r="R4379" s="542"/>
      <c r="S4379" s="542"/>
      <c r="T4379" s="542"/>
      <c r="U4379" s="542"/>
      <c r="V4379" s="543"/>
      <c r="Y4379" s="378"/>
      <c r="Z4379" s="121"/>
      <c r="AA4379" s="86"/>
      <c r="AB4379" s="409"/>
      <c r="AC4379" s="121"/>
      <c r="AD4379" s="94"/>
      <c r="AE4379" s="428"/>
    </row>
    <row r="4380" spans="3:31" s="260" customFormat="1" ht="15.75" thickBot="1" x14ac:dyDescent="0.3">
      <c r="C4380" s="84"/>
      <c r="D4380" s="355"/>
      <c r="E4380" s="367"/>
      <c r="F4380" s="367"/>
      <c r="G4380" s="367"/>
      <c r="H4380" s="412">
        <f>G4378</f>
        <v>4.12</v>
      </c>
      <c r="I4380" s="412"/>
      <c r="J4380" s="422"/>
      <c r="K4380" s="88"/>
      <c r="M4380" s="544" t="s">
        <v>122</v>
      </c>
      <c r="N4380" s="537"/>
      <c r="O4380" s="537"/>
      <c r="P4380" s="537"/>
      <c r="Q4380" s="537"/>
      <c r="R4380" s="537"/>
      <c r="S4380" s="537"/>
      <c r="T4380" s="537"/>
      <c r="U4380" s="545">
        <f>+V4378+V4371+V4363+V4354</f>
        <v>23955.45</v>
      </c>
      <c r="V4380" s="546"/>
      <c r="Y4380" s="429"/>
      <c r="Z4380" s="430">
        <f>+Z4378+Z4371+Z4363+Z4354</f>
        <v>455153.54000000004</v>
      </c>
      <c r="AA4380" s="86"/>
      <c r="AB4380" s="431">
        <f>+AB4378+AB4371+AB4363+AB4354</f>
        <v>455153.55</v>
      </c>
      <c r="AC4380" s="404">
        <f>+AB4380-Z4380</f>
        <v>9.9999999511055648E-3</v>
      </c>
      <c r="AD4380" s="94"/>
      <c r="AE4380" s="432"/>
    </row>
    <row r="4381" spans="3:31" s="260" customFormat="1" ht="15.75" thickBot="1" x14ac:dyDescent="0.3"/>
    <row r="4382" spans="3:31" s="260" customFormat="1" x14ac:dyDescent="0.25">
      <c r="M4382" s="547" t="s">
        <v>348</v>
      </c>
      <c r="N4382" s="548"/>
      <c r="O4382" s="548"/>
      <c r="P4382" s="548"/>
      <c r="Q4382" s="548"/>
      <c r="R4382" s="548"/>
      <c r="S4382" s="548"/>
      <c r="T4382" s="548"/>
      <c r="U4382" s="548"/>
      <c r="V4382" s="549"/>
      <c r="Y4382" s="378"/>
      <c r="Z4382" s="121"/>
      <c r="AA4382" s="86"/>
      <c r="AB4382" s="94"/>
      <c r="AC4382" s="94"/>
      <c r="AD4382" s="94"/>
      <c r="AE4382" s="126" t="s">
        <v>133</v>
      </c>
    </row>
    <row r="4383" spans="3:31" s="260" customFormat="1" x14ac:dyDescent="0.25">
      <c r="M4383" s="515" t="s">
        <v>138</v>
      </c>
      <c r="N4383" s="516"/>
      <c r="O4383" s="516"/>
      <c r="P4383" s="516"/>
      <c r="Q4383" s="516"/>
      <c r="R4383" s="516"/>
      <c r="S4383" s="516"/>
      <c r="T4383" s="437">
        <v>0</v>
      </c>
      <c r="U4383" s="517">
        <f>+ROUND(U4380*T4383,$AA$5)</f>
        <v>0</v>
      </c>
      <c r="V4383" s="518"/>
      <c r="Y4383" s="390"/>
      <c r="Z4383" s="438">
        <f>+Z4380*T4383</f>
        <v>0</v>
      </c>
      <c r="AA4383" s="86"/>
      <c r="AB4383" s="94"/>
      <c r="AC4383" s="94"/>
      <c r="AD4383" s="94"/>
      <c r="AE4383" s="386" t="s">
        <v>133</v>
      </c>
    </row>
    <row r="4384" spans="3:31" s="260" customFormat="1" x14ac:dyDescent="0.25">
      <c r="M4384" s="515" t="s">
        <v>19</v>
      </c>
      <c r="N4384" s="516"/>
      <c r="O4384" s="516"/>
      <c r="P4384" s="516"/>
      <c r="Q4384" s="516"/>
      <c r="R4384" s="516"/>
      <c r="S4384" s="516"/>
      <c r="T4384" s="437">
        <v>0.05</v>
      </c>
      <c r="U4384" s="517">
        <f>+ROUND(U4380*T4384,$AA$5)</f>
        <v>1197.77</v>
      </c>
      <c r="V4384" s="518"/>
      <c r="Y4384" s="390"/>
      <c r="Z4384" s="438">
        <f>+Z4380*T4384</f>
        <v>22757.677000000003</v>
      </c>
      <c r="AA4384" s="86"/>
      <c r="AB4384" s="94"/>
      <c r="AC4384" s="94"/>
      <c r="AD4384" s="94"/>
      <c r="AE4384" s="386" t="s">
        <v>133</v>
      </c>
    </row>
    <row r="4385" spans="3:31" s="260" customFormat="1" x14ac:dyDescent="0.25">
      <c r="M4385" s="515" t="s">
        <v>20</v>
      </c>
      <c r="N4385" s="516"/>
      <c r="O4385" s="516"/>
      <c r="P4385" s="516"/>
      <c r="Q4385" s="516"/>
      <c r="R4385" s="516"/>
      <c r="S4385" s="516"/>
      <c r="T4385" s="437">
        <v>0</v>
      </c>
      <c r="U4385" s="517">
        <f>+ROUND(U4380*T4385,$AA$5)</f>
        <v>0</v>
      </c>
      <c r="V4385" s="518"/>
      <c r="Y4385" s="390"/>
      <c r="Z4385" s="438">
        <f>+Z4380*T4385</f>
        <v>0</v>
      </c>
      <c r="AA4385" s="86"/>
      <c r="AB4385" s="94"/>
      <c r="AC4385" s="94"/>
      <c r="AD4385" s="94"/>
      <c r="AE4385" s="386" t="s">
        <v>133</v>
      </c>
    </row>
    <row r="4386" spans="3:31" s="260" customFormat="1" x14ac:dyDescent="0.25">
      <c r="M4386" s="515" t="s">
        <v>21</v>
      </c>
      <c r="N4386" s="516"/>
      <c r="O4386" s="516"/>
      <c r="P4386" s="516"/>
      <c r="Q4386" s="516"/>
      <c r="R4386" s="516"/>
      <c r="S4386" s="516"/>
      <c r="T4386" s="437">
        <f>$AA$9</f>
        <v>0</v>
      </c>
      <c r="U4386" s="517">
        <f>+ROUND(U4380*T4386,$AA$5)</f>
        <v>0</v>
      </c>
      <c r="V4386" s="518"/>
      <c r="Y4386" s="390"/>
      <c r="Z4386" s="438">
        <f>+Z4385*T4386</f>
        <v>0</v>
      </c>
      <c r="AA4386" s="86"/>
      <c r="AB4386" s="94"/>
      <c r="AC4386" s="94"/>
      <c r="AD4386" s="94"/>
      <c r="AE4386" s="386" t="s">
        <v>133</v>
      </c>
    </row>
    <row r="4387" spans="3:31" s="260" customFormat="1" ht="15.75" thickBot="1" x14ac:dyDescent="0.3">
      <c r="M4387" s="519" t="s">
        <v>349</v>
      </c>
      <c r="N4387" s="520"/>
      <c r="O4387" s="520"/>
      <c r="P4387" s="520"/>
      <c r="Q4387" s="520"/>
      <c r="R4387" s="520"/>
      <c r="S4387" s="520"/>
      <c r="T4387" s="520"/>
      <c r="U4387" s="521">
        <f>+SUM(U4383:V4386)</f>
        <v>1197.77</v>
      </c>
      <c r="V4387" s="522"/>
      <c r="Y4387" s="390"/>
      <c r="Z4387" s="439">
        <f>+SUM(Z4383:Z4386)</f>
        <v>22757.677000000003</v>
      </c>
      <c r="AA4387" s="86"/>
      <c r="AB4387" s="94"/>
      <c r="AC4387" s="94"/>
      <c r="AD4387" s="94"/>
      <c r="AE4387" s="386" t="s">
        <v>133</v>
      </c>
    </row>
    <row r="4388" spans="3:31" s="260" customFormat="1" ht="15.75" thickBot="1" x14ac:dyDescent="0.3">
      <c r="D4388" s="375" t="s">
        <v>128</v>
      </c>
      <c r="E4388" s="376" t="s">
        <v>129</v>
      </c>
      <c r="F4388" s="376" t="s">
        <v>130</v>
      </c>
      <c r="G4388" s="376" t="s">
        <v>131</v>
      </c>
      <c r="H4388" s="376" t="s">
        <v>132</v>
      </c>
      <c r="I4388" s="376" t="s">
        <v>133</v>
      </c>
      <c r="J4388" s="377" t="s">
        <v>134</v>
      </c>
      <c r="M4388" s="86"/>
      <c r="N4388" s="94"/>
      <c r="O4388" s="94"/>
      <c r="P4388" s="94"/>
      <c r="Q4388" s="86"/>
      <c r="R4388" s="86"/>
      <c r="S4388" s="86"/>
      <c r="T4388" s="440"/>
      <c r="U4388" s="523"/>
      <c r="V4388" s="523"/>
      <c r="Y4388" s="390"/>
      <c r="Z4388" s="385"/>
      <c r="AA4388" s="86"/>
      <c r="AB4388" s="94"/>
      <c r="AC4388" s="94"/>
      <c r="AD4388" s="94"/>
      <c r="AE4388" s="386" t="s">
        <v>133</v>
      </c>
    </row>
    <row r="4389" spans="3:31" s="260" customFormat="1" ht="15.75" thickBot="1" x14ac:dyDescent="0.3">
      <c r="D4389" s="355"/>
      <c r="E4389" s="367"/>
      <c r="F4389" s="367"/>
      <c r="G4389" s="367"/>
      <c r="H4389" s="412"/>
      <c r="I4389" s="412">
        <f>H4380</f>
        <v>4.12</v>
      </c>
      <c r="J4389" s="422"/>
      <c r="M4389" s="524" t="s">
        <v>11</v>
      </c>
      <c r="N4389" s="525"/>
      <c r="O4389" s="525"/>
      <c r="P4389" s="525"/>
      <c r="Q4389" s="525"/>
      <c r="R4389" s="525"/>
      <c r="S4389" s="525"/>
      <c r="T4389" s="526"/>
      <c r="U4389" s="527">
        <f>+U4387+U4380</f>
        <v>25153.22</v>
      </c>
      <c r="V4389" s="528"/>
      <c r="Y4389" s="429"/>
      <c r="Z4389" s="441">
        <f>+Z4387+Z4380</f>
        <v>477911.21700000006</v>
      </c>
      <c r="AA4389" s="86"/>
      <c r="AB4389" s="94"/>
      <c r="AC4389" s="94"/>
      <c r="AD4389" s="94"/>
      <c r="AE4389" s="405" t="s">
        <v>133</v>
      </c>
    </row>
    <row r="4390" spans="3:31" s="260" customFormat="1" x14ac:dyDescent="0.25"/>
    <row r="4391" spans="3:31" s="260" customFormat="1" ht="15.75" thickBot="1" x14ac:dyDescent="0.3"/>
    <row r="4392" spans="3:31" s="260" customFormat="1" ht="15.75" thickBot="1" x14ac:dyDescent="0.3">
      <c r="M4392" s="363" t="s">
        <v>88</v>
      </c>
      <c r="N4392" s="436" t="str">
        <f>+N4343</f>
        <v>CAP.4</v>
      </c>
      <c r="O4392" s="550" t="str">
        <f>IFERROR(VLOOKUP(N4392,PPTO!C:H,2,0),"----")</f>
        <v>RED SANITARIA</v>
      </c>
      <c r="P4392" s="551"/>
      <c r="Q4392" s="551"/>
      <c r="R4392" s="551"/>
      <c r="S4392" s="551"/>
      <c r="T4392" s="551"/>
      <c r="U4392" s="552"/>
      <c r="V4392" s="74" t="s">
        <v>91</v>
      </c>
      <c r="Y4392" s="365" t="s">
        <v>104</v>
      </c>
      <c r="Z4392" s="94"/>
      <c r="AA4392" s="188"/>
      <c r="AB4392" s="553"/>
      <c r="AC4392" s="553"/>
      <c r="AD4392" s="553"/>
      <c r="AE4392" s="94"/>
    </row>
    <row r="4393" spans="3:31" s="260" customFormat="1" ht="15.75" thickBot="1" x14ac:dyDescent="0.3">
      <c r="C4393" s="369">
        <f>+N4393</f>
        <v>4.13</v>
      </c>
      <c r="D4393" s="86"/>
      <c r="E4393" s="86"/>
      <c r="F4393" s="86"/>
      <c r="G4393" s="86"/>
      <c r="H4393" s="86"/>
      <c r="I4393" s="86"/>
      <c r="J4393" s="86"/>
      <c r="K4393" s="370"/>
      <c r="M4393" s="75" t="s">
        <v>92</v>
      </c>
      <c r="N4393" s="371">
        <f>+ROUNDUP(N4344+0.01,2)</f>
        <v>4.13</v>
      </c>
      <c r="O4393" s="554" t="str">
        <f>IFERROR(VLOOKUP(N4393,PPTO!C:H,2,0),"----")</f>
        <v>Tapón PVC Ø4"</v>
      </c>
      <c r="P4393" s="555"/>
      <c r="Q4393" s="555"/>
      <c r="R4393" s="555"/>
      <c r="S4393" s="555"/>
      <c r="T4393" s="555"/>
      <c r="U4393" s="556"/>
      <c r="V4393" s="76" t="str">
        <f>IFERROR(VLOOKUP(N4393,PPTO!C:H,3,0),"----")</f>
        <v>UND</v>
      </c>
      <c r="Y4393" s="373">
        <f>SUMIFS(PPTO!F:F,PPTO!C:C,APUS!N4393)</f>
        <v>9</v>
      </c>
      <c r="Z4393" s="94"/>
      <c r="AA4393" s="86"/>
      <c r="AB4393" s="94"/>
      <c r="AC4393" s="94"/>
      <c r="AD4393" s="94"/>
      <c r="AE4393" s="94"/>
    </row>
    <row r="4394" spans="3:31" s="260" customFormat="1" ht="15.75" thickBot="1" x14ac:dyDescent="0.3">
      <c r="C4394" s="84"/>
      <c r="D4394" s="86"/>
      <c r="E4394" s="86"/>
      <c r="F4394" s="86"/>
      <c r="G4394" s="86"/>
      <c r="H4394" s="86"/>
      <c r="I4394" s="86"/>
      <c r="J4394" s="86"/>
      <c r="K4394" s="88"/>
      <c r="M4394" s="557"/>
      <c r="N4394" s="557"/>
      <c r="O4394" s="557"/>
      <c r="P4394" s="557"/>
      <c r="Q4394" s="557"/>
      <c r="R4394" s="557"/>
      <c r="S4394" s="557"/>
      <c r="T4394" s="557"/>
      <c r="U4394" s="557"/>
      <c r="V4394" s="557"/>
      <c r="Y4394" s="374"/>
      <c r="Z4394" s="94"/>
      <c r="AA4394" s="86"/>
      <c r="AB4394" s="94"/>
      <c r="AC4394" s="94"/>
      <c r="AD4394" s="94"/>
      <c r="AE4394" s="94"/>
    </row>
    <row r="4395" spans="3:31" s="260" customFormat="1" ht="15.75" thickBot="1" x14ac:dyDescent="0.3">
      <c r="C4395" s="84"/>
      <c r="D4395" s="375" t="s">
        <v>128</v>
      </c>
      <c r="E4395" s="376" t="s">
        <v>129</v>
      </c>
      <c r="F4395" s="376" t="s">
        <v>130</v>
      </c>
      <c r="G4395" s="376" t="s">
        <v>131</v>
      </c>
      <c r="H4395" s="376" t="s">
        <v>132</v>
      </c>
      <c r="I4395" s="376" t="s">
        <v>133</v>
      </c>
      <c r="J4395" s="377" t="s">
        <v>134</v>
      </c>
      <c r="K4395" s="88"/>
      <c r="M4395" s="558" t="s">
        <v>93</v>
      </c>
      <c r="N4395" s="559"/>
      <c r="O4395" s="559"/>
      <c r="P4395" s="559"/>
      <c r="Q4395" s="559"/>
      <c r="R4395" s="559"/>
      <c r="S4395" s="559"/>
      <c r="T4395" s="559"/>
      <c r="U4395" s="559"/>
      <c r="V4395" s="560"/>
      <c r="Y4395" s="378"/>
      <c r="Z4395" s="121"/>
      <c r="AA4395" s="86"/>
      <c r="AB4395" s="513"/>
      <c r="AC4395" s="514"/>
      <c r="AD4395" s="94"/>
      <c r="AE4395" s="379"/>
    </row>
    <row r="4396" spans="3:31" s="260" customFormat="1" x14ac:dyDescent="0.25">
      <c r="C4396" s="84"/>
      <c r="D4396" s="380"/>
      <c r="E4396" s="381"/>
      <c r="F4396" s="381"/>
      <c r="G4396" s="381"/>
      <c r="H4396" s="381"/>
      <c r="I4396" s="381"/>
      <c r="J4396" s="382"/>
      <c r="K4396" s="88"/>
      <c r="M4396" s="99" t="s">
        <v>94</v>
      </c>
      <c r="N4396" s="561" t="s">
        <v>95</v>
      </c>
      <c r="O4396" s="561"/>
      <c r="P4396" s="561"/>
      <c r="Q4396" s="561"/>
      <c r="R4396" s="95" t="s">
        <v>96</v>
      </c>
      <c r="S4396" s="95" t="s">
        <v>97</v>
      </c>
      <c r="T4396" s="562" t="s">
        <v>8</v>
      </c>
      <c r="U4396" s="562"/>
      <c r="V4396" s="100" t="s">
        <v>98</v>
      </c>
      <c r="Y4396" s="383" t="s">
        <v>104</v>
      </c>
      <c r="Z4396" s="119" t="s">
        <v>9</v>
      </c>
      <c r="AA4396" s="86"/>
      <c r="AB4396" s="384"/>
      <c r="AC4396" s="385"/>
      <c r="AD4396" s="94"/>
      <c r="AE4396" s="386"/>
    </row>
    <row r="4397" spans="3:31" s="260" customFormat="1" x14ac:dyDescent="0.25">
      <c r="C4397" s="84"/>
      <c r="D4397" s="85"/>
      <c r="E4397" s="86"/>
      <c r="F4397" s="86"/>
      <c r="G4397" s="86"/>
      <c r="H4397" s="86"/>
      <c r="I4397" s="86"/>
      <c r="J4397" s="87"/>
      <c r="K4397" s="88"/>
      <c r="M4397" s="102"/>
      <c r="N4397" s="533" t="s">
        <v>99</v>
      </c>
      <c r="O4397" s="533"/>
      <c r="P4397" s="533"/>
      <c r="Q4397" s="533"/>
      <c r="R4397" s="78" t="s">
        <v>100</v>
      </c>
      <c r="S4397" s="387">
        <f>+$AA$10</f>
        <v>0.05</v>
      </c>
      <c r="T4397" s="563">
        <f>V4427</f>
        <v>4184.2299999999996</v>
      </c>
      <c r="U4397" s="563"/>
      <c r="V4397" s="389">
        <f>+IFERROR(T4397*S4397,0)</f>
        <v>209.2115</v>
      </c>
      <c r="Y4397" s="390"/>
      <c r="Z4397" s="391">
        <f>Y4393*V4397</f>
        <v>1882.9034999999999</v>
      </c>
      <c r="AA4397" s="86"/>
      <c r="AB4397" s="384"/>
      <c r="AC4397" s="385"/>
      <c r="AD4397" s="94"/>
      <c r="AE4397" s="386" t="str">
        <f>+IF(V4397=0,"CERO","NO")</f>
        <v>NO</v>
      </c>
    </row>
    <row r="4398" spans="3:31" s="260" customFormat="1" x14ac:dyDescent="0.25">
      <c r="C4398" s="84"/>
      <c r="D4398" s="85"/>
      <c r="E4398" s="86"/>
      <c r="F4398" s="86"/>
      <c r="G4398" s="86"/>
      <c r="H4398" s="86"/>
      <c r="I4398" s="86"/>
      <c r="J4398" s="87"/>
      <c r="K4398" s="88"/>
      <c r="M4398" s="106"/>
      <c r="N4398" s="533" t="str">
        <f>IFERROR(VLOOKUP(M4398,INSUMOS!$C$8:$K$928,2,0),"-----")</f>
        <v>-----</v>
      </c>
      <c r="O4398" s="533"/>
      <c r="P4398" s="533"/>
      <c r="Q4398" s="533"/>
      <c r="R4398" s="78" t="str">
        <f>IFERROR(VLOOKUP(M4398,INSUMOS!$C$8:$K$928,6,0),"-----")</f>
        <v>-----</v>
      </c>
      <c r="S4398" s="392"/>
      <c r="T4398" s="529" t="str">
        <f>IFERROR(VLOOKUP(M4398,INSUMOS!$C$8:$K$928,7,0),"0")</f>
        <v>0</v>
      </c>
      <c r="U4398" s="529"/>
      <c r="V4398" s="389">
        <f>+IFERROR(T4398*S4398,0)</f>
        <v>0</v>
      </c>
      <c r="Y4398" s="393">
        <f>+IFERROR(Y4393*S4398,0)</f>
        <v>0</v>
      </c>
      <c r="Z4398" s="391">
        <f>Y4393*V4398</f>
        <v>0</v>
      </c>
      <c r="AA4398" s="394"/>
      <c r="AB4398" s="395">
        <f>+Y4398*T4398</f>
        <v>0</v>
      </c>
      <c r="AC4398" s="93">
        <f>+AB4398-Z4398</f>
        <v>0</v>
      </c>
      <c r="AD4398" s="94"/>
      <c r="AE4398" s="386" t="str">
        <f>+IF(V4398=0,"CERO","NO")</f>
        <v>CERO</v>
      </c>
    </row>
    <row r="4399" spans="3:31" s="260" customFormat="1" x14ac:dyDescent="0.25">
      <c r="C4399" s="84"/>
      <c r="D4399" s="85"/>
      <c r="E4399" s="86"/>
      <c r="F4399" s="86"/>
      <c r="G4399" s="86"/>
      <c r="H4399" s="86"/>
      <c r="I4399" s="86"/>
      <c r="J4399" s="87"/>
      <c r="K4399" s="88"/>
      <c r="M4399" s="102">
        <v>0</v>
      </c>
      <c r="N4399" s="533"/>
      <c r="O4399" s="533"/>
      <c r="P4399" s="533"/>
      <c r="Q4399" s="533"/>
      <c r="R4399" s="78"/>
      <c r="S4399" s="396"/>
      <c r="T4399" s="529"/>
      <c r="U4399" s="529"/>
      <c r="V4399" s="397"/>
      <c r="Y4399" s="393">
        <f>+IFERROR(Y4393*S4399,0)</f>
        <v>0</v>
      </c>
      <c r="Z4399" s="391">
        <f>Y4393*V4399</f>
        <v>0</v>
      </c>
      <c r="AA4399" s="394"/>
      <c r="AB4399" s="395">
        <f>+Y4399*T4399</f>
        <v>0</v>
      </c>
      <c r="AC4399" s="93">
        <f>+AB4399-Z4399</f>
        <v>0</v>
      </c>
      <c r="AD4399" s="94"/>
      <c r="AE4399" s="386" t="str">
        <f>+IF(V4399=0,"CERO","NO")</f>
        <v>CERO</v>
      </c>
    </row>
    <row r="4400" spans="3:31" s="260" customFormat="1" x14ac:dyDescent="0.25">
      <c r="C4400" s="84"/>
      <c r="D4400" s="85"/>
      <c r="E4400" s="86"/>
      <c r="F4400" s="86"/>
      <c r="G4400" s="86"/>
      <c r="H4400" s="86"/>
      <c r="I4400" s="86"/>
      <c r="J4400" s="87"/>
      <c r="K4400" s="88"/>
      <c r="M4400" s="102">
        <v>0</v>
      </c>
      <c r="N4400" s="533"/>
      <c r="O4400" s="533"/>
      <c r="P4400" s="533"/>
      <c r="Q4400" s="533"/>
      <c r="R4400" s="78"/>
      <c r="S4400" s="396"/>
      <c r="T4400" s="529"/>
      <c r="U4400" s="529"/>
      <c r="V4400" s="397"/>
      <c r="Y4400" s="393">
        <f>+IFERROR(Y4393*S4400,0)</f>
        <v>0</v>
      </c>
      <c r="Z4400" s="391">
        <f>Y4393*V4400</f>
        <v>0</v>
      </c>
      <c r="AA4400" s="394"/>
      <c r="AB4400" s="395">
        <f>+Y4400*T4400</f>
        <v>0</v>
      </c>
      <c r="AC4400" s="93">
        <f>+AB4400-Z4400</f>
        <v>0</v>
      </c>
      <c r="AD4400" s="94"/>
      <c r="AE4400" s="386" t="str">
        <f>+IF(V4400=0,"CERO","NO")</f>
        <v>CERO</v>
      </c>
    </row>
    <row r="4401" spans="3:31" s="260" customFormat="1" ht="15.75" thickBot="1" x14ac:dyDescent="0.3">
      <c r="C4401" s="84"/>
      <c r="D4401" s="85"/>
      <c r="E4401" s="86"/>
      <c r="F4401" s="86"/>
      <c r="G4401" s="86"/>
      <c r="H4401" s="86"/>
      <c r="I4401" s="86"/>
      <c r="J4401" s="87"/>
      <c r="K4401" s="88"/>
      <c r="M4401" s="102">
        <v>0</v>
      </c>
      <c r="N4401" s="564"/>
      <c r="O4401" s="564"/>
      <c r="P4401" s="564"/>
      <c r="Q4401" s="564"/>
      <c r="R4401" s="96"/>
      <c r="S4401" s="96"/>
      <c r="T4401" s="565"/>
      <c r="U4401" s="565"/>
      <c r="V4401" s="101"/>
      <c r="Y4401" s="393">
        <f>+IFERROR(Y4393*S4401,0)</f>
        <v>0</v>
      </c>
      <c r="Z4401" s="391">
        <f>Y4393*V4401</f>
        <v>0</v>
      </c>
      <c r="AA4401" s="394"/>
      <c r="AB4401" s="395">
        <f>+Y4401*T4401</f>
        <v>0</v>
      </c>
      <c r="AC4401" s="93">
        <f>+AB4401-Z4401</f>
        <v>0</v>
      </c>
      <c r="AD4401" s="94"/>
      <c r="AE4401" s="386" t="str">
        <f>+IF(V4401=0,"CERO","NO")</f>
        <v>CERO</v>
      </c>
    </row>
    <row r="4402" spans="3:31" s="260" customFormat="1" ht="15.75" thickBot="1" x14ac:dyDescent="0.3">
      <c r="C4402" s="84"/>
      <c r="D4402" s="375" t="s">
        <v>128</v>
      </c>
      <c r="E4402" s="376" t="s">
        <v>129</v>
      </c>
      <c r="F4402" s="376" t="s">
        <v>130</v>
      </c>
      <c r="G4402" s="376" t="s">
        <v>131</v>
      </c>
      <c r="H4402" s="376" t="s">
        <v>132</v>
      </c>
      <c r="I4402" s="376" t="s">
        <v>133</v>
      </c>
      <c r="J4402" s="377" t="s">
        <v>134</v>
      </c>
      <c r="K4402" s="88"/>
      <c r="M4402" s="534"/>
      <c r="N4402" s="536" t="s">
        <v>101</v>
      </c>
      <c r="O4402" s="536"/>
      <c r="P4402" s="536"/>
      <c r="Q4402" s="536"/>
      <c r="R4402" s="536"/>
      <c r="S4402" s="536"/>
      <c r="T4402" s="536"/>
      <c r="U4402" s="536"/>
      <c r="V4402" s="389">
        <f>+SUM(V4397:V4401)</f>
        <v>209.2115</v>
      </c>
      <c r="Y4402" s="398" t="s">
        <v>135</v>
      </c>
      <c r="Z4402" s="397">
        <f>+SUM(Z4397:Z4401)</f>
        <v>1882.9034999999999</v>
      </c>
      <c r="AA4402" s="86"/>
      <c r="AB4402" s="384"/>
      <c r="AC4402" s="385"/>
      <c r="AD4402" s="94"/>
      <c r="AE4402" s="399"/>
    </row>
    <row r="4403" spans="3:31" s="260" customFormat="1" ht="15.75" thickBot="1" x14ac:dyDescent="0.3">
      <c r="C4403" s="84"/>
      <c r="D4403" s="375">
        <f>C4393</f>
        <v>4.13</v>
      </c>
      <c r="E4403" s="376"/>
      <c r="F4403" s="376"/>
      <c r="G4403" s="376"/>
      <c r="H4403" s="376"/>
      <c r="I4403" s="376"/>
      <c r="J4403" s="377"/>
      <c r="K4403" s="88"/>
      <c r="M4403" s="566"/>
      <c r="N4403" s="567" t="s">
        <v>102</v>
      </c>
      <c r="O4403" s="567"/>
      <c r="P4403" s="567"/>
      <c r="Q4403" s="567"/>
      <c r="R4403" s="567"/>
      <c r="S4403" s="567"/>
      <c r="T4403" s="567"/>
      <c r="U4403" s="567"/>
      <c r="V4403" s="400">
        <f>+ROUND(V4402,$AA$5)</f>
        <v>209.21</v>
      </c>
      <c r="Y4403" s="401" t="s">
        <v>136</v>
      </c>
      <c r="Z4403" s="402">
        <f>+ROUND(Z4402,$AA$5)</f>
        <v>1882.9</v>
      </c>
      <c r="AA4403" s="86"/>
      <c r="AB4403" s="403">
        <f>+V4403*Y4393</f>
        <v>1882.89</v>
      </c>
      <c r="AC4403" s="404">
        <f>+AB4403-Z4403</f>
        <v>-9.9999999999909051E-3</v>
      </c>
      <c r="AD4403" s="94"/>
      <c r="AE4403" s="405"/>
    </row>
    <row r="4404" spans="3:31" s="260" customFormat="1" x14ac:dyDescent="0.25">
      <c r="C4404" s="84"/>
      <c r="D4404" s="380"/>
      <c r="E4404" s="381"/>
      <c r="F4404" s="381"/>
      <c r="G4404" s="381"/>
      <c r="H4404" s="381"/>
      <c r="I4404" s="381"/>
      <c r="J4404" s="382"/>
      <c r="K4404" s="88"/>
      <c r="M4404" s="510" t="s">
        <v>103</v>
      </c>
      <c r="N4404" s="511"/>
      <c r="O4404" s="511"/>
      <c r="P4404" s="511"/>
      <c r="Q4404" s="511"/>
      <c r="R4404" s="511"/>
      <c r="S4404" s="511"/>
      <c r="T4404" s="511"/>
      <c r="U4404" s="511"/>
      <c r="V4404" s="512"/>
      <c r="Y4404" s="378"/>
      <c r="Z4404" s="121"/>
      <c r="AA4404" s="86"/>
      <c r="AB4404" s="513"/>
      <c r="AC4404" s="514"/>
      <c r="AD4404" s="94"/>
      <c r="AE4404" s="126"/>
    </row>
    <row r="4405" spans="3:31" s="260" customFormat="1" x14ac:dyDescent="0.25">
      <c r="C4405" s="84"/>
      <c r="D4405" s="85"/>
      <c r="E4405" s="86"/>
      <c r="F4405" s="86"/>
      <c r="G4405" s="86"/>
      <c r="H4405" s="86"/>
      <c r="I4405" s="86"/>
      <c r="J4405" s="87"/>
      <c r="K4405" s="88"/>
      <c r="M4405" s="99" t="s">
        <v>94</v>
      </c>
      <c r="N4405" s="561" t="s">
        <v>95</v>
      </c>
      <c r="O4405" s="561"/>
      <c r="P4405" s="561"/>
      <c r="Q4405" s="561"/>
      <c r="R4405" s="95" t="s">
        <v>96</v>
      </c>
      <c r="S4405" s="95" t="s">
        <v>104</v>
      </c>
      <c r="T4405" s="356" t="s">
        <v>105</v>
      </c>
      <c r="U4405" s="356" t="s">
        <v>8</v>
      </c>
      <c r="V4405" s="100" t="s">
        <v>98</v>
      </c>
      <c r="Y4405" s="383" t="s">
        <v>104</v>
      </c>
      <c r="Z4405" s="119" t="s">
        <v>9</v>
      </c>
      <c r="AA4405" s="86"/>
      <c r="AB4405" s="384"/>
      <c r="AC4405" s="385"/>
      <c r="AD4405" s="94"/>
      <c r="AE4405" s="406"/>
    </row>
    <row r="4406" spans="3:31" s="260" customFormat="1" x14ac:dyDescent="0.25">
      <c r="C4406" s="84"/>
      <c r="D4406" s="85"/>
      <c r="E4406" s="86"/>
      <c r="F4406" s="86"/>
      <c r="G4406" s="86"/>
      <c r="H4406" s="86"/>
      <c r="I4406" s="86"/>
      <c r="J4406" s="87"/>
      <c r="K4406" s="88"/>
      <c r="M4406" s="102">
        <v>577</v>
      </c>
      <c r="N4406" s="533" t="str">
        <f>IFERROR(VLOOKUP(M4406,INSUMOS!$C$8:$K$928,2,0),"-----")</f>
        <v>TAPÓN PRUEBAS PVC SANITARIO 4"</v>
      </c>
      <c r="O4406" s="533"/>
      <c r="P4406" s="533"/>
      <c r="Q4406" s="533"/>
      <c r="R4406" s="78" t="str">
        <f>IFERROR(VLOOKUP(M4406,INSUMOS!$C$8:$K$928,6,0),"-----")</f>
        <v>und</v>
      </c>
      <c r="S4406" s="396">
        <v>1</v>
      </c>
      <c r="T4406" s="387">
        <v>0</v>
      </c>
      <c r="U4406" s="388">
        <f>IFERROR(VLOOKUP(M4406,INSUMOS!$C$8:$K$928,7,0),"0")</f>
        <v>4136</v>
      </c>
      <c r="V4406" s="389">
        <f>+IFERROR(U4406*(S4406*(1+T4406)),0)</f>
        <v>4136</v>
      </c>
      <c r="Y4406" s="393">
        <f>+IFERROR(Y4393*(S4406*(1+T4406)),0)</f>
        <v>9</v>
      </c>
      <c r="Z4406" s="391">
        <f>Y4393*V4406</f>
        <v>37224</v>
      </c>
      <c r="AA4406" s="394"/>
      <c r="AB4406" s="395">
        <f>+Y4406*U4406</f>
        <v>37224</v>
      </c>
      <c r="AC4406" s="93">
        <f>+AB4406-Z4406</f>
        <v>0</v>
      </c>
      <c r="AD4406" s="94"/>
      <c r="AE4406" s="406" t="str">
        <f>+IF(V4406=0,"CERO","NO")</f>
        <v>NO</v>
      </c>
    </row>
    <row r="4407" spans="3:31" s="260" customFormat="1" x14ac:dyDescent="0.25">
      <c r="C4407" s="84"/>
      <c r="D4407" s="85"/>
      <c r="E4407" s="86"/>
      <c r="F4407" s="86"/>
      <c r="G4407" s="86"/>
      <c r="H4407" s="86"/>
      <c r="I4407" s="86"/>
      <c r="J4407" s="87"/>
      <c r="K4407" s="88"/>
      <c r="M4407" s="102">
        <v>699</v>
      </c>
      <c r="N4407" s="533" t="str">
        <f>IFERROR(VLOOKUP(M4407,INSUMOS!$C$8:$K$928,2,0),"-----")</f>
        <v>SOLDADURA PVC LIQUIDA 1/4"</v>
      </c>
      <c r="O4407" s="533"/>
      <c r="P4407" s="533"/>
      <c r="Q4407" s="533"/>
      <c r="R4407" s="78" t="str">
        <f>IFERROR(VLOOKUP(M4407,INSUMOS!$C$8:$K$928,6,0),"-----")</f>
        <v>und</v>
      </c>
      <c r="S4407" s="396">
        <v>0.01</v>
      </c>
      <c r="T4407" s="387">
        <v>0.02</v>
      </c>
      <c r="U4407" s="388">
        <f>IFERROR(VLOOKUP(M4407,INSUMOS!$C$8:$K$928,7,0),"0")</f>
        <v>146569</v>
      </c>
      <c r="V4407" s="389">
        <f>+IFERROR(U4407*(S4407*(1+T4407)),0)</f>
        <v>1495.0038000000002</v>
      </c>
      <c r="Y4407" s="393">
        <f>+IFERROR(Y4393*(S4407*(1+T4407)),0)</f>
        <v>9.1800000000000007E-2</v>
      </c>
      <c r="Z4407" s="391">
        <f>Y4393*V4407</f>
        <v>13455.034200000002</v>
      </c>
      <c r="AA4407" s="394"/>
      <c r="AB4407" s="395">
        <f>+Y4407*U4407</f>
        <v>13455.034200000002</v>
      </c>
      <c r="AC4407" s="93">
        <f>+AB4407-Z4407</f>
        <v>0</v>
      </c>
      <c r="AD4407" s="94"/>
      <c r="AE4407" s="406" t="str">
        <f>+IF(V4407=0,"CERO","NO")</f>
        <v>NO</v>
      </c>
    </row>
    <row r="4408" spans="3:31" s="260" customFormat="1" x14ac:dyDescent="0.25">
      <c r="C4408" s="84"/>
      <c r="D4408" s="85"/>
      <c r="E4408" s="86"/>
      <c r="F4408" s="86"/>
      <c r="G4408" s="86"/>
      <c r="H4408" s="86"/>
      <c r="I4408" s="86"/>
      <c r="J4408" s="87"/>
      <c r="K4408" s="88"/>
      <c r="M4408" s="102">
        <v>700</v>
      </c>
      <c r="N4408" s="533" t="str">
        <f>IFERROR(VLOOKUP(M4408,INSUMOS!$C$8:$K$928,2,0),"-----")</f>
        <v>LIMPIADOR PVC 1/4</v>
      </c>
      <c r="O4408" s="533"/>
      <c r="P4408" s="533"/>
      <c r="Q4408" s="533"/>
      <c r="R4408" s="78" t="str">
        <f>IFERROR(VLOOKUP(M4408,INSUMOS!$C$8:$K$928,6,0),"-----")</f>
        <v>und</v>
      </c>
      <c r="S4408" s="396">
        <v>0.01</v>
      </c>
      <c r="T4408" s="387">
        <v>0.02</v>
      </c>
      <c r="U4408" s="388">
        <f>IFERROR(VLOOKUP(M4408,INSUMOS!$C$8:$K$928,7,0),"0")</f>
        <v>65913</v>
      </c>
      <c r="V4408" s="389">
        <f>+IFERROR(U4408*(S4408*(1+T4408)),0)</f>
        <v>672.31260000000009</v>
      </c>
      <c r="Y4408" s="393">
        <f>+IFERROR(Y4393*(S4408*(1+T4408)),0)</f>
        <v>9.1800000000000007E-2</v>
      </c>
      <c r="Z4408" s="391">
        <f>Y4393*V4408</f>
        <v>6050.8134000000009</v>
      </c>
      <c r="AA4408" s="394"/>
      <c r="AB4408" s="395">
        <f>+Y4408*U4408</f>
        <v>6050.8134</v>
      </c>
      <c r="AC4408" s="93">
        <f>+AB4408-Z4408</f>
        <v>0</v>
      </c>
      <c r="AD4408" s="94"/>
      <c r="AE4408" s="406" t="str">
        <f>+IF(V4408=0,"CERO","NO")</f>
        <v>NO</v>
      </c>
    </row>
    <row r="4409" spans="3:31" s="260" customFormat="1" x14ac:dyDescent="0.25">
      <c r="C4409" s="84"/>
      <c r="D4409" s="85"/>
      <c r="E4409" s="86"/>
      <c r="F4409" s="86"/>
      <c r="G4409" s="86"/>
      <c r="H4409" s="86"/>
      <c r="I4409" s="86"/>
      <c r="J4409" s="87"/>
      <c r="K4409" s="88"/>
      <c r="M4409" s="102">
        <v>0</v>
      </c>
      <c r="N4409" s="533" t="str">
        <f>IFERROR(VLOOKUP(M4409,INSUMOS!$C$8:$K$928,2,0),"-----")</f>
        <v>-----</v>
      </c>
      <c r="O4409" s="533"/>
      <c r="P4409" s="533"/>
      <c r="Q4409" s="533"/>
      <c r="R4409" s="78" t="str">
        <f>IFERROR(VLOOKUP(M4409,INSUMOS!$C$8:$K$928,6,0),"-----")</f>
        <v>-----</v>
      </c>
      <c r="S4409" s="396"/>
      <c r="T4409" s="387"/>
      <c r="U4409" s="388" t="str">
        <f>IFERROR(VLOOKUP(M4409,INSUMOS!$C$8:$K$928,7,0),"0")</f>
        <v>0</v>
      </c>
      <c r="V4409" s="389">
        <f>+IFERROR(U4409*(S4409*(1+T4409)),0)</f>
        <v>0</v>
      </c>
      <c r="Y4409" s="393">
        <f>+IFERROR(Y4393*(S4409*(1+T4409)),0)</f>
        <v>0</v>
      </c>
      <c r="Z4409" s="391">
        <f>Y4393*V4409</f>
        <v>0</v>
      </c>
      <c r="AA4409" s="394"/>
      <c r="AB4409" s="395">
        <f>+Y4409*U4409</f>
        <v>0</v>
      </c>
      <c r="AC4409" s="93">
        <f>+AB4409-Z4409</f>
        <v>0</v>
      </c>
      <c r="AD4409" s="94"/>
      <c r="AE4409" s="406" t="str">
        <f>+IF(V4409=0,"CERO","NO")</f>
        <v>CERO</v>
      </c>
    </row>
    <row r="4410" spans="3:31" s="260" customFormat="1" ht="15.75" thickBot="1" x14ac:dyDescent="0.3">
      <c r="C4410" s="84"/>
      <c r="D4410" s="85"/>
      <c r="E4410" s="86"/>
      <c r="F4410" s="86"/>
      <c r="G4410" s="86"/>
      <c r="H4410" s="86"/>
      <c r="I4410" s="86"/>
      <c r="J4410" s="87"/>
      <c r="K4410" s="88"/>
      <c r="M4410" s="102">
        <v>0</v>
      </c>
      <c r="N4410" s="564"/>
      <c r="O4410" s="564"/>
      <c r="P4410" s="564"/>
      <c r="Q4410" s="564"/>
      <c r="R4410" s="96"/>
      <c r="S4410" s="79"/>
      <c r="T4410" s="97"/>
      <c r="U4410" s="358"/>
      <c r="V4410" s="397"/>
      <c r="Y4410" s="393">
        <f>+IFERROR(Y4393*(S4410*(1+T4410)),0)</f>
        <v>0</v>
      </c>
      <c r="Z4410" s="391">
        <f>Y4393*V4410</f>
        <v>0</v>
      </c>
      <c r="AA4410" s="394"/>
      <c r="AB4410" s="395">
        <f>+Y4410*U4410</f>
        <v>0</v>
      </c>
      <c r="AC4410" s="93">
        <f>+AB4410-Z4410</f>
        <v>0</v>
      </c>
      <c r="AD4410" s="94"/>
      <c r="AE4410" s="406" t="str">
        <f>+IF(V4410=0,"CERO","NO")</f>
        <v>CERO</v>
      </c>
    </row>
    <row r="4411" spans="3:31" s="260" customFormat="1" ht="15.75" thickBot="1" x14ac:dyDescent="0.3">
      <c r="C4411" s="84"/>
      <c r="D4411" s="375" t="s">
        <v>128</v>
      </c>
      <c r="E4411" s="376" t="s">
        <v>129</v>
      </c>
      <c r="F4411" s="376" t="s">
        <v>130</v>
      </c>
      <c r="G4411" s="376" t="s">
        <v>131</v>
      </c>
      <c r="H4411" s="376" t="s">
        <v>132</v>
      </c>
      <c r="I4411" s="376" t="s">
        <v>133</v>
      </c>
      <c r="J4411" s="377" t="s">
        <v>134</v>
      </c>
      <c r="K4411" s="88"/>
      <c r="M4411" s="534"/>
      <c r="N4411" s="536" t="s">
        <v>106</v>
      </c>
      <c r="O4411" s="536"/>
      <c r="P4411" s="536"/>
      <c r="Q4411" s="536"/>
      <c r="R4411" s="536"/>
      <c r="S4411" s="536"/>
      <c r="T4411" s="536"/>
      <c r="U4411" s="536"/>
      <c r="V4411" s="389">
        <f>+SUM(V4406:V4410)</f>
        <v>6303.3164000000006</v>
      </c>
      <c r="Y4411" s="398" t="s">
        <v>135</v>
      </c>
      <c r="Z4411" s="397">
        <f>+SUM(Z4406:Z4410)</f>
        <v>56729.847600000001</v>
      </c>
      <c r="AA4411" s="86"/>
      <c r="AB4411" s="384"/>
      <c r="AC4411" s="385"/>
      <c r="AD4411" s="94"/>
      <c r="AE4411" s="399"/>
    </row>
    <row r="4412" spans="3:31" s="260" customFormat="1" ht="15.75" thickBot="1" x14ac:dyDescent="0.3">
      <c r="C4412" s="84"/>
      <c r="D4412" s="375"/>
      <c r="E4412" s="407">
        <f>+D4403</f>
        <v>4.13</v>
      </c>
      <c r="F4412" s="376"/>
      <c r="G4412" s="376"/>
      <c r="H4412" s="376"/>
      <c r="I4412" s="376"/>
      <c r="J4412" s="377"/>
      <c r="K4412" s="88"/>
      <c r="M4412" s="535"/>
      <c r="N4412" s="537" t="s">
        <v>107</v>
      </c>
      <c r="O4412" s="537"/>
      <c r="P4412" s="537"/>
      <c r="Q4412" s="537"/>
      <c r="R4412" s="537"/>
      <c r="S4412" s="537"/>
      <c r="T4412" s="537"/>
      <c r="U4412" s="537"/>
      <c r="V4412" s="408">
        <f>+ROUND(V4411,$AA$5)</f>
        <v>6303.32</v>
      </c>
      <c r="Y4412" s="401" t="s">
        <v>136</v>
      </c>
      <c r="Z4412" s="402">
        <f>+ROUND(Z4411,$AA$5)</f>
        <v>56729.85</v>
      </c>
      <c r="AA4412" s="86"/>
      <c r="AB4412" s="403">
        <f>+V4412*Y4393</f>
        <v>56729.88</v>
      </c>
      <c r="AC4412" s="404">
        <f>+AB4412-Z4412</f>
        <v>2.9999999998835847E-2</v>
      </c>
      <c r="AD4412" s="94"/>
      <c r="AE4412" s="405"/>
    </row>
    <row r="4413" spans="3:31" s="260" customFormat="1" x14ac:dyDescent="0.25">
      <c r="C4413" s="84"/>
      <c r="D4413" s="380"/>
      <c r="E4413" s="381"/>
      <c r="F4413" s="381"/>
      <c r="G4413" s="381"/>
      <c r="H4413" s="381"/>
      <c r="I4413" s="381"/>
      <c r="J4413" s="382"/>
      <c r="K4413" s="88"/>
      <c r="M4413" s="568" t="s">
        <v>108</v>
      </c>
      <c r="N4413" s="569"/>
      <c r="O4413" s="569"/>
      <c r="P4413" s="569"/>
      <c r="Q4413" s="569"/>
      <c r="R4413" s="569"/>
      <c r="S4413" s="569"/>
      <c r="T4413" s="569"/>
      <c r="U4413" s="569"/>
      <c r="V4413" s="570"/>
      <c r="Y4413" s="378"/>
      <c r="Z4413" s="121"/>
      <c r="AA4413" s="86"/>
      <c r="AB4413" s="409"/>
      <c r="AC4413" s="121"/>
      <c r="AD4413" s="94"/>
      <c r="AE4413" s="126"/>
    </row>
    <row r="4414" spans="3:31" s="260" customFormat="1" ht="25.5" x14ac:dyDescent="0.25">
      <c r="C4414" s="84"/>
      <c r="D4414" s="85"/>
      <c r="E4414" s="86"/>
      <c r="F4414" s="86"/>
      <c r="G4414" s="86"/>
      <c r="H4414" s="86"/>
      <c r="I4414" s="86"/>
      <c r="J4414" s="87"/>
      <c r="K4414" s="88"/>
      <c r="M4414" s="99" t="s">
        <v>94</v>
      </c>
      <c r="N4414" s="561" t="s">
        <v>95</v>
      </c>
      <c r="O4414" s="561"/>
      <c r="P4414" s="561"/>
      <c r="Q4414" s="95" t="s">
        <v>109</v>
      </c>
      <c r="R4414" s="95" t="s">
        <v>110</v>
      </c>
      <c r="S4414" s="95" t="s">
        <v>111</v>
      </c>
      <c r="T4414" s="562" t="s">
        <v>112</v>
      </c>
      <c r="U4414" s="562"/>
      <c r="V4414" s="100" t="s">
        <v>98</v>
      </c>
      <c r="Y4414" s="383" t="s">
        <v>104</v>
      </c>
      <c r="Z4414" s="119" t="s">
        <v>9</v>
      </c>
      <c r="AA4414" s="86"/>
      <c r="AB4414" s="384"/>
      <c r="AC4414" s="385"/>
      <c r="AD4414" s="94"/>
      <c r="AE4414" s="410"/>
    </row>
    <row r="4415" spans="3:31" s="260" customFormat="1" x14ac:dyDescent="0.25">
      <c r="C4415" s="84"/>
      <c r="D4415" s="85"/>
      <c r="E4415" s="86"/>
      <c r="F4415" s="86"/>
      <c r="G4415" s="86"/>
      <c r="H4415" s="86"/>
      <c r="I4415" s="86"/>
      <c r="J4415" s="87"/>
      <c r="K4415" s="88"/>
      <c r="M4415" s="102">
        <v>129</v>
      </c>
      <c r="N4415" s="530" t="str">
        <f>IFERROR(VLOOKUP(M4415,INSUMOS!$C$8:$K$928,2,0),"-----")</f>
        <v>transporte materiales en general</v>
      </c>
      <c r="O4415" s="531"/>
      <c r="P4415" s="532"/>
      <c r="Q4415" s="78" t="str">
        <f>IFERROR(VLOOKUP(M4415,INSUMOS!$C$8:$K$928,5,0),"-----")</f>
        <v>Km</v>
      </c>
      <c r="R4415" s="80">
        <v>1</v>
      </c>
      <c r="S4415" s="80">
        <f>IFERROR(VLOOKUP(M4415,INSUMOS!$C$8:$K$928,6,0),"0")</f>
        <v>348</v>
      </c>
      <c r="T4415" s="529">
        <f>IFERROR(VLOOKUP(M4415,INSUMOS!$C$8:$K$928,7,0),"0")</f>
        <v>0.99776362060288992</v>
      </c>
      <c r="U4415" s="529"/>
      <c r="V4415" s="82">
        <f>+T4415*S4415*R4415</f>
        <v>347.2217399698057</v>
      </c>
      <c r="Y4415" s="393">
        <f>+IFERROR((R4415*S4415)*Y4393,0)</f>
        <v>3132</v>
      </c>
      <c r="Z4415" s="391">
        <f>Y4393*V4415</f>
        <v>3124.9956597282512</v>
      </c>
      <c r="AA4415" s="86"/>
      <c r="AB4415" s="92">
        <f>+Y4415*T4415</f>
        <v>3124.9956597282512</v>
      </c>
      <c r="AC4415" s="93">
        <f>+AB4415-Z4415</f>
        <v>0</v>
      </c>
      <c r="AD4415" s="94"/>
      <c r="AE4415" s="406" t="str">
        <f>+IF(V4415=0,"CERO","NO")</f>
        <v>NO</v>
      </c>
    </row>
    <row r="4416" spans="3:31" s="260" customFormat="1" x14ac:dyDescent="0.25">
      <c r="C4416" s="84"/>
      <c r="D4416" s="85"/>
      <c r="E4416" s="86"/>
      <c r="F4416" s="86"/>
      <c r="G4416" s="86"/>
      <c r="H4416" s="86"/>
      <c r="I4416" s="86"/>
      <c r="J4416" s="87"/>
      <c r="K4416" s="88"/>
      <c r="M4416" s="102">
        <v>0</v>
      </c>
      <c r="N4416" s="530" t="str">
        <f>IFERROR(VLOOKUP(M4416,INSUMOS!$C$8:$K$928,2,0),"-----")</f>
        <v>-----</v>
      </c>
      <c r="O4416" s="531"/>
      <c r="P4416" s="532"/>
      <c r="Q4416" s="78" t="str">
        <f>IFERROR(VLOOKUP(M4416,INSUMOS!$C$8:$K$928,5,0),"-----")</f>
        <v>-----</v>
      </c>
      <c r="R4416" s="80"/>
      <c r="S4416" s="80" t="str">
        <f>IFERROR(VLOOKUP(M4416,INSUMOS!$C$8:$K$928,6,0),"0")</f>
        <v>0</v>
      </c>
      <c r="T4416" s="529" t="str">
        <f>IFERROR(VLOOKUP(M4416,INSUMOS!$C$8:$K$928,7,0),"0")</f>
        <v>0</v>
      </c>
      <c r="U4416" s="529"/>
      <c r="V4416" s="82">
        <f>+T4416*S4416*R4416</f>
        <v>0</v>
      </c>
      <c r="Y4416" s="393">
        <f>+IFERROR((R4416*S4416)*Y4393,0)</f>
        <v>0</v>
      </c>
      <c r="Z4416" s="391">
        <f>Y4393*V4416</f>
        <v>0</v>
      </c>
      <c r="AA4416" s="86"/>
      <c r="AB4416" s="92">
        <f>+Y4416*T4416</f>
        <v>0</v>
      </c>
      <c r="AC4416" s="93">
        <f>+AB4416-Z4416</f>
        <v>0</v>
      </c>
      <c r="AD4416" s="94"/>
      <c r="AE4416" s="406" t="str">
        <f>+IF(V4416=0,"CERO","NO")</f>
        <v>CERO</v>
      </c>
    </row>
    <row r="4417" spans="3:31" s="260" customFormat="1" x14ac:dyDescent="0.25">
      <c r="C4417" s="84"/>
      <c r="D4417" s="85"/>
      <c r="E4417" s="86"/>
      <c r="F4417" s="86"/>
      <c r="G4417" s="86"/>
      <c r="H4417" s="86"/>
      <c r="I4417" s="86"/>
      <c r="J4417" s="87"/>
      <c r="K4417" s="88"/>
      <c r="M4417" s="102">
        <v>0</v>
      </c>
      <c r="N4417" s="530" t="str">
        <f>IFERROR(VLOOKUP(M4417,INSUMOS!$C$8:$K$928,2,0),"-----")</f>
        <v>-----</v>
      </c>
      <c r="O4417" s="531"/>
      <c r="P4417" s="532"/>
      <c r="Q4417" s="78" t="str">
        <f>IFERROR(VLOOKUP(M4417,INSUMOS!$C$8:$K$928,5,0),"-----")</f>
        <v>-----</v>
      </c>
      <c r="R4417" s="80"/>
      <c r="S4417" s="80" t="str">
        <f>IFERROR(VLOOKUP(M4417,INSUMOS!$C$8:$K$928,6,0),"0")</f>
        <v>0</v>
      </c>
      <c r="T4417" s="529" t="str">
        <f>IFERROR(VLOOKUP(M4417,INSUMOS!$C$8:$K$928,7,0),"0")</f>
        <v>0</v>
      </c>
      <c r="U4417" s="529"/>
      <c r="V4417" s="82">
        <f>+T4417*S4417*R4417</f>
        <v>0</v>
      </c>
      <c r="Y4417" s="393">
        <f>+IFERROR((R4417*S4417)*Y4393,0)</f>
        <v>0</v>
      </c>
      <c r="Z4417" s="391">
        <f>Y4393*V4417</f>
        <v>0</v>
      </c>
      <c r="AA4417" s="86"/>
      <c r="AB4417" s="92">
        <f>+Y4417*T4417</f>
        <v>0</v>
      </c>
      <c r="AC4417" s="93">
        <f>+AB4417-Z4417</f>
        <v>0</v>
      </c>
      <c r="AD4417" s="94"/>
      <c r="AE4417" s="406" t="str">
        <f>+IF(V4417=0,"CERO","NO")</f>
        <v>CERO</v>
      </c>
    </row>
    <row r="4418" spans="3:31" s="260" customFormat="1" ht="15.75" thickBot="1" x14ac:dyDescent="0.3">
      <c r="C4418" s="84"/>
      <c r="D4418" s="89"/>
      <c r="E4418" s="90"/>
      <c r="F4418" s="90"/>
      <c r="G4418" s="90"/>
      <c r="H4418" s="90"/>
      <c r="I4418" s="90"/>
      <c r="J4418" s="91"/>
      <c r="K4418" s="88"/>
      <c r="M4418" s="102">
        <v>0</v>
      </c>
      <c r="N4418" s="533"/>
      <c r="O4418" s="533"/>
      <c r="P4418" s="533"/>
      <c r="Q4418" s="79"/>
      <c r="R4418" s="78"/>
      <c r="S4418" s="81"/>
      <c r="T4418" s="529"/>
      <c r="U4418" s="529"/>
      <c r="V4418" s="82"/>
      <c r="Y4418" s="393">
        <f>+IFERROR((R4418*S4418)*Y4393,0)</f>
        <v>0</v>
      </c>
      <c r="Z4418" s="391">
        <f>Y4393*V4418</f>
        <v>0</v>
      </c>
      <c r="AA4418" s="86"/>
      <c r="AB4418" s="92">
        <f>+Y4418*T4418</f>
        <v>0</v>
      </c>
      <c r="AC4418" s="93">
        <f>+AB4418-Z4418</f>
        <v>0</v>
      </c>
      <c r="AD4418" s="94"/>
      <c r="AE4418" s="406" t="str">
        <f>+IF(V4418=0,"CERO","NO")</f>
        <v>CERO</v>
      </c>
    </row>
    <row r="4419" spans="3:31" s="260" customFormat="1" ht="15.75" thickBot="1" x14ac:dyDescent="0.3">
      <c r="C4419" s="84"/>
      <c r="D4419" s="375" t="s">
        <v>128</v>
      </c>
      <c r="E4419" s="376" t="s">
        <v>129</v>
      </c>
      <c r="F4419" s="376" t="s">
        <v>130</v>
      </c>
      <c r="G4419" s="376" t="s">
        <v>131</v>
      </c>
      <c r="H4419" s="376" t="s">
        <v>132</v>
      </c>
      <c r="I4419" s="376" t="s">
        <v>133</v>
      </c>
      <c r="J4419" s="377" t="s">
        <v>134</v>
      </c>
      <c r="K4419" s="88"/>
      <c r="M4419" s="534"/>
      <c r="N4419" s="536" t="s">
        <v>113</v>
      </c>
      <c r="O4419" s="536"/>
      <c r="P4419" s="536"/>
      <c r="Q4419" s="536"/>
      <c r="R4419" s="536"/>
      <c r="S4419" s="536"/>
      <c r="T4419" s="536"/>
      <c r="U4419" s="536"/>
      <c r="V4419" s="411">
        <f>+SUM(V4415:V4418)</f>
        <v>347.2217399698057</v>
      </c>
      <c r="Y4419" s="398" t="s">
        <v>135</v>
      </c>
      <c r="Z4419" s="397">
        <f>+SUM(Z4415:Z4418)</f>
        <v>3124.9956597282512</v>
      </c>
      <c r="AA4419" s="86"/>
      <c r="AB4419" s="384"/>
      <c r="AC4419" s="385"/>
      <c r="AD4419" s="94"/>
      <c r="AE4419" s="399"/>
    </row>
    <row r="4420" spans="3:31" s="260" customFormat="1" ht="15.75" thickBot="1" x14ac:dyDescent="0.3">
      <c r="C4420" s="84"/>
      <c r="D4420" s="355"/>
      <c r="E4420" s="367"/>
      <c r="F4420" s="412">
        <f>+E4412</f>
        <v>4.13</v>
      </c>
      <c r="G4420" s="367"/>
      <c r="H4420" s="367"/>
      <c r="I4420" s="367"/>
      <c r="J4420" s="368"/>
      <c r="K4420" s="88"/>
      <c r="M4420" s="535"/>
      <c r="N4420" s="537" t="s">
        <v>114</v>
      </c>
      <c r="O4420" s="537"/>
      <c r="P4420" s="537"/>
      <c r="Q4420" s="537"/>
      <c r="R4420" s="537"/>
      <c r="S4420" s="537"/>
      <c r="T4420" s="537"/>
      <c r="U4420" s="537"/>
      <c r="V4420" s="413">
        <f>+ROUND(V4419,$AA$5)</f>
        <v>347.22</v>
      </c>
      <c r="Y4420" s="401" t="s">
        <v>136</v>
      </c>
      <c r="Z4420" s="402">
        <f>+ROUND(Z4419,$AA$5)</f>
        <v>3125</v>
      </c>
      <c r="AA4420" s="86"/>
      <c r="AB4420" s="403">
        <f>+V4420*Y4393</f>
        <v>3124.9800000000005</v>
      </c>
      <c r="AC4420" s="414"/>
      <c r="AD4420" s="94"/>
      <c r="AE4420" s="405"/>
    </row>
    <row r="4421" spans="3:31" s="260" customFormat="1" ht="15.75" thickBot="1" x14ac:dyDescent="0.3">
      <c r="C4421" s="84"/>
      <c r="D4421" s="415"/>
      <c r="E4421" s="416"/>
      <c r="F4421" s="416"/>
      <c r="G4421" s="416"/>
      <c r="H4421" s="416"/>
      <c r="I4421" s="416"/>
      <c r="J4421" s="417"/>
      <c r="K4421" s="88"/>
      <c r="M4421" s="538" t="s">
        <v>115</v>
      </c>
      <c r="N4421" s="539"/>
      <c r="O4421" s="539"/>
      <c r="P4421" s="539"/>
      <c r="Q4421" s="539"/>
      <c r="R4421" s="539"/>
      <c r="S4421" s="539"/>
      <c r="T4421" s="539"/>
      <c r="U4421" s="539"/>
      <c r="V4421" s="540"/>
      <c r="Y4421" s="378"/>
      <c r="Z4421" s="121"/>
      <c r="AA4421" s="86"/>
      <c r="AB4421" s="409"/>
      <c r="AC4421" s="121"/>
      <c r="AD4421" s="94"/>
      <c r="AE4421" s="126"/>
    </row>
    <row r="4422" spans="3:31" s="260" customFormat="1" ht="15.75" thickBot="1" x14ac:dyDescent="0.3">
      <c r="C4422" s="84"/>
      <c r="D4422" s="375" t="s">
        <v>128</v>
      </c>
      <c r="E4422" s="376" t="s">
        <v>129</v>
      </c>
      <c r="F4422" s="376" t="s">
        <v>130</v>
      </c>
      <c r="G4422" s="376" t="s">
        <v>131</v>
      </c>
      <c r="H4422" s="376" t="s">
        <v>132</v>
      </c>
      <c r="I4422" s="376" t="s">
        <v>133</v>
      </c>
      <c r="J4422" s="377" t="s">
        <v>134</v>
      </c>
      <c r="K4422" s="88"/>
      <c r="M4422" s="99" t="s">
        <v>94</v>
      </c>
      <c r="N4422" s="98" t="s">
        <v>95</v>
      </c>
      <c r="O4422" s="95" t="s">
        <v>96</v>
      </c>
      <c r="P4422" s="359" t="s">
        <v>104</v>
      </c>
      <c r="Q4422" s="95" t="s">
        <v>116</v>
      </c>
      <c r="R4422" s="418" t="s">
        <v>117</v>
      </c>
      <c r="S4422" s="95" t="s">
        <v>347</v>
      </c>
      <c r="T4422" s="419" t="s">
        <v>118</v>
      </c>
      <c r="U4422" s="189" t="s">
        <v>119</v>
      </c>
      <c r="V4422" s="100" t="s">
        <v>98</v>
      </c>
      <c r="Y4422" s="383" t="s">
        <v>104</v>
      </c>
      <c r="Z4422" s="119" t="s">
        <v>9</v>
      </c>
      <c r="AA4422" s="86"/>
      <c r="AB4422" s="384"/>
      <c r="AC4422" s="385"/>
      <c r="AD4422" s="94"/>
      <c r="AE4422" s="410"/>
    </row>
    <row r="4423" spans="3:31" s="260" customFormat="1" ht="25.5" x14ac:dyDescent="0.25">
      <c r="C4423" s="84"/>
      <c r="D4423" s="354"/>
      <c r="E4423" s="96"/>
      <c r="F4423" s="96"/>
      <c r="G4423" s="96"/>
      <c r="H4423" s="96"/>
      <c r="I4423" s="96"/>
      <c r="J4423" s="420">
        <f>+F4420</f>
        <v>4.13</v>
      </c>
      <c r="K4423" s="88"/>
      <c r="M4423" s="102">
        <v>207</v>
      </c>
      <c r="N4423" s="347" t="str">
        <f>IFERROR(VLOOKUP(M4423,INSUMOS!$C$8:$K$928,2,0),"-----")</f>
        <v>Oficial Hidrosanitario</v>
      </c>
      <c r="O4423" s="78" t="str">
        <f>IFERROR(VLOOKUP(M4423,INSUMOS!$C$8:$K$928,3,0),"-----")</f>
        <v>JORNAL+PS</v>
      </c>
      <c r="P4423" s="80">
        <v>1</v>
      </c>
      <c r="Q4423" s="79">
        <v>40</v>
      </c>
      <c r="R4423" s="190">
        <f>IFERROR(VLOOKUP(M4423,INSUMOS!$C$8:$K$928,4,0),"-----")</f>
        <v>92983</v>
      </c>
      <c r="S4423" s="190">
        <f>IFERROR(VLOOKUP(M4423,INSUMOS!$C$8:$K$928,6,0),"-----")</f>
        <v>74386</v>
      </c>
      <c r="T4423" s="190">
        <f>IFERROR(VLOOKUP(M4423,INSUMOS!$C$8:$K$928,5,0),"-----")</f>
        <v>0</v>
      </c>
      <c r="U4423" s="388">
        <f>SUM(R4423:T4423)</f>
        <v>167369</v>
      </c>
      <c r="V4423" s="82">
        <f>+IFERROR((P4423/Q4423)*U4423,0)</f>
        <v>4184.2250000000004</v>
      </c>
      <c r="Y4423" s="393">
        <f>+IFERROR((Y4393/Q4423*P4423),0)</f>
        <v>0.22500000000000001</v>
      </c>
      <c r="Z4423" s="391">
        <f>Y4393*V4423</f>
        <v>37658.025000000001</v>
      </c>
      <c r="AA4423" s="86"/>
      <c r="AB4423" s="92">
        <f>+(U4423)*Y4423</f>
        <v>37658.025000000001</v>
      </c>
      <c r="AC4423" s="93">
        <f>+AB4423-Z4423</f>
        <v>0</v>
      </c>
      <c r="AD4423" s="421"/>
      <c r="AE4423" s="410" t="str">
        <f>+IF(V4423=0,"CERO","NO")</f>
        <v>NO</v>
      </c>
    </row>
    <row r="4424" spans="3:31" s="260" customFormat="1" ht="15.75" thickBot="1" x14ac:dyDescent="0.3">
      <c r="C4424" s="84"/>
      <c r="D4424" s="355"/>
      <c r="E4424" s="367"/>
      <c r="F4424" s="367"/>
      <c r="G4424" s="367"/>
      <c r="H4424" s="367"/>
      <c r="I4424" s="367"/>
      <c r="J4424" s="422">
        <f>+J4423</f>
        <v>4.13</v>
      </c>
      <c r="K4424" s="88"/>
      <c r="M4424" s="102"/>
      <c r="N4424" s="347" t="str">
        <f>IFERROR(VLOOKUP(M4424,INSUMOS!$C$8:$K$928,2,0),"-----")</f>
        <v>-----</v>
      </c>
      <c r="O4424" s="78" t="str">
        <f>IFERROR(VLOOKUP(M4424,INSUMOS!$C$8:$K$928,3,0),"-----")</f>
        <v>-----</v>
      </c>
      <c r="P4424" s="80"/>
      <c r="Q4424" s="79"/>
      <c r="R4424" s="190" t="str">
        <f>IFERROR(VLOOKUP(M4424,INSUMOS!$C$8:$K$928,4,0),"-----")</f>
        <v>-----</v>
      </c>
      <c r="S4424" s="190" t="str">
        <f>IFERROR(VLOOKUP(M4424,INSUMOS!$C$8:$K$928,6,0),"-----")</f>
        <v>-----</v>
      </c>
      <c r="T4424" s="190" t="str">
        <f>IFERROR(VLOOKUP(M4424,INSUMOS!$C$8:$K$928,5,0),"-----")</f>
        <v>-----</v>
      </c>
      <c r="U4424" s="388">
        <f>SUM(R4424:T4424)</f>
        <v>0</v>
      </c>
      <c r="V4424" s="82">
        <f>+IFERROR((P4424/Q4424)*U4424,0)</f>
        <v>0</v>
      </c>
      <c r="Y4424" s="393">
        <f>+IFERROR((Y4393/Q4424*P4424),0)</f>
        <v>0</v>
      </c>
      <c r="Z4424" s="391">
        <f>Y4393*V4424</f>
        <v>0</v>
      </c>
      <c r="AA4424" s="86"/>
      <c r="AB4424" s="92">
        <f>+U4424*Y4424</f>
        <v>0</v>
      </c>
      <c r="AC4424" s="93">
        <f>+AB4424-Z4424</f>
        <v>0</v>
      </c>
      <c r="AD4424" s="94"/>
      <c r="AE4424" s="410" t="str">
        <f>+IF(V4424=0,"CERO","NO")</f>
        <v>CERO</v>
      </c>
    </row>
    <row r="4425" spans="3:31" s="260" customFormat="1" ht="15.75" thickBot="1" x14ac:dyDescent="0.3">
      <c r="C4425" s="84"/>
      <c r="D4425" s="380"/>
      <c r="E4425" s="381"/>
      <c r="F4425" s="381"/>
      <c r="G4425" s="381"/>
      <c r="H4425" s="381"/>
      <c r="I4425" s="381"/>
      <c r="J4425" s="382"/>
      <c r="K4425" s="88"/>
      <c r="M4425" s="102">
        <v>0</v>
      </c>
      <c r="N4425" s="347"/>
      <c r="O4425" s="79"/>
      <c r="P4425" s="423"/>
      <c r="Q4425" s="81"/>
      <c r="R4425" s="111"/>
      <c r="S4425" s="357"/>
      <c r="T4425" s="111"/>
      <c r="U4425" s="388"/>
      <c r="V4425" s="426"/>
      <c r="Y4425" s="393">
        <f>+IFERROR((Y4393/Q4425*P4425),0)</f>
        <v>0</v>
      </c>
      <c r="Z4425" s="391">
        <f>Y4393*V4425</f>
        <v>0</v>
      </c>
      <c r="AA4425" s="86"/>
      <c r="AB4425" s="92">
        <f>+(U4425)*Y4425*P4425</f>
        <v>0</v>
      </c>
      <c r="AC4425" s="93">
        <f>+AB4425-Z4425</f>
        <v>0</v>
      </c>
      <c r="AD4425" s="94"/>
      <c r="AE4425" s="410" t="str">
        <f>+IF(V4425=0,"CERO","NO")</f>
        <v>CERO</v>
      </c>
    </row>
    <row r="4426" spans="3:31" s="260" customFormat="1" ht="15.75" thickBot="1" x14ac:dyDescent="0.3">
      <c r="C4426" s="84"/>
      <c r="D4426" s="375" t="s">
        <v>128</v>
      </c>
      <c r="E4426" s="376" t="s">
        <v>129</v>
      </c>
      <c r="F4426" s="376" t="s">
        <v>130</v>
      </c>
      <c r="G4426" s="376" t="s">
        <v>131</v>
      </c>
      <c r="H4426" s="376" t="s">
        <v>132</v>
      </c>
      <c r="I4426" s="376" t="s">
        <v>133</v>
      </c>
      <c r="J4426" s="377" t="s">
        <v>134</v>
      </c>
      <c r="K4426" s="88"/>
      <c r="M4426" s="534"/>
      <c r="N4426" s="536" t="s">
        <v>120</v>
      </c>
      <c r="O4426" s="536"/>
      <c r="P4426" s="536"/>
      <c r="Q4426" s="536"/>
      <c r="R4426" s="536"/>
      <c r="S4426" s="536"/>
      <c r="T4426" s="536"/>
      <c r="U4426" s="536"/>
      <c r="V4426" s="82">
        <f>+SUM(V4423:V4425)</f>
        <v>4184.2250000000004</v>
      </c>
      <c r="Y4426" s="398" t="s">
        <v>135</v>
      </c>
      <c r="Z4426" s="397">
        <f>+SUM(Z4423:Z4425)</f>
        <v>37658.025000000001</v>
      </c>
      <c r="AA4426" s="86"/>
      <c r="AB4426" s="384"/>
      <c r="AC4426" s="385"/>
      <c r="AD4426" s="94"/>
      <c r="AE4426" s="399"/>
    </row>
    <row r="4427" spans="3:31" s="260" customFormat="1" ht="15.75" thickBot="1" x14ac:dyDescent="0.3">
      <c r="C4427" s="84"/>
      <c r="D4427" s="354"/>
      <c r="E4427" s="96"/>
      <c r="F4427" s="96"/>
      <c r="G4427" s="107">
        <f>+F4420</f>
        <v>4.13</v>
      </c>
      <c r="H4427" s="96"/>
      <c r="I4427" s="96"/>
      <c r="J4427" s="427"/>
      <c r="K4427" s="88"/>
      <c r="M4427" s="535"/>
      <c r="N4427" s="537" t="s">
        <v>121</v>
      </c>
      <c r="O4427" s="537"/>
      <c r="P4427" s="537"/>
      <c r="Q4427" s="537"/>
      <c r="R4427" s="537"/>
      <c r="S4427" s="537"/>
      <c r="T4427" s="537"/>
      <c r="U4427" s="537"/>
      <c r="V4427" s="413">
        <f>+ROUND(V4426,$AA$5)</f>
        <v>4184.2299999999996</v>
      </c>
      <c r="Y4427" s="401" t="s">
        <v>136</v>
      </c>
      <c r="Z4427" s="402">
        <f>+ROUND(Z4426,$AA$5)</f>
        <v>37658.03</v>
      </c>
      <c r="AA4427" s="86"/>
      <c r="AB4427" s="403">
        <f>+V4427*Y4393</f>
        <v>37658.069999999992</v>
      </c>
      <c r="AC4427" s="404">
        <f>+AB4427-Z4427</f>
        <v>3.9999999993597157E-2</v>
      </c>
      <c r="AD4427" s="94"/>
      <c r="AE4427" s="405"/>
    </row>
    <row r="4428" spans="3:31" s="260" customFormat="1" ht="15.75" thickBot="1" x14ac:dyDescent="0.3">
      <c r="C4428" s="84"/>
      <c r="D4428" s="375" t="s">
        <v>128</v>
      </c>
      <c r="E4428" s="376" t="s">
        <v>129</v>
      </c>
      <c r="F4428" s="376" t="s">
        <v>130</v>
      </c>
      <c r="G4428" s="376" t="s">
        <v>131</v>
      </c>
      <c r="H4428" s="376" t="s">
        <v>132</v>
      </c>
      <c r="I4428" s="376" t="s">
        <v>133</v>
      </c>
      <c r="J4428" s="377" t="s">
        <v>134</v>
      </c>
      <c r="K4428" s="88"/>
      <c r="M4428" s="541"/>
      <c r="N4428" s="542"/>
      <c r="O4428" s="542"/>
      <c r="P4428" s="542"/>
      <c r="Q4428" s="542"/>
      <c r="R4428" s="542"/>
      <c r="S4428" s="542"/>
      <c r="T4428" s="542"/>
      <c r="U4428" s="542"/>
      <c r="V4428" s="543"/>
      <c r="Y4428" s="378"/>
      <c r="Z4428" s="121"/>
      <c r="AA4428" s="86"/>
      <c r="AB4428" s="409"/>
      <c r="AC4428" s="121"/>
      <c r="AD4428" s="94"/>
      <c r="AE4428" s="428"/>
    </row>
    <row r="4429" spans="3:31" s="260" customFormat="1" ht="15.75" thickBot="1" x14ac:dyDescent="0.3">
      <c r="C4429" s="84"/>
      <c r="D4429" s="355"/>
      <c r="E4429" s="367"/>
      <c r="F4429" s="367"/>
      <c r="G4429" s="367"/>
      <c r="H4429" s="412">
        <f>G4427</f>
        <v>4.13</v>
      </c>
      <c r="I4429" s="412"/>
      <c r="J4429" s="422"/>
      <c r="K4429" s="88"/>
      <c r="M4429" s="544" t="s">
        <v>122</v>
      </c>
      <c r="N4429" s="537"/>
      <c r="O4429" s="537"/>
      <c r="P4429" s="537"/>
      <c r="Q4429" s="537"/>
      <c r="R4429" s="537"/>
      <c r="S4429" s="537"/>
      <c r="T4429" s="537"/>
      <c r="U4429" s="545">
        <f>+V4427+V4420+V4412+V4403</f>
        <v>11043.98</v>
      </c>
      <c r="V4429" s="546"/>
      <c r="Y4429" s="429"/>
      <c r="Z4429" s="430">
        <f>+Z4427+Z4420+Z4412+Z4403</f>
        <v>99395.78</v>
      </c>
      <c r="AA4429" s="86"/>
      <c r="AB4429" s="431">
        <f>+AB4427+AB4420+AB4412+AB4403</f>
        <v>99395.819999999992</v>
      </c>
      <c r="AC4429" s="404">
        <f>+AB4429-Z4429</f>
        <v>3.9999999993597157E-2</v>
      </c>
      <c r="AD4429" s="94"/>
      <c r="AE4429" s="432"/>
    </row>
    <row r="4430" spans="3:31" s="260" customFormat="1" ht="15.75" thickBot="1" x14ac:dyDescent="0.3"/>
    <row r="4431" spans="3:31" s="260" customFormat="1" x14ac:dyDescent="0.25">
      <c r="M4431" s="547" t="s">
        <v>348</v>
      </c>
      <c r="N4431" s="548"/>
      <c r="O4431" s="548"/>
      <c r="P4431" s="548"/>
      <c r="Q4431" s="548"/>
      <c r="R4431" s="548"/>
      <c r="S4431" s="548"/>
      <c r="T4431" s="548"/>
      <c r="U4431" s="548"/>
      <c r="V4431" s="549"/>
      <c r="Y4431" s="378"/>
      <c r="Z4431" s="121"/>
      <c r="AA4431" s="86"/>
      <c r="AB4431" s="94"/>
      <c r="AC4431" s="94"/>
      <c r="AD4431" s="94"/>
      <c r="AE4431" s="126" t="s">
        <v>133</v>
      </c>
    </row>
    <row r="4432" spans="3:31" s="260" customFormat="1" x14ac:dyDescent="0.25">
      <c r="M4432" s="515" t="s">
        <v>138</v>
      </c>
      <c r="N4432" s="516"/>
      <c r="O4432" s="516"/>
      <c r="P4432" s="516"/>
      <c r="Q4432" s="516"/>
      <c r="R4432" s="516"/>
      <c r="S4432" s="516"/>
      <c r="T4432" s="437">
        <v>0</v>
      </c>
      <c r="U4432" s="517">
        <f>+ROUND(U4429*T4432,$AA$5)</f>
        <v>0</v>
      </c>
      <c r="V4432" s="518"/>
      <c r="Y4432" s="390"/>
      <c r="Z4432" s="438">
        <f>+Z4429*T4432</f>
        <v>0</v>
      </c>
      <c r="AA4432" s="86"/>
      <c r="AB4432" s="94"/>
      <c r="AC4432" s="94"/>
      <c r="AD4432" s="94"/>
      <c r="AE4432" s="386" t="s">
        <v>133</v>
      </c>
    </row>
    <row r="4433" spans="3:31" s="260" customFormat="1" x14ac:dyDescent="0.25">
      <c r="M4433" s="515" t="s">
        <v>19</v>
      </c>
      <c r="N4433" s="516"/>
      <c r="O4433" s="516"/>
      <c r="P4433" s="516"/>
      <c r="Q4433" s="516"/>
      <c r="R4433" s="516"/>
      <c r="S4433" s="516"/>
      <c r="T4433" s="437">
        <v>0.05</v>
      </c>
      <c r="U4433" s="517">
        <f>+ROUND(U4429*T4433,$AA$5)</f>
        <v>552.20000000000005</v>
      </c>
      <c r="V4433" s="518"/>
      <c r="Y4433" s="390"/>
      <c r="Z4433" s="438">
        <f>+Z4429*T4433</f>
        <v>4969.7890000000007</v>
      </c>
      <c r="AA4433" s="86"/>
      <c r="AB4433" s="94"/>
      <c r="AC4433" s="94"/>
      <c r="AD4433" s="94"/>
      <c r="AE4433" s="386" t="s">
        <v>133</v>
      </c>
    </row>
    <row r="4434" spans="3:31" s="260" customFormat="1" x14ac:dyDescent="0.25">
      <c r="M4434" s="515" t="s">
        <v>20</v>
      </c>
      <c r="N4434" s="516"/>
      <c r="O4434" s="516"/>
      <c r="P4434" s="516"/>
      <c r="Q4434" s="516"/>
      <c r="R4434" s="516"/>
      <c r="S4434" s="516"/>
      <c r="T4434" s="437">
        <v>0</v>
      </c>
      <c r="U4434" s="517">
        <f>+ROUND(U4429*T4434,$AA$5)</f>
        <v>0</v>
      </c>
      <c r="V4434" s="518"/>
      <c r="Y4434" s="390"/>
      <c r="Z4434" s="438">
        <f>+Z4429*T4434</f>
        <v>0</v>
      </c>
      <c r="AA4434" s="86"/>
      <c r="AB4434" s="94"/>
      <c r="AC4434" s="94"/>
      <c r="AD4434" s="94"/>
      <c r="AE4434" s="386" t="s">
        <v>133</v>
      </c>
    </row>
    <row r="4435" spans="3:31" s="260" customFormat="1" x14ac:dyDescent="0.25">
      <c r="M4435" s="515" t="s">
        <v>21</v>
      </c>
      <c r="N4435" s="516"/>
      <c r="O4435" s="516"/>
      <c r="P4435" s="516"/>
      <c r="Q4435" s="516"/>
      <c r="R4435" s="516"/>
      <c r="S4435" s="516"/>
      <c r="T4435" s="437">
        <f>$AA$9</f>
        <v>0</v>
      </c>
      <c r="U4435" s="517">
        <f>+ROUND(U4429*T4435,$AA$5)</f>
        <v>0</v>
      </c>
      <c r="V4435" s="518"/>
      <c r="Y4435" s="390"/>
      <c r="Z4435" s="438">
        <f>+Z4434*T4435</f>
        <v>0</v>
      </c>
      <c r="AA4435" s="86"/>
      <c r="AB4435" s="94"/>
      <c r="AC4435" s="94"/>
      <c r="AD4435" s="94"/>
      <c r="AE4435" s="386" t="s">
        <v>133</v>
      </c>
    </row>
    <row r="4436" spans="3:31" s="260" customFormat="1" ht="15.75" thickBot="1" x14ac:dyDescent="0.3">
      <c r="M4436" s="519" t="s">
        <v>349</v>
      </c>
      <c r="N4436" s="520"/>
      <c r="O4436" s="520"/>
      <c r="P4436" s="520"/>
      <c r="Q4436" s="520"/>
      <c r="R4436" s="520"/>
      <c r="S4436" s="520"/>
      <c r="T4436" s="520"/>
      <c r="U4436" s="521">
        <f>+SUM(U4432:V4435)</f>
        <v>552.20000000000005</v>
      </c>
      <c r="V4436" s="522"/>
      <c r="Y4436" s="390"/>
      <c r="Z4436" s="439">
        <f>+SUM(Z4432:Z4435)</f>
        <v>4969.7890000000007</v>
      </c>
      <c r="AA4436" s="86"/>
      <c r="AB4436" s="94"/>
      <c r="AC4436" s="94"/>
      <c r="AD4436" s="94"/>
      <c r="AE4436" s="386" t="s">
        <v>133</v>
      </c>
    </row>
    <row r="4437" spans="3:31" s="260" customFormat="1" ht="15.75" thickBot="1" x14ac:dyDescent="0.3">
      <c r="D4437" s="375" t="s">
        <v>128</v>
      </c>
      <c r="E4437" s="376" t="s">
        <v>129</v>
      </c>
      <c r="F4437" s="376" t="s">
        <v>130</v>
      </c>
      <c r="G4437" s="376" t="s">
        <v>131</v>
      </c>
      <c r="H4437" s="376" t="s">
        <v>132</v>
      </c>
      <c r="I4437" s="376" t="s">
        <v>133</v>
      </c>
      <c r="J4437" s="377" t="s">
        <v>134</v>
      </c>
      <c r="M4437" s="86"/>
      <c r="N4437" s="94"/>
      <c r="O4437" s="94"/>
      <c r="P4437" s="94"/>
      <c r="Q4437" s="86"/>
      <c r="R4437" s="86"/>
      <c r="S4437" s="86"/>
      <c r="T4437" s="440"/>
      <c r="U4437" s="523"/>
      <c r="V4437" s="523"/>
      <c r="Y4437" s="390"/>
      <c r="Z4437" s="385"/>
      <c r="AA4437" s="86"/>
      <c r="AB4437" s="94"/>
      <c r="AC4437" s="94"/>
      <c r="AD4437" s="94"/>
      <c r="AE4437" s="386" t="s">
        <v>133</v>
      </c>
    </row>
    <row r="4438" spans="3:31" s="260" customFormat="1" ht="15.75" thickBot="1" x14ac:dyDescent="0.3">
      <c r="D4438" s="355"/>
      <c r="E4438" s="367"/>
      <c r="F4438" s="367"/>
      <c r="G4438" s="367"/>
      <c r="H4438" s="412"/>
      <c r="I4438" s="412">
        <f>H4429</f>
        <v>4.13</v>
      </c>
      <c r="J4438" s="422"/>
      <c r="M4438" s="524" t="s">
        <v>11</v>
      </c>
      <c r="N4438" s="525"/>
      <c r="O4438" s="525"/>
      <c r="P4438" s="525"/>
      <c r="Q4438" s="525"/>
      <c r="R4438" s="525"/>
      <c r="S4438" s="525"/>
      <c r="T4438" s="526"/>
      <c r="U4438" s="527">
        <f>+U4436+U4429</f>
        <v>11596.18</v>
      </c>
      <c r="V4438" s="528"/>
      <c r="Y4438" s="429"/>
      <c r="Z4438" s="441">
        <f>+Z4436+Z4429</f>
        <v>104365.569</v>
      </c>
      <c r="AA4438" s="86"/>
      <c r="AB4438" s="94"/>
      <c r="AC4438" s="94"/>
      <c r="AD4438" s="94"/>
      <c r="AE4438" s="405" t="s">
        <v>133</v>
      </c>
    </row>
    <row r="4439" spans="3:31" s="260" customFormat="1" x14ac:dyDescent="0.25"/>
    <row r="4440" spans="3:31" s="260" customFormat="1" ht="15.75" thickBot="1" x14ac:dyDescent="0.3"/>
    <row r="4441" spans="3:31" s="260" customFormat="1" ht="15.75" thickBot="1" x14ac:dyDescent="0.3">
      <c r="M4441" s="363" t="s">
        <v>88</v>
      </c>
      <c r="N4441" s="436" t="str">
        <f>+N4392</f>
        <v>CAP.4</v>
      </c>
      <c r="O4441" s="550" t="str">
        <f>IFERROR(VLOOKUP(N4441,PPTO!C:H,2,0),"----")</f>
        <v>RED SANITARIA</v>
      </c>
      <c r="P4441" s="551"/>
      <c r="Q4441" s="551"/>
      <c r="R4441" s="551"/>
      <c r="S4441" s="551"/>
      <c r="T4441" s="551"/>
      <c r="U4441" s="552"/>
      <c r="V4441" s="74" t="s">
        <v>91</v>
      </c>
      <c r="Y4441" s="365" t="s">
        <v>104</v>
      </c>
      <c r="Z4441" s="94"/>
      <c r="AA4441" s="188"/>
      <c r="AB4441" s="553"/>
      <c r="AC4441" s="553"/>
      <c r="AD4441" s="553"/>
      <c r="AE4441" s="94"/>
    </row>
    <row r="4442" spans="3:31" s="260" customFormat="1" ht="15.75" thickBot="1" x14ac:dyDescent="0.3">
      <c r="C4442" s="369">
        <f>+N4442</f>
        <v>4.1399999999999997</v>
      </c>
      <c r="D4442" s="86"/>
      <c r="E4442" s="86"/>
      <c r="F4442" s="86"/>
      <c r="G4442" s="86"/>
      <c r="H4442" s="86"/>
      <c r="I4442" s="86"/>
      <c r="J4442" s="86"/>
      <c r="K4442" s="370"/>
      <c r="M4442" s="75" t="s">
        <v>92</v>
      </c>
      <c r="N4442" s="371">
        <f>+ROUNDUP(N4393+0.01,2)</f>
        <v>4.1399999999999997</v>
      </c>
      <c r="O4442" s="554" t="str">
        <f>IFERROR(VLOOKUP(N4442,PPTO!C:H,2,0),"----")</f>
        <v>Tapón PVC Ø2"</v>
      </c>
      <c r="P4442" s="555"/>
      <c r="Q4442" s="555"/>
      <c r="R4442" s="555"/>
      <c r="S4442" s="555"/>
      <c r="T4442" s="555"/>
      <c r="U4442" s="556"/>
      <c r="V4442" s="76" t="str">
        <f>IFERROR(VLOOKUP(N4442,PPTO!C:H,3,0),"----")</f>
        <v>UND</v>
      </c>
      <c r="Y4442" s="373">
        <f>SUMIFS(PPTO!F:F,PPTO!C:C,APUS!N4442)</f>
        <v>2</v>
      </c>
      <c r="Z4442" s="94"/>
      <c r="AA4442" s="86"/>
      <c r="AB4442" s="94"/>
      <c r="AC4442" s="94"/>
      <c r="AD4442" s="94"/>
      <c r="AE4442" s="94"/>
    </row>
    <row r="4443" spans="3:31" s="260" customFormat="1" ht="15.75" thickBot="1" x14ac:dyDescent="0.3">
      <c r="C4443" s="84"/>
      <c r="D4443" s="86"/>
      <c r="E4443" s="86"/>
      <c r="F4443" s="86"/>
      <c r="G4443" s="86"/>
      <c r="H4443" s="86"/>
      <c r="I4443" s="86"/>
      <c r="J4443" s="86"/>
      <c r="K4443" s="88"/>
      <c r="M4443" s="557"/>
      <c r="N4443" s="557"/>
      <c r="O4443" s="557"/>
      <c r="P4443" s="557"/>
      <c r="Q4443" s="557"/>
      <c r="R4443" s="557"/>
      <c r="S4443" s="557"/>
      <c r="T4443" s="557"/>
      <c r="U4443" s="557"/>
      <c r="V4443" s="557"/>
      <c r="Y4443" s="374"/>
      <c r="Z4443" s="94"/>
      <c r="AA4443" s="86"/>
      <c r="AB4443" s="94"/>
      <c r="AC4443" s="94"/>
      <c r="AD4443" s="94"/>
      <c r="AE4443" s="94"/>
    </row>
    <row r="4444" spans="3:31" s="260" customFormat="1" ht="15.75" thickBot="1" x14ac:dyDescent="0.3">
      <c r="C4444" s="84"/>
      <c r="D4444" s="375" t="s">
        <v>128</v>
      </c>
      <c r="E4444" s="376" t="s">
        <v>129</v>
      </c>
      <c r="F4444" s="376" t="s">
        <v>130</v>
      </c>
      <c r="G4444" s="376" t="s">
        <v>131</v>
      </c>
      <c r="H4444" s="376" t="s">
        <v>132</v>
      </c>
      <c r="I4444" s="376" t="s">
        <v>133</v>
      </c>
      <c r="J4444" s="377" t="s">
        <v>134</v>
      </c>
      <c r="K4444" s="88"/>
      <c r="M4444" s="558" t="s">
        <v>93</v>
      </c>
      <c r="N4444" s="559"/>
      <c r="O4444" s="559"/>
      <c r="P4444" s="559"/>
      <c r="Q4444" s="559"/>
      <c r="R4444" s="559"/>
      <c r="S4444" s="559"/>
      <c r="T4444" s="559"/>
      <c r="U4444" s="559"/>
      <c r="V4444" s="560"/>
      <c r="Y4444" s="378"/>
      <c r="Z4444" s="121"/>
      <c r="AA4444" s="86"/>
      <c r="AB4444" s="513"/>
      <c r="AC4444" s="514"/>
      <c r="AD4444" s="94"/>
      <c r="AE4444" s="379"/>
    </row>
    <row r="4445" spans="3:31" s="260" customFormat="1" x14ac:dyDescent="0.25">
      <c r="C4445" s="84"/>
      <c r="D4445" s="380"/>
      <c r="E4445" s="381"/>
      <c r="F4445" s="381"/>
      <c r="G4445" s="381"/>
      <c r="H4445" s="381"/>
      <c r="I4445" s="381"/>
      <c r="J4445" s="382"/>
      <c r="K4445" s="88"/>
      <c r="M4445" s="99" t="s">
        <v>94</v>
      </c>
      <c r="N4445" s="561" t="s">
        <v>95</v>
      </c>
      <c r="O4445" s="561"/>
      <c r="P4445" s="561"/>
      <c r="Q4445" s="561"/>
      <c r="R4445" s="95" t="s">
        <v>96</v>
      </c>
      <c r="S4445" s="95" t="s">
        <v>97</v>
      </c>
      <c r="T4445" s="562" t="s">
        <v>8</v>
      </c>
      <c r="U4445" s="562"/>
      <c r="V4445" s="100" t="s">
        <v>98</v>
      </c>
      <c r="Y4445" s="383" t="s">
        <v>104</v>
      </c>
      <c r="Z4445" s="119" t="s">
        <v>9</v>
      </c>
      <c r="AA4445" s="86"/>
      <c r="AB4445" s="384"/>
      <c r="AC4445" s="385"/>
      <c r="AD4445" s="94"/>
      <c r="AE4445" s="386"/>
    </row>
    <row r="4446" spans="3:31" s="260" customFormat="1" x14ac:dyDescent="0.25">
      <c r="C4446" s="84"/>
      <c r="D4446" s="85"/>
      <c r="E4446" s="86"/>
      <c r="F4446" s="86"/>
      <c r="G4446" s="86"/>
      <c r="H4446" s="86"/>
      <c r="I4446" s="86"/>
      <c r="J4446" s="87"/>
      <c r="K4446" s="88"/>
      <c r="M4446" s="102"/>
      <c r="N4446" s="533" t="s">
        <v>99</v>
      </c>
      <c r="O4446" s="533"/>
      <c r="P4446" s="533"/>
      <c r="Q4446" s="533"/>
      <c r="R4446" s="78" t="s">
        <v>100</v>
      </c>
      <c r="S4446" s="387">
        <f>+$AA$10</f>
        <v>0.05</v>
      </c>
      <c r="T4446" s="563">
        <f>V4476</f>
        <v>4184.2299999999996</v>
      </c>
      <c r="U4446" s="563"/>
      <c r="V4446" s="389">
        <f>+IFERROR(T4446*S4446,0)</f>
        <v>209.2115</v>
      </c>
      <c r="Y4446" s="390"/>
      <c r="Z4446" s="391">
        <f>Y4442*V4446</f>
        <v>418.423</v>
      </c>
      <c r="AA4446" s="86"/>
      <c r="AB4446" s="384"/>
      <c r="AC4446" s="385"/>
      <c r="AD4446" s="94"/>
      <c r="AE4446" s="386" t="str">
        <f>+IF(V4446=0,"CERO","NO")</f>
        <v>NO</v>
      </c>
    </row>
    <row r="4447" spans="3:31" s="260" customFormat="1" x14ac:dyDescent="0.25">
      <c r="C4447" s="84"/>
      <c r="D4447" s="85"/>
      <c r="E4447" s="86"/>
      <c r="F4447" s="86"/>
      <c r="G4447" s="86"/>
      <c r="H4447" s="86"/>
      <c r="I4447" s="86"/>
      <c r="J4447" s="87"/>
      <c r="K4447" s="88"/>
      <c r="M4447" s="106"/>
      <c r="N4447" s="533" t="str">
        <f>IFERROR(VLOOKUP(M4447,INSUMOS!$C$8:$K$928,2,0),"-----")</f>
        <v>-----</v>
      </c>
      <c r="O4447" s="533"/>
      <c r="P4447" s="533"/>
      <c r="Q4447" s="533"/>
      <c r="R4447" s="78" t="str">
        <f>IFERROR(VLOOKUP(M4447,INSUMOS!$C$8:$K$928,6,0),"-----")</f>
        <v>-----</v>
      </c>
      <c r="S4447" s="392"/>
      <c r="T4447" s="529" t="str">
        <f>IFERROR(VLOOKUP(M4447,INSUMOS!$C$8:$K$928,7,0),"0")</f>
        <v>0</v>
      </c>
      <c r="U4447" s="529"/>
      <c r="V4447" s="389">
        <f>+IFERROR(T4447*S4447,0)</f>
        <v>0</v>
      </c>
      <c r="Y4447" s="393">
        <f>+IFERROR(Y4442*S4447,0)</f>
        <v>0</v>
      </c>
      <c r="Z4447" s="391">
        <f>Y4442*V4447</f>
        <v>0</v>
      </c>
      <c r="AA4447" s="394"/>
      <c r="AB4447" s="395">
        <f>+Y4447*T4447</f>
        <v>0</v>
      </c>
      <c r="AC4447" s="93">
        <f>+AB4447-Z4447</f>
        <v>0</v>
      </c>
      <c r="AD4447" s="94"/>
      <c r="AE4447" s="386" t="str">
        <f>+IF(V4447=0,"CERO","NO")</f>
        <v>CERO</v>
      </c>
    </row>
    <row r="4448" spans="3:31" s="260" customFormat="1" x14ac:dyDescent="0.25">
      <c r="C4448" s="84"/>
      <c r="D4448" s="85"/>
      <c r="E4448" s="86"/>
      <c r="F4448" s="86"/>
      <c r="G4448" s="86"/>
      <c r="H4448" s="86"/>
      <c r="I4448" s="86"/>
      <c r="J4448" s="87"/>
      <c r="K4448" s="88"/>
      <c r="M4448" s="102">
        <v>0</v>
      </c>
      <c r="N4448" s="533"/>
      <c r="O4448" s="533"/>
      <c r="P4448" s="533"/>
      <c r="Q4448" s="533"/>
      <c r="R4448" s="78"/>
      <c r="S4448" s="396"/>
      <c r="T4448" s="529"/>
      <c r="U4448" s="529"/>
      <c r="V4448" s="397"/>
      <c r="Y4448" s="393">
        <f>+IFERROR(Y4442*S4448,0)</f>
        <v>0</v>
      </c>
      <c r="Z4448" s="391">
        <f>Y4442*V4448</f>
        <v>0</v>
      </c>
      <c r="AA4448" s="394"/>
      <c r="AB4448" s="395">
        <f>+Y4448*T4448</f>
        <v>0</v>
      </c>
      <c r="AC4448" s="93">
        <f>+AB4448-Z4448</f>
        <v>0</v>
      </c>
      <c r="AD4448" s="94"/>
      <c r="AE4448" s="386" t="str">
        <f>+IF(V4448=0,"CERO","NO")</f>
        <v>CERO</v>
      </c>
    </row>
    <row r="4449" spans="3:31" s="260" customFormat="1" x14ac:dyDescent="0.25">
      <c r="C4449" s="84"/>
      <c r="D4449" s="85"/>
      <c r="E4449" s="86"/>
      <c r="F4449" s="86"/>
      <c r="G4449" s="86"/>
      <c r="H4449" s="86"/>
      <c r="I4449" s="86"/>
      <c r="J4449" s="87"/>
      <c r="K4449" s="88"/>
      <c r="M4449" s="102">
        <v>0</v>
      </c>
      <c r="N4449" s="533"/>
      <c r="O4449" s="533"/>
      <c r="P4449" s="533"/>
      <c r="Q4449" s="533"/>
      <c r="R4449" s="78"/>
      <c r="S4449" s="396"/>
      <c r="T4449" s="529"/>
      <c r="U4449" s="529"/>
      <c r="V4449" s="397"/>
      <c r="Y4449" s="393">
        <f>+IFERROR(Y4442*S4449,0)</f>
        <v>0</v>
      </c>
      <c r="Z4449" s="391">
        <f>Y4442*V4449</f>
        <v>0</v>
      </c>
      <c r="AA4449" s="394"/>
      <c r="AB4449" s="395">
        <f>+Y4449*T4449</f>
        <v>0</v>
      </c>
      <c r="AC4449" s="93">
        <f>+AB4449-Z4449</f>
        <v>0</v>
      </c>
      <c r="AD4449" s="94"/>
      <c r="AE4449" s="386" t="str">
        <f>+IF(V4449=0,"CERO","NO")</f>
        <v>CERO</v>
      </c>
    </row>
    <row r="4450" spans="3:31" s="260" customFormat="1" ht="15.75" thickBot="1" x14ac:dyDescent="0.3">
      <c r="C4450" s="84"/>
      <c r="D4450" s="85"/>
      <c r="E4450" s="86"/>
      <c r="F4450" s="86"/>
      <c r="G4450" s="86"/>
      <c r="H4450" s="86"/>
      <c r="I4450" s="86"/>
      <c r="J4450" s="87"/>
      <c r="K4450" s="88"/>
      <c r="M4450" s="102">
        <v>0</v>
      </c>
      <c r="N4450" s="564"/>
      <c r="O4450" s="564"/>
      <c r="P4450" s="564"/>
      <c r="Q4450" s="564"/>
      <c r="R4450" s="96"/>
      <c r="S4450" s="96"/>
      <c r="T4450" s="565"/>
      <c r="U4450" s="565"/>
      <c r="V4450" s="101"/>
      <c r="Y4450" s="393">
        <f>+IFERROR(Y4442*S4450,0)</f>
        <v>0</v>
      </c>
      <c r="Z4450" s="391">
        <f>Y4442*V4450</f>
        <v>0</v>
      </c>
      <c r="AA4450" s="394"/>
      <c r="AB4450" s="395">
        <f>+Y4450*T4450</f>
        <v>0</v>
      </c>
      <c r="AC4450" s="93">
        <f>+AB4450-Z4450</f>
        <v>0</v>
      </c>
      <c r="AD4450" s="94"/>
      <c r="AE4450" s="386" t="str">
        <f>+IF(V4450=0,"CERO","NO")</f>
        <v>CERO</v>
      </c>
    </row>
    <row r="4451" spans="3:31" s="260" customFormat="1" ht="15.75" thickBot="1" x14ac:dyDescent="0.3">
      <c r="C4451" s="84"/>
      <c r="D4451" s="375" t="s">
        <v>128</v>
      </c>
      <c r="E4451" s="376" t="s">
        <v>129</v>
      </c>
      <c r="F4451" s="376" t="s">
        <v>130</v>
      </c>
      <c r="G4451" s="376" t="s">
        <v>131</v>
      </c>
      <c r="H4451" s="376" t="s">
        <v>132</v>
      </c>
      <c r="I4451" s="376" t="s">
        <v>133</v>
      </c>
      <c r="J4451" s="377" t="s">
        <v>134</v>
      </c>
      <c r="K4451" s="88"/>
      <c r="M4451" s="534"/>
      <c r="N4451" s="536" t="s">
        <v>101</v>
      </c>
      <c r="O4451" s="536"/>
      <c r="P4451" s="536"/>
      <c r="Q4451" s="536"/>
      <c r="R4451" s="536"/>
      <c r="S4451" s="536"/>
      <c r="T4451" s="536"/>
      <c r="U4451" s="536"/>
      <c r="V4451" s="389">
        <f>+SUM(V4446:V4450)</f>
        <v>209.2115</v>
      </c>
      <c r="Y4451" s="398" t="s">
        <v>135</v>
      </c>
      <c r="Z4451" s="397">
        <f>+SUM(Z4446:Z4450)</f>
        <v>418.423</v>
      </c>
      <c r="AA4451" s="86"/>
      <c r="AB4451" s="384"/>
      <c r="AC4451" s="385"/>
      <c r="AD4451" s="94"/>
      <c r="AE4451" s="399"/>
    </row>
    <row r="4452" spans="3:31" s="260" customFormat="1" ht="15.75" thickBot="1" x14ac:dyDescent="0.3">
      <c r="C4452" s="84"/>
      <c r="D4452" s="375">
        <f>C4442</f>
        <v>4.1399999999999997</v>
      </c>
      <c r="E4452" s="376"/>
      <c r="F4452" s="376"/>
      <c r="G4452" s="376"/>
      <c r="H4452" s="376"/>
      <c r="I4452" s="376"/>
      <c r="J4452" s="377"/>
      <c r="K4452" s="88"/>
      <c r="M4452" s="566"/>
      <c r="N4452" s="567" t="s">
        <v>102</v>
      </c>
      <c r="O4452" s="567"/>
      <c r="P4452" s="567"/>
      <c r="Q4452" s="567"/>
      <c r="R4452" s="567"/>
      <c r="S4452" s="567"/>
      <c r="T4452" s="567"/>
      <c r="U4452" s="567"/>
      <c r="V4452" s="400">
        <f>+ROUND(V4451,$AA$5)</f>
        <v>209.21</v>
      </c>
      <c r="Y4452" s="401" t="s">
        <v>136</v>
      </c>
      <c r="Z4452" s="402">
        <f>+ROUND(Z4451,$AA$5)</f>
        <v>418.42</v>
      </c>
      <c r="AA4452" s="86"/>
      <c r="AB4452" s="403">
        <f>+V4452*Y4442</f>
        <v>418.42</v>
      </c>
      <c r="AC4452" s="404">
        <f>+AB4452-Z4452</f>
        <v>0</v>
      </c>
      <c r="AD4452" s="94"/>
      <c r="AE4452" s="405"/>
    </row>
    <row r="4453" spans="3:31" s="260" customFormat="1" x14ac:dyDescent="0.25">
      <c r="C4453" s="84"/>
      <c r="D4453" s="380"/>
      <c r="E4453" s="381"/>
      <c r="F4453" s="381"/>
      <c r="G4453" s="381"/>
      <c r="H4453" s="381"/>
      <c r="I4453" s="381"/>
      <c r="J4453" s="382"/>
      <c r="K4453" s="88"/>
      <c r="M4453" s="510" t="s">
        <v>103</v>
      </c>
      <c r="N4453" s="511"/>
      <c r="O4453" s="511"/>
      <c r="P4453" s="511"/>
      <c r="Q4453" s="511"/>
      <c r="R4453" s="511"/>
      <c r="S4453" s="511"/>
      <c r="T4453" s="511"/>
      <c r="U4453" s="511"/>
      <c r="V4453" s="512"/>
      <c r="Y4453" s="378"/>
      <c r="Z4453" s="121"/>
      <c r="AA4453" s="86"/>
      <c r="AB4453" s="513"/>
      <c r="AC4453" s="514"/>
      <c r="AD4453" s="94"/>
      <c r="AE4453" s="126"/>
    </row>
    <row r="4454" spans="3:31" s="260" customFormat="1" x14ac:dyDescent="0.25">
      <c r="C4454" s="84"/>
      <c r="D4454" s="85"/>
      <c r="E4454" s="86"/>
      <c r="F4454" s="86"/>
      <c r="G4454" s="86"/>
      <c r="H4454" s="86"/>
      <c r="I4454" s="86"/>
      <c r="J4454" s="87"/>
      <c r="K4454" s="88"/>
      <c r="M4454" s="99" t="s">
        <v>94</v>
      </c>
      <c r="N4454" s="561" t="s">
        <v>95</v>
      </c>
      <c r="O4454" s="561"/>
      <c r="P4454" s="561"/>
      <c r="Q4454" s="561"/>
      <c r="R4454" s="95" t="s">
        <v>96</v>
      </c>
      <c r="S4454" s="95" t="s">
        <v>104</v>
      </c>
      <c r="T4454" s="356" t="s">
        <v>105</v>
      </c>
      <c r="U4454" s="356" t="s">
        <v>8</v>
      </c>
      <c r="V4454" s="100" t="s">
        <v>98</v>
      </c>
      <c r="Y4454" s="383" t="s">
        <v>104</v>
      </c>
      <c r="Z4454" s="119" t="s">
        <v>9</v>
      </c>
      <c r="AA4454" s="86"/>
      <c r="AB4454" s="384"/>
      <c r="AC4454" s="385"/>
      <c r="AD4454" s="94"/>
      <c r="AE4454" s="406"/>
    </row>
    <row r="4455" spans="3:31" s="260" customFormat="1" x14ac:dyDescent="0.25">
      <c r="C4455" s="84"/>
      <c r="D4455" s="85"/>
      <c r="E4455" s="86"/>
      <c r="F4455" s="86"/>
      <c r="G4455" s="86"/>
      <c r="H4455" s="86"/>
      <c r="I4455" s="86"/>
      <c r="J4455" s="87"/>
      <c r="K4455" s="88"/>
      <c r="M4455" s="102">
        <v>578</v>
      </c>
      <c r="N4455" s="533" t="str">
        <f>IFERROR(VLOOKUP(M4455,INSUMOS!$C$8:$K$928,2,0),"-----")</f>
        <v>TAPÓN PRUEBAS PVC SANITARIO 2"</v>
      </c>
      <c r="O4455" s="533"/>
      <c r="P4455" s="533"/>
      <c r="Q4455" s="533"/>
      <c r="R4455" s="78" t="str">
        <f>IFERROR(VLOOKUP(M4455,INSUMOS!$C$8:$K$928,6,0),"-----")</f>
        <v>und</v>
      </c>
      <c r="S4455" s="396">
        <v>1</v>
      </c>
      <c r="T4455" s="387">
        <v>0</v>
      </c>
      <c r="U4455" s="388">
        <f>IFERROR(VLOOKUP(M4455,INSUMOS!$C$8:$K$928,7,0),"0")</f>
        <v>1641</v>
      </c>
      <c r="V4455" s="389">
        <f>+IFERROR(U4455*(S4455*(1+T4455)),0)</f>
        <v>1641</v>
      </c>
      <c r="Y4455" s="393">
        <f>+IFERROR(Y4442*(S4455*(1+T4455)),0)</f>
        <v>2</v>
      </c>
      <c r="Z4455" s="391">
        <f>Y4442*V4455</f>
        <v>3282</v>
      </c>
      <c r="AA4455" s="394"/>
      <c r="AB4455" s="395">
        <f>+Y4455*U4455</f>
        <v>3282</v>
      </c>
      <c r="AC4455" s="93">
        <f>+AB4455-Z4455</f>
        <v>0</v>
      </c>
      <c r="AD4455" s="94"/>
      <c r="AE4455" s="406" t="str">
        <f>+IF(V4455=0,"CERO","NO")</f>
        <v>NO</v>
      </c>
    </row>
    <row r="4456" spans="3:31" s="260" customFormat="1" x14ac:dyDescent="0.25">
      <c r="C4456" s="84"/>
      <c r="D4456" s="85"/>
      <c r="E4456" s="86"/>
      <c r="F4456" s="86"/>
      <c r="G4456" s="86"/>
      <c r="H4456" s="86"/>
      <c r="I4456" s="86"/>
      <c r="J4456" s="87"/>
      <c r="K4456" s="88"/>
      <c r="M4456" s="102">
        <v>699</v>
      </c>
      <c r="N4456" s="533" t="str">
        <f>IFERROR(VLOOKUP(M4456,INSUMOS!$C$8:$K$928,2,0),"-----")</f>
        <v>SOLDADURA PVC LIQUIDA 1/4"</v>
      </c>
      <c r="O4456" s="533"/>
      <c r="P4456" s="533"/>
      <c r="Q4456" s="533"/>
      <c r="R4456" s="78" t="str">
        <f>IFERROR(VLOOKUP(M4456,INSUMOS!$C$8:$K$928,6,0),"-----")</f>
        <v>und</v>
      </c>
      <c r="S4456" s="396">
        <v>0.01</v>
      </c>
      <c r="T4456" s="387">
        <v>0.02</v>
      </c>
      <c r="U4456" s="388">
        <f>IFERROR(VLOOKUP(M4456,INSUMOS!$C$8:$K$928,7,0),"0")</f>
        <v>146569</v>
      </c>
      <c r="V4456" s="389">
        <f>+IFERROR(U4456*(S4456*(1+T4456)),0)</f>
        <v>1495.0038000000002</v>
      </c>
      <c r="Y4456" s="393">
        <f>+IFERROR(Y4442*(S4456*(1+T4456)),0)</f>
        <v>2.0400000000000001E-2</v>
      </c>
      <c r="Z4456" s="391">
        <f>Y4442*V4456</f>
        <v>2990.0076000000004</v>
      </c>
      <c r="AA4456" s="394"/>
      <c r="AB4456" s="395">
        <f>+Y4456*U4456</f>
        <v>2990.0076000000004</v>
      </c>
      <c r="AC4456" s="93">
        <f>+AB4456-Z4456</f>
        <v>0</v>
      </c>
      <c r="AD4456" s="94"/>
      <c r="AE4456" s="406" t="str">
        <f>+IF(V4456=0,"CERO","NO")</f>
        <v>NO</v>
      </c>
    </row>
    <row r="4457" spans="3:31" s="260" customFormat="1" x14ac:dyDescent="0.25">
      <c r="C4457" s="84"/>
      <c r="D4457" s="85"/>
      <c r="E4457" s="86"/>
      <c r="F4457" s="86"/>
      <c r="G4457" s="86"/>
      <c r="H4457" s="86"/>
      <c r="I4457" s="86"/>
      <c r="J4457" s="87"/>
      <c r="K4457" s="88"/>
      <c r="M4457" s="102">
        <v>700</v>
      </c>
      <c r="N4457" s="533" t="str">
        <f>IFERROR(VLOOKUP(M4457,INSUMOS!$C$8:$K$928,2,0),"-----")</f>
        <v>LIMPIADOR PVC 1/4</v>
      </c>
      <c r="O4457" s="533"/>
      <c r="P4457" s="533"/>
      <c r="Q4457" s="533"/>
      <c r="R4457" s="78" t="str">
        <f>IFERROR(VLOOKUP(M4457,INSUMOS!$C$8:$K$928,6,0),"-----")</f>
        <v>und</v>
      </c>
      <c r="S4457" s="396">
        <v>0.01</v>
      </c>
      <c r="T4457" s="387">
        <v>0.02</v>
      </c>
      <c r="U4457" s="388">
        <f>IFERROR(VLOOKUP(M4457,INSUMOS!$C$8:$K$928,7,0),"0")</f>
        <v>65913</v>
      </c>
      <c r="V4457" s="389">
        <f>+IFERROR(U4457*(S4457*(1+T4457)),0)</f>
        <v>672.31260000000009</v>
      </c>
      <c r="Y4457" s="393">
        <f>+IFERROR(Y4442*(S4457*(1+T4457)),0)</f>
        <v>2.0400000000000001E-2</v>
      </c>
      <c r="Z4457" s="391">
        <f>Y4442*V4457</f>
        <v>1344.6252000000002</v>
      </c>
      <c r="AA4457" s="394"/>
      <c r="AB4457" s="395">
        <f>+Y4457*U4457</f>
        <v>1344.6252000000002</v>
      </c>
      <c r="AC4457" s="93">
        <f>+AB4457-Z4457</f>
        <v>0</v>
      </c>
      <c r="AD4457" s="94"/>
      <c r="AE4457" s="406" t="str">
        <f>+IF(V4457=0,"CERO","NO")</f>
        <v>NO</v>
      </c>
    </row>
    <row r="4458" spans="3:31" s="260" customFormat="1" x14ac:dyDescent="0.25">
      <c r="C4458" s="84"/>
      <c r="D4458" s="85"/>
      <c r="E4458" s="86"/>
      <c r="F4458" s="86"/>
      <c r="G4458" s="86"/>
      <c r="H4458" s="86"/>
      <c r="I4458" s="86"/>
      <c r="J4458" s="87"/>
      <c r="K4458" s="88"/>
      <c r="M4458" s="102">
        <v>0</v>
      </c>
      <c r="N4458" s="533" t="str">
        <f>IFERROR(VLOOKUP(M4458,INSUMOS!$C$8:$K$928,2,0),"-----")</f>
        <v>-----</v>
      </c>
      <c r="O4458" s="533"/>
      <c r="P4458" s="533"/>
      <c r="Q4458" s="533"/>
      <c r="R4458" s="78" t="str">
        <f>IFERROR(VLOOKUP(M4458,INSUMOS!$C$8:$K$928,6,0),"-----")</f>
        <v>-----</v>
      </c>
      <c r="S4458" s="396"/>
      <c r="T4458" s="387"/>
      <c r="U4458" s="388" t="str">
        <f>IFERROR(VLOOKUP(M4458,INSUMOS!$C$8:$K$928,7,0),"0")</f>
        <v>0</v>
      </c>
      <c r="V4458" s="389">
        <f>+IFERROR(U4458*(S4458*(1+T4458)),0)</f>
        <v>0</v>
      </c>
      <c r="Y4458" s="393">
        <f>+IFERROR(Y4442*(S4458*(1+T4458)),0)</f>
        <v>0</v>
      </c>
      <c r="Z4458" s="391">
        <f>Y4442*V4458</f>
        <v>0</v>
      </c>
      <c r="AA4458" s="394"/>
      <c r="AB4458" s="395">
        <f>+Y4458*U4458</f>
        <v>0</v>
      </c>
      <c r="AC4458" s="93">
        <f>+AB4458-Z4458</f>
        <v>0</v>
      </c>
      <c r="AD4458" s="94"/>
      <c r="AE4458" s="406" t="str">
        <f>+IF(V4458=0,"CERO","NO")</f>
        <v>CERO</v>
      </c>
    </row>
    <row r="4459" spans="3:31" s="260" customFormat="1" ht="15.75" thickBot="1" x14ac:dyDescent="0.3">
      <c r="C4459" s="84"/>
      <c r="D4459" s="85"/>
      <c r="E4459" s="86"/>
      <c r="F4459" s="86"/>
      <c r="G4459" s="86"/>
      <c r="H4459" s="86"/>
      <c r="I4459" s="86"/>
      <c r="J4459" s="87"/>
      <c r="K4459" s="88"/>
      <c r="M4459" s="102">
        <v>0</v>
      </c>
      <c r="N4459" s="564"/>
      <c r="O4459" s="564"/>
      <c r="P4459" s="564"/>
      <c r="Q4459" s="564"/>
      <c r="R4459" s="96"/>
      <c r="S4459" s="79"/>
      <c r="T4459" s="97"/>
      <c r="U4459" s="358"/>
      <c r="V4459" s="397"/>
      <c r="Y4459" s="393">
        <f>+IFERROR(Y4442*(S4459*(1+T4459)),0)</f>
        <v>0</v>
      </c>
      <c r="Z4459" s="391">
        <f>Y4442*V4459</f>
        <v>0</v>
      </c>
      <c r="AA4459" s="394"/>
      <c r="AB4459" s="395">
        <f>+Y4459*U4459</f>
        <v>0</v>
      </c>
      <c r="AC4459" s="93">
        <f>+AB4459-Z4459</f>
        <v>0</v>
      </c>
      <c r="AD4459" s="94"/>
      <c r="AE4459" s="406" t="str">
        <f>+IF(V4459=0,"CERO","NO")</f>
        <v>CERO</v>
      </c>
    </row>
    <row r="4460" spans="3:31" s="260" customFormat="1" ht="15.75" thickBot="1" x14ac:dyDescent="0.3">
      <c r="C4460" s="84"/>
      <c r="D4460" s="375" t="s">
        <v>128</v>
      </c>
      <c r="E4460" s="376" t="s">
        <v>129</v>
      </c>
      <c r="F4460" s="376" t="s">
        <v>130</v>
      </c>
      <c r="G4460" s="376" t="s">
        <v>131</v>
      </c>
      <c r="H4460" s="376" t="s">
        <v>132</v>
      </c>
      <c r="I4460" s="376" t="s">
        <v>133</v>
      </c>
      <c r="J4460" s="377" t="s">
        <v>134</v>
      </c>
      <c r="K4460" s="88"/>
      <c r="M4460" s="534"/>
      <c r="N4460" s="536" t="s">
        <v>106</v>
      </c>
      <c r="O4460" s="536"/>
      <c r="P4460" s="536"/>
      <c r="Q4460" s="536"/>
      <c r="R4460" s="536"/>
      <c r="S4460" s="536"/>
      <c r="T4460" s="536"/>
      <c r="U4460" s="536"/>
      <c r="V4460" s="389">
        <f>+SUM(V4455:V4459)</f>
        <v>3808.3164000000006</v>
      </c>
      <c r="Y4460" s="398" t="s">
        <v>135</v>
      </c>
      <c r="Z4460" s="397">
        <f>+SUM(Z4455:Z4459)</f>
        <v>7616.6328000000012</v>
      </c>
      <c r="AA4460" s="86"/>
      <c r="AB4460" s="384"/>
      <c r="AC4460" s="385"/>
      <c r="AD4460" s="94"/>
      <c r="AE4460" s="399"/>
    </row>
    <row r="4461" spans="3:31" s="260" customFormat="1" ht="15.75" thickBot="1" x14ac:dyDescent="0.3">
      <c r="C4461" s="84"/>
      <c r="D4461" s="375"/>
      <c r="E4461" s="407">
        <f>+D4452</f>
        <v>4.1399999999999997</v>
      </c>
      <c r="F4461" s="376"/>
      <c r="G4461" s="376"/>
      <c r="H4461" s="376"/>
      <c r="I4461" s="376"/>
      <c r="J4461" s="377"/>
      <c r="K4461" s="88"/>
      <c r="M4461" s="535"/>
      <c r="N4461" s="537" t="s">
        <v>107</v>
      </c>
      <c r="O4461" s="537"/>
      <c r="P4461" s="537"/>
      <c r="Q4461" s="537"/>
      <c r="R4461" s="537"/>
      <c r="S4461" s="537"/>
      <c r="T4461" s="537"/>
      <c r="U4461" s="537"/>
      <c r="V4461" s="408">
        <f>+ROUND(V4460,$AA$5)</f>
        <v>3808.32</v>
      </c>
      <c r="Y4461" s="401" t="s">
        <v>136</v>
      </c>
      <c r="Z4461" s="402">
        <f>+ROUND(Z4460,$AA$5)</f>
        <v>7616.63</v>
      </c>
      <c r="AA4461" s="86"/>
      <c r="AB4461" s="403">
        <f>+V4461*Y4442</f>
        <v>7616.64</v>
      </c>
      <c r="AC4461" s="404">
        <f>+AB4461-Z4461</f>
        <v>1.0000000000218279E-2</v>
      </c>
      <c r="AD4461" s="94"/>
      <c r="AE4461" s="405"/>
    </row>
    <row r="4462" spans="3:31" s="260" customFormat="1" x14ac:dyDescent="0.25">
      <c r="C4462" s="84"/>
      <c r="D4462" s="380"/>
      <c r="E4462" s="381"/>
      <c r="F4462" s="381"/>
      <c r="G4462" s="381"/>
      <c r="H4462" s="381"/>
      <c r="I4462" s="381"/>
      <c r="J4462" s="382"/>
      <c r="K4462" s="88"/>
      <c r="M4462" s="568" t="s">
        <v>108</v>
      </c>
      <c r="N4462" s="569"/>
      <c r="O4462" s="569"/>
      <c r="P4462" s="569"/>
      <c r="Q4462" s="569"/>
      <c r="R4462" s="569"/>
      <c r="S4462" s="569"/>
      <c r="T4462" s="569"/>
      <c r="U4462" s="569"/>
      <c r="V4462" s="570"/>
      <c r="Y4462" s="378"/>
      <c r="Z4462" s="121"/>
      <c r="AA4462" s="86"/>
      <c r="AB4462" s="409"/>
      <c r="AC4462" s="121"/>
      <c r="AD4462" s="94"/>
      <c r="AE4462" s="126"/>
    </row>
    <row r="4463" spans="3:31" s="260" customFormat="1" ht="25.5" x14ac:dyDescent="0.25">
      <c r="C4463" s="84"/>
      <c r="D4463" s="85"/>
      <c r="E4463" s="86"/>
      <c r="F4463" s="86"/>
      <c r="G4463" s="86"/>
      <c r="H4463" s="86"/>
      <c r="I4463" s="86"/>
      <c r="J4463" s="87"/>
      <c r="K4463" s="88"/>
      <c r="M4463" s="99" t="s">
        <v>94</v>
      </c>
      <c r="N4463" s="561" t="s">
        <v>95</v>
      </c>
      <c r="O4463" s="561"/>
      <c r="P4463" s="561"/>
      <c r="Q4463" s="95" t="s">
        <v>109</v>
      </c>
      <c r="R4463" s="95" t="s">
        <v>110</v>
      </c>
      <c r="S4463" s="95" t="s">
        <v>111</v>
      </c>
      <c r="T4463" s="562" t="s">
        <v>112</v>
      </c>
      <c r="U4463" s="562"/>
      <c r="V4463" s="100" t="s">
        <v>98</v>
      </c>
      <c r="Y4463" s="383" t="s">
        <v>104</v>
      </c>
      <c r="Z4463" s="119" t="s">
        <v>9</v>
      </c>
      <c r="AA4463" s="86"/>
      <c r="AB4463" s="384"/>
      <c r="AC4463" s="385"/>
      <c r="AD4463" s="94"/>
      <c r="AE4463" s="410"/>
    </row>
    <row r="4464" spans="3:31" s="260" customFormat="1" x14ac:dyDescent="0.25">
      <c r="C4464" s="84"/>
      <c r="D4464" s="85"/>
      <c r="E4464" s="86"/>
      <c r="F4464" s="86"/>
      <c r="G4464" s="86"/>
      <c r="H4464" s="86"/>
      <c r="I4464" s="86"/>
      <c r="J4464" s="87"/>
      <c r="K4464" s="88"/>
      <c r="M4464" s="102">
        <v>129</v>
      </c>
      <c r="N4464" s="530" t="str">
        <f>IFERROR(VLOOKUP(M4464,INSUMOS!$C$8:$K$928,2,0),"-----")</f>
        <v>transporte materiales en general</v>
      </c>
      <c r="O4464" s="531"/>
      <c r="P4464" s="532"/>
      <c r="Q4464" s="78" t="str">
        <f>IFERROR(VLOOKUP(M4464,INSUMOS!$C$8:$K$928,5,0),"-----")</f>
        <v>Km</v>
      </c>
      <c r="R4464" s="80">
        <v>1</v>
      </c>
      <c r="S4464" s="80">
        <f>IFERROR(VLOOKUP(M4464,INSUMOS!$C$8:$K$928,6,0),"0")</f>
        <v>348</v>
      </c>
      <c r="T4464" s="529">
        <f>IFERROR(VLOOKUP(M4464,INSUMOS!$C$8:$K$928,7,0),"0")</f>
        <v>0.99776362060288992</v>
      </c>
      <c r="U4464" s="529"/>
      <c r="V4464" s="82">
        <f>+T4464*S4464*R4464</f>
        <v>347.2217399698057</v>
      </c>
      <c r="Y4464" s="393">
        <f>+IFERROR((R4464*S4464)*Y4442,0)</f>
        <v>696</v>
      </c>
      <c r="Z4464" s="391">
        <f>Y4442*V4464</f>
        <v>694.44347993961139</v>
      </c>
      <c r="AA4464" s="86"/>
      <c r="AB4464" s="92">
        <f>+Y4464*T4464</f>
        <v>694.44347993961139</v>
      </c>
      <c r="AC4464" s="93">
        <f>+AB4464-Z4464</f>
        <v>0</v>
      </c>
      <c r="AD4464" s="94"/>
      <c r="AE4464" s="406" t="str">
        <f>+IF(V4464=0,"CERO","NO")</f>
        <v>NO</v>
      </c>
    </row>
    <row r="4465" spans="3:31" s="260" customFormat="1" x14ac:dyDescent="0.25">
      <c r="C4465" s="84"/>
      <c r="D4465" s="85"/>
      <c r="E4465" s="86"/>
      <c r="F4465" s="86"/>
      <c r="G4465" s="86"/>
      <c r="H4465" s="86"/>
      <c r="I4465" s="86"/>
      <c r="J4465" s="87"/>
      <c r="K4465" s="88"/>
      <c r="M4465" s="102">
        <v>0</v>
      </c>
      <c r="N4465" s="530" t="str">
        <f>IFERROR(VLOOKUP(M4465,INSUMOS!$C$8:$K$928,2,0),"-----")</f>
        <v>-----</v>
      </c>
      <c r="O4465" s="531"/>
      <c r="P4465" s="532"/>
      <c r="Q4465" s="78" t="str">
        <f>IFERROR(VLOOKUP(M4465,INSUMOS!$C$8:$K$928,5,0),"-----")</f>
        <v>-----</v>
      </c>
      <c r="R4465" s="80"/>
      <c r="S4465" s="80" t="str">
        <f>IFERROR(VLOOKUP(M4465,INSUMOS!$C$8:$K$928,6,0),"0")</f>
        <v>0</v>
      </c>
      <c r="T4465" s="529" t="str">
        <f>IFERROR(VLOOKUP(M4465,INSUMOS!$C$8:$K$928,7,0),"0")</f>
        <v>0</v>
      </c>
      <c r="U4465" s="529"/>
      <c r="V4465" s="82">
        <f>+T4465*S4465*R4465</f>
        <v>0</v>
      </c>
      <c r="Y4465" s="393">
        <f>+IFERROR((R4465*S4465)*Y4442,0)</f>
        <v>0</v>
      </c>
      <c r="Z4465" s="391">
        <f>Y4442*V4465</f>
        <v>0</v>
      </c>
      <c r="AA4465" s="86"/>
      <c r="AB4465" s="92">
        <f>+Y4465*T4465</f>
        <v>0</v>
      </c>
      <c r="AC4465" s="93">
        <f>+AB4465-Z4465</f>
        <v>0</v>
      </c>
      <c r="AD4465" s="94"/>
      <c r="AE4465" s="406" t="str">
        <f>+IF(V4465=0,"CERO","NO")</f>
        <v>CERO</v>
      </c>
    </row>
    <row r="4466" spans="3:31" s="260" customFormat="1" x14ac:dyDescent="0.25">
      <c r="C4466" s="84"/>
      <c r="D4466" s="85"/>
      <c r="E4466" s="86"/>
      <c r="F4466" s="86"/>
      <c r="G4466" s="86"/>
      <c r="H4466" s="86"/>
      <c r="I4466" s="86"/>
      <c r="J4466" s="87"/>
      <c r="K4466" s="88"/>
      <c r="M4466" s="102">
        <v>0</v>
      </c>
      <c r="N4466" s="530" t="str">
        <f>IFERROR(VLOOKUP(M4466,INSUMOS!$C$8:$K$928,2,0),"-----")</f>
        <v>-----</v>
      </c>
      <c r="O4466" s="531"/>
      <c r="P4466" s="532"/>
      <c r="Q4466" s="78" t="str">
        <f>IFERROR(VLOOKUP(M4466,INSUMOS!$C$8:$K$928,5,0),"-----")</f>
        <v>-----</v>
      </c>
      <c r="R4466" s="80"/>
      <c r="S4466" s="80" t="str">
        <f>IFERROR(VLOOKUP(M4466,INSUMOS!$C$8:$K$928,6,0),"0")</f>
        <v>0</v>
      </c>
      <c r="T4466" s="529" t="str">
        <f>IFERROR(VLOOKUP(M4466,INSUMOS!$C$8:$K$928,7,0),"0")</f>
        <v>0</v>
      </c>
      <c r="U4466" s="529"/>
      <c r="V4466" s="82">
        <f>+T4466*S4466*R4466</f>
        <v>0</v>
      </c>
      <c r="Y4466" s="393">
        <f>+IFERROR((R4466*S4466)*Y4442,0)</f>
        <v>0</v>
      </c>
      <c r="Z4466" s="391">
        <f>Y4442*V4466</f>
        <v>0</v>
      </c>
      <c r="AA4466" s="86"/>
      <c r="AB4466" s="92">
        <f>+Y4466*T4466</f>
        <v>0</v>
      </c>
      <c r="AC4466" s="93">
        <f>+AB4466-Z4466</f>
        <v>0</v>
      </c>
      <c r="AD4466" s="94"/>
      <c r="AE4466" s="406" t="str">
        <f>+IF(V4466=0,"CERO","NO")</f>
        <v>CERO</v>
      </c>
    </row>
    <row r="4467" spans="3:31" s="260" customFormat="1" ht="15.75" thickBot="1" x14ac:dyDescent="0.3">
      <c r="C4467" s="84"/>
      <c r="D4467" s="89"/>
      <c r="E4467" s="90"/>
      <c r="F4467" s="90"/>
      <c r="G4467" s="90"/>
      <c r="H4467" s="90"/>
      <c r="I4467" s="90"/>
      <c r="J4467" s="91"/>
      <c r="K4467" s="88"/>
      <c r="M4467" s="102">
        <v>0</v>
      </c>
      <c r="N4467" s="533"/>
      <c r="O4467" s="533"/>
      <c r="P4467" s="533"/>
      <c r="Q4467" s="79"/>
      <c r="R4467" s="78"/>
      <c r="S4467" s="81"/>
      <c r="T4467" s="529"/>
      <c r="U4467" s="529"/>
      <c r="V4467" s="82"/>
      <c r="Y4467" s="393">
        <f>+IFERROR((R4467*S4467)*Y4442,0)</f>
        <v>0</v>
      </c>
      <c r="Z4467" s="391">
        <f>Y4442*V4467</f>
        <v>0</v>
      </c>
      <c r="AA4467" s="86"/>
      <c r="AB4467" s="92">
        <f>+Y4467*T4467</f>
        <v>0</v>
      </c>
      <c r="AC4467" s="93">
        <f>+AB4467-Z4467</f>
        <v>0</v>
      </c>
      <c r="AD4467" s="94"/>
      <c r="AE4467" s="406" t="str">
        <f>+IF(V4467=0,"CERO","NO")</f>
        <v>CERO</v>
      </c>
    </row>
    <row r="4468" spans="3:31" s="260" customFormat="1" ht="15.75" thickBot="1" x14ac:dyDescent="0.3">
      <c r="C4468" s="84"/>
      <c r="D4468" s="375" t="s">
        <v>128</v>
      </c>
      <c r="E4468" s="376" t="s">
        <v>129</v>
      </c>
      <c r="F4468" s="376" t="s">
        <v>130</v>
      </c>
      <c r="G4468" s="376" t="s">
        <v>131</v>
      </c>
      <c r="H4468" s="376" t="s">
        <v>132</v>
      </c>
      <c r="I4468" s="376" t="s">
        <v>133</v>
      </c>
      <c r="J4468" s="377" t="s">
        <v>134</v>
      </c>
      <c r="K4468" s="88"/>
      <c r="M4468" s="534"/>
      <c r="N4468" s="536" t="s">
        <v>113</v>
      </c>
      <c r="O4468" s="536"/>
      <c r="P4468" s="536"/>
      <c r="Q4468" s="536"/>
      <c r="R4468" s="536"/>
      <c r="S4468" s="536"/>
      <c r="T4468" s="536"/>
      <c r="U4468" s="536"/>
      <c r="V4468" s="411">
        <f>+SUM(V4464:V4467)</f>
        <v>347.2217399698057</v>
      </c>
      <c r="Y4468" s="398" t="s">
        <v>135</v>
      </c>
      <c r="Z4468" s="397">
        <f>+SUM(Z4464:Z4467)</f>
        <v>694.44347993961139</v>
      </c>
      <c r="AA4468" s="86"/>
      <c r="AB4468" s="384"/>
      <c r="AC4468" s="385"/>
      <c r="AD4468" s="94"/>
      <c r="AE4468" s="399"/>
    </row>
    <row r="4469" spans="3:31" s="260" customFormat="1" ht="15.75" thickBot="1" x14ac:dyDescent="0.3">
      <c r="C4469" s="84"/>
      <c r="D4469" s="355"/>
      <c r="E4469" s="367"/>
      <c r="F4469" s="412">
        <f>+E4461</f>
        <v>4.1399999999999997</v>
      </c>
      <c r="G4469" s="367"/>
      <c r="H4469" s="367"/>
      <c r="I4469" s="367"/>
      <c r="J4469" s="368"/>
      <c r="K4469" s="88"/>
      <c r="M4469" s="535"/>
      <c r="N4469" s="537" t="s">
        <v>114</v>
      </c>
      <c r="O4469" s="537"/>
      <c r="P4469" s="537"/>
      <c r="Q4469" s="537"/>
      <c r="R4469" s="537"/>
      <c r="S4469" s="537"/>
      <c r="T4469" s="537"/>
      <c r="U4469" s="537"/>
      <c r="V4469" s="413">
        <f>+ROUND(V4468,$AA$5)</f>
        <v>347.22</v>
      </c>
      <c r="Y4469" s="401" t="s">
        <v>136</v>
      </c>
      <c r="Z4469" s="402">
        <f>+ROUND(Z4468,$AA$5)</f>
        <v>694.44</v>
      </c>
      <c r="AA4469" s="86"/>
      <c r="AB4469" s="403">
        <f>+V4469*Y4442</f>
        <v>694.44</v>
      </c>
      <c r="AC4469" s="414"/>
      <c r="AD4469" s="94"/>
      <c r="AE4469" s="405"/>
    </row>
    <row r="4470" spans="3:31" s="260" customFormat="1" ht="15.75" thickBot="1" x14ac:dyDescent="0.3">
      <c r="C4470" s="84"/>
      <c r="D4470" s="415"/>
      <c r="E4470" s="416"/>
      <c r="F4470" s="416"/>
      <c r="G4470" s="416"/>
      <c r="H4470" s="416"/>
      <c r="I4470" s="416"/>
      <c r="J4470" s="417"/>
      <c r="K4470" s="88"/>
      <c r="M4470" s="538" t="s">
        <v>115</v>
      </c>
      <c r="N4470" s="539"/>
      <c r="O4470" s="539"/>
      <c r="P4470" s="539"/>
      <c r="Q4470" s="539"/>
      <c r="R4470" s="539"/>
      <c r="S4470" s="539"/>
      <c r="T4470" s="539"/>
      <c r="U4470" s="539"/>
      <c r="V4470" s="540"/>
      <c r="Y4470" s="378"/>
      <c r="Z4470" s="121"/>
      <c r="AA4470" s="86"/>
      <c r="AB4470" s="409"/>
      <c r="AC4470" s="121"/>
      <c r="AD4470" s="94"/>
      <c r="AE4470" s="126"/>
    </row>
    <row r="4471" spans="3:31" s="260" customFormat="1" ht="15.75" thickBot="1" x14ac:dyDescent="0.3">
      <c r="C4471" s="84"/>
      <c r="D4471" s="375" t="s">
        <v>128</v>
      </c>
      <c r="E4471" s="376" t="s">
        <v>129</v>
      </c>
      <c r="F4471" s="376" t="s">
        <v>130</v>
      </c>
      <c r="G4471" s="376" t="s">
        <v>131</v>
      </c>
      <c r="H4471" s="376" t="s">
        <v>132</v>
      </c>
      <c r="I4471" s="376" t="s">
        <v>133</v>
      </c>
      <c r="J4471" s="377" t="s">
        <v>134</v>
      </c>
      <c r="K4471" s="88"/>
      <c r="M4471" s="99" t="s">
        <v>94</v>
      </c>
      <c r="N4471" s="98" t="s">
        <v>95</v>
      </c>
      <c r="O4471" s="95" t="s">
        <v>96</v>
      </c>
      <c r="P4471" s="359" t="s">
        <v>104</v>
      </c>
      <c r="Q4471" s="95" t="s">
        <v>116</v>
      </c>
      <c r="R4471" s="418" t="s">
        <v>117</v>
      </c>
      <c r="S4471" s="95" t="s">
        <v>347</v>
      </c>
      <c r="T4471" s="419" t="s">
        <v>118</v>
      </c>
      <c r="U4471" s="189" t="s">
        <v>119</v>
      </c>
      <c r="V4471" s="100" t="s">
        <v>98</v>
      </c>
      <c r="Y4471" s="383" t="s">
        <v>104</v>
      </c>
      <c r="Z4471" s="119" t="s">
        <v>9</v>
      </c>
      <c r="AA4471" s="86"/>
      <c r="AB4471" s="384"/>
      <c r="AC4471" s="385"/>
      <c r="AD4471" s="94"/>
      <c r="AE4471" s="410"/>
    </row>
    <row r="4472" spans="3:31" s="260" customFormat="1" ht="25.5" x14ac:dyDescent="0.25">
      <c r="C4472" s="84"/>
      <c r="D4472" s="354"/>
      <c r="E4472" s="96"/>
      <c r="F4472" s="96"/>
      <c r="G4472" s="96"/>
      <c r="H4472" s="96"/>
      <c r="I4472" s="96"/>
      <c r="J4472" s="420">
        <f>+F4469</f>
        <v>4.1399999999999997</v>
      </c>
      <c r="K4472" s="88"/>
      <c r="M4472" s="102">
        <v>207</v>
      </c>
      <c r="N4472" s="347" t="str">
        <f>IFERROR(VLOOKUP(M4472,INSUMOS!$C$8:$K$928,2,0),"-----")</f>
        <v>Oficial Hidrosanitario</v>
      </c>
      <c r="O4472" s="78" t="str">
        <f>IFERROR(VLOOKUP(M4472,INSUMOS!$C$8:$K$928,3,0),"-----")</f>
        <v>JORNAL+PS</v>
      </c>
      <c r="P4472" s="80">
        <v>1</v>
      </c>
      <c r="Q4472" s="79">
        <v>40</v>
      </c>
      <c r="R4472" s="190">
        <f>IFERROR(VLOOKUP(M4472,INSUMOS!$C$8:$K$928,4,0),"-----")</f>
        <v>92983</v>
      </c>
      <c r="S4472" s="190">
        <f>IFERROR(VLOOKUP(M4472,INSUMOS!$C$8:$K$928,6,0),"-----")</f>
        <v>74386</v>
      </c>
      <c r="T4472" s="190">
        <f>IFERROR(VLOOKUP(M4472,INSUMOS!$C$8:$K$928,5,0),"-----")</f>
        <v>0</v>
      </c>
      <c r="U4472" s="388">
        <f>SUM(R4472:T4472)</f>
        <v>167369</v>
      </c>
      <c r="V4472" s="82">
        <f>+IFERROR((P4472/Q4472)*U4472,0)</f>
        <v>4184.2250000000004</v>
      </c>
      <c r="Y4472" s="393">
        <f>+IFERROR((Y4442/Q4472*P4472),0)</f>
        <v>0.05</v>
      </c>
      <c r="Z4472" s="391">
        <f>Y4442*V4472</f>
        <v>8368.4500000000007</v>
      </c>
      <c r="AA4472" s="86"/>
      <c r="AB4472" s="92">
        <f>+(U4472)*Y4472</f>
        <v>8368.4500000000007</v>
      </c>
      <c r="AC4472" s="93">
        <f>+AB4472-Z4472</f>
        <v>0</v>
      </c>
      <c r="AD4472" s="421"/>
      <c r="AE4472" s="410" t="str">
        <f>+IF(V4472=0,"CERO","NO")</f>
        <v>NO</v>
      </c>
    </row>
    <row r="4473" spans="3:31" s="260" customFormat="1" ht="15.75" thickBot="1" x14ac:dyDescent="0.3">
      <c r="C4473" s="84"/>
      <c r="D4473" s="355"/>
      <c r="E4473" s="367"/>
      <c r="F4473" s="367"/>
      <c r="G4473" s="367"/>
      <c r="H4473" s="367"/>
      <c r="I4473" s="367"/>
      <c r="J4473" s="422">
        <f>+J4472</f>
        <v>4.1399999999999997</v>
      </c>
      <c r="K4473" s="88"/>
      <c r="M4473" s="102"/>
      <c r="N4473" s="347" t="str">
        <f>IFERROR(VLOOKUP(M4473,INSUMOS!$C$8:$K$928,2,0),"-----")</f>
        <v>-----</v>
      </c>
      <c r="O4473" s="78" t="str">
        <f>IFERROR(VLOOKUP(M4473,INSUMOS!$C$8:$K$928,3,0),"-----")</f>
        <v>-----</v>
      </c>
      <c r="P4473" s="80"/>
      <c r="Q4473" s="79"/>
      <c r="R4473" s="190" t="str">
        <f>IFERROR(VLOOKUP(M4473,INSUMOS!$C$8:$K$928,4,0),"-----")</f>
        <v>-----</v>
      </c>
      <c r="S4473" s="190" t="str">
        <f>IFERROR(VLOOKUP(M4473,INSUMOS!$C$8:$K$928,6,0),"-----")</f>
        <v>-----</v>
      </c>
      <c r="T4473" s="190" t="str">
        <f>IFERROR(VLOOKUP(M4473,INSUMOS!$C$8:$K$928,5,0),"-----")</f>
        <v>-----</v>
      </c>
      <c r="U4473" s="388">
        <f>SUM(R4473:T4473)</f>
        <v>0</v>
      </c>
      <c r="V4473" s="82">
        <f>+IFERROR((P4473/Q4473)*U4473,0)</f>
        <v>0</v>
      </c>
      <c r="Y4473" s="393">
        <f>+IFERROR((Y4442/Q4473*P4473),0)</f>
        <v>0</v>
      </c>
      <c r="Z4473" s="391">
        <f>Y4442*V4473</f>
        <v>0</v>
      </c>
      <c r="AA4473" s="86"/>
      <c r="AB4473" s="92">
        <f>+U4473*Y4473</f>
        <v>0</v>
      </c>
      <c r="AC4473" s="93">
        <f>+AB4473-Z4473</f>
        <v>0</v>
      </c>
      <c r="AD4473" s="94"/>
      <c r="AE4473" s="410" t="str">
        <f>+IF(V4473=0,"CERO","NO")</f>
        <v>CERO</v>
      </c>
    </row>
    <row r="4474" spans="3:31" s="260" customFormat="1" ht="15.75" thickBot="1" x14ac:dyDescent="0.3">
      <c r="C4474" s="84"/>
      <c r="D4474" s="380"/>
      <c r="E4474" s="381"/>
      <c r="F4474" s="381"/>
      <c r="G4474" s="381"/>
      <c r="H4474" s="381"/>
      <c r="I4474" s="381"/>
      <c r="J4474" s="382"/>
      <c r="K4474" s="88"/>
      <c r="M4474" s="102">
        <v>0</v>
      </c>
      <c r="N4474" s="347"/>
      <c r="O4474" s="79"/>
      <c r="P4474" s="423"/>
      <c r="Q4474" s="81"/>
      <c r="R4474" s="111"/>
      <c r="S4474" s="357"/>
      <c r="T4474" s="111"/>
      <c r="U4474" s="388"/>
      <c r="V4474" s="426"/>
      <c r="Y4474" s="393">
        <f>+IFERROR((Y4442/Q4474*P4474),0)</f>
        <v>0</v>
      </c>
      <c r="Z4474" s="391">
        <f>Y4442*V4474</f>
        <v>0</v>
      </c>
      <c r="AA4474" s="86"/>
      <c r="AB4474" s="92">
        <f>+(U4474)*Y4474*P4474</f>
        <v>0</v>
      </c>
      <c r="AC4474" s="93">
        <f>+AB4474-Z4474</f>
        <v>0</v>
      </c>
      <c r="AD4474" s="94"/>
      <c r="AE4474" s="410" t="str">
        <f>+IF(V4474=0,"CERO","NO")</f>
        <v>CERO</v>
      </c>
    </row>
    <row r="4475" spans="3:31" s="260" customFormat="1" ht="15.75" thickBot="1" x14ac:dyDescent="0.3">
      <c r="C4475" s="84"/>
      <c r="D4475" s="375" t="s">
        <v>128</v>
      </c>
      <c r="E4475" s="376" t="s">
        <v>129</v>
      </c>
      <c r="F4475" s="376" t="s">
        <v>130</v>
      </c>
      <c r="G4475" s="376" t="s">
        <v>131</v>
      </c>
      <c r="H4475" s="376" t="s">
        <v>132</v>
      </c>
      <c r="I4475" s="376" t="s">
        <v>133</v>
      </c>
      <c r="J4475" s="377" t="s">
        <v>134</v>
      </c>
      <c r="K4475" s="88"/>
      <c r="M4475" s="534"/>
      <c r="N4475" s="536" t="s">
        <v>120</v>
      </c>
      <c r="O4475" s="536"/>
      <c r="P4475" s="536"/>
      <c r="Q4475" s="536"/>
      <c r="R4475" s="536"/>
      <c r="S4475" s="536"/>
      <c r="T4475" s="536"/>
      <c r="U4475" s="536"/>
      <c r="V4475" s="82">
        <f>+SUM(V4472:V4474)</f>
        <v>4184.2250000000004</v>
      </c>
      <c r="Y4475" s="398" t="s">
        <v>135</v>
      </c>
      <c r="Z4475" s="397">
        <f>+SUM(Z4472:Z4474)</f>
        <v>8368.4500000000007</v>
      </c>
      <c r="AA4475" s="86"/>
      <c r="AB4475" s="384"/>
      <c r="AC4475" s="385"/>
      <c r="AD4475" s="94"/>
      <c r="AE4475" s="399"/>
    </row>
    <row r="4476" spans="3:31" s="260" customFormat="1" ht="15.75" thickBot="1" x14ac:dyDescent="0.3">
      <c r="C4476" s="84"/>
      <c r="D4476" s="354"/>
      <c r="E4476" s="96"/>
      <c r="F4476" s="96"/>
      <c r="G4476" s="107">
        <f>+F4469</f>
        <v>4.1399999999999997</v>
      </c>
      <c r="H4476" s="96"/>
      <c r="I4476" s="96"/>
      <c r="J4476" s="427"/>
      <c r="K4476" s="88"/>
      <c r="M4476" s="535"/>
      <c r="N4476" s="537" t="s">
        <v>121</v>
      </c>
      <c r="O4476" s="537"/>
      <c r="P4476" s="537"/>
      <c r="Q4476" s="537"/>
      <c r="R4476" s="537"/>
      <c r="S4476" s="537"/>
      <c r="T4476" s="537"/>
      <c r="U4476" s="537"/>
      <c r="V4476" s="413">
        <f>+ROUND(V4475,$AA$5)</f>
        <v>4184.2299999999996</v>
      </c>
      <c r="Y4476" s="401" t="s">
        <v>136</v>
      </c>
      <c r="Z4476" s="402">
        <f>+ROUND(Z4475,$AA$5)</f>
        <v>8368.4500000000007</v>
      </c>
      <c r="AA4476" s="86"/>
      <c r="AB4476" s="403">
        <f>+V4476*Y4442</f>
        <v>8368.4599999999991</v>
      </c>
      <c r="AC4476" s="404">
        <f>+AB4476-Z4476</f>
        <v>9.9999999983992893E-3</v>
      </c>
      <c r="AD4476" s="94"/>
      <c r="AE4476" s="405"/>
    </row>
    <row r="4477" spans="3:31" s="260" customFormat="1" ht="15.75" thickBot="1" x14ac:dyDescent="0.3">
      <c r="C4477" s="84"/>
      <c r="D4477" s="375" t="s">
        <v>128</v>
      </c>
      <c r="E4477" s="376" t="s">
        <v>129</v>
      </c>
      <c r="F4477" s="376" t="s">
        <v>130</v>
      </c>
      <c r="G4477" s="376" t="s">
        <v>131</v>
      </c>
      <c r="H4477" s="376" t="s">
        <v>132</v>
      </c>
      <c r="I4477" s="376" t="s">
        <v>133</v>
      </c>
      <c r="J4477" s="377" t="s">
        <v>134</v>
      </c>
      <c r="K4477" s="88"/>
      <c r="M4477" s="541"/>
      <c r="N4477" s="542"/>
      <c r="O4477" s="542"/>
      <c r="P4477" s="542"/>
      <c r="Q4477" s="542"/>
      <c r="R4477" s="542"/>
      <c r="S4477" s="542"/>
      <c r="T4477" s="542"/>
      <c r="U4477" s="542"/>
      <c r="V4477" s="543"/>
      <c r="Y4477" s="378"/>
      <c r="Z4477" s="121"/>
      <c r="AA4477" s="86"/>
      <c r="AB4477" s="409"/>
      <c r="AC4477" s="121"/>
      <c r="AD4477" s="94"/>
      <c r="AE4477" s="428"/>
    </row>
    <row r="4478" spans="3:31" s="260" customFormat="1" ht="15.75" thickBot="1" x14ac:dyDescent="0.3">
      <c r="C4478" s="84"/>
      <c r="D4478" s="355"/>
      <c r="E4478" s="367"/>
      <c r="F4478" s="367"/>
      <c r="G4478" s="367"/>
      <c r="H4478" s="412">
        <f>G4476</f>
        <v>4.1399999999999997</v>
      </c>
      <c r="I4478" s="412"/>
      <c r="J4478" s="422"/>
      <c r="K4478" s="88"/>
      <c r="M4478" s="544" t="s">
        <v>122</v>
      </c>
      <c r="N4478" s="537"/>
      <c r="O4478" s="537"/>
      <c r="P4478" s="537"/>
      <c r="Q4478" s="537"/>
      <c r="R4478" s="537"/>
      <c r="S4478" s="537"/>
      <c r="T4478" s="537"/>
      <c r="U4478" s="545">
        <f>+V4476+V4469+V4461+V4452</f>
        <v>8548.98</v>
      </c>
      <c r="V4478" s="546"/>
      <c r="Y4478" s="429"/>
      <c r="Z4478" s="430">
        <f>+Z4476+Z4469+Z4461+Z4452</f>
        <v>17097.939999999999</v>
      </c>
      <c r="AA4478" s="86"/>
      <c r="AB4478" s="431">
        <f>+AB4476+AB4469+AB4461+AB4452</f>
        <v>17097.96</v>
      </c>
      <c r="AC4478" s="404">
        <f>+AB4478-Z4478</f>
        <v>2.0000000000436557E-2</v>
      </c>
      <c r="AD4478" s="94"/>
      <c r="AE4478" s="432"/>
    </row>
    <row r="4479" spans="3:31" s="260" customFormat="1" ht="15.75" thickBot="1" x14ac:dyDescent="0.3"/>
    <row r="4480" spans="3:31" s="260" customFormat="1" x14ac:dyDescent="0.25">
      <c r="M4480" s="547" t="s">
        <v>348</v>
      </c>
      <c r="N4480" s="548"/>
      <c r="O4480" s="548"/>
      <c r="P4480" s="548"/>
      <c r="Q4480" s="548"/>
      <c r="R4480" s="548"/>
      <c r="S4480" s="548"/>
      <c r="T4480" s="548"/>
      <c r="U4480" s="548"/>
      <c r="V4480" s="549"/>
      <c r="Y4480" s="378"/>
      <c r="Z4480" s="121"/>
      <c r="AA4480" s="86"/>
      <c r="AB4480" s="94"/>
      <c r="AC4480" s="94"/>
      <c r="AD4480" s="94"/>
      <c r="AE4480" s="126" t="s">
        <v>133</v>
      </c>
    </row>
    <row r="4481" spans="3:31" s="260" customFormat="1" x14ac:dyDescent="0.25">
      <c r="M4481" s="515" t="s">
        <v>138</v>
      </c>
      <c r="N4481" s="516"/>
      <c r="O4481" s="516"/>
      <c r="P4481" s="516"/>
      <c r="Q4481" s="516"/>
      <c r="R4481" s="516"/>
      <c r="S4481" s="516"/>
      <c r="T4481" s="437">
        <v>0</v>
      </c>
      <c r="U4481" s="517">
        <f>+ROUND(U4478*T4481,$AA$5)</f>
        <v>0</v>
      </c>
      <c r="V4481" s="518"/>
      <c r="Y4481" s="390"/>
      <c r="Z4481" s="438">
        <f>+Z4478*T4481</f>
        <v>0</v>
      </c>
      <c r="AA4481" s="86"/>
      <c r="AB4481" s="94"/>
      <c r="AC4481" s="94"/>
      <c r="AD4481" s="94"/>
      <c r="AE4481" s="386" t="s">
        <v>133</v>
      </c>
    </row>
    <row r="4482" spans="3:31" s="260" customFormat="1" x14ac:dyDescent="0.25">
      <c r="M4482" s="515" t="s">
        <v>19</v>
      </c>
      <c r="N4482" s="516"/>
      <c r="O4482" s="516"/>
      <c r="P4482" s="516"/>
      <c r="Q4482" s="516"/>
      <c r="R4482" s="516"/>
      <c r="S4482" s="516"/>
      <c r="T4482" s="437">
        <v>0.05</v>
      </c>
      <c r="U4482" s="517">
        <f>+ROUND(U4478*T4482,$AA$5)</f>
        <v>427.45</v>
      </c>
      <c r="V4482" s="518"/>
      <c r="Y4482" s="390"/>
      <c r="Z4482" s="438">
        <f>+Z4478*T4482</f>
        <v>854.89699999999993</v>
      </c>
      <c r="AA4482" s="86"/>
      <c r="AB4482" s="94"/>
      <c r="AC4482" s="94"/>
      <c r="AD4482" s="94"/>
      <c r="AE4482" s="386" t="s">
        <v>133</v>
      </c>
    </row>
    <row r="4483" spans="3:31" s="260" customFormat="1" x14ac:dyDescent="0.25">
      <c r="M4483" s="515" t="s">
        <v>20</v>
      </c>
      <c r="N4483" s="516"/>
      <c r="O4483" s="516"/>
      <c r="P4483" s="516"/>
      <c r="Q4483" s="516"/>
      <c r="R4483" s="516"/>
      <c r="S4483" s="516"/>
      <c r="T4483" s="437">
        <v>0</v>
      </c>
      <c r="U4483" s="517">
        <f>+ROUND(U4478*T4483,$AA$5)</f>
        <v>0</v>
      </c>
      <c r="V4483" s="518"/>
      <c r="Y4483" s="390"/>
      <c r="Z4483" s="438">
        <f>+Z4478*T4483</f>
        <v>0</v>
      </c>
      <c r="AA4483" s="86"/>
      <c r="AB4483" s="94"/>
      <c r="AC4483" s="94"/>
      <c r="AD4483" s="94"/>
      <c r="AE4483" s="386" t="s">
        <v>133</v>
      </c>
    </row>
    <row r="4484" spans="3:31" s="260" customFormat="1" x14ac:dyDescent="0.25">
      <c r="M4484" s="515" t="s">
        <v>21</v>
      </c>
      <c r="N4484" s="516"/>
      <c r="O4484" s="516"/>
      <c r="P4484" s="516"/>
      <c r="Q4484" s="516"/>
      <c r="R4484" s="516"/>
      <c r="S4484" s="516"/>
      <c r="T4484" s="437">
        <f>$AA$9</f>
        <v>0</v>
      </c>
      <c r="U4484" s="517">
        <f>+ROUND(U4478*T4484,$AA$5)</f>
        <v>0</v>
      </c>
      <c r="V4484" s="518"/>
      <c r="Y4484" s="390"/>
      <c r="Z4484" s="438">
        <f>+Z4483*T4484</f>
        <v>0</v>
      </c>
      <c r="AA4484" s="86"/>
      <c r="AB4484" s="94"/>
      <c r="AC4484" s="94"/>
      <c r="AD4484" s="94"/>
      <c r="AE4484" s="386" t="s">
        <v>133</v>
      </c>
    </row>
    <row r="4485" spans="3:31" s="260" customFormat="1" ht="15.75" thickBot="1" x14ac:dyDescent="0.3">
      <c r="M4485" s="519" t="s">
        <v>349</v>
      </c>
      <c r="N4485" s="520"/>
      <c r="O4485" s="520"/>
      <c r="P4485" s="520"/>
      <c r="Q4485" s="520"/>
      <c r="R4485" s="520"/>
      <c r="S4485" s="520"/>
      <c r="T4485" s="520"/>
      <c r="U4485" s="521">
        <f>+SUM(U4481:V4484)</f>
        <v>427.45</v>
      </c>
      <c r="V4485" s="522"/>
      <c r="Y4485" s="390"/>
      <c r="Z4485" s="439">
        <f>+SUM(Z4481:Z4484)</f>
        <v>854.89699999999993</v>
      </c>
      <c r="AA4485" s="86"/>
      <c r="AB4485" s="94"/>
      <c r="AC4485" s="94"/>
      <c r="AD4485" s="94"/>
      <c r="AE4485" s="386" t="s">
        <v>133</v>
      </c>
    </row>
    <row r="4486" spans="3:31" s="260" customFormat="1" ht="15.75" thickBot="1" x14ac:dyDescent="0.3">
      <c r="D4486" s="375" t="s">
        <v>128</v>
      </c>
      <c r="E4486" s="376" t="s">
        <v>129</v>
      </c>
      <c r="F4486" s="376" t="s">
        <v>130</v>
      </c>
      <c r="G4486" s="376" t="s">
        <v>131</v>
      </c>
      <c r="H4486" s="376" t="s">
        <v>132</v>
      </c>
      <c r="I4486" s="376" t="s">
        <v>133</v>
      </c>
      <c r="J4486" s="377" t="s">
        <v>134</v>
      </c>
      <c r="M4486" s="86"/>
      <c r="N4486" s="94"/>
      <c r="O4486" s="94"/>
      <c r="P4486" s="94"/>
      <c r="Q4486" s="86"/>
      <c r="R4486" s="86"/>
      <c r="S4486" s="86"/>
      <c r="T4486" s="440"/>
      <c r="U4486" s="523"/>
      <c r="V4486" s="523"/>
      <c r="Y4486" s="390"/>
      <c r="Z4486" s="385"/>
      <c r="AA4486" s="86"/>
      <c r="AB4486" s="94"/>
      <c r="AC4486" s="94"/>
      <c r="AD4486" s="94"/>
      <c r="AE4486" s="386" t="s">
        <v>133</v>
      </c>
    </row>
    <row r="4487" spans="3:31" s="260" customFormat="1" ht="15.75" thickBot="1" x14ac:dyDescent="0.3">
      <c r="D4487" s="355"/>
      <c r="E4487" s="367"/>
      <c r="F4487" s="367"/>
      <c r="G4487" s="367"/>
      <c r="H4487" s="412"/>
      <c r="I4487" s="412">
        <f>H4478</f>
        <v>4.1399999999999997</v>
      </c>
      <c r="J4487" s="422"/>
      <c r="M4487" s="524" t="s">
        <v>11</v>
      </c>
      <c r="N4487" s="525"/>
      <c r="O4487" s="525"/>
      <c r="P4487" s="525"/>
      <c r="Q4487" s="525"/>
      <c r="R4487" s="525"/>
      <c r="S4487" s="525"/>
      <c r="T4487" s="526"/>
      <c r="U4487" s="527">
        <f>+U4485+U4478</f>
        <v>8976.43</v>
      </c>
      <c r="V4487" s="528"/>
      <c r="Y4487" s="429"/>
      <c r="Z4487" s="441">
        <f>+Z4485+Z4478</f>
        <v>17952.837</v>
      </c>
      <c r="AA4487" s="86"/>
      <c r="AB4487" s="94"/>
      <c r="AC4487" s="94"/>
      <c r="AD4487" s="94"/>
      <c r="AE4487" s="405" t="s">
        <v>133</v>
      </c>
    </row>
    <row r="4488" spans="3:31" s="260" customFormat="1" x14ac:dyDescent="0.25"/>
    <row r="4489" spans="3:31" s="260" customFormat="1" ht="15.75" thickBot="1" x14ac:dyDescent="0.3"/>
    <row r="4490" spans="3:31" s="260" customFormat="1" ht="15.75" thickBot="1" x14ac:dyDescent="0.3">
      <c r="M4490" s="363" t="s">
        <v>88</v>
      </c>
      <c r="N4490" s="436" t="str">
        <f>+N4441</f>
        <v>CAP.4</v>
      </c>
      <c r="O4490" s="550" t="str">
        <f>IFERROR(VLOOKUP(N4490,PPTO!C:H,2,0),"----")</f>
        <v>RED SANITARIA</v>
      </c>
      <c r="P4490" s="551"/>
      <c r="Q4490" s="551"/>
      <c r="R4490" s="551"/>
      <c r="S4490" s="551"/>
      <c r="T4490" s="551"/>
      <c r="U4490" s="552"/>
      <c r="V4490" s="74" t="s">
        <v>91</v>
      </c>
      <c r="Y4490" s="365" t="s">
        <v>104</v>
      </c>
      <c r="Z4490" s="94"/>
      <c r="AA4490" s="188"/>
      <c r="AB4490" s="553"/>
      <c r="AC4490" s="553"/>
      <c r="AD4490" s="553"/>
      <c r="AE4490" s="94"/>
    </row>
    <row r="4491" spans="3:31" s="260" customFormat="1" ht="15.75" thickBot="1" x14ac:dyDescent="0.3">
      <c r="C4491" s="369">
        <f>+N4491</f>
        <v>4.1500000000000004</v>
      </c>
      <c r="D4491" s="86"/>
      <c r="E4491" s="86"/>
      <c r="F4491" s="86"/>
      <c r="G4491" s="86"/>
      <c r="H4491" s="86"/>
      <c r="I4491" s="86"/>
      <c r="J4491" s="86"/>
      <c r="K4491" s="370"/>
      <c r="M4491" s="75" t="s">
        <v>92</v>
      </c>
      <c r="N4491" s="371">
        <f>+ROUNDUP(N4442+0.01,2)</f>
        <v>4.1500000000000004</v>
      </c>
      <c r="O4491" s="554" t="str">
        <f>IFERROR(VLOOKUP(N4491,PPTO!C:H,2,0),"----")</f>
        <v>Yee Ventilacion PVC Ø2"</v>
      </c>
      <c r="P4491" s="555"/>
      <c r="Q4491" s="555"/>
      <c r="R4491" s="555"/>
      <c r="S4491" s="555"/>
      <c r="T4491" s="555"/>
      <c r="U4491" s="556"/>
      <c r="V4491" s="76" t="str">
        <f>IFERROR(VLOOKUP(N4491,PPTO!C:H,3,0),"----")</f>
        <v>UND</v>
      </c>
      <c r="Y4491" s="373">
        <f>SUMIFS(PPTO!F:F,PPTO!C:C,APUS!N4491)</f>
        <v>12</v>
      </c>
      <c r="Z4491" s="94"/>
      <c r="AA4491" s="86"/>
      <c r="AB4491" s="94"/>
      <c r="AC4491" s="94"/>
      <c r="AD4491" s="94"/>
      <c r="AE4491" s="94"/>
    </row>
    <row r="4492" spans="3:31" s="260" customFormat="1" ht="15.75" thickBot="1" x14ac:dyDescent="0.3">
      <c r="C4492" s="84"/>
      <c r="D4492" s="86"/>
      <c r="E4492" s="86"/>
      <c r="F4492" s="86"/>
      <c r="G4492" s="86"/>
      <c r="H4492" s="86"/>
      <c r="I4492" s="86"/>
      <c r="J4492" s="86"/>
      <c r="K4492" s="88"/>
      <c r="M4492" s="557"/>
      <c r="N4492" s="557"/>
      <c r="O4492" s="557"/>
      <c r="P4492" s="557"/>
      <c r="Q4492" s="557"/>
      <c r="R4492" s="557"/>
      <c r="S4492" s="557"/>
      <c r="T4492" s="557"/>
      <c r="U4492" s="557"/>
      <c r="V4492" s="557"/>
      <c r="Y4492" s="374"/>
      <c r="Z4492" s="94"/>
      <c r="AA4492" s="86"/>
      <c r="AB4492" s="94"/>
      <c r="AC4492" s="94"/>
      <c r="AD4492" s="94"/>
      <c r="AE4492" s="94"/>
    </row>
    <row r="4493" spans="3:31" s="260" customFormat="1" ht="15.75" thickBot="1" x14ac:dyDescent="0.3">
      <c r="C4493" s="84"/>
      <c r="D4493" s="375" t="s">
        <v>128</v>
      </c>
      <c r="E4493" s="376" t="s">
        <v>129</v>
      </c>
      <c r="F4493" s="376" t="s">
        <v>130</v>
      </c>
      <c r="G4493" s="376" t="s">
        <v>131</v>
      </c>
      <c r="H4493" s="376" t="s">
        <v>132</v>
      </c>
      <c r="I4493" s="376" t="s">
        <v>133</v>
      </c>
      <c r="J4493" s="377" t="s">
        <v>134</v>
      </c>
      <c r="K4493" s="88"/>
      <c r="M4493" s="558" t="s">
        <v>93</v>
      </c>
      <c r="N4493" s="559"/>
      <c r="O4493" s="559"/>
      <c r="P4493" s="559"/>
      <c r="Q4493" s="559"/>
      <c r="R4493" s="559"/>
      <c r="S4493" s="559"/>
      <c r="T4493" s="559"/>
      <c r="U4493" s="559"/>
      <c r="V4493" s="560"/>
      <c r="Y4493" s="378"/>
      <c r="Z4493" s="121"/>
      <c r="AA4493" s="86"/>
      <c r="AB4493" s="513"/>
      <c r="AC4493" s="514"/>
      <c r="AD4493" s="94"/>
      <c r="AE4493" s="379"/>
    </row>
    <row r="4494" spans="3:31" s="260" customFormat="1" x14ac:dyDescent="0.25">
      <c r="C4494" s="84"/>
      <c r="D4494" s="380"/>
      <c r="E4494" s="381"/>
      <c r="F4494" s="381"/>
      <c r="G4494" s="381"/>
      <c r="H4494" s="381"/>
      <c r="I4494" s="381"/>
      <c r="J4494" s="382"/>
      <c r="K4494" s="88"/>
      <c r="M4494" s="99" t="s">
        <v>94</v>
      </c>
      <c r="N4494" s="561" t="s">
        <v>95</v>
      </c>
      <c r="O4494" s="561"/>
      <c r="P4494" s="561"/>
      <c r="Q4494" s="561"/>
      <c r="R4494" s="95" t="s">
        <v>96</v>
      </c>
      <c r="S4494" s="95" t="s">
        <v>97</v>
      </c>
      <c r="T4494" s="562" t="s">
        <v>8</v>
      </c>
      <c r="U4494" s="562"/>
      <c r="V4494" s="100" t="s">
        <v>98</v>
      </c>
      <c r="Y4494" s="383" t="s">
        <v>104</v>
      </c>
      <c r="Z4494" s="119" t="s">
        <v>9</v>
      </c>
      <c r="AA4494" s="86"/>
      <c r="AB4494" s="384"/>
      <c r="AC4494" s="385"/>
      <c r="AD4494" s="94"/>
      <c r="AE4494" s="386"/>
    </row>
    <row r="4495" spans="3:31" s="260" customFormat="1" x14ac:dyDescent="0.25">
      <c r="C4495" s="84"/>
      <c r="D4495" s="85"/>
      <c r="E4495" s="86"/>
      <c r="F4495" s="86"/>
      <c r="G4495" s="86"/>
      <c r="H4495" s="86"/>
      <c r="I4495" s="86"/>
      <c r="J4495" s="87"/>
      <c r="K4495" s="88"/>
      <c r="M4495" s="102"/>
      <c r="N4495" s="533" t="s">
        <v>99</v>
      </c>
      <c r="O4495" s="533"/>
      <c r="P4495" s="533"/>
      <c r="Q4495" s="533"/>
      <c r="R4495" s="78" t="s">
        <v>100</v>
      </c>
      <c r="S4495" s="387">
        <f>+$AA$10</f>
        <v>0.05</v>
      </c>
      <c r="T4495" s="563">
        <f>V4525</f>
        <v>4184.2299999999996</v>
      </c>
      <c r="U4495" s="563"/>
      <c r="V4495" s="389">
        <f>+IFERROR(T4495*S4495,0)</f>
        <v>209.2115</v>
      </c>
      <c r="Y4495" s="390"/>
      <c r="Z4495" s="391">
        <f>Y4491*V4495</f>
        <v>2510.538</v>
      </c>
      <c r="AA4495" s="86"/>
      <c r="AB4495" s="384"/>
      <c r="AC4495" s="385"/>
      <c r="AD4495" s="94"/>
      <c r="AE4495" s="386" t="str">
        <f>+IF(V4495=0,"CERO","NO")</f>
        <v>NO</v>
      </c>
    </row>
    <row r="4496" spans="3:31" s="260" customFormat="1" x14ac:dyDescent="0.25">
      <c r="C4496" s="84"/>
      <c r="D4496" s="85"/>
      <c r="E4496" s="86"/>
      <c r="F4496" s="86"/>
      <c r="G4496" s="86"/>
      <c r="H4496" s="86"/>
      <c r="I4496" s="86"/>
      <c r="J4496" s="87"/>
      <c r="K4496" s="88"/>
      <c r="M4496" s="106"/>
      <c r="N4496" s="533" t="str">
        <f>IFERROR(VLOOKUP(M4496,INSUMOS!$C$8:$K$928,2,0),"-----")</f>
        <v>-----</v>
      </c>
      <c r="O4496" s="533"/>
      <c r="P4496" s="533"/>
      <c r="Q4496" s="533"/>
      <c r="R4496" s="78" t="str">
        <f>IFERROR(VLOOKUP(M4496,INSUMOS!$C$8:$K$928,6,0),"-----")</f>
        <v>-----</v>
      </c>
      <c r="S4496" s="392"/>
      <c r="T4496" s="529" t="str">
        <f>IFERROR(VLOOKUP(M4496,INSUMOS!$C$8:$K$928,7,0),"0")</f>
        <v>0</v>
      </c>
      <c r="U4496" s="529"/>
      <c r="V4496" s="389">
        <f>+IFERROR(T4496*S4496,0)</f>
        <v>0</v>
      </c>
      <c r="Y4496" s="393">
        <f>+IFERROR(Y4491*S4496,0)</f>
        <v>0</v>
      </c>
      <c r="Z4496" s="391">
        <f>Y4491*V4496</f>
        <v>0</v>
      </c>
      <c r="AA4496" s="394"/>
      <c r="AB4496" s="395">
        <f>+Y4496*T4496</f>
        <v>0</v>
      </c>
      <c r="AC4496" s="93">
        <f>+AB4496-Z4496</f>
        <v>0</v>
      </c>
      <c r="AD4496" s="94"/>
      <c r="AE4496" s="386" t="str">
        <f>+IF(V4496=0,"CERO","NO")</f>
        <v>CERO</v>
      </c>
    </row>
    <row r="4497" spans="3:31" s="260" customFormat="1" x14ac:dyDescent="0.25">
      <c r="C4497" s="84"/>
      <c r="D4497" s="85"/>
      <c r="E4497" s="86"/>
      <c r="F4497" s="86"/>
      <c r="G4497" s="86"/>
      <c r="H4497" s="86"/>
      <c r="I4497" s="86"/>
      <c r="J4497" s="87"/>
      <c r="K4497" s="88"/>
      <c r="M4497" s="102">
        <v>0</v>
      </c>
      <c r="N4497" s="533"/>
      <c r="O4497" s="533"/>
      <c r="P4497" s="533"/>
      <c r="Q4497" s="533"/>
      <c r="R4497" s="78"/>
      <c r="S4497" s="396"/>
      <c r="T4497" s="529"/>
      <c r="U4497" s="529"/>
      <c r="V4497" s="397"/>
      <c r="Y4497" s="393">
        <f>+IFERROR(Y4491*S4497,0)</f>
        <v>0</v>
      </c>
      <c r="Z4497" s="391">
        <f>Y4491*V4497</f>
        <v>0</v>
      </c>
      <c r="AA4497" s="394"/>
      <c r="AB4497" s="395">
        <f>+Y4497*T4497</f>
        <v>0</v>
      </c>
      <c r="AC4497" s="93">
        <f>+AB4497-Z4497</f>
        <v>0</v>
      </c>
      <c r="AD4497" s="94"/>
      <c r="AE4497" s="386" t="str">
        <f>+IF(V4497=0,"CERO","NO")</f>
        <v>CERO</v>
      </c>
    </row>
    <row r="4498" spans="3:31" s="260" customFormat="1" x14ac:dyDescent="0.25">
      <c r="C4498" s="84"/>
      <c r="D4498" s="85"/>
      <c r="E4498" s="86"/>
      <c r="F4498" s="86"/>
      <c r="G4498" s="86"/>
      <c r="H4498" s="86"/>
      <c r="I4498" s="86"/>
      <c r="J4498" s="87"/>
      <c r="K4498" s="88"/>
      <c r="M4498" s="102">
        <v>0</v>
      </c>
      <c r="N4498" s="533"/>
      <c r="O4498" s="533"/>
      <c r="P4498" s="533"/>
      <c r="Q4498" s="533"/>
      <c r="R4498" s="78"/>
      <c r="S4498" s="396"/>
      <c r="T4498" s="529"/>
      <c r="U4498" s="529"/>
      <c r="V4498" s="397"/>
      <c r="Y4498" s="393">
        <f>+IFERROR(Y4491*S4498,0)</f>
        <v>0</v>
      </c>
      <c r="Z4498" s="391">
        <f>Y4491*V4498</f>
        <v>0</v>
      </c>
      <c r="AA4498" s="394"/>
      <c r="AB4498" s="395">
        <f>+Y4498*T4498</f>
        <v>0</v>
      </c>
      <c r="AC4498" s="93">
        <f>+AB4498-Z4498</f>
        <v>0</v>
      </c>
      <c r="AD4498" s="94"/>
      <c r="AE4498" s="386" t="str">
        <f>+IF(V4498=0,"CERO","NO")</f>
        <v>CERO</v>
      </c>
    </row>
    <row r="4499" spans="3:31" s="260" customFormat="1" ht="15.75" thickBot="1" x14ac:dyDescent="0.3">
      <c r="C4499" s="84"/>
      <c r="D4499" s="85"/>
      <c r="E4499" s="86"/>
      <c r="F4499" s="86"/>
      <c r="G4499" s="86"/>
      <c r="H4499" s="86"/>
      <c r="I4499" s="86"/>
      <c r="J4499" s="87"/>
      <c r="K4499" s="88"/>
      <c r="M4499" s="102">
        <v>0</v>
      </c>
      <c r="N4499" s="564"/>
      <c r="O4499" s="564"/>
      <c r="P4499" s="564"/>
      <c r="Q4499" s="564"/>
      <c r="R4499" s="96"/>
      <c r="S4499" s="96"/>
      <c r="T4499" s="565"/>
      <c r="U4499" s="565"/>
      <c r="V4499" s="101"/>
      <c r="Y4499" s="393">
        <f>+IFERROR(Y4491*S4499,0)</f>
        <v>0</v>
      </c>
      <c r="Z4499" s="391">
        <f>Y4491*V4499</f>
        <v>0</v>
      </c>
      <c r="AA4499" s="394"/>
      <c r="AB4499" s="395">
        <f>+Y4499*T4499</f>
        <v>0</v>
      </c>
      <c r="AC4499" s="93">
        <f>+AB4499-Z4499</f>
        <v>0</v>
      </c>
      <c r="AD4499" s="94"/>
      <c r="AE4499" s="386" t="str">
        <f>+IF(V4499=0,"CERO","NO")</f>
        <v>CERO</v>
      </c>
    </row>
    <row r="4500" spans="3:31" s="260" customFormat="1" ht="15.75" thickBot="1" x14ac:dyDescent="0.3">
      <c r="C4500" s="84"/>
      <c r="D4500" s="375" t="s">
        <v>128</v>
      </c>
      <c r="E4500" s="376" t="s">
        <v>129</v>
      </c>
      <c r="F4500" s="376" t="s">
        <v>130</v>
      </c>
      <c r="G4500" s="376" t="s">
        <v>131</v>
      </c>
      <c r="H4500" s="376" t="s">
        <v>132</v>
      </c>
      <c r="I4500" s="376" t="s">
        <v>133</v>
      </c>
      <c r="J4500" s="377" t="s">
        <v>134</v>
      </c>
      <c r="K4500" s="88"/>
      <c r="M4500" s="534"/>
      <c r="N4500" s="536" t="s">
        <v>101</v>
      </c>
      <c r="O4500" s="536"/>
      <c r="P4500" s="536"/>
      <c r="Q4500" s="536"/>
      <c r="R4500" s="536"/>
      <c r="S4500" s="536"/>
      <c r="T4500" s="536"/>
      <c r="U4500" s="536"/>
      <c r="V4500" s="389">
        <f>+SUM(V4495:V4499)</f>
        <v>209.2115</v>
      </c>
      <c r="Y4500" s="398" t="s">
        <v>135</v>
      </c>
      <c r="Z4500" s="397">
        <f>+SUM(Z4495:Z4499)</f>
        <v>2510.538</v>
      </c>
      <c r="AA4500" s="86"/>
      <c r="AB4500" s="384"/>
      <c r="AC4500" s="385"/>
      <c r="AD4500" s="94"/>
      <c r="AE4500" s="399"/>
    </row>
    <row r="4501" spans="3:31" s="260" customFormat="1" ht="15.75" thickBot="1" x14ac:dyDescent="0.3">
      <c r="C4501" s="84"/>
      <c r="D4501" s="375">
        <f>C4491</f>
        <v>4.1500000000000004</v>
      </c>
      <c r="E4501" s="376"/>
      <c r="F4501" s="376"/>
      <c r="G4501" s="376"/>
      <c r="H4501" s="376"/>
      <c r="I4501" s="376"/>
      <c r="J4501" s="377"/>
      <c r="K4501" s="88"/>
      <c r="M4501" s="566"/>
      <c r="N4501" s="567" t="s">
        <v>102</v>
      </c>
      <c r="O4501" s="567"/>
      <c r="P4501" s="567"/>
      <c r="Q4501" s="567"/>
      <c r="R4501" s="567"/>
      <c r="S4501" s="567"/>
      <c r="T4501" s="567"/>
      <c r="U4501" s="567"/>
      <c r="V4501" s="400">
        <f>+ROUND(V4500,$AA$5)</f>
        <v>209.21</v>
      </c>
      <c r="Y4501" s="401" t="s">
        <v>136</v>
      </c>
      <c r="Z4501" s="402">
        <f>+ROUND(Z4500,$AA$5)</f>
        <v>2510.54</v>
      </c>
      <c r="AA4501" s="86"/>
      <c r="AB4501" s="403">
        <f>+V4501*Y4491</f>
        <v>2510.52</v>
      </c>
      <c r="AC4501" s="404">
        <f>+AB4501-Z4501</f>
        <v>-1.999999999998181E-2</v>
      </c>
      <c r="AD4501" s="94"/>
      <c r="AE4501" s="405"/>
    </row>
    <row r="4502" spans="3:31" s="260" customFormat="1" x14ac:dyDescent="0.25">
      <c r="C4502" s="84"/>
      <c r="D4502" s="380"/>
      <c r="E4502" s="381"/>
      <c r="F4502" s="381"/>
      <c r="G4502" s="381"/>
      <c r="H4502" s="381"/>
      <c r="I4502" s="381"/>
      <c r="J4502" s="382"/>
      <c r="K4502" s="88"/>
      <c r="M4502" s="510" t="s">
        <v>103</v>
      </c>
      <c r="N4502" s="511"/>
      <c r="O4502" s="511"/>
      <c r="P4502" s="511"/>
      <c r="Q4502" s="511"/>
      <c r="R4502" s="511"/>
      <c r="S4502" s="511"/>
      <c r="T4502" s="511"/>
      <c r="U4502" s="511"/>
      <c r="V4502" s="512"/>
      <c r="Y4502" s="378"/>
      <c r="Z4502" s="121"/>
      <c r="AA4502" s="86"/>
      <c r="AB4502" s="513"/>
      <c r="AC4502" s="514"/>
      <c r="AD4502" s="94"/>
      <c r="AE4502" s="126"/>
    </row>
    <row r="4503" spans="3:31" s="260" customFormat="1" x14ac:dyDescent="0.25">
      <c r="C4503" s="84"/>
      <c r="D4503" s="85"/>
      <c r="E4503" s="86"/>
      <c r="F4503" s="86"/>
      <c r="G4503" s="86"/>
      <c r="H4503" s="86"/>
      <c r="I4503" s="86"/>
      <c r="J4503" s="87"/>
      <c r="K4503" s="88"/>
      <c r="M4503" s="99" t="s">
        <v>94</v>
      </c>
      <c r="N4503" s="561" t="s">
        <v>95</v>
      </c>
      <c r="O4503" s="561"/>
      <c r="P4503" s="561"/>
      <c r="Q4503" s="561"/>
      <c r="R4503" s="95" t="s">
        <v>96</v>
      </c>
      <c r="S4503" s="95" t="s">
        <v>104</v>
      </c>
      <c r="T4503" s="356" t="s">
        <v>105</v>
      </c>
      <c r="U4503" s="356" t="s">
        <v>8</v>
      </c>
      <c r="V4503" s="100" t="s">
        <v>98</v>
      </c>
      <c r="Y4503" s="383" t="s">
        <v>104</v>
      </c>
      <c r="Z4503" s="119" t="s">
        <v>9</v>
      </c>
      <c r="AA4503" s="86"/>
      <c r="AB4503" s="384"/>
      <c r="AC4503" s="385"/>
      <c r="AD4503" s="94"/>
      <c r="AE4503" s="406"/>
    </row>
    <row r="4504" spans="3:31" s="260" customFormat="1" x14ac:dyDescent="0.25">
      <c r="C4504" s="84"/>
      <c r="D4504" s="85"/>
      <c r="E4504" s="86"/>
      <c r="F4504" s="86"/>
      <c r="G4504" s="86"/>
      <c r="H4504" s="86"/>
      <c r="I4504" s="86"/>
      <c r="J4504" s="87"/>
      <c r="K4504" s="88"/>
      <c r="M4504" s="102">
        <v>540</v>
      </c>
      <c r="N4504" s="533" t="str">
        <f>IFERROR(VLOOKUP(M4504,INSUMOS!$C$8:$K$928,2,0),"-----")</f>
        <v>YEE 2" SANITARIO</v>
      </c>
      <c r="O4504" s="533"/>
      <c r="P4504" s="533"/>
      <c r="Q4504" s="533"/>
      <c r="R4504" s="78" t="str">
        <f>IFERROR(VLOOKUP(M4504,INSUMOS!$C$8:$K$928,6,0),"-----")</f>
        <v>und</v>
      </c>
      <c r="S4504" s="396">
        <v>1</v>
      </c>
      <c r="T4504" s="387">
        <v>0</v>
      </c>
      <c r="U4504" s="388">
        <f>IFERROR(VLOOKUP(M4504,INSUMOS!$C$8:$K$928,7,0),"0")</f>
        <v>10172</v>
      </c>
      <c r="V4504" s="389">
        <f>+IFERROR(U4504*(S4504*(1+T4504)),0)</f>
        <v>10172</v>
      </c>
      <c r="Y4504" s="393">
        <f>+IFERROR(Y4491*(S4504*(1+T4504)),0)</f>
        <v>12</v>
      </c>
      <c r="Z4504" s="391">
        <f>Y4491*V4504</f>
        <v>122064</v>
      </c>
      <c r="AA4504" s="394"/>
      <c r="AB4504" s="395">
        <f>+Y4504*U4504</f>
        <v>122064</v>
      </c>
      <c r="AC4504" s="93">
        <f>+AB4504-Z4504</f>
        <v>0</v>
      </c>
      <c r="AD4504" s="94"/>
      <c r="AE4504" s="406" t="str">
        <f>+IF(V4504=0,"CERO","NO")</f>
        <v>NO</v>
      </c>
    </row>
    <row r="4505" spans="3:31" s="260" customFormat="1" x14ac:dyDescent="0.25">
      <c r="C4505" s="84"/>
      <c r="D4505" s="85"/>
      <c r="E4505" s="86"/>
      <c r="F4505" s="86"/>
      <c r="G4505" s="86"/>
      <c r="H4505" s="86"/>
      <c r="I4505" s="86"/>
      <c r="J4505" s="87"/>
      <c r="K4505" s="88"/>
      <c r="M4505" s="102">
        <v>699</v>
      </c>
      <c r="N4505" s="533" t="str">
        <f>IFERROR(VLOOKUP(M4505,INSUMOS!$C$8:$K$928,2,0),"-----")</f>
        <v>SOLDADURA PVC LIQUIDA 1/4"</v>
      </c>
      <c r="O4505" s="533"/>
      <c r="P4505" s="533"/>
      <c r="Q4505" s="533"/>
      <c r="R4505" s="78" t="str">
        <f>IFERROR(VLOOKUP(M4505,INSUMOS!$C$8:$K$928,6,0),"-----")</f>
        <v>und</v>
      </c>
      <c r="S4505" s="396">
        <v>0.01</v>
      </c>
      <c r="T4505" s="387">
        <v>0.02</v>
      </c>
      <c r="U4505" s="388">
        <f>IFERROR(VLOOKUP(M4505,INSUMOS!$C$8:$K$928,7,0),"0")</f>
        <v>146569</v>
      </c>
      <c r="V4505" s="389">
        <f>+IFERROR(U4505*(S4505*(1+T4505)),0)</f>
        <v>1495.0038000000002</v>
      </c>
      <c r="Y4505" s="393">
        <f>+IFERROR(Y4491*(S4505*(1+T4505)),0)</f>
        <v>0.12240000000000001</v>
      </c>
      <c r="Z4505" s="391">
        <f>Y4491*V4505</f>
        <v>17940.045600000001</v>
      </c>
      <c r="AA4505" s="394"/>
      <c r="AB4505" s="395">
        <f>+Y4505*U4505</f>
        <v>17940.045600000001</v>
      </c>
      <c r="AC4505" s="93">
        <f>+AB4505-Z4505</f>
        <v>0</v>
      </c>
      <c r="AD4505" s="94"/>
      <c r="AE4505" s="406" t="str">
        <f>+IF(V4505=0,"CERO","NO")</f>
        <v>NO</v>
      </c>
    </row>
    <row r="4506" spans="3:31" s="260" customFormat="1" x14ac:dyDescent="0.25">
      <c r="C4506" s="84"/>
      <c r="D4506" s="85"/>
      <c r="E4506" s="86"/>
      <c r="F4506" s="86"/>
      <c r="G4506" s="86"/>
      <c r="H4506" s="86"/>
      <c r="I4506" s="86"/>
      <c r="J4506" s="87"/>
      <c r="K4506" s="88"/>
      <c r="M4506" s="102">
        <v>700</v>
      </c>
      <c r="N4506" s="533" t="str">
        <f>IFERROR(VLOOKUP(M4506,INSUMOS!$C$8:$K$928,2,0),"-----")</f>
        <v>LIMPIADOR PVC 1/4</v>
      </c>
      <c r="O4506" s="533"/>
      <c r="P4506" s="533"/>
      <c r="Q4506" s="533"/>
      <c r="R4506" s="78" t="str">
        <f>IFERROR(VLOOKUP(M4506,INSUMOS!$C$8:$K$928,6,0),"-----")</f>
        <v>und</v>
      </c>
      <c r="S4506" s="396">
        <v>0.01</v>
      </c>
      <c r="T4506" s="387">
        <v>0.02</v>
      </c>
      <c r="U4506" s="388">
        <f>IFERROR(VLOOKUP(M4506,INSUMOS!$C$8:$K$928,7,0),"0")</f>
        <v>65913</v>
      </c>
      <c r="V4506" s="389">
        <f>+IFERROR(U4506*(S4506*(1+T4506)),0)</f>
        <v>672.31260000000009</v>
      </c>
      <c r="Y4506" s="393">
        <f>+IFERROR(Y4491*(S4506*(1+T4506)),0)</f>
        <v>0.12240000000000001</v>
      </c>
      <c r="Z4506" s="391">
        <f>Y4491*V4506</f>
        <v>8067.7512000000006</v>
      </c>
      <c r="AA4506" s="394"/>
      <c r="AB4506" s="395">
        <f>+Y4506*U4506</f>
        <v>8067.7512000000006</v>
      </c>
      <c r="AC4506" s="93">
        <f>+AB4506-Z4506</f>
        <v>0</v>
      </c>
      <c r="AD4506" s="94"/>
      <c r="AE4506" s="406" t="str">
        <f>+IF(V4506=0,"CERO","NO")</f>
        <v>NO</v>
      </c>
    </row>
    <row r="4507" spans="3:31" s="260" customFormat="1" x14ac:dyDescent="0.25">
      <c r="C4507" s="84"/>
      <c r="D4507" s="85"/>
      <c r="E4507" s="86"/>
      <c r="F4507" s="86"/>
      <c r="G4507" s="86"/>
      <c r="H4507" s="86"/>
      <c r="I4507" s="86"/>
      <c r="J4507" s="87"/>
      <c r="K4507" s="88"/>
      <c r="M4507" s="102">
        <v>0</v>
      </c>
      <c r="N4507" s="533" t="str">
        <f>IFERROR(VLOOKUP(M4507,INSUMOS!$C$8:$K$928,2,0),"-----")</f>
        <v>-----</v>
      </c>
      <c r="O4507" s="533"/>
      <c r="P4507" s="533"/>
      <c r="Q4507" s="533"/>
      <c r="R4507" s="78" t="str">
        <f>IFERROR(VLOOKUP(M4507,INSUMOS!$C$8:$K$928,6,0),"-----")</f>
        <v>-----</v>
      </c>
      <c r="S4507" s="396"/>
      <c r="T4507" s="387"/>
      <c r="U4507" s="388" t="str">
        <f>IFERROR(VLOOKUP(M4507,INSUMOS!$C$8:$K$928,7,0),"0")</f>
        <v>0</v>
      </c>
      <c r="V4507" s="389">
        <f>+IFERROR(U4507*(S4507*(1+T4507)),0)</f>
        <v>0</v>
      </c>
      <c r="Y4507" s="393">
        <f>+IFERROR(Y4491*(S4507*(1+T4507)),0)</f>
        <v>0</v>
      </c>
      <c r="Z4507" s="391">
        <f>Y4491*V4507</f>
        <v>0</v>
      </c>
      <c r="AA4507" s="394"/>
      <c r="AB4507" s="395">
        <f>+Y4507*U4507</f>
        <v>0</v>
      </c>
      <c r="AC4507" s="93">
        <f>+AB4507-Z4507</f>
        <v>0</v>
      </c>
      <c r="AD4507" s="94"/>
      <c r="AE4507" s="406" t="str">
        <f>+IF(V4507=0,"CERO","NO")</f>
        <v>CERO</v>
      </c>
    </row>
    <row r="4508" spans="3:31" s="260" customFormat="1" ht="15.75" thickBot="1" x14ac:dyDescent="0.3">
      <c r="C4508" s="84"/>
      <c r="D4508" s="85"/>
      <c r="E4508" s="86"/>
      <c r="F4508" s="86"/>
      <c r="G4508" s="86"/>
      <c r="H4508" s="86"/>
      <c r="I4508" s="86"/>
      <c r="J4508" s="87"/>
      <c r="K4508" s="88"/>
      <c r="M4508" s="102">
        <v>0</v>
      </c>
      <c r="N4508" s="564"/>
      <c r="O4508" s="564"/>
      <c r="P4508" s="564"/>
      <c r="Q4508" s="564"/>
      <c r="R4508" s="96"/>
      <c r="S4508" s="79"/>
      <c r="T4508" s="97"/>
      <c r="U4508" s="358"/>
      <c r="V4508" s="397"/>
      <c r="Y4508" s="393">
        <f>+IFERROR(Y4491*(S4508*(1+T4508)),0)</f>
        <v>0</v>
      </c>
      <c r="Z4508" s="391">
        <f>Y4491*V4508</f>
        <v>0</v>
      </c>
      <c r="AA4508" s="394"/>
      <c r="AB4508" s="395">
        <f>+Y4508*U4508</f>
        <v>0</v>
      </c>
      <c r="AC4508" s="93">
        <f>+AB4508-Z4508</f>
        <v>0</v>
      </c>
      <c r="AD4508" s="94"/>
      <c r="AE4508" s="406" t="str">
        <f>+IF(V4508=0,"CERO","NO")</f>
        <v>CERO</v>
      </c>
    </row>
    <row r="4509" spans="3:31" s="260" customFormat="1" ht="15.75" thickBot="1" x14ac:dyDescent="0.3">
      <c r="C4509" s="84"/>
      <c r="D4509" s="375" t="s">
        <v>128</v>
      </c>
      <c r="E4509" s="376" t="s">
        <v>129</v>
      </c>
      <c r="F4509" s="376" t="s">
        <v>130</v>
      </c>
      <c r="G4509" s="376" t="s">
        <v>131</v>
      </c>
      <c r="H4509" s="376" t="s">
        <v>132</v>
      </c>
      <c r="I4509" s="376" t="s">
        <v>133</v>
      </c>
      <c r="J4509" s="377" t="s">
        <v>134</v>
      </c>
      <c r="K4509" s="88"/>
      <c r="M4509" s="534"/>
      <c r="N4509" s="536" t="s">
        <v>106</v>
      </c>
      <c r="O4509" s="536"/>
      <c r="P4509" s="536"/>
      <c r="Q4509" s="536"/>
      <c r="R4509" s="536"/>
      <c r="S4509" s="536"/>
      <c r="T4509" s="536"/>
      <c r="U4509" s="536"/>
      <c r="V4509" s="389">
        <f>+SUM(V4504:V4508)</f>
        <v>12339.3164</v>
      </c>
      <c r="Y4509" s="398" t="s">
        <v>135</v>
      </c>
      <c r="Z4509" s="397">
        <f>+SUM(Z4504:Z4508)</f>
        <v>148071.79680000001</v>
      </c>
      <c r="AA4509" s="86"/>
      <c r="AB4509" s="384"/>
      <c r="AC4509" s="385"/>
      <c r="AD4509" s="94"/>
      <c r="AE4509" s="399"/>
    </row>
    <row r="4510" spans="3:31" s="260" customFormat="1" ht="15.75" thickBot="1" x14ac:dyDescent="0.3">
      <c r="C4510" s="84"/>
      <c r="D4510" s="375"/>
      <c r="E4510" s="407">
        <f>+D4501</f>
        <v>4.1500000000000004</v>
      </c>
      <c r="F4510" s="376"/>
      <c r="G4510" s="376"/>
      <c r="H4510" s="376"/>
      <c r="I4510" s="376"/>
      <c r="J4510" s="377"/>
      <c r="K4510" s="88"/>
      <c r="M4510" s="535"/>
      <c r="N4510" s="537" t="s">
        <v>107</v>
      </c>
      <c r="O4510" s="537"/>
      <c r="P4510" s="537"/>
      <c r="Q4510" s="537"/>
      <c r="R4510" s="537"/>
      <c r="S4510" s="537"/>
      <c r="T4510" s="537"/>
      <c r="U4510" s="537"/>
      <c r="V4510" s="408">
        <f>+ROUND(V4509,$AA$5)</f>
        <v>12339.32</v>
      </c>
      <c r="Y4510" s="401" t="s">
        <v>136</v>
      </c>
      <c r="Z4510" s="402">
        <f>+ROUND(Z4509,$AA$5)</f>
        <v>148071.79999999999</v>
      </c>
      <c r="AA4510" s="86"/>
      <c r="AB4510" s="403">
        <f>+V4510*Y4491</f>
        <v>148071.84</v>
      </c>
      <c r="AC4510" s="404">
        <f>+AB4510-Z4510</f>
        <v>4.0000000008149073E-2</v>
      </c>
      <c r="AD4510" s="94"/>
      <c r="AE4510" s="405"/>
    </row>
    <row r="4511" spans="3:31" s="260" customFormat="1" x14ac:dyDescent="0.25">
      <c r="C4511" s="84"/>
      <c r="D4511" s="380"/>
      <c r="E4511" s="381"/>
      <c r="F4511" s="381"/>
      <c r="G4511" s="381"/>
      <c r="H4511" s="381"/>
      <c r="I4511" s="381"/>
      <c r="J4511" s="382"/>
      <c r="K4511" s="88"/>
      <c r="M4511" s="568" t="s">
        <v>108</v>
      </c>
      <c r="N4511" s="569"/>
      <c r="O4511" s="569"/>
      <c r="P4511" s="569"/>
      <c r="Q4511" s="569"/>
      <c r="R4511" s="569"/>
      <c r="S4511" s="569"/>
      <c r="T4511" s="569"/>
      <c r="U4511" s="569"/>
      <c r="V4511" s="570"/>
      <c r="Y4511" s="378"/>
      <c r="Z4511" s="121"/>
      <c r="AA4511" s="86"/>
      <c r="AB4511" s="409"/>
      <c r="AC4511" s="121"/>
      <c r="AD4511" s="94"/>
      <c r="AE4511" s="126"/>
    </row>
    <row r="4512" spans="3:31" s="260" customFormat="1" ht="25.5" x14ac:dyDescent="0.25">
      <c r="C4512" s="84"/>
      <c r="D4512" s="85"/>
      <c r="E4512" s="86"/>
      <c r="F4512" s="86"/>
      <c r="G4512" s="86"/>
      <c r="H4512" s="86"/>
      <c r="I4512" s="86"/>
      <c r="J4512" s="87"/>
      <c r="K4512" s="88"/>
      <c r="M4512" s="99" t="s">
        <v>94</v>
      </c>
      <c r="N4512" s="561" t="s">
        <v>95</v>
      </c>
      <c r="O4512" s="561"/>
      <c r="P4512" s="561"/>
      <c r="Q4512" s="95" t="s">
        <v>109</v>
      </c>
      <c r="R4512" s="95" t="s">
        <v>110</v>
      </c>
      <c r="S4512" s="95" t="s">
        <v>111</v>
      </c>
      <c r="T4512" s="562" t="s">
        <v>112</v>
      </c>
      <c r="U4512" s="562"/>
      <c r="V4512" s="100" t="s">
        <v>98</v>
      </c>
      <c r="Y4512" s="383" t="s">
        <v>104</v>
      </c>
      <c r="Z4512" s="119" t="s">
        <v>9</v>
      </c>
      <c r="AA4512" s="86"/>
      <c r="AB4512" s="384"/>
      <c r="AC4512" s="385"/>
      <c r="AD4512" s="94"/>
      <c r="AE4512" s="410"/>
    </row>
    <row r="4513" spans="3:31" s="260" customFormat="1" x14ac:dyDescent="0.25">
      <c r="C4513" s="84"/>
      <c r="D4513" s="85"/>
      <c r="E4513" s="86"/>
      <c r="F4513" s="86"/>
      <c r="G4513" s="86"/>
      <c r="H4513" s="86"/>
      <c r="I4513" s="86"/>
      <c r="J4513" s="87"/>
      <c r="K4513" s="88"/>
      <c r="M4513" s="102">
        <v>129</v>
      </c>
      <c r="N4513" s="530" t="str">
        <f>IFERROR(VLOOKUP(M4513,INSUMOS!$C$8:$K$928,2,0),"-----")</f>
        <v>transporte materiales en general</v>
      </c>
      <c r="O4513" s="531"/>
      <c r="P4513" s="532"/>
      <c r="Q4513" s="78" t="str">
        <f>IFERROR(VLOOKUP(M4513,INSUMOS!$C$8:$K$928,5,0),"-----")</f>
        <v>Km</v>
      </c>
      <c r="R4513" s="80">
        <v>1</v>
      </c>
      <c r="S4513" s="80">
        <f>IFERROR(VLOOKUP(M4513,INSUMOS!$C$8:$K$928,6,0),"0")</f>
        <v>348</v>
      </c>
      <c r="T4513" s="529">
        <f>IFERROR(VLOOKUP(M4513,INSUMOS!$C$8:$K$928,7,0),"0")</f>
        <v>0.99776362060288992</v>
      </c>
      <c r="U4513" s="529"/>
      <c r="V4513" s="82">
        <f>+T4513*S4513*R4513</f>
        <v>347.2217399698057</v>
      </c>
      <c r="Y4513" s="393">
        <f>+IFERROR((R4513*S4513)*Y4491,0)</f>
        <v>4176</v>
      </c>
      <c r="Z4513" s="391">
        <f>Y4491*V4513</f>
        <v>4166.6608796376686</v>
      </c>
      <c r="AA4513" s="86"/>
      <c r="AB4513" s="92">
        <f>+Y4513*T4513</f>
        <v>4166.6608796376686</v>
      </c>
      <c r="AC4513" s="93">
        <f>+AB4513-Z4513</f>
        <v>0</v>
      </c>
      <c r="AD4513" s="94"/>
      <c r="AE4513" s="406" t="str">
        <f>+IF(V4513=0,"CERO","NO")</f>
        <v>NO</v>
      </c>
    </row>
    <row r="4514" spans="3:31" s="260" customFormat="1" x14ac:dyDescent="0.25">
      <c r="C4514" s="84"/>
      <c r="D4514" s="85"/>
      <c r="E4514" s="86"/>
      <c r="F4514" s="86"/>
      <c r="G4514" s="86"/>
      <c r="H4514" s="86"/>
      <c r="I4514" s="86"/>
      <c r="J4514" s="87"/>
      <c r="K4514" s="88"/>
      <c r="M4514" s="102">
        <v>0</v>
      </c>
      <c r="N4514" s="530" t="str">
        <f>IFERROR(VLOOKUP(M4514,INSUMOS!$C$8:$K$928,2,0),"-----")</f>
        <v>-----</v>
      </c>
      <c r="O4514" s="531"/>
      <c r="P4514" s="532"/>
      <c r="Q4514" s="78" t="str">
        <f>IFERROR(VLOOKUP(M4514,INSUMOS!$C$8:$K$928,5,0),"-----")</f>
        <v>-----</v>
      </c>
      <c r="R4514" s="80"/>
      <c r="S4514" s="80" t="str">
        <f>IFERROR(VLOOKUP(M4514,INSUMOS!$C$8:$K$928,6,0),"0")</f>
        <v>0</v>
      </c>
      <c r="T4514" s="529" t="str">
        <f>IFERROR(VLOOKUP(M4514,INSUMOS!$C$8:$K$928,7,0),"0")</f>
        <v>0</v>
      </c>
      <c r="U4514" s="529"/>
      <c r="V4514" s="82">
        <f>+T4514*S4514*R4514</f>
        <v>0</v>
      </c>
      <c r="Y4514" s="393">
        <f>+IFERROR((R4514*S4514)*Y4491,0)</f>
        <v>0</v>
      </c>
      <c r="Z4514" s="391">
        <f>Y4491*V4514</f>
        <v>0</v>
      </c>
      <c r="AA4514" s="86"/>
      <c r="AB4514" s="92">
        <f>+Y4514*T4514</f>
        <v>0</v>
      </c>
      <c r="AC4514" s="93">
        <f>+AB4514-Z4514</f>
        <v>0</v>
      </c>
      <c r="AD4514" s="94"/>
      <c r="AE4514" s="406" t="str">
        <f>+IF(V4514=0,"CERO","NO")</f>
        <v>CERO</v>
      </c>
    </row>
    <row r="4515" spans="3:31" s="260" customFormat="1" x14ac:dyDescent="0.25">
      <c r="C4515" s="84"/>
      <c r="D4515" s="85"/>
      <c r="E4515" s="86"/>
      <c r="F4515" s="86"/>
      <c r="G4515" s="86"/>
      <c r="H4515" s="86"/>
      <c r="I4515" s="86"/>
      <c r="J4515" s="87"/>
      <c r="K4515" s="88"/>
      <c r="M4515" s="102">
        <v>0</v>
      </c>
      <c r="N4515" s="530" t="str">
        <f>IFERROR(VLOOKUP(M4515,INSUMOS!$C$8:$K$928,2,0),"-----")</f>
        <v>-----</v>
      </c>
      <c r="O4515" s="531"/>
      <c r="P4515" s="532"/>
      <c r="Q4515" s="78" t="str">
        <f>IFERROR(VLOOKUP(M4515,INSUMOS!$C$8:$K$928,5,0),"-----")</f>
        <v>-----</v>
      </c>
      <c r="R4515" s="80"/>
      <c r="S4515" s="80" t="str">
        <f>IFERROR(VLOOKUP(M4515,INSUMOS!$C$8:$K$928,6,0),"0")</f>
        <v>0</v>
      </c>
      <c r="T4515" s="529" t="str">
        <f>IFERROR(VLOOKUP(M4515,INSUMOS!$C$8:$K$928,7,0),"0")</f>
        <v>0</v>
      </c>
      <c r="U4515" s="529"/>
      <c r="V4515" s="82">
        <f>+T4515*S4515*R4515</f>
        <v>0</v>
      </c>
      <c r="Y4515" s="393">
        <f>+IFERROR((R4515*S4515)*Y4491,0)</f>
        <v>0</v>
      </c>
      <c r="Z4515" s="391">
        <f>Y4491*V4515</f>
        <v>0</v>
      </c>
      <c r="AA4515" s="86"/>
      <c r="AB4515" s="92">
        <f>+Y4515*T4515</f>
        <v>0</v>
      </c>
      <c r="AC4515" s="93">
        <f>+AB4515-Z4515</f>
        <v>0</v>
      </c>
      <c r="AD4515" s="94"/>
      <c r="AE4515" s="406" t="str">
        <f>+IF(V4515=0,"CERO","NO")</f>
        <v>CERO</v>
      </c>
    </row>
    <row r="4516" spans="3:31" s="260" customFormat="1" ht="15.75" thickBot="1" x14ac:dyDescent="0.3">
      <c r="C4516" s="84"/>
      <c r="D4516" s="89"/>
      <c r="E4516" s="90"/>
      <c r="F4516" s="90"/>
      <c r="G4516" s="90"/>
      <c r="H4516" s="90"/>
      <c r="I4516" s="90"/>
      <c r="J4516" s="91"/>
      <c r="K4516" s="88"/>
      <c r="M4516" s="102">
        <v>0</v>
      </c>
      <c r="N4516" s="533"/>
      <c r="O4516" s="533"/>
      <c r="P4516" s="533"/>
      <c r="Q4516" s="79"/>
      <c r="R4516" s="78"/>
      <c r="S4516" s="81"/>
      <c r="T4516" s="529"/>
      <c r="U4516" s="529"/>
      <c r="V4516" s="82"/>
      <c r="Y4516" s="393">
        <f>+IFERROR((R4516*S4516)*Y4491,0)</f>
        <v>0</v>
      </c>
      <c r="Z4516" s="391">
        <f>Y4491*V4516</f>
        <v>0</v>
      </c>
      <c r="AA4516" s="86"/>
      <c r="AB4516" s="92">
        <f>+Y4516*T4516</f>
        <v>0</v>
      </c>
      <c r="AC4516" s="93">
        <f>+AB4516-Z4516</f>
        <v>0</v>
      </c>
      <c r="AD4516" s="94"/>
      <c r="AE4516" s="406" t="str">
        <f>+IF(V4516=0,"CERO","NO")</f>
        <v>CERO</v>
      </c>
    </row>
    <row r="4517" spans="3:31" s="260" customFormat="1" ht="15.75" thickBot="1" x14ac:dyDescent="0.3">
      <c r="C4517" s="84"/>
      <c r="D4517" s="375" t="s">
        <v>128</v>
      </c>
      <c r="E4517" s="376" t="s">
        <v>129</v>
      </c>
      <c r="F4517" s="376" t="s">
        <v>130</v>
      </c>
      <c r="G4517" s="376" t="s">
        <v>131</v>
      </c>
      <c r="H4517" s="376" t="s">
        <v>132</v>
      </c>
      <c r="I4517" s="376" t="s">
        <v>133</v>
      </c>
      <c r="J4517" s="377" t="s">
        <v>134</v>
      </c>
      <c r="K4517" s="88"/>
      <c r="M4517" s="534"/>
      <c r="N4517" s="536" t="s">
        <v>113</v>
      </c>
      <c r="O4517" s="536"/>
      <c r="P4517" s="536"/>
      <c r="Q4517" s="536"/>
      <c r="R4517" s="536"/>
      <c r="S4517" s="536"/>
      <c r="T4517" s="536"/>
      <c r="U4517" s="536"/>
      <c r="V4517" s="411">
        <f>+SUM(V4513:V4516)</f>
        <v>347.2217399698057</v>
      </c>
      <c r="Y4517" s="398" t="s">
        <v>135</v>
      </c>
      <c r="Z4517" s="397">
        <f>+SUM(Z4513:Z4516)</f>
        <v>4166.6608796376686</v>
      </c>
      <c r="AA4517" s="86"/>
      <c r="AB4517" s="384"/>
      <c r="AC4517" s="385"/>
      <c r="AD4517" s="94"/>
      <c r="AE4517" s="399"/>
    </row>
    <row r="4518" spans="3:31" s="260" customFormat="1" ht="15.75" thickBot="1" x14ac:dyDescent="0.3">
      <c r="C4518" s="84"/>
      <c r="D4518" s="355"/>
      <c r="E4518" s="367"/>
      <c r="F4518" s="412">
        <f>+E4510</f>
        <v>4.1500000000000004</v>
      </c>
      <c r="G4518" s="367"/>
      <c r="H4518" s="367"/>
      <c r="I4518" s="367"/>
      <c r="J4518" s="368"/>
      <c r="K4518" s="88"/>
      <c r="M4518" s="535"/>
      <c r="N4518" s="537" t="s">
        <v>114</v>
      </c>
      <c r="O4518" s="537"/>
      <c r="P4518" s="537"/>
      <c r="Q4518" s="537"/>
      <c r="R4518" s="537"/>
      <c r="S4518" s="537"/>
      <c r="T4518" s="537"/>
      <c r="U4518" s="537"/>
      <c r="V4518" s="413">
        <f>+ROUND(V4517,$AA$5)</f>
        <v>347.22</v>
      </c>
      <c r="Y4518" s="401" t="s">
        <v>136</v>
      </c>
      <c r="Z4518" s="402">
        <f>+ROUND(Z4517,$AA$5)</f>
        <v>4166.66</v>
      </c>
      <c r="AA4518" s="86"/>
      <c r="AB4518" s="403">
        <f>+V4518*Y4491</f>
        <v>4166.6400000000003</v>
      </c>
      <c r="AC4518" s="414"/>
      <c r="AD4518" s="94"/>
      <c r="AE4518" s="405"/>
    </row>
    <row r="4519" spans="3:31" s="260" customFormat="1" ht="15.75" thickBot="1" x14ac:dyDescent="0.3">
      <c r="C4519" s="84"/>
      <c r="D4519" s="415"/>
      <c r="E4519" s="416"/>
      <c r="F4519" s="416"/>
      <c r="G4519" s="416"/>
      <c r="H4519" s="416"/>
      <c r="I4519" s="416"/>
      <c r="J4519" s="417"/>
      <c r="K4519" s="88"/>
      <c r="M4519" s="538" t="s">
        <v>115</v>
      </c>
      <c r="N4519" s="539"/>
      <c r="O4519" s="539"/>
      <c r="P4519" s="539"/>
      <c r="Q4519" s="539"/>
      <c r="R4519" s="539"/>
      <c r="S4519" s="539"/>
      <c r="T4519" s="539"/>
      <c r="U4519" s="539"/>
      <c r="V4519" s="540"/>
      <c r="Y4519" s="378"/>
      <c r="Z4519" s="121"/>
      <c r="AA4519" s="86"/>
      <c r="AB4519" s="409"/>
      <c r="AC4519" s="121"/>
      <c r="AD4519" s="94"/>
      <c r="AE4519" s="126"/>
    </row>
    <row r="4520" spans="3:31" s="260" customFormat="1" ht="15.75" thickBot="1" x14ac:dyDescent="0.3">
      <c r="C4520" s="84"/>
      <c r="D4520" s="375" t="s">
        <v>128</v>
      </c>
      <c r="E4520" s="376" t="s">
        <v>129</v>
      </c>
      <c r="F4520" s="376" t="s">
        <v>130</v>
      </c>
      <c r="G4520" s="376" t="s">
        <v>131</v>
      </c>
      <c r="H4520" s="376" t="s">
        <v>132</v>
      </c>
      <c r="I4520" s="376" t="s">
        <v>133</v>
      </c>
      <c r="J4520" s="377" t="s">
        <v>134</v>
      </c>
      <c r="K4520" s="88"/>
      <c r="M4520" s="99" t="s">
        <v>94</v>
      </c>
      <c r="N4520" s="98" t="s">
        <v>95</v>
      </c>
      <c r="O4520" s="95" t="s">
        <v>96</v>
      </c>
      <c r="P4520" s="359" t="s">
        <v>104</v>
      </c>
      <c r="Q4520" s="95" t="s">
        <v>116</v>
      </c>
      <c r="R4520" s="418" t="s">
        <v>117</v>
      </c>
      <c r="S4520" s="95" t="s">
        <v>347</v>
      </c>
      <c r="T4520" s="419" t="s">
        <v>118</v>
      </c>
      <c r="U4520" s="189" t="s">
        <v>119</v>
      </c>
      <c r="V4520" s="100" t="s">
        <v>98</v>
      </c>
      <c r="Y4520" s="383" t="s">
        <v>104</v>
      </c>
      <c r="Z4520" s="119" t="s">
        <v>9</v>
      </c>
      <c r="AA4520" s="86"/>
      <c r="AB4520" s="384"/>
      <c r="AC4520" s="385"/>
      <c r="AD4520" s="94"/>
      <c r="AE4520" s="410"/>
    </row>
    <row r="4521" spans="3:31" s="260" customFormat="1" ht="25.5" x14ac:dyDescent="0.25">
      <c r="C4521" s="84"/>
      <c r="D4521" s="354"/>
      <c r="E4521" s="96"/>
      <c r="F4521" s="96"/>
      <c r="G4521" s="96"/>
      <c r="H4521" s="96"/>
      <c r="I4521" s="96"/>
      <c r="J4521" s="420">
        <f>+F4518</f>
        <v>4.1500000000000004</v>
      </c>
      <c r="K4521" s="88"/>
      <c r="M4521" s="102">
        <v>207</v>
      </c>
      <c r="N4521" s="347" t="str">
        <f>IFERROR(VLOOKUP(M4521,INSUMOS!$C$8:$K$928,2,0),"-----")</f>
        <v>Oficial Hidrosanitario</v>
      </c>
      <c r="O4521" s="78" t="str">
        <f>IFERROR(VLOOKUP(M4521,INSUMOS!$C$8:$K$928,3,0),"-----")</f>
        <v>JORNAL+PS</v>
      </c>
      <c r="P4521" s="80">
        <v>1</v>
      </c>
      <c r="Q4521" s="79">
        <v>40</v>
      </c>
      <c r="R4521" s="190">
        <f>IFERROR(VLOOKUP(M4521,INSUMOS!$C$8:$K$928,4,0),"-----")</f>
        <v>92983</v>
      </c>
      <c r="S4521" s="190">
        <f>IFERROR(VLOOKUP(M4521,INSUMOS!$C$8:$K$928,6,0),"-----")</f>
        <v>74386</v>
      </c>
      <c r="T4521" s="190">
        <f>IFERROR(VLOOKUP(M4521,INSUMOS!$C$8:$K$928,5,0),"-----")</f>
        <v>0</v>
      </c>
      <c r="U4521" s="388">
        <f>SUM(R4521:T4521)</f>
        <v>167369</v>
      </c>
      <c r="V4521" s="82">
        <f>+IFERROR((P4521/Q4521)*U4521,0)</f>
        <v>4184.2250000000004</v>
      </c>
      <c r="Y4521" s="393">
        <f>+IFERROR((Y4491/Q4521*P4521),0)</f>
        <v>0.3</v>
      </c>
      <c r="Z4521" s="391">
        <f>Y4491*V4521</f>
        <v>50210.700000000004</v>
      </c>
      <c r="AA4521" s="86"/>
      <c r="AB4521" s="92">
        <f>+(U4521)*Y4521</f>
        <v>50210.7</v>
      </c>
      <c r="AC4521" s="93">
        <f>+AB4521-Z4521</f>
        <v>0</v>
      </c>
      <c r="AD4521" s="421"/>
      <c r="AE4521" s="410" t="str">
        <f>+IF(V4521=0,"CERO","NO")</f>
        <v>NO</v>
      </c>
    </row>
    <row r="4522" spans="3:31" s="260" customFormat="1" ht="15.75" thickBot="1" x14ac:dyDescent="0.3">
      <c r="C4522" s="84"/>
      <c r="D4522" s="355"/>
      <c r="E4522" s="367"/>
      <c r="F4522" s="367"/>
      <c r="G4522" s="367"/>
      <c r="H4522" s="367"/>
      <c r="I4522" s="367"/>
      <c r="J4522" s="422">
        <f>+J4521</f>
        <v>4.1500000000000004</v>
      </c>
      <c r="K4522" s="88"/>
      <c r="M4522" s="102"/>
      <c r="N4522" s="347" t="str">
        <f>IFERROR(VLOOKUP(M4522,INSUMOS!$C$8:$K$928,2,0),"-----")</f>
        <v>-----</v>
      </c>
      <c r="O4522" s="78" t="str">
        <f>IFERROR(VLOOKUP(M4522,INSUMOS!$C$8:$K$928,3,0),"-----")</f>
        <v>-----</v>
      </c>
      <c r="P4522" s="80"/>
      <c r="Q4522" s="79"/>
      <c r="R4522" s="190" t="str">
        <f>IFERROR(VLOOKUP(M4522,INSUMOS!$C$8:$K$928,4,0),"-----")</f>
        <v>-----</v>
      </c>
      <c r="S4522" s="190" t="str">
        <f>IFERROR(VLOOKUP(M4522,INSUMOS!$C$8:$K$928,6,0),"-----")</f>
        <v>-----</v>
      </c>
      <c r="T4522" s="190" t="str">
        <f>IFERROR(VLOOKUP(M4522,INSUMOS!$C$8:$K$928,5,0),"-----")</f>
        <v>-----</v>
      </c>
      <c r="U4522" s="388">
        <f>SUM(R4522:T4522)</f>
        <v>0</v>
      </c>
      <c r="V4522" s="82">
        <f>+IFERROR((P4522/Q4522)*U4522,0)</f>
        <v>0</v>
      </c>
      <c r="Y4522" s="393">
        <f>+IFERROR((Y4491/Q4522*P4522),0)</f>
        <v>0</v>
      </c>
      <c r="Z4522" s="391">
        <f>Y4491*V4522</f>
        <v>0</v>
      </c>
      <c r="AA4522" s="86"/>
      <c r="AB4522" s="92">
        <f>+U4522*Y4522</f>
        <v>0</v>
      </c>
      <c r="AC4522" s="93">
        <f>+AB4522-Z4522</f>
        <v>0</v>
      </c>
      <c r="AD4522" s="94"/>
      <c r="AE4522" s="410" t="str">
        <f>+IF(V4522=0,"CERO","NO")</f>
        <v>CERO</v>
      </c>
    </row>
    <row r="4523" spans="3:31" s="260" customFormat="1" ht="15.75" thickBot="1" x14ac:dyDescent="0.3">
      <c r="C4523" s="84"/>
      <c r="D4523" s="380"/>
      <c r="E4523" s="381"/>
      <c r="F4523" s="381"/>
      <c r="G4523" s="381"/>
      <c r="H4523" s="381"/>
      <c r="I4523" s="381"/>
      <c r="J4523" s="382"/>
      <c r="K4523" s="88"/>
      <c r="M4523" s="102">
        <v>0</v>
      </c>
      <c r="N4523" s="347"/>
      <c r="O4523" s="79"/>
      <c r="P4523" s="423"/>
      <c r="Q4523" s="81"/>
      <c r="R4523" s="111"/>
      <c r="S4523" s="357"/>
      <c r="T4523" s="111"/>
      <c r="U4523" s="388"/>
      <c r="V4523" s="426"/>
      <c r="Y4523" s="393">
        <f>+IFERROR((Y4491/Q4523*P4523),0)</f>
        <v>0</v>
      </c>
      <c r="Z4523" s="391">
        <f>Y4491*V4523</f>
        <v>0</v>
      </c>
      <c r="AA4523" s="86"/>
      <c r="AB4523" s="92">
        <f>+(U4523)*Y4523*P4523</f>
        <v>0</v>
      </c>
      <c r="AC4523" s="93">
        <f>+AB4523-Z4523</f>
        <v>0</v>
      </c>
      <c r="AD4523" s="94"/>
      <c r="AE4523" s="410" t="str">
        <f>+IF(V4523=0,"CERO","NO")</f>
        <v>CERO</v>
      </c>
    </row>
    <row r="4524" spans="3:31" s="260" customFormat="1" ht="15.75" thickBot="1" x14ac:dyDescent="0.3">
      <c r="C4524" s="84"/>
      <c r="D4524" s="375" t="s">
        <v>128</v>
      </c>
      <c r="E4524" s="376" t="s">
        <v>129</v>
      </c>
      <c r="F4524" s="376" t="s">
        <v>130</v>
      </c>
      <c r="G4524" s="376" t="s">
        <v>131</v>
      </c>
      <c r="H4524" s="376" t="s">
        <v>132</v>
      </c>
      <c r="I4524" s="376" t="s">
        <v>133</v>
      </c>
      <c r="J4524" s="377" t="s">
        <v>134</v>
      </c>
      <c r="K4524" s="88"/>
      <c r="M4524" s="534"/>
      <c r="N4524" s="536" t="s">
        <v>120</v>
      </c>
      <c r="O4524" s="536"/>
      <c r="P4524" s="536"/>
      <c r="Q4524" s="536"/>
      <c r="R4524" s="536"/>
      <c r="S4524" s="536"/>
      <c r="T4524" s="536"/>
      <c r="U4524" s="536"/>
      <c r="V4524" s="82">
        <f>+SUM(V4521:V4523)</f>
        <v>4184.2250000000004</v>
      </c>
      <c r="Y4524" s="398" t="s">
        <v>135</v>
      </c>
      <c r="Z4524" s="397">
        <f>+SUM(Z4521:Z4523)</f>
        <v>50210.700000000004</v>
      </c>
      <c r="AA4524" s="86"/>
      <c r="AB4524" s="384"/>
      <c r="AC4524" s="385"/>
      <c r="AD4524" s="94"/>
      <c r="AE4524" s="399"/>
    </row>
    <row r="4525" spans="3:31" s="260" customFormat="1" ht="15.75" thickBot="1" x14ac:dyDescent="0.3">
      <c r="C4525" s="84"/>
      <c r="D4525" s="354"/>
      <c r="E4525" s="96"/>
      <c r="F4525" s="96"/>
      <c r="G4525" s="107">
        <f>+F4518</f>
        <v>4.1500000000000004</v>
      </c>
      <c r="H4525" s="96"/>
      <c r="I4525" s="96"/>
      <c r="J4525" s="427"/>
      <c r="K4525" s="88"/>
      <c r="M4525" s="535"/>
      <c r="N4525" s="537" t="s">
        <v>121</v>
      </c>
      <c r="O4525" s="537"/>
      <c r="P4525" s="537"/>
      <c r="Q4525" s="537"/>
      <c r="R4525" s="537"/>
      <c r="S4525" s="537"/>
      <c r="T4525" s="537"/>
      <c r="U4525" s="537"/>
      <c r="V4525" s="413">
        <f>+ROUND(V4524,$AA$5)</f>
        <v>4184.2299999999996</v>
      </c>
      <c r="Y4525" s="401" t="s">
        <v>136</v>
      </c>
      <c r="Z4525" s="402">
        <f>+ROUND(Z4524,$AA$5)</f>
        <v>50210.7</v>
      </c>
      <c r="AA4525" s="86"/>
      <c r="AB4525" s="403">
        <f>+V4525*Y4491</f>
        <v>50210.759999999995</v>
      </c>
      <c r="AC4525" s="404">
        <f>+AB4525-Z4525</f>
        <v>5.9999999997671694E-2</v>
      </c>
      <c r="AD4525" s="94"/>
      <c r="AE4525" s="405"/>
    </row>
    <row r="4526" spans="3:31" s="260" customFormat="1" ht="15.75" thickBot="1" x14ac:dyDescent="0.3">
      <c r="C4526" s="84"/>
      <c r="D4526" s="375" t="s">
        <v>128</v>
      </c>
      <c r="E4526" s="376" t="s">
        <v>129</v>
      </c>
      <c r="F4526" s="376" t="s">
        <v>130</v>
      </c>
      <c r="G4526" s="376" t="s">
        <v>131</v>
      </c>
      <c r="H4526" s="376" t="s">
        <v>132</v>
      </c>
      <c r="I4526" s="376" t="s">
        <v>133</v>
      </c>
      <c r="J4526" s="377" t="s">
        <v>134</v>
      </c>
      <c r="K4526" s="88"/>
      <c r="M4526" s="541"/>
      <c r="N4526" s="542"/>
      <c r="O4526" s="542"/>
      <c r="P4526" s="542"/>
      <c r="Q4526" s="542"/>
      <c r="R4526" s="542"/>
      <c r="S4526" s="542"/>
      <c r="T4526" s="542"/>
      <c r="U4526" s="542"/>
      <c r="V4526" s="543"/>
      <c r="Y4526" s="378"/>
      <c r="Z4526" s="121"/>
      <c r="AA4526" s="86"/>
      <c r="AB4526" s="409"/>
      <c r="AC4526" s="121"/>
      <c r="AD4526" s="94"/>
      <c r="AE4526" s="428"/>
    </row>
    <row r="4527" spans="3:31" s="260" customFormat="1" ht="15.75" thickBot="1" x14ac:dyDescent="0.3">
      <c r="C4527" s="84"/>
      <c r="D4527" s="355"/>
      <c r="E4527" s="367"/>
      <c r="F4527" s="367"/>
      <c r="G4527" s="367"/>
      <c r="H4527" s="412">
        <f>G4525</f>
        <v>4.1500000000000004</v>
      </c>
      <c r="I4527" s="412"/>
      <c r="J4527" s="422"/>
      <c r="K4527" s="88"/>
      <c r="M4527" s="544" t="s">
        <v>122</v>
      </c>
      <c r="N4527" s="537"/>
      <c r="O4527" s="537"/>
      <c r="P4527" s="537"/>
      <c r="Q4527" s="537"/>
      <c r="R4527" s="537"/>
      <c r="S4527" s="537"/>
      <c r="T4527" s="537"/>
      <c r="U4527" s="545">
        <f>+V4525+V4518+V4510+V4501</f>
        <v>17079.98</v>
      </c>
      <c r="V4527" s="546"/>
      <c r="Y4527" s="429"/>
      <c r="Z4527" s="430">
        <f>+Z4525+Z4518+Z4510+Z4501</f>
        <v>204959.69999999998</v>
      </c>
      <c r="AA4527" s="86"/>
      <c r="AB4527" s="431">
        <f>+AB4525+AB4518+AB4510+AB4501</f>
        <v>204959.75999999998</v>
      </c>
      <c r="AC4527" s="404">
        <f>+AB4527-Z4527</f>
        <v>5.9999999997671694E-2</v>
      </c>
      <c r="AD4527" s="94"/>
      <c r="AE4527" s="432"/>
    </row>
    <row r="4528" spans="3:31" s="260" customFormat="1" ht="15.75" thickBot="1" x14ac:dyDescent="0.3"/>
    <row r="4529" spans="3:31" s="260" customFormat="1" x14ac:dyDescent="0.25">
      <c r="M4529" s="547" t="s">
        <v>348</v>
      </c>
      <c r="N4529" s="548"/>
      <c r="O4529" s="548"/>
      <c r="P4529" s="548"/>
      <c r="Q4529" s="548"/>
      <c r="R4529" s="548"/>
      <c r="S4529" s="548"/>
      <c r="T4529" s="548"/>
      <c r="U4529" s="548"/>
      <c r="V4529" s="549"/>
      <c r="Y4529" s="378"/>
      <c r="Z4529" s="121"/>
      <c r="AA4529" s="86"/>
      <c r="AB4529" s="94"/>
      <c r="AC4529" s="94"/>
      <c r="AD4529" s="94"/>
      <c r="AE4529" s="126" t="s">
        <v>133</v>
      </c>
    </row>
    <row r="4530" spans="3:31" s="260" customFormat="1" x14ac:dyDescent="0.25">
      <c r="M4530" s="515" t="s">
        <v>138</v>
      </c>
      <c r="N4530" s="516"/>
      <c r="O4530" s="516"/>
      <c r="P4530" s="516"/>
      <c r="Q4530" s="516"/>
      <c r="R4530" s="516"/>
      <c r="S4530" s="516"/>
      <c r="T4530" s="437">
        <v>0</v>
      </c>
      <c r="U4530" s="517">
        <f>+ROUND(U4527*T4530,$AA$5)</f>
        <v>0</v>
      </c>
      <c r="V4530" s="518"/>
      <c r="Y4530" s="390"/>
      <c r="Z4530" s="438">
        <f>+Z4527*T4530</f>
        <v>0</v>
      </c>
      <c r="AA4530" s="86"/>
      <c r="AB4530" s="94"/>
      <c r="AC4530" s="94"/>
      <c r="AD4530" s="94"/>
      <c r="AE4530" s="386" t="s">
        <v>133</v>
      </c>
    </row>
    <row r="4531" spans="3:31" s="260" customFormat="1" x14ac:dyDescent="0.25">
      <c r="M4531" s="515" t="s">
        <v>19</v>
      </c>
      <c r="N4531" s="516"/>
      <c r="O4531" s="516"/>
      <c r="P4531" s="516"/>
      <c r="Q4531" s="516"/>
      <c r="R4531" s="516"/>
      <c r="S4531" s="516"/>
      <c r="T4531" s="437">
        <v>0.05</v>
      </c>
      <c r="U4531" s="517">
        <f>+ROUND(U4527*T4531,$AA$5)</f>
        <v>854</v>
      </c>
      <c r="V4531" s="518"/>
      <c r="Y4531" s="390"/>
      <c r="Z4531" s="438">
        <f>+Z4527*T4531</f>
        <v>10247.985000000001</v>
      </c>
      <c r="AA4531" s="86"/>
      <c r="AB4531" s="94"/>
      <c r="AC4531" s="94"/>
      <c r="AD4531" s="94"/>
      <c r="AE4531" s="386" t="s">
        <v>133</v>
      </c>
    </row>
    <row r="4532" spans="3:31" s="260" customFormat="1" x14ac:dyDescent="0.25">
      <c r="M4532" s="515" t="s">
        <v>20</v>
      </c>
      <c r="N4532" s="516"/>
      <c r="O4532" s="516"/>
      <c r="P4532" s="516"/>
      <c r="Q4532" s="516"/>
      <c r="R4532" s="516"/>
      <c r="S4532" s="516"/>
      <c r="T4532" s="437">
        <v>0</v>
      </c>
      <c r="U4532" s="517">
        <f>+ROUND(U4527*T4532,$AA$5)</f>
        <v>0</v>
      </c>
      <c r="V4532" s="518"/>
      <c r="Y4532" s="390"/>
      <c r="Z4532" s="438">
        <f>+Z4527*T4532</f>
        <v>0</v>
      </c>
      <c r="AA4532" s="86"/>
      <c r="AB4532" s="94"/>
      <c r="AC4532" s="94"/>
      <c r="AD4532" s="94"/>
      <c r="AE4532" s="386" t="s">
        <v>133</v>
      </c>
    </row>
    <row r="4533" spans="3:31" s="260" customFormat="1" x14ac:dyDescent="0.25">
      <c r="M4533" s="515" t="s">
        <v>21</v>
      </c>
      <c r="N4533" s="516"/>
      <c r="O4533" s="516"/>
      <c r="P4533" s="516"/>
      <c r="Q4533" s="516"/>
      <c r="R4533" s="516"/>
      <c r="S4533" s="516"/>
      <c r="T4533" s="437">
        <f>$AA$9</f>
        <v>0</v>
      </c>
      <c r="U4533" s="517">
        <f>+ROUND(U4527*T4533,$AA$5)</f>
        <v>0</v>
      </c>
      <c r="V4533" s="518"/>
      <c r="Y4533" s="390"/>
      <c r="Z4533" s="438">
        <f>+Z4532*T4533</f>
        <v>0</v>
      </c>
      <c r="AA4533" s="86"/>
      <c r="AB4533" s="94"/>
      <c r="AC4533" s="94"/>
      <c r="AD4533" s="94"/>
      <c r="AE4533" s="386" t="s">
        <v>133</v>
      </c>
    </row>
    <row r="4534" spans="3:31" s="260" customFormat="1" ht="15.75" thickBot="1" x14ac:dyDescent="0.3">
      <c r="M4534" s="519" t="s">
        <v>349</v>
      </c>
      <c r="N4534" s="520"/>
      <c r="O4534" s="520"/>
      <c r="P4534" s="520"/>
      <c r="Q4534" s="520"/>
      <c r="R4534" s="520"/>
      <c r="S4534" s="520"/>
      <c r="T4534" s="520"/>
      <c r="U4534" s="521">
        <f>+SUM(U4530:V4533)</f>
        <v>854</v>
      </c>
      <c r="V4534" s="522"/>
      <c r="Y4534" s="390"/>
      <c r="Z4534" s="439">
        <f>+SUM(Z4530:Z4533)</f>
        <v>10247.985000000001</v>
      </c>
      <c r="AA4534" s="86"/>
      <c r="AB4534" s="94"/>
      <c r="AC4534" s="94"/>
      <c r="AD4534" s="94"/>
      <c r="AE4534" s="386" t="s">
        <v>133</v>
      </c>
    </row>
    <row r="4535" spans="3:31" s="260" customFormat="1" ht="15.75" thickBot="1" x14ac:dyDescent="0.3">
      <c r="D4535" s="375" t="s">
        <v>128</v>
      </c>
      <c r="E4535" s="376" t="s">
        <v>129</v>
      </c>
      <c r="F4535" s="376" t="s">
        <v>130</v>
      </c>
      <c r="G4535" s="376" t="s">
        <v>131</v>
      </c>
      <c r="H4535" s="376" t="s">
        <v>132</v>
      </c>
      <c r="I4535" s="376" t="s">
        <v>133</v>
      </c>
      <c r="J4535" s="377" t="s">
        <v>134</v>
      </c>
      <c r="M4535" s="86"/>
      <c r="N4535" s="94"/>
      <c r="O4535" s="94"/>
      <c r="P4535" s="94"/>
      <c r="Q4535" s="86"/>
      <c r="R4535" s="86"/>
      <c r="S4535" s="86"/>
      <c r="T4535" s="440"/>
      <c r="U4535" s="523"/>
      <c r="V4535" s="523"/>
      <c r="Y4535" s="390"/>
      <c r="Z4535" s="385"/>
      <c r="AA4535" s="86"/>
      <c r="AB4535" s="94"/>
      <c r="AC4535" s="94"/>
      <c r="AD4535" s="94"/>
      <c r="AE4535" s="386" t="s">
        <v>133</v>
      </c>
    </row>
    <row r="4536" spans="3:31" s="260" customFormat="1" ht="15.75" thickBot="1" x14ac:dyDescent="0.3">
      <c r="D4536" s="355"/>
      <c r="E4536" s="367"/>
      <c r="F4536" s="367"/>
      <c r="G4536" s="367"/>
      <c r="H4536" s="412"/>
      <c r="I4536" s="412">
        <f>H4527</f>
        <v>4.1500000000000004</v>
      </c>
      <c r="J4536" s="422"/>
      <c r="M4536" s="524" t="s">
        <v>11</v>
      </c>
      <c r="N4536" s="525"/>
      <c r="O4536" s="525"/>
      <c r="P4536" s="525"/>
      <c r="Q4536" s="525"/>
      <c r="R4536" s="525"/>
      <c r="S4536" s="525"/>
      <c r="T4536" s="526"/>
      <c r="U4536" s="527">
        <f>+U4534+U4527</f>
        <v>17933.98</v>
      </c>
      <c r="V4536" s="528"/>
      <c r="Y4536" s="429"/>
      <c r="Z4536" s="441">
        <f>+Z4534+Z4527</f>
        <v>215207.685</v>
      </c>
      <c r="AA4536" s="86"/>
      <c r="AB4536" s="94"/>
      <c r="AC4536" s="94"/>
      <c r="AD4536" s="94"/>
      <c r="AE4536" s="405" t="s">
        <v>133</v>
      </c>
    </row>
    <row r="4537" spans="3:31" s="260" customFormat="1" x14ac:dyDescent="0.25"/>
    <row r="4538" spans="3:31" s="260" customFormat="1" ht="15.75" thickBot="1" x14ac:dyDescent="0.3"/>
    <row r="4539" spans="3:31" s="260" customFormat="1" ht="15.75" thickBot="1" x14ac:dyDescent="0.3">
      <c r="M4539" s="363" t="s">
        <v>88</v>
      </c>
      <c r="N4539" s="436" t="str">
        <f>+N4490</f>
        <v>CAP.4</v>
      </c>
      <c r="O4539" s="550" t="str">
        <f>IFERROR(VLOOKUP(N4539,PPTO!C:H,2,0),"----")</f>
        <v>RED SANITARIA</v>
      </c>
      <c r="P4539" s="551"/>
      <c r="Q4539" s="551"/>
      <c r="R4539" s="551"/>
      <c r="S4539" s="551"/>
      <c r="T4539" s="551"/>
      <c r="U4539" s="552"/>
      <c r="V4539" s="74" t="s">
        <v>91</v>
      </c>
      <c r="Y4539" s="365" t="s">
        <v>104</v>
      </c>
      <c r="Z4539" s="94"/>
      <c r="AA4539" s="188"/>
      <c r="AB4539" s="553"/>
      <c r="AC4539" s="553"/>
      <c r="AD4539" s="553"/>
      <c r="AE4539" s="94"/>
    </row>
    <row r="4540" spans="3:31" s="260" customFormat="1" ht="15.75" thickBot="1" x14ac:dyDescent="0.3">
      <c r="C4540" s="369">
        <f>+N4540</f>
        <v>4.16</v>
      </c>
      <c r="D4540" s="86"/>
      <c r="E4540" s="86"/>
      <c r="F4540" s="86"/>
      <c r="G4540" s="86"/>
      <c r="H4540" s="86"/>
      <c r="I4540" s="86"/>
      <c r="J4540" s="86"/>
      <c r="K4540" s="370"/>
      <c r="M4540" s="75" t="s">
        <v>92</v>
      </c>
      <c r="N4540" s="371">
        <f>+ROUNDUP(N4491+0.01,2)</f>
        <v>4.16</v>
      </c>
      <c r="O4540" s="554" t="str">
        <f>IFERROR(VLOOKUP(N4540,PPTO!C:H,2,0),"----")</f>
        <v>Tee Ventilacion PVC Ø2"</v>
      </c>
      <c r="P4540" s="555"/>
      <c r="Q4540" s="555"/>
      <c r="R4540" s="555"/>
      <c r="S4540" s="555"/>
      <c r="T4540" s="555"/>
      <c r="U4540" s="556"/>
      <c r="V4540" s="76" t="str">
        <f>IFERROR(VLOOKUP(N4540,PPTO!C:H,3,0),"----")</f>
        <v>UND</v>
      </c>
      <c r="Y4540" s="373">
        <f>SUMIFS(PPTO!F:F,PPTO!C:C,APUS!N4540)</f>
        <v>11</v>
      </c>
      <c r="Z4540" s="94"/>
      <c r="AA4540" s="86"/>
      <c r="AB4540" s="94"/>
      <c r="AC4540" s="94"/>
      <c r="AD4540" s="94"/>
      <c r="AE4540" s="94"/>
    </row>
    <row r="4541" spans="3:31" s="260" customFormat="1" ht="15.75" thickBot="1" x14ac:dyDescent="0.3">
      <c r="C4541" s="84"/>
      <c r="D4541" s="86"/>
      <c r="E4541" s="86"/>
      <c r="F4541" s="86"/>
      <c r="G4541" s="86"/>
      <c r="H4541" s="86"/>
      <c r="I4541" s="86"/>
      <c r="J4541" s="86"/>
      <c r="K4541" s="88"/>
      <c r="M4541" s="557"/>
      <c r="N4541" s="557"/>
      <c r="O4541" s="557"/>
      <c r="P4541" s="557"/>
      <c r="Q4541" s="557"/>
      <c r="R4541" s="557"/>
      <c r="S4541" s="557"/>
      <c r="T4541" s="557"/>
      <c r="U4541" s="557"/>
      <c r="V4541" s="557"/>
      <c r="Y4541" s="374"/>
      <c r="Z4541" s="94"/>
      <c r="AA4541" s="86"/>
      <c r="AB4541" s="94"/>
      <c r="AC4541" s="94"/>
      <c r="AD4541" s="94"/>
      <c r="AE4541" s="94"/>
    </row>
    <row r="4542" spans="3:31" s="260" customFormat="1" ht="15.75" thickBot="1" x14ac:dyDescent="0.3">
      <c r="C4542" s="84"/>
      <c r="D4542" s="375" t="s">
        <v>128</v>
      </c>
      <c r="E4542" s="376" t="s">
        <v>129</v>
      </c>
      <c r="F4542" s="376" t="s">
        <v>130</v>
      </c>
      <c r="G4542" s="376" t="s">
        <v>131</v>
      </c>
      <c r="H4542" s="376" t="s">
        <v>132</v>
      </c>
      <c r="I4542" s="376" t="s">
        <v>133</v>
      </c>
      <c r="J4542" s="377" t="s">
        <v>134</v>
      </c>
      <c r="K4542" s="88"/>
      <c r="M4542" s="558" t="s">
        <v>93</v>
      </c>
      <c r="N4542" s="559"/>
      <c r="O4542" s="559"/>
      <c r="P4542" s="559"/>
      <c r="Q4542" s="559"/>
      <c r="R4542" s="559"/>
      <c r="S4542" s="559"/>
      <c r="T4542" s="559"/>
      <c r="U4542" s="559"/>
      <c r="V4542" s="560"/>
      <c r="Y4542" s="378"/>
      <c r="Z4542" s="121"/>
      <c r="AA4542" s="86"/>
      <c r="AB4542" s="513"/>
      <c r="AC4542" s="514"/>
      <c r="AD4542" s="94"/>
      <c r="AE4542" s="379"/>
    </row>
    <row r="4543" spans="3:31" s="260" customFormat="1" x14ac:dyDescent="0.25">
      <c r="C4543" s="84"/>
      <c r="D4543" s="380"/>
      <c r="E4543" s="381"/>
      <c r="F4543" s="381"/>
      <c r="G4543" s="381"/>
      <c r="H4543" s="381"/>
      <c r="I4543" s="381"/>
      <c r="J4543" s="382"/>
      <c r="K4543" s="88"/>
      <c r="M4543" s="99" t="s">
        <v>94</v>
      </c>
      <c r="N4543" s="561" t="s">
        <v>95</v>
      </c>
      <c r="O4543" s="561"/>
      <c r="P4543" s="561"/>
      <c r="Q4543" s="561"/>
      <c r="R4543" s="95" t="s">
        <v>96</v>
      </c>
      <c r="S4543" s="95" t="s">
        <v>97</v>
      </c>
      <c r="T4543" s="562" t="s">
        <v>8</v>
      </c>
      <c r="U4543" s="562"/>
      <c r="V4543" s="100" t="s">
        <v>98</v>
      </c>
      <c r="Y4543" s="383" t="s">
        <v>104</v>
      </c>
      <c r="Z4543" s="119" t="s">
        <v>9</v>
      </c>
      <c r="AA4543" s="86"/>
      <c r="AB4543" s="384"/>
      <c r="AC4543" s="385"/>
      <c r="AD4543" s="94"/>
      <c r="AE4543" s="386"/>
    </row>
    <row r="4544" spans="3:31" s="260" customFormat="1" x14ac:dyDescent="0.25">
      <c r="C4544" s="84"/>
      <c r="D4544" s="85"/>
      <c r="E4544" s="86"/>
      <c r="F4544" s="86"/>
      <c r="G4544" s="86"/>
      <c r="H4544" s="86"/>
      <c r="I4544" s="86"/>
      <c r="J4544" s="87"/>
      <c r="K4544" s="88"/>
      <c r="M4544" s="102"/>
      <c r="N4544" s="533" t="s">
        <v>99</v>
      </c>
      <c r="O4544" s="533"/>
      <c r="P4544" s="533"/>
      <c r="Q4544" s="533"/>
      <c r="R4544" s="78" t="s">
        <v>100</v>
      </c>
      <c r="S4544" s="387">
        <f>+$AA$10</f>
        <v>0.05</v>
      </c>
      <c r="T4544" s="563">
        <f>V4574</f>
        <v>4184.2299999999996</v>
      </c>
      <c r="U4544" s="563"/>
      <c r="V4544" s="389">
        <f>+IFERROR(T4544*S4544,0)</f>
        <v>209.2115</v>
      </c>
      <c r="Y4544" s="390"/>
      <c r="Z4544" s="391">
        <f>Y4540*V4544</f>
        <v>2301.3265000000001</v>
      </c>
      <c r="AA4544" s="86"/>
      <c r="AB4544" s="384"/>
      <c r="AC4544" s="385"/>
      <c r="AD4544" s="94"/>
      <c r="AE4544" s="386" t="str">
        <f>+IF(V4544=0,"CERO","NO")</f>
        <v>NO</v>
      </c>
    </row>
    <row r="4545" spans="3:31" s="260" customFormat="1" x14ac:dyDescent="0.25">
      <c r="C4545" s="84"/>
      <c r="D4545" s="85"/>
      <c r="E4545" s="86"/>
      <c r="F4545" s="86"/>
      <c r="G4545" s="86"/>
      <c r="H4545" s="86"/>
      <c r="I4545" s="86"/>
      <c r="J4545" s="87"/>
      <c r="K4545" s="88"/>
      <c r="M4545" s="106"/>
      <c r="N4545" s="533" t="str">
        <f>IFERROR(VLOOKUP(M4545,INSUMOS!$C$8:$K$928,2,0),"-----")</f>
        <v>-----</v>
      </c>
      <c r="O4545" s="533"/>
      <c r="P4545" s="533"/>
      <c r="Q4545" s="533"/>
      <c r="R4545" s="78" t="str">
        <f>IFERROR(VLOOKUP(M4545,INSUMOS!$C$8:$K$928,6,0),"-----")</f>
        <v>-----</v>
      </c>
      <c r="S4545" s="392"/>
      <c r="T4545" s="529" t="str">
        <f>IFERROR(VLOOKUP(M4545,INSUMOS!$C$8:$K$928,7,0),"0")</f>
        <v>0</v>
      </c>
      <c r="U4545" s="529"/>
      <c r="V4545" s="389">
        <f>+IFERROR(T4545*S4545,0)</f>
        <v>0</v>
      </c>
      <c r="Y4545" s="393">
        <f>+IFERROR(Y4540*S4545,0)</f>
        <v>0</v>
      </c>
      <c r="Z4545" s="391">
        <f>Y4540*V4545</f>
        <v>0</v>
      </c>
      <c r="AA4545" s="394"/>
      <c r="AB4545" s="395">
        <f>+Y4545*T4545</f>
        <v>0</v>
      </c>
      <c r="AC4545" s="93">
        <f>+AB4545-Z4545</f>
        <v>0</v>
      </c>
      <c r="AD4545" s="94"/>
      <c r="AE4545" s="386" t="str">
        <f>+IF(V4545=0,"CERO","NO")</f>
        <v>CERO</v>
      </c>
    </row>
    <row r="4546" spans="3:31" s="260" customFormat="1" x14ac:dyDescent="0.25">
      <c r="C4546" s="84"/>
      <c r="D4546" s="85"/>
      <c r="E4546" s="86"/>
      <c r="F4546" s="86"/>
      <c r="G4546" s="86"/>
      <c r="H4546" s="86"/>
      <c r="I4546" s="86"/>
      <c r="J4546" s="87"/>
      <c r="K4546" s="88"/>
      <c r="M4546" s="102">
        <v>0</v>
      </c>
      <c r="N4546" s="533"/>
      <c r="O4546" s="533"/>
      <c r="P4546" s="533"/>
      <c r="Q4546" s="533"/>
      <c r="R4546" s="78"/>
      <c r="S4546" s="396"/>
      <c r="T4546" s="529"/>
      <c r="U4546" s="529"/>
      <c r="V4546" s="397"/>
      <c r="Y4546" s="393">
        <f>+IFERROR(Y4540*S4546,0)</f>
        <v>0</v>
      </c>
      <c r="Z4546" s="391">
        <f>Y4540*V4546</f>
        <v>0</v>
      </c>
      <c r="AA4546" s="394"/>
      <c r="AB4546" s="395">
        <f>+Y4546*T4546</f>
        <v>0</v>
      </c>
      <c r="AC4546" s="93">
        <f>+AB4546-Z4546</f>
        <v>0</v>
      </c>
      <c r="AD4546" s="94"/>
      <c r="AE4546" s="386" t="str">
        <f>+IF(V4546=0,"CERO","NO")</f>
        <v>CERO</v>
      </c>
    </row>
    <row r="4547" spans="3:31" s="260" customFormat="1" x14ac:dyDescent="0.25">
      <c r="C4547" s="84"/>
      <c r="D4547" s="85"/>
      <c r="E4547" s="86"/>
      <c r="F4547" s="86"/>
      <c r="G4547" s="86"/>
      <c r="H4547" s="86"/>
      <c r="I4547" s="86"/>
      <c r="J4547" s="87"/>
      <c r="K4547" s="88"/>
      <c r="M4547" s="102">
        <v>0</v>
      </c>
      <c r="N4547" s="533"/>
      <c r="O4547" s="533"/>
      <c r="P4547" s="533"/>
      <c r="Q4547" s="533"/>
      <c r="R4547" s="78"/>
      <c r="S4547" s="396"/>
      <c r="T4547" s="529"/>
      <c r="U4547" s="529"/>
      <c r="V4547" s="397"/>
      <c r="Y4547" s="393">
        <f>+IFERROR(Y4540*S4547,0)</f>
        <v>0</v>
      </c>
      <c r="Z4547" s="391">
        <f>Y4540*V4547</f>
        <v>0</v>
      </c>
      <c r="AA4547" s="394"/>
      <c r="AB4547" s="395">
        <f>+Y4547*T4547</f>
        <v>0</v>
      </c>
      <c r="AC4547" s="93">
        <f>+AB4547-Z4547</f>
        <v>0</v>
      </c>
      <c r="AD4547" s="94"/>
      <c r="AE4547" s="386" t="str">
        <f>+IF(V4547=0,"CERO","NO")</f>
        <v>CERO</v>
      </c>
    </row>
    <row r="4548" spans="3:31" s="260" customFormat="1" ht="15.75" thickBot="1" x14ac:dyDescent="0.3">
      <c r="C4548" s="84"/>
      <c r="D4548" s="85"/>
      <c r="E4548" s="86"/>
      <c r="F4548" s="86"/>
      <c r="G4548" s="86"/>
      <c r="H4548" s="86"/>
      <c r="I4548" s="86"/>
      <c r="J4548" s="87"/>
      <c r="K4548" s="88"/>
      <c r="M4548" s="102">
        <v>0</v>
      </c>
      <c r="N4548" s="564"/>
      <c r="O4548" s="564"/>
      <c r="P4548" s="564"/>
      <c r="Q4548" s="564"/>
      <c r="R4548" s="96"/>
      <c r="S4548" s="96"/>
      <c r="T4548" s="565"/>
      <c r="U4548" s="565"/>
      <c r="V4548" s="101"/>
      <c r="Y4548" s="393">
        <f>+IFERROR(Y4540*S4548,0)</f>
        <v>0</v>
      </c>
      <c r="Z4548" s="391">
        <f>Y4540*V4548</f>
        <v>0</v>
      </c>
      <c r="AA4548" s="394"/>
      <c r="AB4548" s="395">
        <f>+Y4548*T4548</f>
        <v>0</v>
      </c>
      <c r="AC4548" s="93">
        <f>+AB4548-Z4548</f>
        <v>0</v>
      </c>
      <c r="AD4548" s="94"/>
      <c r="AE4548" s="386" t="str">
        <f>+IF(V4548=0,"CERO","NO")</f>
        <v>CERO</v>
      </c>
    </row>
    <row r="4549" spans="3:31" s="260" customFormat="1" ht="15.75" thickBot="1" x14ac:dyDescent="0.3">
      <c r="C4549" s="84"/>
      <c r="D4549" s="375" t="s">
        <v>128</v>
      </c>
      <c r="E4549" s="376" t="s">
        <v>129</v>
      </c>
      <c r="F4549" s="376" t="s">
        <v>130</v>
      </c>
      <c r="G4549" s="376" t="s">
        <v>131</v>
      </c>
      <c r="H4549" s="376" t="s">
        <v>132</v>
      </c>
      <c r="I4549" s="376" t="s">
        <v>133</v>
      </c>
      <c r="J4549" s="377" t="s">
        <v>134</v>
      </c>
      <c r="K4549" s="88"/>
      <c r="M4549" s="534"/>
      <c r="N4549" s="536" t="s">
        <v>101</v>
      </c>
      <c r="O4549" s="536"/>
      <c r="P4549" s="536"/>
      <c r="Q4549" s="536"/>
      <c r="R4549" s="536"/>
      <c r="S4549" s="536"/>
      <c r="T4549" s="536"/>
      <c r="U4549" s="536"/>
      <c r="V4549" s="389">
        <f>+SUM(V4544:V4548)</f>
        <v>209.2115</v>
      </c>
      <c r="Y4549" s="398" t="s">
        <v>135</v>
      </c>
      <c r="Z4549" s="397">
        <f>+SUM(Z4544:Z4548)</f>
        <v>2301.3265000000001</v>
      </c>
      <c r="AA4549" s="86"/>
      <c r="AB4549" s="384"/>
      <c r="AC4549" s="385"/>
      <c r="AD4549" s="94"/>
      <c r="AE4549" s="399"/>
    </row>
    <row r="4550" spans="3:31" s="260" customFormat="1" ht="15.75" thickBot="1" x14ac:dyDescent="0.3">
      <c r="C4550" s="84"/>
      <c r="D4550" s="375">
        <f>C4540</f>
        <v>4.16</v>
      </c>
      <c r="E4550" s="376"/>
      <c r="F4550" s="376"/>
      <c r="G4550" s="376"/>
      <c r="H4550" s="376"/>
      <c r="I4550" s="376"/>
      <c r="J4550" s="377"/>
      <c r="K4550" s="88"/>
      <c r="M4550" s="566"/>
      <c r="N4550" s="567" t="s">
        <v>102</v>
      </c>
      <c r="O4550" s="567"/>
      <c r="P4550" s="567"/>
      <c r="Q4550" s="567"/>
      <c r="R4550" s="567"/>
      <c r="S4550" s="567"/>
      <c r="T4550" s="567"/>
      <c r="U4550" s="567"/>
      <c r="V4550" s="400">
        <f>+ROUND(V4549,$AA$5)</f>
        <v>209.21</v>
      </c>
      <c r="Y4550" s="401" t="s">
        <v>136</v>
      </c>
      <c r="Z4550" s="402">
        <f>+ROUND(Z4549,$AA$5)</f>
        <v>2301.33</v>
      </c>
      <c r="AA4550" s="86"/>
      <c r="AB4550" s="403">
        <f>+V4550*Y4540</f>
        <v>2301.31</v>
      </c>
      <c r="AC4550" s="404">
        <f>+AB4550-Z4550</f>
        <v>-1.999999999998181E-2</v>
      </c>
      <c r="AD4550" s="94"/>
      <c r="AE4550" s="405"/>
    </row>
    <row r="4551" spans="3:31" s="260" customFormat="1" x14ac:dyDescent="0.25">
      <c r="C4551" s="84"/>
      <c r="D4551" s="380"/>
      <c r="E4551" s="381"/>
      <c r="F4551" s="381"/>
      <c r="G4551" s="381"/>
      <c r="H4551" s="381"/>
      <c r="I4551" s="381"/>
      <c r="J4551" s="382"/>
      <c r="K4551" s="88"/>
      <c r="M4551" s="510" t="s">
        <v>103</v>
      </c>
      <c r="N4551" s="511"/>
      <c r="O4551" s="511"/>
      <c r="P4551" s="511"/>
      <c r="Q4551" s="511"/>
      <c r="R4551" s="511"/>
      <c r="S4551" s="511"/>
      <c r="T4551" s="511"/>
      <c r="U4551" s="511"/>
      <c r="V4551" s="512"/>
      <c r="Y4551" s="378"/>
      <c r="Z4551" s="121"/>
      <c r="AA4551" s="86"/>
      <c r="AB4551" s="513"/>
      <c r="AC4551" s="514"/>
      <c r="AD4551" s="94"/>
      <c r="AE4551" s="126"/>
    </row>
    <row r="4552" spans="3:31" s="260" customFormat="1" x14ac:dyDescent="0.25">
      <c r="C4552" s="84"/>
      <c r="D4552" s="85"/>
      <c r="E4552" s="86"/>
      <c r="F4552" s="86"/>
      <c r="G4552" s="86"/>
      <c r="H4552" s="86"/>
      <c r="I4552" s="86"/>
      <c r="J4552" s="87"/>
      <c r="K4552" s="88"/>
      <c r="M4552" s="99" t="s">
        <v>94</v>
      </c>
      <c r="N4552" s="561" t="s">
        <v>95</v>
      </c>
      <c r="O4552" s="561"/>
      <c r="P4552" s="561"/>
      <c r="Q4552" s="561"/>
      <c r="R4552" s="95" t="s">
        <v>96</v>
      </c>
      <c r="S4552" s="95" t="s">
        <v>104</v>
      </c>
      <c r="T4552" s="356" t="s">
        <v>105</v>
      </c>
      <c r="U4552" s="356" t="s">
        <v>8</v>
      </c>
      <c r="V4552" s="100" t="s">
        <v>98</v>
      </c>
      <c r="Y4552" s="383" t="s">
        <v>104</v>
      </c>
      <c r="Z4552" s="119" t="s">
        <v>9</v>
      </c>
      <c r="AA4552" s="86"/>
      <c r="AB4552" s="384"/>
      <c r="AC4552" s="385"/>
      <c r="AD4552" s="94"/>
      <c r="AE4552" s="406"/>
    </row>
    <row r="4553" spans="3:31" s="260" customFormat="1" x14ac:dyDescent="0.25">
      <c r="C4553" s="84"/>
      <c r="D4553" s="85"/>
      <c r="E4553" s="86"/>
      <c r="F4553" s="86"/>
      <c r="G4553" s="86"/>
      <c r="H4553" s="86"/>
      <c r="I4553" s="86"/>
      <c r="J4553" s="87"/>
      <c r="K4553" s="88"/>
      <c r="M4553" s="102">
        <v>546</v>
      </c>
      <c r="N4553" s="533" t="str">
        <f>IFERROR(VLOOKUP(M4553,INSUMOS!$C$8:$K$928,2,0),"-----")</f>
        <v>TEE SANITARIA PVC 2"</v>
      </c>
      <c r="O4553" s="533"/>
      <c r="P4553" s="533"/>
      <c r="Q4553" s="533"/>
      <c r="R4553" s="78" t="str">
        <f>IFERROR(VLOOKUP(M4553,INSUMOS!$C$8:$K$928,6,0),"-----")</f>
        <v>und</v>
      </c>
      <c r="S4553" s="396">
        <v>1</v>
      </c>
      <c r="T4553" s="387">
        <v>0</v>
      </c>
      <c r="U4553" s="388">
        <f>IFERROR(VLOOKUP(M4553,INSUMOS!$C$8:$K$928,7,0),"0")</f>
        <v>9045</v>
      </c>
      <c r="V4553" s="389">
        <f>+IFERROR(U4553*(S4553*(1+T4553)),0)</f>
        <v>9045</v>
      </c>
      <c r="Y4553" s="393">
        <f>+IFERROR(Y4540*(S4553*(1+T4553)),0)</f>
        <v>11</v>
      </c>
      <c r="Z4553" s="391">
        <f>Y4540*V4553</f>
        <v>99495</v>
      </c>
      <c r="AA4553" s="394"/>
      <c r="AB4553" s="395">
        <f>+Y4553*U4553</f>
        <v>99495</v>
      </c>
      <c r="AC4553" s="93">
        <f>+AB4553-Z4553</f>
        <v>0</v>
      </c>
      <c r="AD4553" s="94"/>
      <c r="AE4553" s="406" t="str">
        <f>+IF(V4553=0,"CERO","NO")</f>
        <v>NO</v>
      </c>
    </row>
    <row r="4554" spans="3:31" s="260" customFormat="1" x14ac:dyDescent="0.25">
      <c r="C4554" s="84"/>
      <c r="D4554" s="85"/>
      <c r="E4554" s="86"/>
      <c r="F4554" s="86"/>
      <c r="G4554" s="86"/>
      <c r="H4554" s="86"/>
      <c r="I4554" s="86"/>
      <c r="J4554" s="87"/>
      <c r="K4554" s="88"/>
      <c r="M4554" s="102">
        <v>699</v>
      </c>
      <c r="N4554" s="533" t="str">
        <f>IFERROR(VLOOKUP(M4554,INSUMOS!$C$8:$K$928,2,0),"-----")</f>
        <v>SOLDADURA PVC LIQUIDA 1/4"</v>
      </c>
      <c r="O4554" s="533"/>
      <c r="P4554" s="533"/>
      <c r="Q4554" s="533"/>
      <c r="R4554" s="78" t="str">
        <f>IFERROR(VLOOKUP(M4554,INSUMOS!$C$8:$K$928,6,0),"-----")</f>
        <v>und</v>
      </c>
      <c r="S4554" s="396">
        <v>0.01</v>
      </c>
      <c r="T4554" s="387">
        <v>0.02</v>
      </c>
      <c r="U4554" s="388">
        <f>IFERROR(VLOOKUP(M4554,INSUMOS!$C$8:$K$928,7,0),"0")</f>
        <v>146569</v>
      </c>
      <c r="V4554" s="389">
        <f>+IFERROR(U4554*(S4554*(1+T4554)),0)</f>
        <v>1495.0038000000002</v>
      </c>
      <c r="Y4554" s="393">
        <f>+IFERROR(Y4540*(S4554*(1+T4554)),0)</f>
        <v>0.11220000000000001</v>
      </c>
      <c r="Z4554" s="391">
        <f>Y4540*V4554</f>
        <v>16445.041800000003</v>
      </c>
      <c r="AA4554" s="394"/>
      <c r="AB4554" s="395">
        <f>+Y4554*U4554</f>
        <v>16445.041800000003</v>
      </c>
      <c r="AC4554" s="93">
        <f>+AB4554-Z4554</f>
        <v>0</v>
      </c>
      <c r="AD4554" s="94"/>
      <c r="AE4554" s="406" t="str">
        <f>+IF(V4554=0,"CERO","NO")</f>
        <v>NO</v>
      </c>
    </row>
    <row r="4555" spans="3:31" s="260" customFormat="1" x14ac:dyDescent="0.25">
      <c r="C4555" s="84"/>
      <c r="D4555" s="85"/>
      <c r="E4555" s="86"/>
      <c r="F4555" s="86"/>
      <c r="G4555" s="86"/>
      <c r="H4555" s="86"/>
      <c r="I4555" s="86"/>
      <c r="J4555" s="87"/>
      <c r="K4555" s="88"/>
      <c r="M4555" s="102">
        <v>700</v>
      </c>
      <c r="N4555" s="533" t="str">
        <f>IFERROR(VLOOKUP(M4555,INSUMOS!$C$8:$K$928,2,0),"-----")</f>
        <v>LIMPIADOR PVC 1/4</v>
      </c>
      <c r="O4555" s="533"/>
      <c r="P4555" s="533"/>
      <c r="Q4555" s="533"/>
      <c r="R4555" s="78" t="str">
        <f>IFERROR(VLOOKUP(M4555,INSUMOS!$C$8:$K$928,6,0),"-----")</f>
        <v>und</v>
      </c>
      <c r="S4555" s="396">
        <v>0.01</v>
      </c>
      <c r="T4555" s="387">
        <v>0.02</v>
      </c>
      <c r="U4555" s="388">
        <f>IFERROR(VLOOKUP(M4555,INSUMOS!$C$8:$K$928,7,0),"0")</f>
        <v>65913</v>
      </c>
      <c r="V4555" s="389">
        <f>+IFERROR(U4555*(S4555*(1+T4555)),0)</f>
        <v>672.31260000000009</v>
      </c>
      <c r="Y4555" s="393">
        <f>+IFERROR(Y4540*(S4555*(1+T4555)),0)</f>
        <v>0.11220000000000001</v>
      </c>
      <c r="Z4555" s="391">
        <f>Y4540*V4555</f>
        <v>7395.4386000000013</v>
      </c>
      <c r="AA4555" s="394"/>
      <c r="AB4555" s="395">
        <f>+Y4555*U4555</f>
        <v>7395.4386000000004</v>
      </c>
      <c r="AC4555" s="93">
        <f>+AB4555-Z4555</f>
        <v>0</v>
      </c>
      <c r="AD4555" s="94"/>
      <c r="AE4555" s="406" t="str">
        <f>+IF(V4555=0,"CERO","NO")</f>
        <v>NO</v>
      </c>
    </row>
    <row r="4556" spans="3:31" s="260" customFormat="1" x14ac:dyDescent="0.25">
      <c r="C4556" s="84"/>
      <c r="D4556" s="85"/>
      <c r="E4556" s="86"/>
      <c r="F4556" s="86"/>
      <c r="G4556" s="86"/>
      <c r="H4556" s="86"/>
      <c r="I4556" s="86"/>
      <c r="J4556" s="87"/>
      <c r="K4556" s="88"/>
      <c r="M4556" s="102">
        <v>0</v>
      </c>
      <c r="N4556" s="533" t="str">
        <f>IFERROR(VLOOKUP(M4556,INSUMOS!$C$8:$K$928,2,0),"-----")</f>
        <v>-----</v>
      </c>
      <c r="O4556" s="533"/>
      <c r="P4556" s="533"/>
      <c r="Q4556" s="533"/>
      <c r="R4556" s="78" t="str">
        <f>IFERROR(VLOOKUP(M4556,INSUMOS!$C$8:$K$928,6,0),"-----")</f>
        <v>-----</v>
      </c>
      <c r="S4556" s="396"/>
      <c r="T4556" s="387"/>
      <c r="U4556" s="388" t="str">
        <f>IFERROR(VLOOKUP(M4556,INSUMOS!$C$8:$K$928,7,0),"0")</f>
        <v>0</v>
      </c>
      <c r="V4556" s="389">
        <f>+IFERROR(U4556*(S4556*(1+T4556)),0)</f>
        <v>0</v>
      </c>
      <c r="Y4556" s="393">
        <f>+IFERROR(Y4540*(S4556*(1+T4556)),0)</f>
        <v>0</v>
      </c>
      <c r="Z4556" s="391">
        <f>Y4540*V4556</f>
        <v>0</v>
      </c>
      <c r="AA4556" s="394"/>
      <c r="AB4556" s="395">
        <f>+Y4556*U4556</f>
        <v>0</v>
      </c>
      <c r="AC4556" s="93">
        <f>+AB4556-Z4556</f>
        <v>0</v>
      </c>
      <c r="AD4556" s="94"/>
      <c r="AE4556" s="406" t="str">
        <f>+IF(V4556=0,"CERO","NO")</f>
        <v>CERO</v>
      </c>
    </row>
    <row r="4557" spans="3:31" s="260" customFormat="1" ht="15.75" thickBot="1" x14ac:dyDescent="0.3">
      <c r="C4557" s="84"/>
      <c r="D4557" s="85"/>
      <c r="E4557" s="86"/>
      <c r="F4557" s="86"/>
      <c r="G4557" s="86"/>
      <c r="H4557" s="86"/>
      <c r="I4557" s="86"/>
      <c r="J4557" s="87"/>
      <c r="K4557" s="88"/>
      <c r="M4557" s="102">
        <v>0</v>
      </c>
      <c r="N4557" s="564"/>
      <c r="O4557" s="564"/>
      <c r="P4557" s="564"/>
      <c r="Q4557" s="564"/>
      <c r="R4557" s="96"/>
      <c r="S4557" s="79"/>
      <c r="T4557" s="97"/>
      <c r="U4557" s="358"/>
      <c r="V4557" s="397"/>
      <c r="Y4557" s="393">
        <f>+IFERROR(Y4540*(S4557*(1+T4557)),0)</f>
        <v>0</v>
      </c>
      <c r="Z4557" s="391">
        <f>Y4540*V4557</f>
        <v>0</v>
      </c>
      <c r="AA4557" s="394"/>
      <c r="AB4557" s="395">
        <f>+Y4557*U4557</f>
        <v>0</v>
      </c>
      <c r="AC4557" s="93">
        <f>+AB4557-Z4557</f>
        <v>0</v>
      </c>
      <c r="AD4557" s="94"/>
      <c r="AE4557" s="406" t="str">
        <f>+IF(V4557=0,"CERO","NO")</f>
        <v>CERO</v>
      </c>
    </row>
    <row r="4558" spans="3:31" s="260" customFormat="1" ht="15.75" thickBot="1" x14ac:dyDescent="0.3">
      <c r="C4558" s="84"/>
      <c r="D4558" s="375" t="s">
        <v>128</v>
      </c>
      <c r="E4558" s="376" t="s">
        <v>129</v>
      </c>
      <c r="F4558" s="376" t="s">
        <v>130</v>
      </c>
      <c r="G4558" s="376" t="s">
        <v>131</v>
      </c>
      <c r="H4558" s="376" t="s">
        <v>132</v>
      </c>
      <c r="I4558" s="376" t="s">
        <v>133</v>
      </c>
      <c r="J4558" s="377" t="s">
        <v>134</v>
      </c>
      <c r="K4558" s="88"/>
      <c r="M4558" s="534"/>
      <c r="N4558" s="536" t="s">
        <v>106</v>
      </c>
      <c r="O4558" s="536"/>
      <c r="P4558" s="536"/>
      <c r="Q4558" s="536"/>
      <c r="R4558" s="536"/>
      <c r="S4558" s="536"/>
      <c r="T4558" s="536"/>
      <c r="U4558" s="536"/>
      <c r="V4558" s="389">
        <f>+SUM(V4553:V4557)</f>
        <v>11212.3164</v>
      </c>
      <c r="Y4558" s="398" t="s">
        <v>135</v>
      </c>
      <c r="Z4558" s="397">
        <f>+SUM(Z4553:Z4557)</f>
        <v>123335.4804</v>
      </c>
      <c r="AA4558" s="86"/>
      <c r="AB4558" s="384"/>
      <c r="AC4558" s="385"/>
      <c r="AD4558" s="94"/>
      <c r="AE4558" s="399"/>
    </row>
    <row r="4559" spans="3:31" s="260" customFormat="1" ht="15.75" thickBot="1" x14ac:dyDescent="0.3">
      <c r="C4559" s="84"/>
      <c r="D4559" s="375"/>
      <c r="E4559" s="407">
        <f>+D4550</f>
        <v>4.16</v>
      </c>
      <c r="F4559" s="376"/>
      <c r="G4559" s="376"/>
      <c r="H4559" s="376"/>
      <c r="I4559" s="376"/>
      <c r="J4559" s="377"/>
      <c r="K4559" s="88"/>
      <c r="M4559" s="535"/>
      <c r="N4559" s="537" t="s">
        <v>107</v>
      </c>
      <c r="O4559" s="537"/>
      <c r="P4559" s="537"/>
      <c r="Q4559" s="537"/>
      <c r="R4559" s="537"/>
      <c r="S4559" s="537"/>
      <c r="T4559" s="537"/>
      <c r="U4559" s="537"/>
      <c r="V4559" s="408">
        <f>+ROUND(V4558,$AA$5)</f>
        <v>11212.32</v>
      </c>
      <c r="Y4559" s="401" t="s">
        <v>136</v>
      </c>
      <c r="Z4559" s="402">
        <f>+ROUND(Z4558,$AA$5)</f>
        <v>123335.48</v>
      </c>
      <c r="AA4559" s="86"/>
      <c r="AB4559" s="403">
        <f>+V4559*Y4540</f>
        <v>123335.51999999999</v>
      </c>
      <c r="AC4559" s="404">
        <f>+AB4559-Z4559</f>
        <v>3.9999999993597157E-2</v>
      </c>
      <c r="AD4559" s="94"/>
      <c r="AE4559" s="405"/>
    </row>
    <row r="4560" spans="3:31" s="260" customFormat="1" x14ac:dyDescent="0.25">
      <c r="C4560" s="84"/>
      <c r="D4560" s="380"/>
      <c r="E4560" s="381"/>
      <c r="F4560" s="381"/>
      <c r="G4560" s="381"/>
      <c r="H4560" s="381"/>
      <c r="I4560" s="381"/>
      <c r="J4560" s="382"/>
      <c r="K4560" s="88"/>
      <c r="M4560" s="568" t="s">
        <v>108</v>
      </c>
      <c r="N4560" s="569"/>
      <c r="O4560" s="569"/>
      <c r="P4560" s="569"/>
      <c r="Q4560" s="569"/>
      <c r="R4560" s="569"/>
      <c r="S4560" s="569"/>
      <c r="T4560" s="569"/>
      <c r="U4560" s="569"/>
      <c r="V4560" s="570"/>
      <c r="Y4560" s="378"/>
      <c r="Z4560" s="121"/>
      <c r="AA4560" s="86"/>
      <c r="AB4560" s="409"/>
      <c r="AC4560" s="121"/>
      <c r="AD4560" s="94"/>
      <c r="AE4560" s="126"/>
    </row>
    <row r="4561" spans="3:31" s="260" customFormat="1" ht="25.5" x14ac:dyDescent="0.25">
      <c r="C4561" s="84"/>
      <c r="D4561" s="85"/>
      <c r="E4561" s="86"/>
      <c r="F4561" s="86"/>
      <c r="G4561" s="86"/>
      <c r="H4561" s="86"/>
      <c r="I4561" s="86"/>
      <c r="J4561" s="87"/>
      <c r="K4561" s="88"/>
      <c r="M4561" s="99" t="s">
        <v>94</v>
      </c>
      <c r="N4561" s="561" t="s">
        <v>95</v>
      </c>
      <c r="O4561" s="561"/>
      <c r="P4561" s="561"/>
      <c r="Q4561" s="95" t="s">
        <v>109</v>
      </c>
      <c r="R4561" s="95" t="s">
        <v>110</v>
      </c>
      <c r="S4561" s="95" t="s">
        <v>111</v>
      </c>
      <c r="T4561" s="562" t="s">
        <v>112</v>
      </c>
      <c r="U4561" s="562"/>
      <c r="V4561" s="100" t="s">
        <v>98</v>
      </c>
      <c r="Y4561" s="383" t="s">
        <v>104</v>
      </c>
      <c r="Z4561" s="119" t="s">
        <v>9</v>
      </c>
      <c r="AA4561" s="86"/>
      <c r="AB4561" s="384"/>
      <c r="AC4561" s="385"/>
      <c r="AD4561" s="94"/>
      <c r="AE4561" s="410"/>
    </row>
    <row r="4562" spans="3:31" s="260" customFormat="1" x14ac:dyDescent="0.25">
      <c r="C4562" s="84"/>
      <c r="D4562" s="85"/>
      <c r="E4562" s="86"/>
      <c r="F4562" s="86"/>
      <c r="G4562" s="86"/>
      <c r="H4562" s="86"/>
      <c r="I4562" s="86"/>
      <c r="J4562" s="87"/>
      <c r="K4562" s="88"/>
      <c r="M4562" s="102">
        <v>129</v>
      </c>
      <c r="N4562" s="530" t="str">
        <f>IFERROR(VLOOKUP(M4562,INSUMOS!$C$8:$K$928,2,0),"-----")</f>
        <v>transporte materiales en general</v>
      </c>
      <c r="O4562" s="531"/>
      <c r="P4562" s="532"/>
      <c r="Q4562" s="78" t="str">
        <f>IFERROR(VLOOKUP(M4562,INSUMOS!$C$8:$K$928,5,0),"-----")</f>
        <v>Km</v>
      </c>
      <c r="R4562" s="80">
        <v>1</v>
      </c>
      <c r="S4562" s="80">
        <f>IFERROR(VLOOKUP(M4562,INSUMOS!$C$8:$K$928,6,0),"0")</f>
        <v>348</v>
      </c>
      <c r="T4562" s="529">
        <f>IFERROR(VLOOKUP(M4562,INSUMOS!$C$8:$K$928,7,0),"0")</f>
        <v>0.99776362060288992</v>
      </c>
      <c r="U4562" s="529"/>
      <c r="V4562" s="82">
        <f>+T4562*S4562*R4562</f>
        <v>347.2217399698057</v>
      </c>
      <c r="Y4562" s="393">
        <f>+IFERROR((R4562*S4562)*Y4540,0)</f>
        <v>3828</v>
      </c>
      <c r="Z4562" s="391">
        <f>Y4540*V4562</f>
        <v>3819.4391396678625</v>
      </c>
      <c r="AA4562" s="86"/>
      <c r="AB4562" s="92">
        <f>+Y4562*T4562</f>
        <v>3819.4391396678625</v>
      </c>
      <c r="AC4562" s="93">
        <f>+AB4562-Z4562</f>
        <v>0</v>
      </c>
      <c r="AD4562" s="94"/>
      <c r="AE4562" s="406" t="str">
        <f>+IF(V4562=0,"CERO","NO")</f>
        <v>NO</v>
      </c>
    </row>
    <row r="4563" spans="3:31" s="260" customFormat="1" x14ac:dyDescent="0.25">
      <c r="C4563" s="84"/>
      <c r="D4563" s="85"/>
      <c r="E4563" s="86"/>
      <c r="F4563" s="86"/>
      <c r="G4563" s="86"/>
      <c r="H4563" s="86"/>
      <c r="I4563" s="86"/>
      <c r="J4563" s="87"/>
      <c r="K4563" s="88"/>
      <c r="M4563" s="102">
        <v>0</v>
      </c>
      <c r="N4563" s="530" t="str">
        <f>IFERROR(VLOOKUP(M4563,INSUMOS!$C$8:$K$928,2,0),"-----")</f>
        <v>-----</v>
      </c>
      <c r="O4563" s="531"/>
      <c r="P4563" s="532"/>
      <c r="Q4563" s="78" t="str">
        <f>IFERROR(VLOOKUP(M4563,INSUMOS!$C$8:$K$928,5,0),"-----")</f>
        <v>-----</v>
      </c>
      <c r="R4563" s="80"/>
      <c r="S4563" s="80" t="str">
        <f>IFERROR(VLOOKUP(M4563,INSUMOS!$C$8:$K$928,6,0),"0")</f>
        <v>0</v>
      </c>
      <c r="T4563" s="529" t="str">
        <f>IFERROR(VLOOKUP(M4563,INSUMOS!$C$8:$K$928,7,0),"0")</f>
        <v>0</v>
      </c>
      <c r="U4563" s="529"/>
      <c r="V4563" s="82">
        <f>+T4563*S4563*R4563</f>
        <v>0</v>
      </c>
      <c r="Y4563" s="393">
        <f>+IFERROR((R4563*S4563)*Y4540,0)</f>
        <v>0</v>
      </c>
      <c r="Z4563" s="391">
        <f>Y4540*V4563</f>
        <v>0</v>
      </c>
      <c r="AA4563" s="86"/>
      <c r="AB4563" s="92">
        <f>+Y4563*T4563</f>
        <v>0</v>
      </c>
      <c r="AC4563" s="93">
        <f>+AB4563-Z4563</f>
        <v>0</v>
      </c>
      <c r="AD4563" s="94"/>
      <c r="AE4563" s="406" t="str">
        <f>+IF(V4563=0,"CERO","NO")</f>
        <v>CERO</v>
      </c>
    </row>
    <row r="4564" spans="3:31" s="260" customFormat="1" x14ac:dyDescent="0.25">
      <c r="C4564" s="84"/>
      <c r="D4564" s="85"/>
      <c r="E4564" s="86"/>
      <c r="F4564" s="86"/>
      <c r="G4564" s="86"/>
      <c r="H4564" s="86"/>
      <c r="I4564" s="86"/>
      <c r="J4564" s="87"/>
      <c r="K4564" s="88"/>
      <c r="M4564" s="102">
        <v>0</v>
      </c>
      <c r="N4564" s="530" t="str">
        <f>IFERROR(VLOOKUP(M4564,INSUMOS!$C$8:$K$928,2,0),"-----")</f>
        <v>-----</v>
      </c>
      <c r="O4564" s="531"/>
      <c r="P4564" s="532"/>
      <c r="Q4564" s="78" t="str">
        <f>IFERROR(VLOOKUP(M4564,INSUMOS!$C$8:$K$928,5,0),"-----")</f>
        <v>-----</v>
      </c>
      <c r="R4564" s="80"/>
      <c r="S4564" s="80" t="str">
        <f>IFERROR(VLOOKUP(M4564,INSUMOS!$C$8:$K$928,6,0),"0")</f>
        <v>0</v>
      </c>
      <c r="T4564" s="529" t="str">
        <f>IFERROR(VLOOKUP(M4564,INSUMOS!$C$8:$K$928,7,0),"0")</f>
        <v>0</v>
      </c>
      <c r="U4564" s="529"/>
      <c r="V4564" s="82">
        <f>+T4564*S4564*R4564</f>
        <v>0</v>
      </c>
      <c r="Y4564" s="393">
        <f>+IFERROR((R4564*S4564)*Y4540,0)</f>
        <v>0</v>
      </c>
      <c r="Z4564" s="391">
        <f>Y4540*V4564</f>
        <v>0</v>
      </c>
      <c r="AA4564" s="86"/>
      <c r="AB4564" s="92">
        <f>+Y4564*T4564</f>
        <v>0</v>
      </c>
      <c r="AC4564" s="93">
        <f>+AB4564-Z4564</f>
        <v>0</v>
      </c>
      <c r="AD4564" s="94"/>
      <c r="AE4564" s="406" t="str">
        <f>+IF(V4564=0,"CERO","NO")</f>
        <v>CERO</v>
      </c>
    </row>
    <row r="4565" spans="3:31" s="260" customFormat="1" ht="15.75" thickBot="1" x14ac:dyDescent="0.3">
      <c r="C4565" s="84"/>
      <c r="D4565" s="89"/>
      <c r="E4565" s="90"/>
      <c r="F4565" s="90"/>
      <c r="G4565" s="90"/>
      <c r="H4565" s="90"/>
      <c r="I4565" s="90"/>
      <c r="J4565" s="91"/>
      <c r="K4565" s="88"/>
      <c r="M4565" s="102">
        <v>0</v>
      </c>
      <c r="N4565" s="533"/>
      <c r="O4565" s="533"/>
      <c r="P4565" s="533"/>
      <c r="Q4565" s="79"/>
      <c r="R4565" s="78"/>
      <c r="S4565" s="81"/>
      <c r="T4565" s="529"/>
      <c r="U4565" s="529"/>
      <c r="V4565" s="82"/>
      <c r="Y4565" s="393">
        <f>+IFERROR((R4565*S4565)*Y4540,0)</f>
        <v>0</v>
      </c>
      <c r="Z4565" s="391">
        <f>Y4540*V4565</f>
        <v>0</v>
      </c>
      <c r="AA4565" s="86"/>
      <c r="AB4565" s="92">
        <f>+Y4565*T4565</f>
        <v>0</v>
      </c>
      <c r="AC4565" s="93">
        <f>+AB4565-Z4565</f>
        <v>0</v>
      </c>
      <c r="AD4565" s="94"/>
      <c r="AE4565" s="406" t="str">
        <f>+IF(V4565=0,"CERO","NO")</f>
        <v>CERO</v>
      </c>
    </row>
    <row r="4566" spans="3:31" s="260" customFormat="1" ht="15.75" thickBot="1" x14ac:dyDescent="0.3">
      <c r="C4566" s="84"/>
      <c r="D4566" s="375" t="s">
        <v>128</v>
      </c>
      <c r="E4566" s="376" t="s">
        <v>129</v>
      </c>
      <c r="F4566" s="376" t="s">
        <v>130</v>
      </c>
      <c r="G4566" s="376" t="s">
        <v>131</v>
      </c>
      <c r="H4566" s="376" t="s">
        <v>132</v>
      </c>
      <c r="I4566" s="376" t="s">
        <v>133</v>
      </c>
      <c r="J4566" s="377" t="s">
        <v>134</v>
      </c>
      <c r="K4566" s="88"/>
      <c r="M4566" s="534"/>
      <c r="N4566" s="536" t="s">
        <v>113</v>
      </c>
      <c r="O4566" s="536"/>
      <c r="P4566" s="536"/>
      <c r="Q4566" s="536"/>
      <c r="R4566" s="536"/>
      <c r="S4566" s="536"/>
      <c r="T4566" s="536"/>
      <c r="U4566" s="536"/>
      <c r="V4566" s="411">
        <f>+SUM(V4562:V4565)</f>
        <v>347.2217399698057</v>
      </c>
      <c r="Y4566" s="398" t="s">
        <v>135</v>
      </c>
      <c r="Z4566" s="397">
        <f>+SUM(Z4562:Z4565)</f>
        <v>3819.4391396678625</v>
      </c>
      <c r="AA4566" s="86"/>
      <c r="AB4566" s="384"/>
      <c r="AC4566" s="385"/>
      <c r="AD4566" s="94"/>
      <c r="AE4566" s="399"/>
    </row>
    <row r="4567" spans="3:31" s="260" customFormat="1" ht="15.75" thickBot="1" x14ac:dyDescent="0.3">
      <c r="C4567" s="84"/>
      <c r="D4567" s="355"/>
      <c r="E4567" s="367"/>
      <c r="F4567" s="412">
        <f>+E4559</f>
        <v>4.16</v>
      </c>
      <c r="G4567" s="367"/>
      <c r="H4567" s="367"/>
      <c r="I4567" s="367"/>
      <c r="J4567" s="368"/>
      <c r="K4567" s="88"/>
      <c r="M4567" s="535"/>
      <c r="N4567" s="537" t="s">
        <v>114</v>
      </c>
      <c r="O4567" s="537"/>
      <c r="P4567" s="537"/>
      <c r="Q4567" s="537"/>
      <c r="R4567" s="537"/>
      <c r="S4567" s="537"/>
      <c r="T4567" s="537"/>
      <c r="U4567" s="537"/>
      <c r="V4567" s="413">
        <f>+ROUND(V4566,$AA$5)</f>
        <v>347.22</v>
      </c>
      <c r="Y4567" s="401" t="s">
        <v>136</v>
      </c>
      <c r="Z4567" s="402">
        <f>+ROUND(Z4566,$AA$5)</f>
        <v>3819.44</v>
      </c>
      <c r="AA4567" s="86"/>
      <c r="AB4567" s="403">
        <f>+V4567*Y4540</f>
        <v>3819.42</v>
      </c>
      <c r="AC4567" s="414"/>
      <c r="AD4567" s="94"/>
      <c r="AE4567" s="405"/>
    </row>
    <row r="4568" spans="3:31" s="260" customFormat="1" ht="15.75" thickBot="1" x14ac:dyDescent="0.3">
      <c r="C4568" s="84"/>
      <c r="D4568" s="415"/>
      <c r="E4568" s="416"/>
      <c r="F4568" s="416"/>
      <c r="G4568" s="416"/>
      <c r="H4568" s="416"/>
      <c r="I4568" s="416"/>
      <c r="J4568" s="417"/>
      <c r="K4568" s="88"/>
      <c r="M4568" s="538" t="s">
        <v>115</v>
      </c>
      <c r="N4568" s="539"/>
      <c r="O4568" s="539"/>
      <c r="P4568" s="539"/>
      <c r="Q4568" s="539"/>
      <c r="R4568" s="539"/>
      <c r="S4568" s="539"/>
      <c r="T4568" s="539"/>
      <c r="U4568" s="539"/>
      <c r="V4568" s="540"/>
      <c r="Y4568" s="378"/>
      <c r="Z4568" s="121"/>
      <c r="AA4568" s="86"/>
      <c r="AB4568" s="409"/>
      <c r="AC4568" s="121"/>
      <c r="AD4568" s="94"/>
      <c r="AE4568" s="126"/>
    </row>
    <row r="4569" spans="3:31" s="260" customFormat="1" ht="15.75" thickBot="1" x14ac:dyDescent="0.3">
      <c r="C4569" s="84"/>
      <c r="D4569" s="375" t="s">
        <v>128</v>
      </c>
      <c r="E4569" s="376" t="s">
        <v>129</v>
      </c>
      <c r="F4569" s="376" t="s">
        <v>130</v>
      </c>
      <c r="G4569" s="376" t="s">
        <v>131</v>
      </c>
      <c r="H4569" s="376" t="s">
        <v>132</v>
      </c>
      <c r="I4569" s="376" t="s">
        <v>133</v>
      </c>
      <c r="J4569" s="377" t="s">
        <v>134</v>
      </c>
      <c r="K4569" s="88"/>
      <c r="M4569" s="99" t="s">
        <v>94</v>
      </c>
      <c r="N4569" s="98" t="s">
        <v>95</v>
      </c>
      <c r="O4569" s="95" t="s">
        <v>96</v>
      </c>
      <c r="P4569" s="359" t="s">
        <v>104</v>
      </c>
      <c r="Q4569" s="95" t="s">
        <v>116</v>
      </c>
      <c r="R4569" s="418" t="s">
        <v>117</v>
      </c>
      <c r="S4569" s="95" t="s">
        <v>347</v>
      </c>
      <c r="T4569" s="419" t="s">
        <v>118</v>
      </c>
      <c r="U4569" s="189" t="s">
        <v>119</v>
      </c>
      <c r="V4569" s="100" t="s">
        <v>98</v>
      </c>
      <c r="Y4569" s="383" t="s">
        <v>104</v>
      </c>
      <c r="Z4569" s="119" t="s">
        <v>9</v>
      </c>
      <c r="AA4569" s="86"/>
      <c r="AB4569" s="384"/>
      <c r="AC4569" s="385"/>
      <c r="AD4569" s="94"/>
      <c r="AE4569" s="410"/>
    </row>
    <row r="4570" spans="3:31" s="260" customFormat="1" ht="25.5" x14ac:dyDescent="0.25">
      <c r="C4570" s="84"/>
      <c r="D4570" s="354"/>
      <c r="E4570" s="96"/>
      <c r="F4570" s="96"/>
      <c r="G4570" s="96"/>
      <c r="H4570" s="96"/>
      <c r="I4570" s="96"/>
      <c r="J4570" s="420">
        <f>+F4567</f>
        <v>4.16</v>
      </c>
      <c r="K4570" s="88"/>
      <c r="M4570" s="102">
        <v>207</v>
      </c>
      <c r="N4570" s="347" t="str">
        <f>IFERROR(VLOOKUP(M4570,INSUMOS!$C$8:$K$928,2,0),"-----")</f>
        <v>Oficial Hidrosanitario</v>
      </c>
      <c r="O4570" s="78" t="str">
        <f>IFERROR(VLOOKUP(M4570,INSUMOS!$C$8:$K$928,3,0),"-----")</f>
        <v>JORNAL+PS</v>
      </c>
      <c r="P4570" s="80">
        <v>1</v>
      </c>
      <c r="Q4570" s="79">
        <v>40</v>
      </c>
      <c r="R4570" s="190">
        <f>IFERROR(VLOOKUP(M4570,INSUMOS!$C$8:$K$928,4,0),"-----")</f>
        <v>92983</v>
      </c>
      <c r="S4570" s="190">
        <f>IFERROR(VLOOKUP(M4570,INSUMOS!$C$8:$K$928,6,0),"-----")</f>
        <v>74386</v>
      </c>
      <c r="T4570" s="190">
        <f>IFERROR(VLOOKUP(M4570,INSUMOS!$C$8:$K$928,5,0),"-----")</f>
        <v>0</v>
      </c>
      <c r="U4570" s="388">
        <f>SUM(R4570:T4570)</f>
        <v>167369</v>
      </c>
      <c r="V4570" s="82">
        <f>+IFERROR((P4570/Q4570)*U4570,0)</f>
        <v>4184.2250000000004</v>
      </c>
      <c r="Y4570" s="393">
        <f>+IFERROR((Y4540/Q4570*P4570),0)</f>
        <v>0.27500000000000002</v>
      </c>
      <c r="Z4570" s="391">
        <f>Y4540*V4570</f>
        <v>46026.475000000006</v>
      </c>
      <c r="AA4570" s="86"/>
      <c r="AB4570" s="92">
        <f>+(U4570)*Y4570</f>
        <v>46026.475000000006</v>
      </c>
      <c r="AC4570" s="93">
        <f>+AB4570-Z4570</f>
        <v>0</v>
      </c>
      <c r="AD4570" s="421"/>
      <c r="AE4570" s="410" t="str">
        <f>+IF(V4570=0,"CERO","NO")</f>
        <v>NO</v>
      </c>
    </row>
    <row r="4571" spans="3:31" s="260" customFormat="1" ht="15.75" thickBot="1" x14ac:dyDescent="0.3">
      <c r="C4571" s="84"/>
      <c r="D4571" s="355"/>
      <c r="E4571" s="367"/>
      <c r="F4571" s="367"/>
      <c r="G4571" s="367"/>
      <c r="H4571" s="367"/>
      <c r="I4571" s="367"/>
      <c r="J4571" s="422">
        <f>+J4570</f>
        <v>4.16</v>
      </c>
      <c r="K4571" s="88"/>
      <c r="M4571" s="102"/>
      <c r="N4571" s="347" t="str">
        <f>IFERROR(VLOOKUP(M4571,INSUMOS!$C$8:$K$928,2,0),"-----")</f>
        <v>-----</v>
      </c>
      <c r="O4571" s="78" t="str">
        <f>IFERROR(VLOOKUP(M4571,INSUMOS!$C$8:$K$928,3,0),"-----")</f>
        <v>-----</v>
      </c>
      <c r="P4571" s="80"/>
      <c r="Q4571" s="79"/>
      <c r="R4571" s="190" t="str">
        <f>IFERROR(VLOOKUP(M4571,INSUMOS!$C$8:$K$928,4,0),"-----")</f>
        <v>-----</v>
      </c>
      <c r="S4571" s="190" t="str">
        <f>IFERROR(VLOOKUP(M4571,INSUMOS!$C$8:$K$928,6,0),"-----")</f>
        <v>-----</v>
      </c>
      <c r="T4571" s="190" t="str">
        <f>IFERROR(VLOOKUP(M4571,INSUMOS!$C$8:$K$928,5,0),"-----")</f>
        <v>-----</v>
      </c>
      <c r="U4571" s="388">
        <f>SUM(R4571:T4571)</f>
        <v>0</v>
      </c>
      <c r="V4571" s="82">
        <f>+IFERROR((P4571/Q4571)*U4571,0)</f>
        <v>0</v>
      </c>
      <c r="Y4571" s="393">
        <f>+IFERROR((Y4540/Q4571*P4571),0)</f>
        <v>0</v>
      </c>
      <c r="Z4571" s="391">
        <f>Y4540*V4571</f>
        <v>0</v>
      </c>
      <c r="AA4571" s="86"/>
      <c r="AB4571" s="92">
        <f>+U4571*Y4571</f>
        <v>0</v>
      </c>
      <c r="AC4571" s="93">
        <f>+AB4571-Z4571</f>
        <v>0</v>
      </c>
      <c r="AD4571" s="94"/>
      <c r="AE4571" s="410" t="str">
        <f>+IF(V4571=0,"CERO","NO")</f>
        <v>CERO</v>
      </c>
    </row>
    <row r="4572" spans="3:31" s="260" customFormat="1" ht="15.75" thickBot="1" x14ac:dyDescent="0.3">
      <c r="C4572" s="84"/>
      <c r="D4572" s="380"/>
      <c r="E4572" s="381"/>
      <c r="F4572" s="381"/>
      <c r="G4572" s="381"/>
      <c r="H4572" s="381"/>
      <c r="I4572" s="381"/>
      <c r="J4572" s="382"/>
      <c r="K4572" s="88"/>
      <c r="M4572" s="102">
        <v>0</v>
      </c>
      <c r="N4572" s="347"/>
      <c r="O4572" s="79"/>
      <c r="P4572" s="423"/>
      <c r="Q4572" s="81"/>
      <c r="R4572" s="111"/>
      <c r="S4572" s="357"/>
      <c r="T4572" s="111"/>
      <c r="U4572" s="388"/>
      <c r="V4572" s="426"/>
      <c r="Y4572" s="393">
        <f>+IFERROR((Y4540/Q4572*P4572),0)</f>
        <v>0</v>
      </c>
      <c r="Z4572" s="391">
        <f>Y4540*V4572</f>
        <v>0</v>
      </c>
      <c r="AA4572" s="86"/>
      <c r="AB4572" s="92">
        <f>+(U4572)*Y4572*P4572</f>
        <v>0</v>
      </c>
      <c r="AC4572" s="93">
        <f>+AB4572-Z4572</f>
        <v>0</v>
      </c>
      <c r="AD4572" s="94"/>
      <c r="AE4572" s="410" t="str">
        <f>+IF(V4572=0,"CERO","NO")</f>
        <v>CERO</v>
      </c>
    </row>
    <row r="4573" spans="3:31" s="260" customFormat="1" ht="15.75" thickBot="1" x14ac:dyDescent="0.3">
      <c r="C4573" s="84"/>
      <c r="D4573" s="375" t="s">
        <v>128</v>
      </c>
      <c r="E4573" s="376" t="s">
        <v>129</v>
      </c>
      <c r="F4573" s="376" t="s">
        <v>130</v>
      </c>
      <c r="G4573" s="376" t="s">
        <v>131</v>
      </c>
      <c r="H4573" s="376" t="s">
        <v>132</v>
      </c>
      <c r="I4573" s="376" t="s">
        <v>133</v>
      </c>
      <c r="J4573" s="377" t="s">
        <v>134</v>
      </c>
      <c r="K4573" s="88"/>
      <c r="M4573" s="534"/>
      <c r="N4573" s="536" t="s">
        <v>120</v>
      </c>
      <c r="O4573" s="536"/>
      <c r="P4573" s="536"/>
      <c r="Q4573" s="536"/>
      <c r="R4573" s="536"/>
      <c r="S4573" s="536"/>
      <c r="T4573" s="536"/>
      <c r="U4573" s="536"/>
      <c r="V4573" s="82">
        <f>+SUM(V4570:V4572)</f>
        <v>4184.2250000000004</v>
      </c>
      <c r="Y4573" s="398" t="s">
        <v>135</v>
      </c>
      <c r="Z4573" s="397">
        <f>+SUM(Z4570:Z4572)</f>
        <v>46026.475000000006</v>
      </c>
      <c r="AA4573" s="86"/>
      <c r="AB4573" s="384"/>
      <c r="AC4573" s="385"/>
      <c r="AD4573" s="94"/>
      <c r="AE4573" s="399"/>
    </row>
    <row r="4574" spans="3:31" s="260" customFormat="1" ht="15.75" thickBot="1" x14ac:dyDescent="0.3">
      <c r="C4574" s="84"/>
      <c r="D4574" s="354"/>
      <c r="E4574" s="96"/>
      <c r="F4574" s="96"/>
      <c r="G4574" s="107">
        <f>+F4567</f>
        <v>4.16</v>
      </c>
      <c r="H4574" s="96"/>
      <c r="I4574" s="96"/>
      <c r="J4574" s="427"/>
      <c r="K4574" s="88"/>
      <c r="M4574" s="535"/>
      <c r="N4574" s="537" t="s">
        <v>121</v>
      </c>
      <c r="O4574" s="537"/>
      <c r="P4574" s="537"/>
      <c r="Q4574" s="537"/>
      <c r="R4574" s="537"/>
      <c r="S4574" s="537"/>
      <c r="T4574" s="537"/>
      <c r="U4574" s="537"/>
      <c r="V4574" s="413">
        <f>+ROUND(V4573,$AA$5)</f>
        <v>4184.2299999999996</v>
      </c>
      <c r="Y4574" s="401" t="s">
        <v>136</v>
      </c>
      <c r="Z4574" s="402">
        <f>+ROUND(Z4573,$AA$5)</f>
        <v>46026.48</v>
      </c>
      <c r="AA4574" s="86"/>
      <c r="AB4574" s="403">
        <f>+V4574*Y4540</f>
        <v>46026.53</v>
      </c>
      <c r="AC4574" s="404">
        <f>+AB4574-Z4574</f>
        <v>4.9999999995634425E-2</v>
      </c>
      <c r="AD4574" s="94"/>
      <c r="AE4574" s="405"/>
    </row>
    <row r="4575" spans="3:31" s="260" customFormat="1" ht="15.75" thickBot="1" x14ac:dyDescent="0.3">
      <c r="C4575" s="84"/>
      <c r="D4575" s="375" t="s">
        <v>128</v>
      </c>
      <c r="E4575" s="376" t="s">
        <v>129</v>
      </c>
      <c r="F4575" s="376" t="s">
        <v>130</v>
      </c>
      <c r="G4575" s="376" t="s">
        <v>131</v>
      </c>
      <c r="H4575" s="376" t="s">
        <v>132</v>
      </c>
      <c r="I4575" s="376" t="s">
        <v>133</v>
      </c>
      <c r="J4575" s="377" t="s">
        <v>134</v>
      </c>
      <c r="K4575" s="88"/>
      <c r="M4575" s="541"/>
      <c r="N4575" s="542"/>
      <c r="O4575" s="542"/>
      <c r="P4575" s="542"/>
      <c r="Q4575" s="542"/>
      <c r="R4575" s="542"/>
      <c r="S4575" s="542"/>
      <c r="T4575" s="542"/>
      <c r="U4575" s="542"/>
      <c r="V4575" s="543"/>
      <c r="Y4575" s="378"/>
      <c r="Z4575" s="121"/>
      <c r="AA4575" s="86"/>
      <c r="AB4575" s="409"/>
      <c r="AC4575" s="121"/>
      <c r="AD4575" s="94"/>
      <c r="AE4575" s="428"/>
    </row>
    <row r="4576" spans="3:31" s="260" customFormat="1" ht="15.75" thickBot="1" x14ac:dyDescent="0.3">
      <c r="C4576" s="84"/>
      <c r="D4576" s="355"/>
      <c r="E4576" s="367"/>
      <c r="F4576" s="367"/>
      <c r="G4576" s="367"/>
      <c r="H4576" s="412">
        <f>G4574</f>
        <v>4.16</v>
      </c>
      <c r="I4576" s="412"/>
      <c r="J4576" s="422"/>
      <c r="K4576" s="88"/>
      <c r="M4576" s="544" t="s">
        <v>122</v>
      </c>
      <c r="N4576" s="537"/>
      <c r="O4576" s="537"/>
      <c r="P4576" s="537"/>
      <c r="Q4576" s="537"/>
      <c r="R4576" s="537"/>
      <c r="S4576" s="537"/>
      <c r="T4576" s="537"/>
      <c r="U4576" s="545">
        <f>+V4574+V4567+V4559+V4550</f>
        <v>15952.98</v>
      </c>
      <c r="V4576" s="546"/>
      <c r="Y4576" s="429"/>
      <c r="Z4576" s="430">
        <f>+Z4574+Z4567+Z4559+Z4550</f>
        <v>175482.72999999998</v>
      </c>
      <c r="AA4576" s="86"/>
      <c r="AB4576" s="431">
        <f>+AB4574+AB4567+AB4559+AB4550</f>
        <v>175482.77999999997</v>
      </c>
      <c r="AC4576" s="404">
        <f>+AB4576-Z4576</f>
        <v>4.9999999988358468E-2</v>
      </c>
      <c r="AD4576" s="94"/>
      <c r="AE4576" s="432"/>
    </row>
    <row r="4577" spans="3:31" s="260" customFormat="1" ht="15.75" thickBot="1" x14ac:dyDescent="0.3"/>
    <row r="4578" spans="3:31" s="260" customFormat="1" x14ac:dyDescent="0.25">
      <c r="M4578" s="547" t="s">
        <v>348</v>
      </c>
      <c r="N4578" s="548"/>
      <c r="O4578" s="548"/>
      <c r="P4578" s="548"/>
      <c r="Q4578" s="548"/>
      <c r="R4578" s="548"/>
      <c r="S4578" s="548"/>
      <c r="T4578" s="548"/>
      <c r="U4578" s="548"/>
      <c r="V4578" s="549"/>
      <c r="Y4578" s="378"/>
      <c r="Z4578" s="121"/>
      <c r="AA4578" s="86"/>
      <c r="AB4578" s="94"/>
      <c r="AC4578" s="94"/>
      <c r="AD4578" s="94"/>
      <c r="AE4578" s="126" t="s">
        <v>133</v>
      </c>
    </row>
    <row r="4579" spans="3:31" s="260" customFormat="1" x14ac:dyDescent="0.25">
      <c r="M4579" s="515" t="s">
        <v>138</v>
      </c>
      <c r="N4579" s="516"/>
      <c r="O4579" s="516"/>
      <c r="P4579" s="516"/>
      <c r="Q4579" s="516"/>
      <c r="R4579" s="516"/>
      <c r="S4579" s="516"/>
      <c r="T4579" s="437">
        <v>0</v>
      </c>
      <c r="U4579" s="517">
        <f>+ROUND(U4576*T4579,$AA$5)</f>
        <v>0</v>
      </c>
      <c r="V4579" s="518"/>
      <c r="Y4579" s="390"/>
      <c r="Z4579" s="438">
        <f>+Z4576*T4579</f>
        <v>0</v>
      </c>
      <c r="AA4579" s="86"/>
      <c r="AB4579" s="94"/>
      <c r="AC4579" s="94"/>
      <c r="AD4579" s="94"/>
      <c r="AE4579" s="386" t="s">
        <v>133</v>
      </c>
    </row>
    <row r="4580" spans="3:31" s="260" customFormat="1" x14ac:dyDescent="0.25">
      <c r="M4580" s="515" t="s">
        <v>19</v>
      </c>
      <c r="N4580" s="516"/>
      <c r="O4580" s="516"/>
      <c r="P4580" s="516"/>
      <c r="Q4580" s="516"/>
      <c r="R4580" s="516"/>
      <c r="S4580" s="516"/>
      <c r="T4580" s="437">
        <v>0.05</v>
      </c>
      <c r="U4580" s="517">
        <f>+ROUND(U4576*T4580,$AA$5)</f>
        <v>797.65</v>
      </c>
      <c r="V4580" s="518"/>
      <c r="Y4580" s="390"/>
      <c r="Z4580" s="438">
        <f>+Z4576*T4580</f>
        <v>8774.1364999999987</v>
      </c>
      <c r="AA4580" s="86"/>
      <c r="AB4580" s="94"/>
      <c r="AC4580" s="94"/>
      <c r="AD4580" s="94"/>
      <c r="AE4580" s="386" t="s">
        <v>133</v>
      </c>
    </row>
    <row r="4581" spans="3:31" s="260" customFormat="1" x14ac:dyDescent="0.25">
      <c r="M4581" s="515" t="s">
        <v>20</v>
      </c>
      <c r="N4581" s="516"/>
      <c r="O4581" s="516"/>
      <c r="P4581" s="516"/>
      <c r="Q4581" s="516"/>
      <c r="R4581" s="516"/>
      <c r="S4581" s="516"/>
      <c r="T4581" s="437">
        <v>0</v>
      </c>
      <c r="U4581" s="517">
        <f>+ROUND(U4576*T4581,$AA$5)</f>
        <v>0</v>
      </c>
      <c r="V4581" s="518"/>
      <c r="Y4581" s="390"/>
      <c r="Z4581" s="438">
        <f>+Z4576*T4581</f>
        <v>0</v>
      </c>
      <c r="AA4581" s="86"/>
      <c r="AB4581" s="94"/>
      <c r="AC4581" s="94"/>
      <c r="AD4581" s="94"/>
      <c r="AE4581" s="386" t="s">
        <v>133</v>
      </c>
    </row>
    <row r="4582" spans="3:31" s="260" customFormat="1" x14ac:dyDescent="0.25">
      <c r="M4582" s="515" t="s">
        <v>21</v>
      </c>
      <c r="N4582" s="516"/>
      <c r="O4582" s="516"/>
      <c r="P4582" s="516"/>
      <c r="Q4582" s="516"/>
      <c r="R4582" s="516"/>
      <c r="S4582" s="516"/>
      <c r="T4582" s="437">
        <f>$AA$9</f>
        <v>0</v>
      </c>
      <c r="U4582" s="517">
        <f>+ROUND(U4576*T4582,$AA$5)</f>
        <v>0</v>
      </c>
      <c r="V4582" s="518"/>
      <c r="Y4582" s="390"/>
      <c r="Z4582" s="438">
        <f>+Z4581*T4582</f>
        <v>0</v>
      </c>
      <c r="AA4582" s="86"/>
      <c r="AB4582" s="94"/>
      <c r="AC4582" s="94"/>
      <c r="AD4582" s="94"/>
      <c r="AE4582" s="386" t="s">
        <v>133</v>
      </c>
    </row>
    <row r="4583" spans="3:31" s="260" customFormat="1" ht="15.75" thickBot="1" x14ac:dyDescent="0.3">
      <c r="M4583" s="519" t="s">
        <v>349</v>
      </c>
      <c r="N4583" s="520"/>
      <c r="O4583" s="520"/>
      <c r="P4583" s="520"/>
      <c r="Q4583" s="520"/>
      <c r="R4583" s="520"/>
      <c r="S4583" s="520"/>
      <c r="T4583" s="520"/>
      <c r="U4583" s="521">
        <f>+SUM(U4579:V4582)</f>
        <v>797.65</v>
      </c>
      <c r="V4583" s="522"/>
      <c r="Y4583" s="390"/>
      <c r="Z4583" s="439">
        <f>+SUM(Z4579:Z4582)</f>
        <v>8774.1364999999987</v>
      </c>
      <c r="AA4583" s="86"/>
      <c r="AB4583" s="94"/>
      <c r="AC4583" s="94"/>
      <c r="AD4583" s="94"/>
      <c r="AE4583" s="386" t="s">
        <v>133</v>
      </c>
    </row>
    <row r="4584" spans="3:31" s="260" customFormat="1" ht="15.75" thickBot="1" x14ac:dyDescent="0.3">
      <c r="D4584" s="375" t="s">
        <v>128</v>
      </c>
      <c r="E4584" s="376" t="s">
        <v>129</v>
      </c>
      <c r="F4584" s="376" t="s">
        <v>130</v>
      </c>
      <c r="G4584" s="376" t="s">
        <v>131</v>
      </c>
      <c r="H4584" s="376" t="s">
        <v>132</v>
      </c>
      <c r="I4584" s="376" t="s">
        <v>133</v>
      </c>
      <c r="J4584" s="377" t="s">
        <v>134</v>
      </c>
      <c r="M4584" s="86"/>
      <c r="N4584" s="94"/>
      <c r="O4584" s="94"/>
      <c r="P4584" s="94"/>
      <c r="Q4584" s="86"/>
      <c r="R4584" s="86"/>
      <c r="S4584" s="86"/>
      <c r="T4584" s="440"/>
      <c r="U4584" s="523"/>
      <c r="V4584" s="523"/>
      <c r="Y4584" s="390"/>
      <c r="Z4584" s="385"/>
      <c r="AA4584" s="86"/>
      <c r="AB4584" s="94"/>
      <c r="AC4584" s="94"/>
      <c r="AD4584" s="94"/>
      <c r="AE4584" s="386" t="s">
        <v>133</v>
      </c>
    </row>
    <row r="4585" spans="3:31" s="260" customFormat="1" ht="15.75" thickBot="1" x14ac:dyDescent="0.3">
      <c r="D4585" s="355"/>
      <c r="E4585" s="367"/>
      <c r="F4585" s="367"/>
      <c r="G4585" s="367"/>
      <c r="H4585" s="412"/>
      <c r="I4585" s="412">
        <f>H4576</f>
        <v>4.16</v>
      </c>
      <c r="J4585" s="422"/>
      <c r="M4585" s="524" t="s">
        <v>11</v>
      </c>
      <c r="N4585" s="525"/>
      <c r="O4585" s="525"/>
      <c r="P4585" s="525"/>
      <c r="Q4585" s="525"/>
      <c r="R4585" s="525"/>
      <c r="S4585" s="525"/>
      <c r="T4585" s="526"/>
      <c r="U4585" s="527">
        <f>+U4583+U4576</f>
        <v>16750.63</v>
      </c>
      <c r="V4585" s="528"/>
      <c r="Y4585" s="429"/>
      <c r="Z4585" s="441">
        <f>+Z4583+Z4576</f>
        <v>184256.86649999997</v>
      </c>
      <c r="AA4585" s="86"/>
      <c r="AB4585" s="94"/>
      <c r="AC4585" s="94"/>
      <c r="AD4585" s="94"/>
      <c r="AE4585" s="405" t="s">
        <v>133</v>
      </c>
    </row>
    <row r="4586" spans="3:31" s="260" customFormat="1" x14ac:dyDescent="0.25"/>
    <row r="4587" spans="3:31" s="260" customFormat="1" ht="15.75" thickBot="1" x14ac:dyDescent="0.3"/>
    <row r="4588" spans="3:31" s="260" customFormat="1" ht="15.75" thickBot="1" x14ac:dyDescent="0.3">
      <c r="M4588" s="363" t="s">
        <v>88</v>
      </c>
      <c r="N4588" s="436" t="str">
        <f>+N4539</f>
        <v>CAP.4</v>
      </c>
      <c r="O4588" s="550" t="str">
        <f>IFERROR(VLOOKUP(N4588,PPTO!C:H,2,0),"----")</f>
        <v>RED SANITARIA</v>
      </c>
      <c r="P4588" s="551"/>
      <c r="Q4588" s="551"/>
      <c r="R4588" s="551"/>
      <c r="S4588" s="551"/>
      <c r="T4588" s="551"/>
      <c r="U4588" s="552"/>
      <c r="V4588" s="74" t="s">
        <v>91</v>
      </c>
      <c r="Y4588" s="365" t="s">
        <v>104</v>
      </c>
      <c r="Z4588" s="94"/>
      <c r="AA4588" s="188"/>
      <c r="AB4588" s="553"/>
      <c r="AC4588" s="553"/>
      <c r="AD4588" s="553"/>
      <c r="AE4588" s="94"/>
    </row>
    <row r="4589" spans="3:31" s="260" customFormat="1" ht="15.75" thickBot="1" x14ac:dyDescent="0.3">
      <c r="C4589" s="369">
        <f>+N4589</f>
        <v>4.17</v>
      </c>
      <c r="D4589" s="86"/>
      <c r="E4589" s="86"/>
      <c r="F4589" s="86"/>
      <c r="G4589" s="86"/>
      <c r="H4589" s="86"/>
      <c r="I4589" s="86"/>
      <c r="J4589" s="86"/>
      <c r="K4589" s="370"/>
      <c r="M4589" s="75" t="s">
        <v>92</v>
      </c>
      <c r="N4589" s="371">
        <f>+ROUNDUP(N4540+0.01,2)</f>
        <v>4.17</v>
      </c>
      <c r="O4589" s="554" t="str">
        <f>IFERROR(VLOOKUP(N4589,PPTO!C:H,2,0),"----")</f>
        <v>Codo 90° Ventilacion PVC Ø2"</v>
      </c>
      <c r="P4589" s="555"/>
      <c r="Q4589" s="555"/>
      <c r="R4589" s="555"/>
      <c r="S4589" s="555"/>
      <c r="T4589" s="555"/>
      <c r="U4589" s="556"/>
      <c r="V4589" s="76" t="str">
        <f>IFERROR(VLOOKUP(N4589,PPTO!C:H,3,0),"----")</f>
        <v>UND</v>
      </c>
      <c r="Y4589" s="373">
        <f>SUMIFS(PPTO!F:F,PPTO!C:C,APUS!N4589)</f>
        <v>13</v>
      </c>
      <c r="Z4589" s="94"/>
      <c r="AA4589" s="86"/>
      <c r="AB4589" s="94"/>
      <c r="AC4589" s="94"/>
      <c r="AD4589" s="94"/>
      <c r="AE4589" s="94"/>
    </row>
    <row r="4590" spans="3:31" s="260" customFormat="1" ht="15.75" thickBot="1" x14ac:dyDescent="0.3">
      <c r="C4590" s="84"/>
      <c r="D4590" s="86"/>
      <c r="E4590" s="86"/>
      <c r="F4590" s="86"/>
      <c r="G4590" s="86"/>
      <c r="H4590" s="86"/>
      <c r="I4590" s="86"/>
      <c r="J4590" s="86"/>
      <c r="K4590" s="88"/>
      <c r="M4590" s="557"/>
      <c r="N4590" s="557"/>
      <c r="O4590" s="557"/>
      <c r="P4590" s="557"/>
      <c r="Q4590" s="557"/>
      <c r="R4590" s="557"/>
      <c r="S4590" s="557"/>
      <c r="T4590" s="557"/>
      <c r="U4590" s="557"/>
      <c r="V4590" s="557"/>
      <c r="Y4590" s="374"/>
      <c r="Z4590" s="94"/>
      <c r="AA4590" s="86"/>
      <c r="AB4590" s="94"/>
      <c r="AC4590" s="94"/>
      <c r="AD4590" s="94"/>
      <c r="AE4590" s="94"/>
    </row>
    <row r="4591" spans="3:31" s="260" customFormat="1" ht="15.75" thickBot="1" x14ac:dyDescent="0.3">
      <c r="C4591" s="84"/>
      <c r="D4591" s="375" t="s">
        <v>128</v>
      </c>
      <c r="E4591" s="376" t="s">
        <v>129</v>
      </c>
      <c r="F4591" s="376" t="s">
        <v>130</v>
      </c>
      <c r="G4591" s="376" t="s">
        <v>131</v>
      </c>
      <c r="H4591" s="376" t="s">
        <v>132</v>
      </c>
      <c r="I4591" s="376" t="s">
        <v>133</v>
      </c>
      <c r="J4591" s="377" t="s">
        <v>134</v>
      </c>
      <c r="K4591" s="88"/>
      <c r="M4591" s="558" t="s">
        <v>93</v>
      </c>
      <c r="N4591" s="559"/>
      <c r="O4591" s="559"/>
      <c r="P4591" s="559"/>
      <c r="Q4591" s="559"/>
      <c r="R4591" s="559"/>
      <c r="S4591" s="559"/>
      <c r="T4591" s="559"/>
      <c r="U4591" s="559"/>
      <c r="V4591" s="560"/>
      <c r="Y4591" s="378"/>
      <c r="Z4591" s="121"/>
      <c r="AA4591" s="86"/>
      <c r="AB4591" s="513"/>
      <c r="AC4591" s="514"/>
      <c r="AD4591" s="94"/>
      <c r="AE4591" s="379"/>
    </row>
    <row r="4592" spans="3:31" s="260" customFormat="1" x14ac:dyDescent="0.25">
      <c r="C4592" s="84"/>
      <c r="D4592" s="380"/>
      <c r="E4592" s="381"/>
      <c r="F4592" s="381"/>
      <c r="G4592" s="381"/>
      <c r="H4592" s="381"/>
      <c r="I4592" s="381"/>
      <c r="J4592" s="382"/>
      <c r="K4592" s="88"/>
      <c r="M4592" s="99" t="s">
        <v>94</v>
      </c>
      <c r="N4592" s="561" t="s">
        <v>95</v>
      </c>
      <c r="O4592" s="561"/>
      <c r="P4592" s="561"/>
      <c r="Q4592" s="561"/>
      <c r="R4592" s="95" t="s">
        <v>96</v>
      </c>
      <c r="S4592" s="95" t="s">
        <v>97</v>
      </c>
      <c r="T4592" s="562" t="s">
        <v>8</v>
      </c>
      <c r="U4592" s="562"/>
      <c r="V4592" s="100" t="s">
        <v>98</v>
      </c>
      <c r="Y4592" s="383" t="s">
        <v>104</v>
      </c>
      <c r="Z4592" s="119" t="s">
        <v>9</v>
      </c>
      <c r="AA4592" s="86"/>
      <c r="AB4592" s="384"/>
      <c r="AC4592" s="385"/>
      <c r="AD4592" s="94"/>
      <c r="AE4592" s="386"/>
    </row>
    <row r="4593" spans="3:31" s="260" customFormat="1" x14ac:dyDescent="0.25">
      <c r="C4593" s="84"/>
      <c r="D4593" s="85"/>
      <c r="E4593" s="86"/>
      <c r="F4593" s="86"/>
      <c r="G4593" s="86"/>
      <c r="H4593" s="86"/>
      <c r="I4593" s="86"/>
      <c r="J4593" s="87"/>
      <c r="K4593" s="88"/>
      <c r="M4593" s="102"/>
      <c r="N4593" s="533" t="s">
        <v>99</v>
      </c>
      <c r="O4593" s="533"/>
      <c r="P4593" s="533"/>
      <c r="Q4593" s="533"/>
      <c r="R4593" s="78" t="s">
        <v>100</v>
      </c>
      <c r="S4593" s="387">
        <f>+$AA$10</f>
        <v>0.05</v>
      </c>
      <c r="T4593" s="563">
        <f>V4623</f>
        <v>4184.2299999999996</v>
      </c>
      <c r="U4593" s="563"/>
      <c r="V4593" s="389">
        <f>+IFERROR(T4593*S4593,0)</f>
        <v>209.2115</v>
      </c>
      <c r="Y4593" s="390"/>
      <c r="Z4593" s="391">
        <f>Y4589*V4593</f>
        <v>2719.7494999999999</v>
      </c>
      <c r="AA4593" s="86"/>
      <c r="AB4593" s="384"/>
      <c r="AC4593" s="385"/>
      <c r="AD4593" s="94"/>
      <c r="AE4593" s="386" t="str">
        <f>+IF(V4593=0,"CERO","NO")</f>
        <v>NO</v>
      </c>
    </row>
    <row r="4594" spans="3:31" s="260" customFormat="1" x14ac:dyDescent="0.25">
      <c r="C4594" s="84"/>
      <c r="D4594" s="85"/>
      <c r="E4594" s="86"/>
      <c r="F4594" s="86"/>
      <c r="G4594" s="86"/>
      <c r="H4594" s="86"/>
      <c r="I4594" s="86"/>
      <c r="J4594" s="87"/>
      <c r="K4594" s="88"/>
      <c r="M4594" s="106"/>
      <c r="N4594" s="533" t="str">
        <f>IFERROR(VLOOKUP(M4594,INSUMOS!$C$8:$K$928,2,0),"-----")</f>
        <v>-----</v>
      </c>
      <c r="O4594" s="533"/>
      <c r="P4594" s="533"/>
      <c r="Q4594" s="533"/>
      <c r="R4594" s="78" t="str">
        <f>IFERROR(VLOOKUP(M4594,INSUMOS!$C$8:$K$928,6,0),"-----")</f>
        <v>-----</v>
      </c>
      <c r="S4594" s="392"/>
      <c r="T4594" s="529" t="str">
        <f>IFERROR(VLOOKUP(M4594,INSUMOS!$C$8:$K$928,7,0),"0")</f>
        <v>0</v>
      </c>
      <c r="U4594" s="529"/>
      <c r="V4594" s="389">
        <f>+IFERROR(T4594*S4594,0)</f>
        <v>0</v>
      </c>
      <c r="Y4594" s="393">
        <f>+IFERROR(Y4589*S4594,0)</f>
        <v>0</v>
      </c>
      <c r="Z4594" s="391">
        <f>Y4589*V4594</f>
        <v>0</v>
      </c>
      <c r="AA4594" s="394"/>
      <c r="AB4594" s="395">
        <f>+Y4594*T4594</f>
        <v>0</v>
      </c>
      <c r="AC4594" s="93">
        <f>+AB4594-Z4594</f>
        <v>0</v>
      </c>
      <c r="AD4594" s="94"/>
      <c r="AE4594" s="386" t="str">
        <f>+IF(V4594=0,"CERO","NO")</f>
        <v>CERO</v>
      </c>
    </row>
    <row r="4595" spans="3:31" s="260" customFormat="1" x14ac:dyDescent="0.25">
      <c r="C4595" s="84"/>
      <c r="D4595" s="85"/>
      <c r="E4595" s="86"/>
      <c r="F4595" s="86"/>
      <c r="G4595" s="86"/>
      <c r="H4595" s="86"/>
      <c r="I4595" s="86"/>
      <c r="J4595" s="87"/>
      <c r="K4595" s="88"/>
      <c r="M4595" s="102">
        <v>0</v>
      </c>
      <c r="N4595" s="533"/>
      <c r="O4595" s="533"/>
      <c r="P4595" s="533"/>
      <c r="Q4595" s="533"/>
      <c r="R4595" s="78"/>
      <c r="S4595" s="396"/>
      <c r="T4595" s="529"/>
      <c r="U4595" s="529"/>
      <c r="V4595" s="397"/>
      <c r="Y4595" s="393">
        <f>+IFERROR(Y4589*S4595,0)</f>
        <v>0</v>
      </c>
      <c r="Z4595" s="391">
        <f>Y4589*V4595</f>
        <v>0</v>
      </c>
      <c r="AA4595" s="394"/>
      <c r="AB4595" s="395">
        <f>+Y4595*T4595</f>
        <v>0</v>
      </c>
      <c r="AC4595" s="93">
        <f>+AB4595-Z4595</f>
        <v>0</v>
      </c>
      <c r="AD4595" s="94"/>
      <c r="AE4595" s="386" t="str">
        <f>+IF(V4595=0,"CERO","NO")</f>
        <v>CERO</v>
      </c>
    </row>
    <row r="4596" spans="3:31" s="260" customFormat="1" x14ac:dyDescent="0.25">
      <c r="C4596" s="84"/>
      <c r="D4596" s="85"/>
      <c r="E4596" s="86"/>
      <c r="F4596" s="86"/>
      <c r="G4596" s="86"/>
      <c r="H4596" s="86"/>
      <c r="I4596" s="86"/>
      <c r="J4596" s="87"/>
      <c r="K4596" s="88"/>
      <c r="M4596" s="102">
        <v>0</v>
      </c>
      <c r="N4596" s="533"/>
      <c r="O4596" s="533"/>
      <c r="P4596" s="533"/>
      <c r="Q4596" s="533"/>
      <c r="R4596" s="78"/>
      <c r="S4596" s="396"/>
      <c r="T4596" s="529"/>
      <c r="U4596" s="529"/>
      <c r="V4596" s="397"/>
      <c r="Y4596" s="393">
        <f>+IFERROR(Y4589*S4596,0)</f>
        <v>0</v>
      </c>
      <c r="Z4596" s="391">
        <f>Y4589*V4596</f>
        <v>0</v>
      </c>
      <c r="AA4596" s="394"/>
      <c r="AB4596" s="395">
        <f>+Y4596*T4596</f>
        <v>0</v>
      </c>
      <c r="AC4596" s="93">
        <f>+AB4596-Z4596</f>
        <v>0</v>
      </c>
      <c r="AD4596" s="94"/>
      <c r="AE4596" s="386" t="str">
        <f>+IF(V4596=0,"CERO","NO")</f>
        <v>CERO</v>
      </c>
    </row>
    <row r="4597" spans="3:31" s="260" customFormat="1" ht="15.75" thickBot="1" x14ac:dyDescent="0.3">
      <c r="C4597" s="84"/>
      <c r="D4597" s="85"/>
      <c r="E4597" s="86"/>
      <c r="F4597" s="86"/>
      <c r="G4597" s="86"/>
      <c r="H4597" s="86"/>
      <c r="I4597" s="86"/>
      <c r="J4597" s="87"/>
      <c r="K4597" s="88"/>
      <c r="M4597" s="102">
        <v>0</v>
      </c>
      <c r="N4597" s="564"/>
      <c r="O4597" s="564"/>
      <c r="P4597" s="564"/>
      <c r="Q4597" s="564"/>
      <c r="R4597" s="96"/>
      <c r="S4597" s="96"/>
      <c r="T4597" s="565"/>
      <c r="U4597" s="565"/>
      <c r="V4597" s="101"/>
      <c r="Y4597" s="393">
        <f>+IFERROR(Y4589*S4597,0)</f>
        <v>0</v>
      </c>
      <c r="Z4597" s="391">
        <f>Y4589*V4597</f>
        <v>0</v>
      </c>
      <c r="AA4597" s="394"/>
      <c r="AB4597" s="395">
        <f>+Y4597*T4597</f>
        <v>0</v>
      </c>
      <c r="AC4597" s="93">
        <f>+AB4597-Z4597</f>
        <v>0</v>
      </c>
      <c r="AD4597" s="94"/>
      <c r="AE4597" s="386" t="str">
        <f>+IF(V4597=0,"CERO","NO")</f>
        <v>CERO</v>
      </c>
    </row>
    <row r="4598" spans="3:31" s="260" customFormat="1" ht="15.75" thickBot="1" x14ac:dyDescent="0.3">
      <c r="C4598" s="84"/>
      <c r="D4598" s="375" t="s">
        <v>128</v>
      </c>
      <c r="E4598" s="376" t="s">
        <v>129</v>
      </c>
      <c r="F4598" s="376" t="s">
        <v>130</v>
      </c>
      <c r="G4598" s="376" t="s">
        <v>131</v>
      </c>
      <c r="H4598" s="376" t="s">
        <v>132</v>
      </c>
      <c r="I4598" s="376" t="s">
        <v>133</v>
      </c>
      <c r="J4598" s="377" t="s">
        <v>134</v>
      </c>
      <c r="K4598" s="88"/>
      <c r="M4598" s="534"/>
      <c r="N4598" s="536" t="s">
        <v>101</v>
      </c>
      <c r="O4598" s="536"/>
      <c r="P4598" s="536"/>
      <c r="Q4598" s="536"/>
      <c r="R4598" s="536"/>
      <c r="S4598" s="536"/>
      <c r="T4598" s="536"/>
      <c r="U4598" s="536"/>
      <c r="V4598" s="389">
        <f>+SUM(V4593:V4597)</f>
        <v>209.2115</v>
      </c>
      <c r="Y4598" s="398" t="s">
        <v>135</v>
      </c>
      <c r="Z4598" s="397">
        <f>+SUM(Z4593:Z4597)</f>
        <v>2719.7494999999999</v>
      </c>
      <c r="AA4598" s="86"/>
      <c r="AB4598" s="384"/>
      <c r="AC4598" s="385"/>
      <c r="AD4598" s="94"/>
      <c r="AE4598" s="399"/>
    </row>
    <row r="4599" spans="3:31" s="260" customFormat="1" ht="15.75" thickBot="1" x14ac:dyDescent="0.3">
      <c r="C4599" s="84"/>
      <c r="D4599" s="375">
        <f>C4589</f>
        <v>4.17</v>
      </c>
      <c r="E4599" s="376"/>
      <c r="F4599" s="376"/>
      <c r="G4599" s="376"/>
      <c r="H4599" s="376"/>
      <c r="I4599" s="376"/>
      <c r="J4599" s="377"/>
      <c r="K4599" s="88"/>
      <c r="M4599" s="566"/>
      <c r="N4599" s="567" t="s">
        <v>102</v>
      </c>
      <c r="O4599" s="567"/>
      <c r="P4599" s="567"/>
      <c r="Q4599" s="567"/>
      <c r="R4599" s="567"/>
      <c r="S4599" s="567"/>
      <c r="T4599" s="567"/>
      <c r="U4599" s="567"/>
      <c r="V4599" s="400">
        <f>+ROUND(V4598,$AA$5)</f>
        <v>209.21</v>
      </c>
      <c r="Y4599" s="401" t="s">
        <v>136</v>
      </c>
      <c r="Z4599" s="402">
        <f>+ROUND(Z4598,$AA$5)</f>
        <v>2719.75</v>
      </c>
      <c r="AA4599" s="86"/>
      <c r="AB4599" s="403">
        <f>+V4599*Y4589</f>
        <v>2719.73</v>
      </c>
      <c r="AC4599" s="404">
        <f>+AB4599-Z4599</f>
        <v>-1.999999999998181E-2</v>
      </c>
      <c r="AD4599" s="94"/>
      <c r="AE4599" s="405"/>
    </row>
    <row r="4600" spans="3:31" s="260" customFormat="1" x14ac:dyDescent="0.25">
      <c r="C4600" s="84"/>
      <c r="D4600" s="380"/>
      <c r="E4600" s="381"/>
      <c r="F4600" s="381"/>
      <c r="G4600" s="381"/>
      <c r="H4600" s="381"/>
      <c r="I4600" s="381"/>
      <c r="J4600" s="382"/>
      <c r="K4600" s="88"/>
      <c r="M4600" s="510" t="s">
        <v>103</v>
      </c>
      <c r="N4600" s="511"/>
      <c r="O4600" s="511"/>
      <c r="P4600" s="511"/>
      <c r="Q4600" s="511"/>
      <c r="R4600" s="511"/>
      <c r="S4600" s="511"/>
      <c r="T4600" s="511"/>
      <c r="U4600" s="511"/>
      <c r="V4600" s="512"/>
      <c r="Y4600" s="378"/>
      <c r="Z4600" s="121"/>
      <c r="AA4600" s="86"/>
      <c r="AB4600" s="513"/>
      <c r="AC4600" s="514"/>
      <c r="AD4600" s="94"/>
      <c r="AE4600" s="126"/>
    </row>
    <row r="4601" spans="3:31" s="260" customFormat="1" x14ac:dyDescent="0.25">
      <c r="C4601" s="84"/>
      <c r="D4601" s="85"/>
      <c r="E4601" s="86"/>
      <c r="F4601" s="86"/>
      <c r="G4601" s="86"/>
      <c r="H4601" s="86"/>
      <c r="I4601" s="86"/>
      <c r="J4601" s="87"/>
      <c r="K4601" s="88"/>
      <c r="M4601" s="99" t="s">
        <v>94</v>
      </c>
      <c r="N4601" s="561" t="s">
        <v>95</v>
      </c>
      <c r="O4601" s="561"/>
      <c r="P4601" s="561"/>
      <c r="Q4601" s="561"/>
      <c r="R4601" s="95" t="s">
        <v>96</v>
      </c>
      <c r="S4601" s="95" t="s">
        <v>104</v>
      </c>
      <c r="T4601" s="356" t="s">
        <v>105</v>
      </c>
      <c r="U4601" s="356" t="s">
        <v>8</v>
      </c>
      <c r="V4601" s="100" t="s">
        <v>98</v>
      </c>
      <c r="Y4601" s="383" t="s">
        <v>104</v>
      </c>
      <c r="Z4601" s="119" t="s">
        <v>9</v>
      </c>
      <c r="AA4601" s="86"/>
      <c r="AB4601" s="384"/>
      <c r="AC4601" s="385"/>
      <c r="AD4601" s="94"/>
      <c r="AE4601" s="406"/>
    </row>
    <row r="4602" spans="3:31" s="260" customFormat="1" x14ac:dyDescent="0.25">
      <c r="C4602" s="84"/>
      <c r="D4602" s="85"/>
      <c r="E4602" s="86"/>
      <c r="F4602" s="86"/>
      <c r="G4602" s="86"/>
      <c r="H4602" s="86"/>
      <c r="I4602" s="86"/>
      <c r="J4602" s="87"/>
      <c r="K4602" s="88"/>
      <c r="M4602" s="102">
        <v>558</v>
      </c>
      <c r="N4602" s="533" t="str">
        <f>IFERROR(VLOOKUP(M4602,INSUMOS!$C$8:$K$928,2,0),"-----")</f>
        <v>CODO 2" 90° SANITARIO</v>
      </c>
      <c r="O4602" s="533"/>
      <c r="P4602" s="533"/>
      <c r="Q4602" s="533"/>
      <c r="R4602" s="78" t="str">
        <f>IFERROR(VLOOKUP(M4602,INSUMOS!$C$8:$K$928,6,0),"-----")</f>
        <v>und</v>
      </c>
      <c r="S4602" s="396">
        <v>1</v>
      </c>
      <c r="T4602" s="387">
        <v>0</v>
      </c>
      <c r="U4602" s="388">
        <f>IFERROR(VLOOKUP(M4602,INSUMOS!$C$8:$K$928,7,0),"0")</f>
        <v>4434</v>
      </c>
      <c r="V4602" s="389">
        <f>+IFERROR(U4602*(S4602*(1+T4602)),0)</f>
        <v>4434</v>
      </c>
      <c r="Y4602" s="393">
        <f>+IFERROR(Y4589*(S4602*(1+T4602)),0)</f>
        <v>13</v>
      </c>
      <c r="Z4602" s="391">
        <f>Y4589*V4602</f>
        <v>57642</v>
      </c>
      <c r="AA4602" s="394"/>
      <c r="AB4602" s="395">
        <f>+Y4602*U4602</f>
        <v>57642</v>
      </c>
      <c r="AC4602" s="93">
        <f>+AB4602-Z4602</f>
        <v>0</v>
      </c>
      <c r="AD4602" s="94"/>
      <c r="AE4602" s="406" t="str">
        <f>+IF(V4602=0,"CERO","NO")</f>
        <v>NO</v>
      </c>
    </row>
    <row r="4603" spans="3:31" s="260" customFormat="1" x14ac:dyDescent="0.25">
      <c r="C4603" s="84"/>
      <c r="D4603" s="85"/>
      <c r="E4603" s="86"/>
      <c r="F4603" s="86"/>
      <c r="G4603" s="86"/>
      <c r="H4603" s="86"/>
      <c r="I4603" s="86"/>
      <c r="J4603" s="87"/>
      <c r="K4603" s="88"/>
      <c r="M4603" s="102">
        <v>699</v>
      </c>
      <c r="N4603" s="533" t="str">
        <f>IFERROR(VLOOKUP(M4603,INSUMOS!$C$8:$K$928,2,0),"-----")</f>
        <v>SOLDADURA PVC LIQUIDA 1/4"</v>
      </c>
      <c r="O4603" s="533"/>
      <c r="P4603" s="533"/>
      <c r="Q4603" s="533"/>
      <c r="R4603" s="78" t="str">
        <f>IFERROR(VLOOKUP(M4603,INSUMOS!$C$8:$K$928,6,0),"-----")</f>
        <v>und</v>
      </c>
      <c r="S4603" s="396">
        <v>0.01</v>
      </c>
      <c r="T4603" s="387">
        <v>0.02</v>
      </c>
      <c r="U4603" s="388">
        <f>IFERROR(VLOOKUP(M4603,INSUMOS!$C$8:$K$928,7,0),"0")</f>
        <v>146569</v>
      </c>
      <c r="V4603" s="389">
        <f>+IFERROR(U4603*(S4603*(1+T4603)),0)</f>
        <v>1495.0038000000002</v>
      </c>
      <c r="Y4603" s="393">
        <f>+IFERROR(Y4589*(S4603*(1+T4603)),0)</f>
        <v>0.1326</v>
      </c>
      <c r="Z4603" s="391">
        <f>Y4589*V4603</f>
        <v>19435.049400000004</v>
      </c>
      <c r="AA4603" s="394"/>
      <c r="AB4603" s="395">
        <f>+Y4603*U4603</f>
        <v>19435.0494</v>
      </c>
      <c r="AC4603" s="93">
        <f>+AB4603-Z4603</f>
        <v>0</v>
      </c>
      <c r="AD4603" s="94"/>
      <c r="AE4603" s="406" t="str">
        <f>+IF(V4603=0,"CERO","NO")</f>
        <v>NO</v>
      </c>
    </row>
    <row r="4604" spans="3:31" s="260" customFormat="1" x14ac:dyDescent="0.25">
      <c r="C4604" s="84"/>
      <c r="D4604" s="85"/>
      <c r="E4604" s="86"/>
      <c r="F4604" s="86"/>
      <c r="G4604" s="86"/>
      <c r="H4604" s="86"/>
      <c r="I4604" s="86"/>
      <c r="J4604" s="87"/>
      <c r="K4604" s="88"/>
      <c r="M4604" s="102">
        <v>700</v>
      </c>
      <c r="N4604" s="533" t="str">
        <f>IFERROR(VLOOKUP(M4604,INSUMOS!$C$8:$K$928,2,0),"-----")</f>
        <v>LIMPIADOR PVC 1/4</v>
      </c>
      <c r="O4604" s="533"/>
      <c r="P4604" s="533"/>
      <c r="Q4604" s="533"/>
      <c r="R4604" s="78" t="str">
        <f>IFERROR(VLOOKUP(M4604,INSUMOS!$C$8:$K$928,6,0),"-----")</f>
        <v>und</v>
      </c>
      <c r="S4604" s="396">
        <v>0.01</v>
      </c>
      <c r="T4604" s="387">
        <v>0.02</v>
      </c>
      <c r="U4604" s="388">
        <f>IFERROR(VLOOKUP(M4604,INSUMOS!$C$8:$K$928,7,0),"0")</f>
        <v>65913</v>
      </c>
      <c r="V4604" s="389">
        <f>+IFERROR(U4604*(S4604*(1+T4604)),0)</f>
        <v>672.31260000000009</v>
      </c>
      <c r="Y4604" s="393">
        <f>+IFERROR(Y4589*(S4604*(1+T4604)),0)</f>
        <v>0.1326</v>
      </c>
      <c r="Z4604" s="391">
        <f>Y4589*V4604</f>
        <v>8740.0638000000017</v>
      </c>
      <c r="AA4604" s="394"/>
      <c r="AB4604" s="395">
        <f>+Y4604*U4604</f>
        <v>8740.0637999999999</v>
      </c>
      <c r="AC4604" s="93">
        <f>+AB4604-Z4604</f>
        <v>0</v>
      </c>
      <c r="AD4604" s="94"/>
      <c r="AE4604" s="406" t="str">
        <f>+IF(V4604=0,"CERO","NO")</f>
        <v>NO</v>
      </c>
    </row>
    <row r="4605" spans="3:31" s="260" customFormat="1" x14ac:dyDescent="0.25">
      <c r="C4605" s="84"/>
      <c r="D4605" s="85"/>
      <c r="E4605" s="86"/>
      <c r="F4605" s="86"/>
      <c r="G4605" s="86"/>
      <c r="H4605" s="86"/>
      <c r="I4605" s="86"/>
      <c r="J4605" s="87"/>
      <c r="K4605" s="88"/>
      <c r="M4605" s="102">
        <v>0</v>
      </c>
      <c r="N4605" s="533" t="str">
        <f>IFERROR(VLOOKUP(M4605,INSUMOS!$C$8:$K$928,2,0),"-----")</f>
        <v>-----</v>
      </c>
      <c r="O4605" s="533"/>
      <c r="P4605" s="533"/>
      <c r="Q4605" s="533"/>
      <c r="R4605" s="78" t="str">
        <f>IFERROR(VLOOKUP(M4605,INSUMOS!$C$8:$K$928,6,0),"-----")</f>
        <v>-----</v>
      </c>
      <c r="S4605" s="396"/>
      <c r="T4605" s="387"/>
      <c r="U4605" s="388" t="str">
        <f>IFERROR(VLOOKUP(M4605,INSUMOS!$C$8:$K$928,7,0),"0")</f>
        <v>0</v>
      </c>
      <c r="V4605" s="389">
        <f>+IFERROR(U4605*(S4605*(1+T4605)),0)</f>
        <v>0</v>
      </c>
      <c r="Y4605" s="393">
        <f>+IFERROR(Y4589*(S4605*(1+T4605)),0)</f>
        <v>0</v>
      </c>
      <c r="Z4605" s="391">
        <f>Y4589*V4605</f>
        <v>0</v>
      </c>
      <c r="AA4605" s="394"/>
      <c r="AB4605" s="395">
        <f>+Y4605*U4605</f>
        <v>0</v>
      </c>
      <c r="AC4605" s="93">
        <f>+AB4605-Z4605</f>
        <v>0</v>
      </c>
      <c r="AD4605" s="94"/>
      <c r="AE4605" s="406" t="str">
        <f>+IF(V4605=0,"CERO","NO")</f>
        <v>CERO</v>
      </c>
    </row>
    <row r="4606" spans="3:31" s="260" customFormat="1" ht="15.75" thickBot="1" x14ac:dyDescent="0.3">
      <c r="C4606" s="84"/>
      <c r="D4606" s="85"/>
      <c r="E4606" s="86"/>
      <c r="F4606" s="86"/>
      <c r="G4606" s="86"/>
      <c r="H4606" s="86"/>
      <c r="I4606" s="86"/>
      <c r="J4606" s="87"/>
      <c r="K4606" s="88"/>
      <c r="M4606" s="102">
        <v>0</v>
      </c>
      <c r="N4606" s="564"/>
      <c r="O4606" s="564"/>
      <c r="P4606" s="564"/>
      <c r="Q4606" s="564"/>
      <c r="R4606" s="96"/>
      <c r="S4606" s="79"/>
      <c r="T4606" s="97"/>
      <c r="U4606" s="358"/>
      <c r="V4606" s="397"/>
      <c r="Y4606" s="393">
        <f>+IFERROR(Y4589*(S4606*(1+T4606)),0)</f>
        <v>0</v>
      </c>
      <c r="Z4606" s="391">
        <f>Y4589*V4606</f>
        <v>0</v>
      </c>
      <c r="AA4606" s="394"/>
      <c r="AB4606" s="395">
        <f>+Y4606*U4606</f>
        <v>0</v>
      </c>
      <c r="AC4606" s="93">
        <f>+AB4606-Z4606</f>
        <v>0</v>
      </c>
      <c r="AD4606" s="94"/>
      <c r="AE4606" s="406" t="str">
        <f>+IF(V4606=0,"CERO","NO")</f>
        <v>CERO</v>
      </c>
    </row>
    <row r="4607" spans="3:31" s="260" customFormat="1" ht="15.75" thickBot="1" x14ac:dyDescent="0.3">
      <c r="C4607" s="84"/>
      <c r="D4607" s="375" t="s">
        <v>128</v>
      </c>
      <c r="E4607" s="376" t="s">
        <v>129</v>
      </c>
      <c r="F4607" s="376" t="s">
        <v>130</v>
      </c>
      <c r="G4607" s="376" t="s">
        <v>131</v>
      </c>
      <c r="H4607" s="376" t="s">
        <v>132</v>
      </c>
      <c r="I4607" s="376" t="s">
        <v>133</v>
      </c>
      <c r="J4607" s="377" t="s">
        <v>134</v>
      </c>
      <c r="K4607" s="88"/>
      <c r="M4607" s="534"/>
      <c r="N4607" s="536" t="s">
        <v>106</v>
      </c>
      <c r="O4607" s="536"/>
      <c r="P4607" s="536"/>
      <c r="Q4607" s="536"/>
      <c r="R4607" s="536"/>
      <c r="S4607" s="536"/>
      <c r="T4607" s="536"/>
      <c r="U4607" s="536"/>
      <c r="V4607" s="389">
        <f>+SUM(V4602:V4606)</f>
        <v>6601.3164000000006</v>
      </c>
      <c r="Y4607" s="398" t="s">
        <v>135</v>
      </c>
      <c r="Z4607" s="397">
        <f>+SUM(Z4602:Z4606)</f>
        <v>85817.113200000007</v>
      </c>
      <c r="AA4607" s="86"/>
      <c r="AB4607" s="384"/>
      <c r="AC4607" s="385"/>
      <c r="AD4607" s="94"/>
      <c r="AE4607" s="399"/>
    </row>
    <row r="4608" spans="3:31" s="260" customFormat="1" ht="15.75" thickBot="1" x14ac:dyDescent="0.3">
      <c r="C4608" s="84"/>
      <c r="D4608" s="375"/>
      <c r="E4608" s="407">
        <f>+D4599</f>
        <v>4.17</v>
      </c>
      <c r="F4608" s="376"/>
      <c r="G4608" s="376"/>
      <c r="H4608" s="376"/>
      <c r="I4608" s="376"/>
      <c r="J4608" s="377"/>
      <c r="K4608" s="88"/>
      <c r="M4608" s="535"/>
      <c r="N4608" s="537" t="s">
        <v>107</v>
      </c>
      <c r="O4608" s="537"/>
      <c r="P4608" s="537"/>
      <c r="Q4608" s="537"/>
      <c r="R4608" s="537"/>
      <c r="S4608" s="537"/>
      <c r="T4608" s="537"/>
      <c r="U4608" s="537"/>
      <c r="V4608" s="408">
        <f>+ROUND(V4607,$AA$5)</f>
        <v>6601.32</v>
      </c>
      <c r="Y4608" s="401" t="s">
        <v>136</v>
      </c>
      <c r="Z4608" s="402">
        <f>+ROUND(Z4607,$AA$5)</f>
        <v>85817.11</v>
      </c>
      <c r="AA4608" s="86"/>
      <c r="AB4608" s="403">
        <f>+V4608*Y4589</f>
        <v>85817.16</v>
      </c>
      <c r="AC4608" s="404">
        <f>+AB4608-Z4608</f>
        <v>5.0000000002910383E-2</v>
      </c>
      <c r="AD4608" s="94"/>
      <c r="AE4608" s="405"/>
    </row>
    <row r="4609" spans="3:31" s="260" customFormat="1" x14ac:dyDescent="0.25">
      <c r="C4609" s="84"/>
      <c r="D4609" s="380"/>
      <c r="E4609" s="381"/>
      <c r="F4609" s="381"/>
      <c r="G4609" s="381"/>
      <c r="H4609" s="381"/>
      <c r="I4609" s="381"/>
      <c r="J4609" s="382"/>
      <c r="K4609" s="88"/>
      <c r="M4609" s="568" t="s">
        <v>108</v>
      </c>
      <c r="N4609" s="569"/>
      <c r="O4609" s="569"/>
      <c r="P4609" s="569"/>
      <c r="Q4609" s="569"/>
      <c r="R4609" s="569"/>
      <c r="S4609" s="569"/>
      <c r="T4609" s="569"/>
      <c r="U4609" s="569"/>
      <c r="V4609" s="570"/>
      <c r="Y4609" s="378"/>
      <c r="Z4609" s="121"/>
      <c r="AA4609" s="86"/>
      <c r="AB4609" s="409"/>
      <c r="AC4609" s="121"/>
      <c r="AD4609" s="94"/>
      <c r="AE4609" s="126"/>
    </row>
    <row r="4610" spans="3:31" s="260" customFormat="1" ht="25.5" x14ac:dyDescent="0.25">
      <c r="C4610" s="84"/>
      <c r="D4610" s="85"/>
      <c r="E4610" s="86"/>
      <c r="F4610" s="86"/>
      <c r="G4610" s="86"/>
      <c r="H4610" s="86"/>
      <c r="I4610" s="86"/>
      <c r="J4610" s="87"/>
      <c r="K4610" s="88"/>
      <c r="M4610" s="99" t="s">
        <v>94</v>
      </c>
      <c r="N4610" s="561" t="s">
        <v>95</v>
      </c>
      <c r="O4610" s="561"/>
      <c r="P4610" s="561"/>
      <c r="Q4610" s="95" t="s">
        <v>109</v>
      </c>
      <c r="R4610" s="95" t="s">
        <v>110</v>
      </c>
      <c r="S4610" s="95" t="s">
        <v>111</v>
      </c>
      <c r="T4610" s="562" t="s">
        <v>112</v>
      </c>
      <c r="U4610" s="562"/>
      <c r="V4610" s="100" t="s">
        <v>98</v>
      </c>
      <c r="Y4610" s="383" t="s">
        <v>104</v>
      </c>
      <c r="Z4610" s="119" t="s">
        <v>9</v>
      </c>
      <c r="AA4610" s="86"/>
      <c r="AB4610" s="384"/>
      <c r="AC4610" s="385"/>
      <c r="AD4610" s="94"/>
      <c r="AE4610" s="410"/>
    </row>
    <row r="4611" spans="3:31" s="260" customFormat="1" x14ac:dyDescent="0.25">
      <c r="C4611" s="84"/>
      <c r="D4611" s="85"/>
      <c r="E4611" s="86"/>
      <c r="F4611" s="86"/>
      <c r="G4611" s="86"/>
      <c r="H4611" s="86"/>
      <c r="I4611" s="86"/>
      <c r="J4611" s="87"/>
      <c r="K4611" s="88"/>
      <c r="M4611" s="102">
        <v>129</v>
      </c>
      <c r="N4611" s="530" t="str">
        <f>IFERROR(VLOOKUP(M4611,INSUMOS!$C$8:$K$928,2,0),"-----")</f>
        <v>transporte materiales en general</v>
      </c>
      <c r="O4611" s="531"/>
      <c r="P4611" s="532"/>
      <c r="Q4611" s="78" t="str">
        <f>IFERROR(VLOOKUP(M4611,INSUMOS!$C$8:$K$928,5,0),"-----")</f>
        <v>Km</v>
      </c>
      <c r="R4611" s="80">
        <v>1</v>
      </c>
      <c r="S4611" s="80">
        <f>IFERROR(VLOOKUP(M4611,INSUMOS!$C$8:$K$928,6,0),"0")</f>
        <v>348</v>
      </c>
      <c r="T4611" s="529">
        <f>IFERROR(VLOOKUP(M4611,INSUMOS!$C$8:$K$928,7,0),"0")</f>
        <v>0.99776362060288992</v>
      </c>
      <c r="U4611" s="529"/>
      <c r="V4611" s="82">
        <f>+T4611*S4611*R4611</f>
        <v>347.2217399698057</v>
      </c>
      <c r="Y4611" s="393">
        <f>+IFERROR((R4611*S4611)*Y4589,0)</f>
        <v>4524</v>
      </c>
      <c r="Z4611" s="391">
        <f>Y4589*V4611</f>
        <v>4513.8826196074742</v>
      </c>
      <c r="AA4611" s="86"/>
      <c r="AB4611" s="92">
        <f>+Y4611*T4611</f>
        <v>4513.8826196074742</v>
      </c>
      <c r="AC4611" s="93">
        <f>+AB4611-Z4611</f>
        <v>0</v>
      </c>
      <c r="AD4611" s="94"/>
      <c r="AE4611" s="406" t="str">
        <f>+IF(V4611=0,"CERO","NO")</f>
        <v>NO</v>
      </c>
    </row>
    <row r="4612" spans="3:31" s="260" customFormat="1" x14ac:dyDescent="0.25">
      <c r="C4612" s="84"/>
      <c r="D4612" s="85"/>
      <c r="E4612" s="86"/>
      <c r="F4612" s="86"/>
      <c r="G4612" s="86"/>
      <c r="H4612" s="86"/>
      <c r="I4612" s="86"/>
      <c r="J4612" s="87"/>
      <c r="K4612" s="88"/>
      <c r="M4612" s="102">
        <v>0</v>
      </c>
      <c r="N4612" s="530" t="str">
        <f>IFERROR(VLOOKUP(M4612,INSUMOS!$C$8:$K$928,2,0),"-----")</f>
        <v>-----</v>
      </c>
      <c r="O4612" s="531"/>
      <c r="P4612" s="532"/>
      <c r="Q4612" s="78" t="str">
        <f>IFERROR(VLOOKUP(M4612,INSUMOS!$C$8:$K$928,5,0),"-----")</f>
        <v>-----</v>
      </c>
      <c r="R4612" s="80"/>
      <c r="S4612" s="80" t="str">
        <f>IFERROR(VLOOKUP(M4612,INSUMOS!$C$8:$K$928,6,0),"0")</f>
        <v>0</v>
      </c>
      <c r="T4612" s="529" t="str">
        <f>IFERROR(VLOOKUP(M4612,INSUMOS!$C$8:$K$928,7,0),"0")</f>
        <v>0</v>
      </c>
      <c r="U4612" s="529"/>
      <c r="V4612" s="82">
        <f>+T4612*S4612*R4612</f>
        <v>0</v>
      </c>
      <c r="Y4612" s="393">
        <f>+IFERROR((R4612*S4612)*Y4589,0)</f>
        <v>0</v>
      </c>
      <c r="Z4612" s="391">
        <f>Y4589*V4612</f>
        <v>0</v>
      </c>
      <c r="AA4612" s="86"/>
      <c r="AB4612" s="92">
        <f>+Y4612*T4612</f>
        <v>0</v>
      </c>
      <c r="AC4612" s="93">
        <f>+AB4612-Z4612</f>
        <v>0</v>
      </c>
      <c r="AD4612" s="94"/>
      <c r="AE4612" s="406" t="str">
        <f>+IF(V4612=0,"CERO","NO")</f>
        <v>CERO</v>
      </c>
    </row>
    <row r="4613" spans="3:31" s="260" customFormat="1" x14ac:dyDescent="0.25">
      <c r="C4613" s="84"/>
      <c r="D4613" s="85"/>
      <c r="E4613" s="86"/>
      <c r="F4613" s="86"/>
      <c r="G4613" s="86"/>
      <c r="H4613" s="86"/>
      <c r="I4613" s="86"/>
      <c r="J4613" s="87"/>
      <c r="K4613" s="88"/>
      <c r="M4613" s="102">
        <v>0</v>
      </c>
      <c r="N4613" s="530" t="str">
        <f>IFERROR(VLOOKUP(M4613,INSUMOS!$C$8:$K$928,2,0),"-----")</f>
        <v>-----</v>
      </c>
      <c r="O4613" s="531"/>
      <c r="P4613" s="532"/>
      <c r="Q4613" s="78" t="str">
        <f>IFERROR(VLOOKUP(M4613,INSUMOS!$C$8:$K$928,5,0),"-----")</f>
        <v>-----</v>
      </c>
      <c r="R4613" s="80"/>
      <c r="S4613" s="80" t="str">
        <f>IFERROR(VLOOKUP(M4613,INSUMOS!$C$8:$K$928,6,0),"0")</f>
        <v>0</v>
      </c>
      <c r="T4613" s="529" t="str">
        <f>IFERROR(VLOOKUP(M4613,INSUMOS!$C$8:$K$928,7,0),"0")</f>
        <v>0</v>
      </c>
      <c r="U4613" s="529"/>
      <c r="V4613" s="82">
        <f>+T4613*S4613*R4613</f>
        <v>0</v>
      </c>
      <c r="Y4613" s="393">
        <f>+IFERROR((R4613*S4613)*Y4589,0)</f>
        <v>0</v>
      </c>
      <c r="Z4613" s="391">
        <f>Y4589*V4613</f>
        <v>0</v>
      </c>
      <c r="AA4613" s="86"/>
      <c r="AB4613" s="92">
        <f>+Y4613*T4613</f>
        <v>0</v>
      </c>
      <c r="AC4613" s="93">
        <f>+AB4613-Z4613</f>
        <v>0</v>
      </c>
      <c r="AD4613" s="94"/>
      <c r="AE4613" s="406" t="str">
        <f>+IF(V4613=0,"CERO","NO")</f>
        <v>CERO</v>
      </c>
    </row>
    <row r="4614" spans="3:31" s="260" customFormat="1" ht="15.75" thickBot="1" x14ac:dyDescent="0.3">
      <c r="C4614" s="84"/>
      <c r="D4614" s="89"/>
      <c r="E4614" s="90"/>
      <c r="F4614" s="90"/>
      <c r="G4614" s="90"/>
      <c r="H4614" s="90"/>
      <c r="I4614" s="90"/>
      <c r="J4614" s="91"/>
      <c r="K4614" s="88"/>
      <c r="M4614" s="102">
        <v>0</v>
      </c>
      <c r="N4614" s="533"/>
      <c r="O4614" s="533"/>
      <c r="P4614" s="533"/>
      <c r="Q4614" s="79"/>
      <c r="R4614" s="78"/>
      <c r="S4614" s="81"/>
      <c r="T4614" s="529"/>
      <c r="U4614" s="529"/>
      <c r="V4614" s="82"/>
      <c r="Y4614" s="393">
        <f>+IFERROR((R4614*S4614)*Y4589,0)</f>
        <v>0</v>
      </c>
      <c r="Z4614" s="391">
        <f>Y4589*V4614</f>
        <v>0</v>
      </c>
      <c r="AA4614" s="86"/>
      <c r="AB4614" s="92">
        <f>+Y4614*T4614</f>
        <v>0</v>
      </c>
      <c r="AC4614" s="93">
        <f>+AB4614-Z4614</f>
        <v>0</v>
      </c>
      <c r="AD4614" s="94"/>
      <c r="AE4614" s="406" t="str">
        <f>+IF(V4614=0,"CERO","NO")</f>
        <v>CERO</v>
      </c>
    </row>
    <row r="4615" spans="3:31" s="260" customFormat="1" ht="15.75" thickBot="1" x14ac:dyDescent="0.3">
      <c r="C4615" s="84"/>
      <c r="D4615" s="375" t="s">
        <v>128</v>
      </c>
      <c r="E4615" s="376" t="s">
        <v>129</v>
      </c>
      <c r="F4615" s="376" t="s">
        <v>130</v>
      </c>
      <c r="G4615" s="376" t="s">
        <v>131</v>
      </c>
      <c r="H4615" s="376" t="s">
        <v>132</v>
      </c>
      <c r="I4615" s="376" t="s">
        <v>133</v>
      </c>
      <c r="J4615" s="377" t="s">
        <v>134</v>
      </c>
      <c r="K4615" s="88"/>
      <c r="M4615" s="534"/>
      <c r="N4615" s="536" t="s">
        <v>113</v>
      </c>
      <c r="O4615" s="536"/>
      <c r="P4615" s="536"/>
      <c r="Q4615" s="536"/>
      <c r="R4615" s="536"/>
      <c r="S4615" s="536"/>
      <c r="T4615" s="536"/>
      <c r="U4615" s="536"/>
      <c r="V4615" s="411">
        <f>+SUM(V4611:V4614)</f>
        <v>347.2217399698057</v>
      </c>
      <c r="Y4615" s="398" t="s">
        <v>135</v>
      </c>
      <c r="Z4615" s="397">
        <f>+SUM(Z4611:Z4614)</f>
        <v>4513.8826196074742</v>
      </c>
      <c r="AA4615" s="86"/>
      <c r="AB4615" s="384"/>
      <c r="AC4615" s="385"/>
      <c r="AD4615" s="94"/>
      <c r="AE4615" s="399"/>
    </row>
    <row r="4616" spans="3:31" s="260" customFormat="1" ht="15.75" thickBot="1" x14ac:dyDescent="0.3">
      <c r="C4616" s="84"/>
      <c r="D4616" s="355"/>
      <c r="E4616" s="367"/>
      <c r="F4616" s="412">
        <f>+E4608</f>
        <v>4.17</v>
      </c>
      <c r="G4616" s="367"/>
      <c r="H4616" s="367"/>
      <c r="I4616" s="367"/>
      <c r="J4616" s="368"/>
      <c r="K4616" s="88"/>
      <c r="M4616" s="535"/>
      <c r="N4616" s="537" t="s">
        <v>114</v>
      </c>
      <c r="O4616" s="537"/>
      <c r="P4616" s="537"/>
      <c r="Q4616" s="537"/>
      <c r="R4616" s="537"/>
      <c r="S4616" s="537"/>
      <c r="T4616" s="537"/>
      <c r="U4616" s="537"/>
      <c r="V4616" s="413">
        <f>+ROUND(V4615,$AA$5)</f>
        <v>347.22</v>
      </c>
      <c r="Y4616" s="401" t="s">
        <v>136</v>
      </c>
      <c r="Z4616" s="402">
        <f>+ROUND(Z4615,$AA$5)</f>
        <v>4513.88</v>
      </c>
      <c r="AA4616" s="86"/>
      <c r="AB4616" s="403">
        <f>+V4616*Y4589</f>
        <v>4513.8600000000006</v>
      </c>
      <c r="AC4616" s="414"/>
      <c r="AD4616" s="94"/>
      <c r="AE4616" s="405"/>
    </row>
    <row r="4617" spans="3:31" s="260" customFormat="1" ht="15.75" thickBot="1" x14ac:dyDescent="0.3">
      <c r="C4617" s="84"/>
      <c r="D4617" s="415"/>
      <c r="E4617" s="416"/>
      <c r="F4617" s="416"/>
      <c r="G4617" s="416"/>
      <c r="H4617" s="416"/>
      <c r="I4617" s="416"/>
      <c r="J4617" s="417"/>
      <c r="K4617" s="88"/>
      <c r="M4617" s="538" t="s">
        <v>115</v>
      </c>
      <c r="N4617" s="539"/>
      <c r="O4617" s="539"/>
      <c r="P4617" s="539"/>
      <c r="Q4617" s="539"/>
      <c r="R4617" s="539"/>
      <c r="S4617" s="539"/>
      <c r="T4617" s="539"/>
      <c r="U4617" s="539"/>
      <c r="V4617" s="540"/>
      <c r="Y4617" s="378"/>
      <c r="Z4617" s="121"/>
      <c r="AA4617" s="86"/>
      <c r="AB4617" s="409"/>
      <c r="AC4617" s="121"/>
      <c r="AD4617" s="94"/>
      <c r="AE4617" s="126"/>
    </row>
    <row r="4618" spans="3:31" s="260" customFormat="1" ht="15.75" thickBot="1" x14ac:dyDescent="0.3">
      <c r="C4618" s="84"/>
      <c r="D4618" s="375" t="s">
        <v>128</v>
      </c>
      <c r="E4618" s="376" t="s">
        <v>129</v>
      </c>
      <c r="F4618" s="376" t="s">
        <v>130</v>
      </c>
      <c r="G4618" s="376" t="s">
        <v>131</v>
      </c>
      <c r="H4618" s="376" t="s">
        <v>132</v>
      </c>
      <c r="I4618" s="376" t="s">
        <v>133</v>
      </c>
      <c r="J4618" s="377" t="s">
        <v>134</v>
      </c>
      <c r="K4618" s="88"/>
      <c r="M4618" s="99" t="s">
        <v>94</v>
      </c>
      <c r="N4618" s="98" t="s">
        <v>95</v>
      </c>
      <c r="O4618" s="95" t="s">
        <v>96</v>
      </c>
      <c r="P4618" s="359" t="s">
        <v>104</v>
      </c>
      <c r="Q4618" s="95" t="s">
        <v>116</v>
      </c>
      <c r="R4618" s="418" t="s">
        <v>117</v>
      </c>
      <c r="S4618" s="95" t="s">
        <v>347</v>
      </c>
      <c r="T4618" s="419" t="s">
        <v>118</v>
      </c>
      <c r="U4618" s="189" t="s">
        <v>119</v>
      </c>
      <c r="V4618" s="100" t="s">
        <v>98</v>
      </c>
      <c r="Y4618" s="383" t="s">
        <v>104</v>
      </c>
      <c r="Z4618" s="119" t="s">
        <v>9</v>
      </c>
      <c r="AA4618" s="86"/>
      <c r="AB4618" s="384"/>
      <c r="AC4618" s="385"/>
      <c r="AD4618" s="94"/>
      <c r="AE4618" s="410"/>
    </row>
    <row r="4619" spans="3:31" s="260" customFormat="1" ht="25.5" x14ac:dyDescent="0.25">
      <c r="C4619" s="84"/>
      <c r="D4619" s="354"/>
      <c r="E4619" s="96"/>
      <c r="F4619" s="96"/>
      <c r="G4619" s="96"/>
      <c r="H4619" s="96"/>
      <c r="I4619" s="96"/>
      <c r="J4619" s="420">
        <f>+F4616</f>
        <v>4.17</v>
      </c>
      <c r="K4619" s="88"/>
      <c r="M4619" s="102">
        <v>207</v>
      </c>
      <c r="N4619" s="347" t="str">
        <f>IFERROR(VLOOKUP(M4619,INSUMOS!$C$8:$K$928,2,0),"-----")</f>
        <v>Oficial Hidrosanitario</v>
      </c>
      <c r="O4619" s="78" t="str">
        <f>IFERROR(VLOOKUP(M4619,INSUMOS!$C$8:$K$928,3,0),"-----")</f>
        <v>JORNAL+PS</v>
      </c>
      <c r="P4619" s="80">
        <v>1</v>
      </c>
      <c r="Q4619" s="79">
        <v>40</v>
      </c>
      <c r="R4619" s="190">
        <f>IFERROR(VLOOKUP(M4619,INSUMOS!$C$8:$K$928,4,0),"-----")</f>
        <v>92983</v>
      </c>
      <c r="S4619" s="190">
        <f>IFERROR(VLOOKUP(M4619,INSUMOS!$C$8:$K$928,6,0),"-----")</f>
        <v>74386</v>
      </c>
      <c r="T4619" s="190">
        <f>IFERROR(VLOOKUP(M4619,INSUMOS!$C$8:$K$928,5,0),"-----")</f>
        <v>0</v>
      </c>
      <c r="U4619" s="388">
        <f>SUM(R4619:T4619)</f>
        <v>167369</v>
      </c>
      <c r="V4619" s="82">
        <f>+IFERROR((P4619/Q4619)*U4619,0)</f>
        <v>4184.2250000000004</v>
      </c>
      <c r="Y4619" s="393">
        <f>+IFERROR((Y4589/Q4619*P4619),0)</f>
        <v>0.32500000000000001</v>
      </c>
      <c r="Z4619" s="391">
        <f>Y4589*V4619</f>
        <v>54394.925000000003</v>
      </c>
      <c r="AA4619" s="86"/>
      <c r="AB4619" s="92">
        <f>+(U4619)*Y4619</f>
        <v>54394.925000000003</v>
      </c>
      <c r="AC4619" s="93">
        <f>+AB4619-Z4619</f>
        <v>0</v>
      </c>
      <c r="AD4619" s="421"/>
      <c r="AE4619" s="410" t="str">
        <f>+IF(V4619=0,"CERO","NO")</f>
        <v>NO</v>
      </c>
    </row>
    <row r="4620" spans="3:31" s="260" customFormat="1" ht="15.75" thickBot="1" x14ac:dyDescent="0.3">
      <c r="C4620" s="84"/>
      <c r="D4620" s="355"/>
      <c r="E4620" s="367"/>
      <c r="F4620" s="367"/>
      <c r="G4620" s="367"/>
      <c r="H4620" s="367"/>
      <c r="I4620" s="367"/>
      <c r="J4620" s="422">
        <f>+J4619</f>
        <v>4.17</v>
      </c>
      <c r="K4620" s="88"/>
      <c r="M4620" s="102"/>
      <c r="N4620" s="347" t="str">
        <f>IFERROR(VLOOKUP(M4620,INSUMOS!$C$8:$K$928,2,0),"-----")</f>
        <v>-----</v>
      </c>
      <c r="O4620" s="78" t="str">
        <f>IFERROR(VLOOKUP(M4620,INSUMOS!$C$8:$K$928,3,0),"-----")</f>
        <v>-----</v>
      </c>
      <c r="P4620" s="80"/>
      <c r="Q4620" s="79"/>
      <c r="R4620" s="190" t="str">
        <f>IFERROR(VLOOKUP(M4620,INSUMOS!$C$8:$K$928,4,0),"-----")</f>
        <v>-----</v>
      </c>
      <c r="S4620" s="190" t="str">
        <f>IFERROR(VLOOKUP(M4620,INSUMOS!$C$8:$K$928,6,0),"-----")</f>
        <v>-----</v>
      </c>
      <c r="T4620" s="190" t="str">
        <f>IFERROR(VLOOKUP(M4620,INSUMOS!$C$8:$K$928,5,0),"-----")</f>
        <v>-----</v>
      </c>
      <c r="U4620" s="388">
        <f>SUM(R4620:T4620)</f>
        <v>0</v>
      </c>
      <c r="V4620" s="82">
        <f>+IFERROR((P4620/Q4620)*U4620,0)</f>
        <v>0</v>
      </c>
      <c r="Y4620" s="393">
        <f>+IFERROR((Y4589/Q4620*P4620),0)</f>
        <v>0</v>
      </c>
      <c r="Z4620" s="391">
        <f>Y4589*V4620</f>
        <v>0</v>
      </c>
      <c r="AA4620" s="86"/>
      <c r="AB4620" s="92">
        <f>+U4620*Y4620</f>
        <v>0</v>
      </c>
      <c r="AC4620" s="93">
        <f>+AB4620-Z4620</f>
        <v>0</v>
      </c>
      <c r="AD4620" s="94"/>
      <c r="AE4620" s="410" t="str">
        <f>+IF(V4620=0,"CERO","NO")</f>
        <v>CERO</v>
      </c>
    </row>
    <row r="4621" spans="3:31" s="260" customFormat="1" ht="15.75" thickBot="1" x14ac:dyDescent="0.3">
      <c r="C4621" s="84"/>
      <c r="D4621" s="380"/>
      <c r="E4621" s="381"/>
      <c r="F4621" s="381"/>
      <c r="G4621" s="381"/>
      <c r="H4621" s="381"/>
      <c r="I4621" s="381"/>
      <c r="J4621" s="382"/>
      <c r="K4621" s="88"/>
      <c r="M4621" s="102">
        <v>0</v>
      </c>
      <c r="N4621" s="347"/>
      <c r="O4621" s="79"/>
      <c r="P4621" s="423"/>
      <c r="Q4621" s="81"/>
      <c r="R4621" s="111"/>
      <c r="S4621" s="357"/>
      <c r="T4621" s="111"/>
      <c r="U4621" s="388"/>
      <c r="V4621" s="426"/>
      <c r="Y4621" s="393">
        <f>+IFERROR((Y4589/Q4621*P4621),0)</f>
        <v>0</v>
      </c>
      <c r="Z4621" s="391">
        <f>Y4589*V4621</f>
        <v>0</v>
      </c>
      <c r="AA4621" s="86"/>
      <c r="AB4621" s="92">
        <f>+(U4621)*Y4621*P4621</f>
        <v>0</v>
      </c>
      <c r="AC4621" s="93">
        <f>+AB4621-Z4621</f>
        <v>0</v>
      </c>
      <c r="AD4621" s="94"/>
      <c r="AE4621" s="410" t="str">
        <f>+IF(V4621=0,"CERO","NO")</f>
        <v>CERO</v>
      </c>
    </row>
    <row r="4622" spans="3:31" s="260" customFormat="1" ht="15.75" thickBot="1" x14ac:dyDescent="0.3">
      <c r="C4622" s="84"/>
      <c r="D4622" s="375" t="s">
        <v>128</v>
      </c>
      <c r="E4622" s="376" t="s">
        <v>129</v>
      </c>
      <c r="F4622" s="376" t="s">
        <v>130</v>
      </c>
      <c r="G4622" s="376" t="s">
        <v>131</v>
      </c>
      <c r="H4622" s="376" t="s">
        <v>132</v>
      </c>
      <c r="I4622" s="376" t="s">
        <v>133</v>
      </c>
      <c r="J4622" s="377" t="s">
        <v>134</v>
      </c>
      <c r="K4622" s="88"/>
      <c r="M4622" s="534"/>
      <c r="N4622" s="536" t="s">
        <v>120</v>
      </c>
      <c r="O4622" s="536"/>
      <c r="P4622" s="536"/>
      <c r="Q4622" s="536"/>
      <c r="R4622" s="536"/>
      <c r="S4622" s="536"/>
      <c r="T4622" s="536"/>
      <c r="U4622" s="536"/>
      <c r="V4622" s="82">
        <f>+SUM(V4619:V4621)</f>
        <v>4184.2250000000004</v>
      </c>
      <c r="Y4622" s="398" t="s">
        <v>135</v>
      </c>
      <c r="Z4622" s="397">
        <f>+SUM(Z4619:Z4621)</f>
        <v>54394.925000000003</v>
      </c>
      <c r="AA4622" s="86"/>
      <c r="AB4622" s="384"/>
      <c r="AC4622" s="385"/>
      <c r="AD4622" s="94"/>
      <c r="AE4622" s="399"/>
    </row>
    <row r="4623" spans="3:31" s="260" customFormat="1" ht="15.75" thickBot="1" x14ac:dyDescent="0.3">
      <c r="C4623" s="84"/>
      <c r="D4623" s="354"/>
      <c r="E4623" s="96"/>
      <c r="F4623" s="96"/>
      <c r="G4623" s="107">
        <f>+F4616</f>
        <v>4.17</v>
      </c>
      <c r="H4623" s="96"/>
      <c r="I4623" s="96"/>
      <c r="J4623" s="427"/>
      <c r="K4623" s="88"/>
      <c r="M4623" s="535"/>
      <c r="N4623" s="537" t="s">
        <v>121</v>
      </c>
      <c r="O4623" s="537"/>
      <c r="P4623" s="537"/>
      <c r="Q4623" s="537"/>
      <c r="R4623" s="537"/>
      <c r="S4623" s="537"/>
      <c r="T4623" s="537"/>
      <c r="U4623" s="537"/>
      <c r="V4623" s="413">
        <f>+ROUND(V4622,$AA$5)</f>
        <v>4184.2299999999996</v>
      </c>
      <c r="Y4623" s="401" t="s">
        <v>136</v>
      </c>
      <c r="Z4623" s="402">
        <f>+ROUND(Z4622,$AA$5)</f>
        <v>54394.93</v>
      </c>
      <c r="AA4623" s="86"/>
      <c r="AB4623" s="403">
        <f>+V4623*Y4589</f>
        <v>54394.989999999991</v>
      </c>
      <c r="AC4623" s="404">
        <f>+AB4623-Z4623</f>
        <v>5.9999999990395736E-2</v>
      </c>
      <c r="AD4623" s="94"/>
      <c r="AE4623" s="405"/>
    </row>
    <row r="4624" spans="3:31" s="260" customFormat="1" ht="15.75" thickBot="1" x14ac:dyDescent="0.3">
      <c r="C4624" s="84"/>
      <c r="D4624" s="375" t="s">
        <v>128</v>
      </c>
      <c r="E4624" s="376" t="s">
        <v>129</v>
      </c>
      <c r="F4624" s="376" t="s">
        <v>130</v>
      </c>
      <c r="G4624" s="376" t="s">
        <v>131</v>
      </c>
      <c r="H4624" s="376" t="s">
        <v>132</v>
      </c>
      <c r="I4624" s="376" t="s">
        <v>133</v>
      </c>
      <c r="J4624" s="377" t="s">
        <v>134</v>
      </c>
      <c r="K4624" s="88"/>
      <c r="M4624" s="541"/>
      <c r="N4624" s="542"/>
      <c r="O4624" s="542"/>
      <c r="P4624" s="542"/>
      <c r="Q4624" s="542"/>
      <c r="R4624" s="542"/>
      <c r="S4624" s="542"/>
      <c r="T4624" s="542"/>
      <c r="U4624" s="542"/>
      <c r="V4624" s="543"/>
      <c r="Y4624" s="378"/>
      <c r="Z4624" s="121"/>
      <c r="AA4624" s="86"/>
      <c r="AB4624" s="409"/>
      <c r="AC4624" s="121"/>
      <c r="AD4624" s="94"/>
      <c r="AE4624" s="428"/>
    </row>
    <row r="4625" spans="3:31" s="260" customFormat="1" ht="15.75" thickBot="1" x14ac:dyDescent="0.3">
      <c r="C4625" s="84"/>
      <c r="D4625" s="355"/>
      <c r="E4625" s="367"/>
      <c r="F4625" s="367"/>
      <c r="G4625" s="367"/>
      <c r="H4625" s="412">
        <f>G4623</f>
        <v>4.17</v>
      </c>
      <c r="I4625" s="412"/>
      <c r="J4625" s="422"/>
      <c r="K4625" s="88"/>
      <c r="M4625" s="544" t="s">
        <v>122</v>
      </c>
      <c r="N4625" s="537"/>
      <c r="O4625" s="537"/>
      <c r="P4625" s="537"/>
      <c r="Q4625" s="537"/>
      <c r="R4625" s="537"/>
      <c r="S4625" s="537"/>
      <c r="T4625" s="537"/>
      <c r="U4625" s="545">
        <f>+V4623+V4616+V4608+V4599</f>
        <v>11341.98</v>
      </c>
      <c r="V4625" s="546"/>
      <c r="Y4625" s="429"/>
      <c r="Z4625" s="430">
        <f>+Z4623+Z4616+Z4608+Z4599</f>
        <v>147445.66999999998</v>
      </c>
      <c r="AA4625" s="86"/>
      <c r="AB4625" s="431">
        <f>+AB4623+AB4616+AB4608+AB4599</f>
        <v>147445.74000000002</v>
      </c>
      <c r="AC4625" s="404">
        <f>+AB4625-Z4625</f>
        <v>7.000000003608875E-2</v>
      </c>
      <c r="AD4625" s="94"/>
      <c r="AE4625" s="432"/>
    </row>
    <row r="4626" spans="3:31" s="260" customFormat="1" ht="15.75" thickBot="1" x14ac:dyDescent="0.3"/>
    <row r="4627" spans="3:31" s="260" customFormat="1" x14ac:dyDescent="0.25">
      <c r="M4627" s="547" t="s">
        <v>348</v>
      </c>
      <c r="N4627" s="548"/>
      <c r="O4627" s="548"/>
      <c r="P4627" s="548"/>
      <c r="Q4627" s="548"/>
      <c r="R4627" s="548"/>
      <c r="S4627" s="548"/>
      <c r="T4627" s="548"/>
      <c r="U4627" s="548"/>
      <c r="V4627" s="549"/>
      <c r="Y4627" s="378"/>
      <c r="Z4627" s="121"/>
      <c r="AA4627" s="86"/>
      <c r="AB4627" s="94"/>
      <c r="AC4627" s="94"/>
      <c r="AD4627" s="94"/>
      <c r="AE4627" s="126" t="s">
        <v>133</v>
      </c>
    </row>
    <row r="4628" spans="3:31" s="260" customFormat="1" x14ac:dyDescent="0.25">
      <c r="M4628" s="515" t="s">
        <v>138</v>
      </c>
      <c r="N4628" s="516"/>
      <c r="O4628" s="516"/>
      <c r="P4628" s="516"/>
      <c r="Q4628" s="516"/>
      <c r="R4628" s="516"/>
      <c r="S4628" s="516"/>
      <c r="T4628" s="437">
        <v>0</v>
      </c>
      <c r="U4628" s="517">
        <f>+ROUND(U4625*T4628,$AA$5)</f>
        <v>0</v>
      </c>
      <c r="V4628" s="518"/>
      <c r="Y4628" s="390"/>
      <c r="Z4628" s="438">
        <f>+Z4625*T4628</f>
        <v>0</v>
      </c>
      <c r="AA4628" s="86"/>
      <c r="AB4628" s="94"/>
      <c r="AC4628" s="94"/>
      <c r="AD4628" s="94"/>
      <c r="AE4628" s="386" t="s">
        <v>133</v>
      </c>
    </row>
    <row r="4629" spans="3:31" s="260" customFormat="1" x14ac:dyDescent="0.25">
      <c r="M4629" s="515" t="s">
        <v>19</v>
      </c>
      <c r="N4629" s="516"/>
      <c r="O4629" s="516"/>
      <c r="P4629" s="516"/>
      <c r="Q4629" s="516"/>
      <c r="R4629" s="516"/>
      <c r="S4629" s="516"/>
      <c r="T4629" s="437">
        <v>0.05</v>
      </c>
      <c r="U4629" s="517">
        <f>+ROUND(U4625*T4629,$AA$5)</f>
        <v>567.1</v>
      </c>
      <c r="V4629" s="518"/>
      <c r="Y4629" s="390"/>
      <c r="Z4629" s="438">
        <f>+Z4625*T4629</f>
        <v>7372.2834999999995</v>
      </c>
      <c r="AA4629" s="86"/>
      <c r="AB4629" s="94"/>
      <c r="AC4629" s="94"/>
      <c r="AD4629" s="94"/>
      <c r="AE4629" s="386" t="s">
        <v>133</v>
      </c>
    </row>
    <row r="4630" spans="3:31" s="260" customFormat="1" x14ac:dyDescent="0.25">
      <c r="M4630" s="515" t="s">
        <v>20</v>
      </c>
      <c r="N4630" s="516"/>
      <c r="O4630" s="516"/>
      <c r="P4630" s="516"/>
      <c r="Q4630" s="516"/>
      <c r="R4630" s="516"/>
      <c r="S4630" s="516"/>
      <c r="T4630" s="437">
        <v>0</v>
      </c>
      <c r="U4630" s="517">
        <f>+ROUND(U4625*T4630,$AA$5)</f>
        <v>0</v>
      </c>
      <c r="V4630" s="518"/>
      <c r="Y4630" s="390"/>
      <c r="Z4630" s="438">
        <f>+Z4625*T4630</f>
        <v>0</v>
      </c>
      <c r="AA4630" s="86"/>
      <c r="AB4630" s="94"/>
      <c r="AC4630" s="94"/>
      <c r="AD4630" s="94"/>
      <c r="AE4630" s="386" t="s">
        <v>133</v>
      </c>
    </row>
    <row r="4631" spans="3:31" s="260" customFormat="1" x14ac:dyDescent="0.25">
      <c r="M4631" s="515" t="s">
        <v>21</v>
      </c>
      <c r="N4631" s="516"/>
      <c r="O4631" s="516"/>
      <c r="P4631" s="516"/>
      <c r="Q4631" s="516"/>
      <c r="R4631" s="516"/>
      <c r="S4631" s="516"/>
      <c r="T4631" s="437">
        <f>$AA$9</f>
        <v>0</v>
      </c>
      <c r="U4631" s="517">
        <f>+ROUND(U4625*T4631,$AA$5)</f>
        <v>0</v>
      </c>
      <c r="V4631" s="518"/>
      <c r="Y4631" s="390"/>
      <c r="Z4631" s="438">
        <f>+Z4630*T4631</f>
        <v>0</v>
      </c>
      <c r="AA4631" s="86"/>
      <c r="AB4631" s="94"/>
      <c r="AC4631" s="94"/>
      <c r="AD4631" s="94"/>
      <c r="AE4631" s="386" t="s">
        <v>133</v>
      </c>
    </row>
    <row r="4632" spans="3:31" s="260" customFormat="1" ht="15.75" thickBot="1" x14ac:dyDescent="0.3">
      <c r="M4632" s="519" t="s">
        <v>349</v>
      </c>
      <c r="N4632" s="520"/>
      <c r="O4632" s="520"/>
      <c r="P4632" s="520"/>
      <c r="Q4632" s="520"/>
      <c r="R4632" s="520"/>
      <c r="S4632" s="520"/>
      <c r="T4632" s="520"/>
      <c r="U4632" s="521">
        <f>+SUM(U4628:V4631)</f>
        <v>567.1</v>
      </c>
      <c r="V4632" s="522"/>
      <c r="Y4632" s="390"/>
      <c r="Z4632" s="439">
        <f>+SUM(Z4628:Z4631)</f>
        <v>7372.2834999999995</v>
      </c>
      <c r="AA4632" s="86"/>
      <c r="AB4632" s="94"/>
      <c r="AC4632" s="94"/>
      <c r="AD4632" s="94"/>
      <c r="AE4632" s="386" t="s">
        <v>133</v>
      </c>
    </row>
    <row r="4633" spans="3:31" s="260" customFormat="1" ht="15.75" thickBot="1" x14ac:dyDescent="0.3">
      <c r="D4633" s="375" t="s">
        <v>128</v>
      </c>
      <c r="E4633" s="376" t="s">
        <v>129</v>
      </c>
      <c r="F4633" s="376" t="s">
        <v>130</v>
      </c>
      <c r="G4633" s="376" t="s">
        <v>131</v>
      </c>
      <c r="H4633" s="376" t="s">
        <v>132</v>
      </c>
      <c r="I4633" s="376" t="s">
        <v>133</v>
      </c>
      <c r="J4633" s="377" t="s">
        <v>134</v>
      </c>
      <c r="M4633" s="86"/>
      <c r="N4633" s="94"/>
      <c r="O4633" s="94"/>
      <c r="P4633" s="94"/>
      <c r="Q4633" s="86"/>
      <c r="R4633" s="86"/>
      <c r="S4633" s="86"/>
      <c r="T4633" s="440"/>
      <c r="U4633" s="523"/>
      <c r="V4633" s="523"/>
      <c r="Y4633" s="390"/>
      <c r="Z4633" s="385"/>
      <c r="AA4633" s="86"/>
      <c r="AB4633" s="94"/>
      <c r="AC4633" s="94"/>
      <c r="AD4633" s="94"/>
      <c r="AE4633" s="386" t="s">
        <v>133</v>
      </c>
    </row>
    <row r="4634" spans="3:31" s="260" customFormat="1" ht="15.75" thickBot="1" x14ac:dyDescent="0.3">
      <c r="D4634" s="355"/>
      <c r="E4634" s="367"/>
      <c r="F4634" s="367"/>
      <c r="G4634" s="367"/>
      <c r="H4634" s="412"/>
      <c r="I4634" s="412">
        <f>H4625</f>
        <v>4.17</v>
      </c>
      <c r="J4634" s="422"/>
      <c r="M4634" s="524" t="s">
        <v>11</v>
      </c>
      <c r="N4634" s="525"/>
      <c r="O4634" s="525"/>
      <c r="P4634" s="525"/>
      <c r="Q4634" s="525"/>
      <c r="R4634" s="525"/>
      <c r="S4634" s="525"/>
      <c r="T4634" s="526"/>
      <c r="U4634" s="527">
        <f>+U4632+U4625</f>
        <v>11909.08</v>
      </c>
      <c r="V4634" s="528"/>
      <c r="Y4634" s="429"/>
      <c r="Z4634" s="441">
        <f>+Z4632+Z4625</f>
        <v>154817.95349999997</v>
      </c>
      <c r="AA4634" s="86"/>
      <c r="AB4634" s="94"/>
      <c r="AC4634" s="94"/>
      <c r="AD4634" s="94"/>
      <c r="AE4634" s="405" t="s">
        <v>133</v>
      </c>
    </row>
    <row r="4635" spans="3:31" s="260" customFormat="1" x14ac:dyDescent="0.25"/>
    <row r="4636" spans="3:31" s="260" customFormat="1" ht="15.75" thickBot="1" x14ac:dyDescent="0.3"/>
    <row r="4637" spans="3:31" s="260" customFormat="1" ht="15.75" thickBot="1" x14ac:dyDescent="0.3">
      <c r="M4637" s="363" t="s">
        <v>88</v>
      </c>
      <c r="N4637" s="436" t="str">
        <f>+N4588</f>
        <v>CAP.4</v>
      </c>
      <c r="O4637" s="550" t="str">
        <f>IFERROR(VLOOKUP(N4637,PPTO!C:H,2,0),"----")</f>
        <v>RED SANITARIA</v>
      </c>
      <c r="P4637" s="551"/>
      <c r="Q4637" s="551"/>
      <c r="R4637" s="551"/>
      <c r="S4637" s="551"/>
      <c r="T4637" s="551"/>
      <c r="U4637" s="552"/>
      <c r="V4637" s="74" t="s">
        <v>91</v>
      </c>
      <c r="Y4637" s="365" t="s">
        <v>104</v>
      </c>
      <c r="Z4637" s="94"/>
      <c r="AA4637" s="188"/>
      <c r="AB4637" s="553"/>
      <c r="AC4637" s="553"/>
      <c r="AD4637" s="553"/>
      <c r="AE4637" s="94"/>
    </row>
    <row r="4638" spans="3:31" s="260" customFormat="1" ht="15.75" thickBot="1" x14ac:dyDescent="0.3">
      <c r="C4638" s="369">
        <f>+N4638</f>
        <v>4.18</v>
      </c>
      <c r="D4638" s="86"/>
      <c r="E4638" s="86"/>
      <c r="F4638" s="86"/>
      <c r="G4638" s="86"/>
      <c r="H4638" s="86"/>
      <c r="I4638" s="86"/>
      <c r="J4638" s="86"/>
      <c r="K4638" s="370"/>
      <c r="M4638" s="75" t="s">
        <v>92</v>
      </c>
      <c r="N4638" s="371">
        <f>+ROUNDUP(N4589+0.01,2)</f>
        <v>4.18</v>
      </c>
      <c r="O4638" s="554" t="str">
        <f>IFERROR(VLOOKUP(N4638,PPTO!C:H,2,0),"----")</f>
        <v>Codo 45° Ventilacion PVC Ø2"</v>
      </c>
      <c r="P4638" s="555"/>
      <c r="Q4638" s="555"/>
      <c r="R4638" s="555"/>
      <c r="S4638" s="555"/>
      <c r="T4638" s="555"/>
      <c r="U4638" s="556"/>
      <c r="V4638" s="76" t="str">
        <f>IFERROR(VLOOKUP(N4638,PPTO!C:H,3,0),"----")</f>
        <v>UND</v>
      </c>
      <c r="Y4638" s="373">
        <f>SUMIFS(PPTO!F:F,PPTO!C:C,APUS!N4638)</f>
        <v>13</v>
      </c>
      <c r="Z4638" s="94"/>
      <c r="AA4638" s="86"/>
      <c r="AB4638" s="94"/>
      <c r="AC4638" s="94"/>
      <c r="AD4638" s="94"/>
      <c r="AE4638" s="94"/>
    </row>
    <row r="4639" spans="3:31" s="260" customFormat="1" ht="15.75" thickBot="1" x14ac:dyDescent="0.3">
      <c r="C4639" s="84"/>
      <c r="D4639" s="86"/>
      <c r="E4639" s="86"/>
      <c r="F4639" s="86"/>
      <c r="G4639" s="86"/>
      <c r="H4639" s="86"/>
      <c r="I4639" s="86"/>
      <c r="J4639" s="86"/>
      <c r="K4639" s="88"/>
      <c r="M4639" s="557"/>
      <c r="N4639" s="557"/>
      <c r="O4639" s="557"/>
      <c r="P4639" s="557"/>
      <c r="Q4639" s="557"/>
      <c r="R4639" s="557"/>
      <c r="S4639" s="557"/>
      <c r="T4639" s="557"/>
      <c r="U4639" s="557"/>
      <c r="V4639" s="557"/>
      <c r="Y4639" s="374"/>
      <c r="Z4639" s="94"/>
      <c r="AA4639" s="86"/>
      <c r="AB4639" s="94"/>
      <c r="AC4639" s="94"/>
      <c r="AD4639" s="94"/>
      <c r="AE4639" s="94"/>
    </row>
    <row r="4640" spans="3:31" s="260" customFormat="1" ht="15.75" thickBot="1" x14ac:dyDescent="0.3">
      <c r="C4640" s="84"/>
      <c r="D4640" s="375" t="s">
        <v>128</v>
      </c>
      <c r="E4640" s="376" t="s">
        <v>129</v>
      </c>
      <c r="F4640" s="376" t="s">
        <v>130</v>
      </c>
      <c r="G4640" s="376" t="s">
        <v>131</v>
      </c>
      <c r="H4640" s="376" t="s">
        <v>132</v>
      </c>
      <c r="I4640" s="376" t="s">
        <v>133</v>
      </c>
      <c r="J4640" s="377" t="s">
        <v>134</v>
      </c>
      <c r="K4640" s="88"/>
      <c r="M4640" s="558" t="s">
        <v>93</v>
      </c>
      <c r="N4640" s="559"/>
      <c r="O4640" s="559"/>
      <c r="P4640" s="559"/>
      <c r="Q4640" s="559"/>
      <c r="R4640" s="559"/>
      <c r="S4640" s="559"/>
      <c r="T4640" s="559"/>
      <c r="U4640" s="559"/>
      <c r="V4640" s="560"/>
      <c r="Y4640" s="378"/>
      <c r="Z4640" s="121"/>
      <c r="AA4640" s="86"/>
      <c r="AB4640" s="513"/>
      <c r="AC4640" s="514"/>
      <c r="AD4640" s="94"/>
      <c r="AE4640" s="379"/>
    </row>
    <row r="4641" spans="3:31" s="260" customFormat="1" x14ac:dyDescent="0.25">
      <c r="C4641" s="84"/>
      <c r="D4641" s="380"/>
      <c r="E4641" s="381"/>
      <c r="F4641" s="381"/>
      <c r="G4641" s="381"/>
      <c r="H4641" s="381"/>
      <c r="I4641" s="381"/>
      <c r="J4641" s="382"/>
      <c r="K4641" s="88"/>
      <c r="M4641" s="99" t="s">
        <v>94</v>
      </c>
      <c r="N4641" s="561" t="s">
        <v>95</v>
      </c>
      <c r="O4641" s="561"/>
      <c r="P4641" s="561"/>
      <c r="Q4641" s="561"/>
      <c r="R4641" s="95" t="s">
        <v>96</v>
      </c>
      <c r="S4641" s="95" t="s">
        <v>97</v>
      </c>
      <c r="T4641" s="562" t="s">
        <v>8</v>
      </c>
      <c r="U4641" s="562"/>
      <c r="V4641" s="100" t="s">
        <v>98</v>
      </c>
      <c r="Y4641" s="383" t="s">
        <v>104</v>
      </c>
      <c r="Z4641" s="119" t="s">
        <v>9</v>
      </c>
      <c r="AA4641" s="86"/>
      <c r="AB4641" s="384"/>
      <c r="AC4641" s="385"/>
      <c r="AD4641" s="94"/>
      <c r="AE4641" s="386"/>
    </row>
    <row r="4642" spans="3:31" s="260" customFormat="1" x14ac:dyDescent="0.25">
      <c r="C4642" s="84"/>
      <c r="D4642" s="85"/>
      <c r="E4642" s="86"/>
      <c r="F4642" s="86"/>
      <c r="G4642" s="86"/>
      <c r="H4642" s="86"/>
      <c r="I4642" s="86"/>
      <c r="J4642" s="87"/>
      <c r="K4642" s="88"/>
      <c r="M4642" s="102"/>
      <c r="N4642" s="533" t="s">
        <v>99</v>
      </c>
      <c r="O4642" s="533"/>
      <c r="P4642" s="533"/>
      <c r="Q4642" s="533"/>
      <c r="R4642" s="78" t="s">
        <v>100</v>
      </c>
      <c r="S4642" s="387">
        <f>+$AA$10</f>
        <v>0.05</v>
      </c>
      <c r="T4642" s="563">
        <f>V4672</f>
        <v>4184.2299999999996</v>
      </c>
      <c r="U4642" s="563"/>
      <c r="V4642" s="389">
        <f>+IFERROR(T4642*S4642,0)</f>
        <v>209.2115</v>
      </c>
      <c r="Y4642" s="390"/>
      <c r="Z4642" s="391">
        <f>Y4638*V4642</f>
        <v>2719.7494999999999</v>
      </c>
      <c r="AA4642" s="86"/>
      <c r="AB4642" s="384"/>
      <c r="AC4642" s="385"/>
      <c r="AD4642" s="94"/>
      <c r="AE4642" s="386" t="str">
        <f>+IF(V4642=0,"CERO","NO")</f>
        <v>NO</v>
      </c>
    </row>
    <row r="4643" spans="3:31" s="260" customFormat="1" x14ac:dyDescent="0.25">
      <c r="C4643" s="84"/>
      <c r="D4643" s="85"/>
      <c r="E4643" s="86"/>
      <c r="F4643" s="86"/>
      <c r="G4643" s="86"/>
      <c r="H4643" s="86"/>
      <c r="I4643" s="86"/>
      <c r="J4643" s="87"/>
      <c r="K4643" s="88"/>
      <c r="M4643" s="106"/>
      <c r="N4643" s="533" t="str">
        <f>IFERROR(VLOOKUP(M4643,INSUMOS!$C$8:$K$928,2,0),"-----")</f>
        <v>-----</v>
      </c>
      <c r="O4643" s="533"/>
      <c r="P4643" s="533"/>
      <c r="Q4643" s="533"/>
      <c r="R4643" s="78" t="str">
        <f>IFERROR(VLOOKUP(M4643,INSUMOS!$C$8:$K$928,6,0),"-----")</f>
        <v>-----</v>
      </c>
      <c r="S4643" s="392"/>
      <c r="T4643" s="529" t="str">
        <f>IFERROR(VLOOKUP(M4643,INSUMOS!$C$8:$K$928,7,0),"0")</f>
        <v>0</v>
      </c>
      <c r="U4643" s="529"/>
      <c r="V4643" s="389">
        <f>+IFERROR(T4643*S4643,0)</f>
        <v>0</v>
      </c>
      <c r="Y4643" s="393">
        <f>+IFERROR(Y4638*S4643,0)</f>
        <v>0</v>
      </c>
      <c r="Z4643" s="391">
        <f>Y4638*V4643</f>
        <v>0</v>
      </c>
      <c r="AA4643" s="394"/>
      <c r="AB4643" s="395">
        <f>+Y4643*T4643</f>
        <v>0</v>
      </c>
      <c r="AC4643" s="93">
        <f>+AB4643-Z4643</f>
        <v>0</v>
      </c>
      <c r="AD4643" s="94"/>
      <c r="AE4643" s="386" t="str">
        <f>+IF(V4643=0,"CERO","NO")</f>
        <v>CERO</v>
      </c>
    </row>
    <row r="4644" spans="3:31" s="260" customFormat="1" x14ac:dyDescent="0.25">
      <c r="C4644" s="84"/>
      <c r="D4644" s="85"/>
      <c r="E4644" s="86"/>
      <c r="F4644" s="86"/>
      <c r="G4644" s="86"/>
      <c r="H4644" s="86"/>
      <c r="I4644" s="86"/>
      <c r="J4644" s="87"/>
      <c r="K4644" s="88"/>
      <c r="M4644" s="102">
        <v>0</v>
      </c>
      <c r="N4644" s="533"/>
      <c r="O4644" s="533"/>
      <c r="P4644" s="533"/>
      <c r="Q4644" s="533"/>
      <c r="R4644" s="78"/>
      <c r="S4644" s="396"/>
      <c r="T4644" s="529"/>
      <c r="U4644" s="529"/>
      <c r="V4644" s="397"/>
      <c r="Y4644" s="393">
        <f>+IFERROR(Y4638*S4644,0)</f>
        <v>0</v>
      </c>
      <c r="Z4644" s="391">
        <f>Y4638*V4644</f>
        <v>0</v>
      </c>
      <c r="AA4644" s="394"/>
      <c r="AB4644" s="395">
        <f>+Y4644*T4644</f>
        <v>0</v>
      </c>
      <c r="AC4644" s="93">
        <f>+AB4644-Z4644</f>
        <v>0</v>
      </c>
      <c r="AD4644" s="94"/>
      <c r="AE4644" s="386" t="str">
        <f>+IF(V4644=0,"CERO","NO")</f>
        <v>CERO</v>
      </c>
    </row>
    <row r="4645" spans="3:31" s="260" customFormat="1" x14ac:dyDescent="0.25">
      <c r="C4645" s="84"/>
      <c r="D4645" s="85"/>
      <c r="E4645" s="86"/>
      <c r="F4645" s="86"/>
      <c r="G4645" s="86"/>
      <c r="H4645" s="86"/>
      <c r="I4645" s="86"/>
      <c r="J4645" s="87"/>
      <c r="K4645" s="88"/>
      <c r="M4645" s="102">
        <v>0</v>
      </c>
      <c r="N4645" s="533"/>
      <c r="O4645" s="533"/>
      <c r="P4645" s="533"/>
      <c r="Q4645" s="533"/>
      <c r="R4645" s="78"/>
      <c r="S4645" s="396"/>
      <c r="T4645" s="529"/>
      <c r="U4645" s="529"/>
      <c r="V4645" s="397"/>
      <c r="Y4645" s="393">
        <f>+IFERROR(Y4638*S4645,0)</f>
        <v>0</v>
      </c>
      <c r="Z4645" s="391">
        <f>Y4638*V4645</f>
        <v>0</v>
      </c>
      <c r="AA4645" s="394"/>
      <c r="AB4645" s="395">
        <f>+Y4645*T4645</f>
        <v>0</v>
      </c>
      <c r="AC4645" s="93">
        <f>+AB4645-Z4645</f>
        <v>0</v>
      </c>
      <c r="AD4645" s="94"/>
      <c r="AE4645" s="386" t="str">
        <f>+IF(V4645=0,"CERO","NO")</f>
        <v>CERO</v>
      </c>
    </row>
    <row r="4646" spans="3:31" s="260" customFormat="1" ht="15.75" thickBot="1" x14ac:dyDescent="0.3">
      <c r="C4646" s="84"/>
      <c r="D4646" s="85"/>
      <c r="E4646" s="86"/>
      <c r="F4646" s="86"/>
      <c r="G4646" s="86"/>
      <c r="H4646" s="86"/>
      <c r="I4646" s="86"/>
      <c r="J4646" s="87"/>
      <c r="K4646" s="88"/>
      <c r="M4646" s="102">
        <v>0</v>
      </c>
      <c r="N4646" s="564"/>
      <c r="O4646" s="564"/>
      <c r="P4646" s="564"/>
      <c r="Q4646" s="564"/>
      <c r="R4646" s="96"/>
      <c r="S4646" s="96"/>
      <c r="T4646" s="565"/>
      <c r="U4646" s="565"/>
      <c r="V4646" s="101"/>
      <c r="Y4646" s="393">
        <f>+IFERROR(Y4638*S4646,0)</f>
        <v>0</v>
      </c>
      <c r="Z4646" s="391">
        <f>Y4638*V4646</f>
        <v>0</v>
      </c>
      <c r="AA4646" s="394"/>
      <c r="AB4646" s="395">
        <f>+Y4646*T4646</f>
        <v>0</v>
      </c>
      <c r="AC4646" s="93">
        <f>+AB4646-Z4646</f>
        <v>0</v>
      </c>
      <c r="AD4646" s="94"/>
      <c r="AE4646" s="386" t="str">
        <f>+IF(V4646=0,"CERO","NO")</f>
        <v>CERO</v>
      </c>
    </row>
    <row r="4647" spans="3:31" s="260" customFormat="1" ht="15.75" thickBot="1" x14ac:dyDescent="0.3">
      <c r="C4647" s="84"/>
      <c r="D4647" s="375" t="s">
        <v>128</v>
      </c>
      <c r="E4647" s="376" t="s">
        <v>129</v>
      </c>
      <c r="F4647" s="376" t="s">
        <v>130</v>
      </c>
      <c r="G4647" s="376" t="s">
        <v>131</v>
      </c>
      <c r="H4647" s="376" t="s">
        <v>132</v>
      </c>
      <c r="I4647" s="376" t="s">
        <v>133</v>
      </c>
      <c r="J4647" s="377" t="s">
        <v>134</v>
      </c>
      <c r="K4647" s="88"/>
      <c r="M4647" s="534"/>
      <c r="N4647" s="536" t="s">
        <v>101</v>
      </c>
      <c r="O4647" s="536"/>
      <c r="P4647" s="536"/>
      <c r="Q4647" s="536"/>
      <c r="R4647" s="536"/>
      <c r="S4647" s="536"/>
      <c r="T4647" s="536"/>
      <c r="U4647" s="536"/>
      <c r="V4647" s="389">
        <f>+SUM(V4642:V4646)</f>
        <v>209.2115</v>
      </c>
      <c r="Y4647" s="398" t="s">
        <v>135</v>
      </c>
      <c r="Z4647" s="397">
        <f>+SUM(Z4642:Z4646)</f>
        <v>2719.7494999999999</v>
      </c>
      <c r="AA4647" s="86"/>
      <c r="AB4647" s="384"/>
      <c r="AC4647" s="385"/>
      <c r="AD4647" s="94"/>
      <c r="AE4647" s="399"/>
    </row>
    <row r="4648" spans="3:31" s="260" customFormat="1" ht="15.75" thickBot="1" x14ac:dyDescent="0.3">
      <c r="C4648" s="84"/>
      <c r="D4648" s="375">
        <f>C4638</f>
        <v>4.18</v>
      </c>
      <c r="E4648" s="376"/>
      <c r="F4648" s="376"/>
      <c r="G4648" s="376"/>
      <c r="H4648" s="376"/>
      <c r="I4648" s="376"/>
      <c r="J4648" s="377"/>
      <c r="K4648" s="88"/>
      <c r="M4648" s="566"/>
      <c r="N4648" s="567" t="s">
        <v>102</v>
      </c>
      <c r="O4648" s="567"/>
      <c r="P4648" s="567"/>
      <c r="Q4648" s="567"/>
      <c r="R4648" s="567"/>
      <c r="S4648" s="567"/>
      <c r="T4648" s="567"/>
      <c r="U4648" s="567"/>
      <c r="V4648" s="400">
        <f>+ROUND(V4647,$AA$5)</f>
        <v>209.21</v>
      </c>
      <c r="Y4648" s="401" t="s">
        <v>136</v>
      </c>
      <c r="Z4648" s="402">
        <f>+ROUND(Z4647,$AA$5)</f>
        <v>2719.75</v>
      </c>
      <c r="AA4648" s="86"/>
      <c r="AB4648" s="403">
        <f>+V4648*Y4638</f>
        <v>2719.73</v>
      </c>
      <c r="AC4648" s="404">
        <f>+AB4648-Z4648</f>
        <v>-1.999999999998181E-2</v>
      </c>
      <c r="AD4648" s="94"/>
      <c r="AE4648" s="405"/>
    </row>
    <row r="4649" spans="3:31" s="260" customFormat="1" x14ac:dyDescent="0.25">
      <c r="C4649" s="84"/>
      <c r="D4649" s="380"/>
      <c r="E4649" s="381"/>
      <c r="F4649" s="381"/>
      <c r="G4649" s="381"/>
      <c r="H4649" s="381"/>
      <c r="I4649" s="381"/>
      <c r="J4649" s="382"/>
      <c r="K4649" s="88"/>
      <c r="M4649" s="510" t="s">
        <v>103</v>
      </c>
      <c r="N4649" s="511"/>
      <c r="O4649" s="511"/>
      <c r="P4649" s="511"/>
      <c r="Q4649" s="511"/>
      <c r="R4649" s="511"/>
      <c r="S4649" s="511"/>
      <c r="T4649" s="511"/>
      <c r="U4649" s="511"/>
      <c r="V4649" s="512"/>
      <c r="Y4649" s="378"/>
      <c r="Z4649" s="121"/>
      <c r="AA4649" s="86"/>
      <c r="AB4649" s="513"/>
      <c r="AC4649" s="514"/>
      <c r="AD4649" s="94"/>
      <c r="AE4649" s="126"/>
    </row>
    <row r="4650" spans="3:31" s="260" customFormat="1" x14ac:dyDescent="0.25">
      <c r="C4650" s="84"/>
      <c r="D4650" s="85"/>
      <c r="E4650" s="86"/>
      <c r="F4650" s="86"/>
      <c r="G4650" s="86"/>
      <c r="H4650" s="86"/>
      <c r="I4650" s="86"/>
      <c r="J4650" s="87"/>
      <c r="K4650" s="88"/>
      <c r="M4650" s="99" t="s">
        <v>94</v>
      </c>
      <c r="N4650" s="561" t="s">
        <v>95</v>
      </c>
      <c r="O4650" s="561"/>
      <c r="P4650" s="561"/>
      <c r="Q4650" s="561"/>
      <c r="R4650" s="95" t="s">
        <v>96</v>
      </c>
      <c r="S4650" s="95" t="s">
        <v>104</v>
      </c>
      <c r="T4650" s="356" t="s">
        <v>105</v>
      </c>
      <c r="U4650" s="356" t="s">
        <v>8</v>
      </c>
      <c r="V4650" s="100" t="s">
        <v>98</v>
      </c>
      <c r="Y4650" s="383" t="s">
        <v>104</v>
      </c>
      <c r="Z4650" s="119" t="s">
        <v>9</v>
      </c>
      <c r="AA4650" s="86"/>
      <c r="AB4650" s="384"/>
      <c r="AC4650" s="385"/>
      <c r="AD4650" s="94"/>
      <c r="AE4650" s="406"/>
    </row>
    <row r="4651" spans="3:31" s="260" customFormat="1" x14ac:dyDescent="0.25">
      <c r="C4651" s="84"/>
      <c r="D4651" s="85"/>
      <c r="E4651" s="86"/>
      <c r="F4651" s="86"/>
      <c r="G4651" s="86"/>
      <c r="H4651" s="86"/>
      <c r="I4651" s="86"/>
      <c r="J4651" s="87"/>
      <c r="K4651" s="88"/>
      <c r="M4651" s="102">
        <v>538</v>
      </c>
      <c r="N4651" s="533" t="str">
        <f>IFERROR(VLOOKUP(M4651,INSUMOS!$C$8:$K$928,2,0),"-----")</f>
        <v>CODO 2" 45° SANITARIO</v>
      </c>
      <c r="O4651" s="533"/>
      <c r="P4651" s="533"/>
      <c r="Q4651" s="533"/>
      <c r="R4651" s="78" t="str">
        <f>IFERROR(VLOOKUP(M4651,INSUMOS!$C$8:$K$928,6,0),"-----")</f>
        <v>und</v>
      </c>
      <c r="S4651" s="396">
        <v>1</v>
      </c>
      <c r="T4651" s="387">
        <v>0</v>
      </c>
      <c r="U4651" s="388">
        <f>IFERROR(VLOOKUP(M4651,INSUMOS!$C$8:$K$928,7,0),"0")</f>
        <v>5308</v>
      </c>
      <c r="V4651" s="389">
        <f>+IFERROR(U4651*(S4651*(1+T4651)),0)</f>
        <v>5308</v>
      </c>
      <c r="Y4651" s="393">
        <f>+IFERROR(Y4638*(S4651*(1+T4651)),0)</f>
        <v>13</v>
      </c>
      <c r="Z4651" s="391">
        <f>Y4638*V4651</f>
        <v>69004</v>
      </c>
      <c r="AA4651" s="394"/>
      <c r="AB4651" s="395">
        <f>+Y4651*U4651</f>
        <v>69004</v>
      </c>
      <c r="AC4651" s="93">
        <f>+AB4651-Z4651</f>
        <v>0</v>
      </c>
      <c r="AD4651" s="94"/>
      <c r="AE4651" s="406" t="str">
        <f>+IF(V4651=0,"CERO","NO")</f>
        <v>NO</v>
      </c>
    </row>
    <row r="4652" spans="3:31" s="260" customFormat="1" x14ac:dyDescent="0.25">
      <c r="C4652" s="84"/>
      <c r="D4652" s="85"/>
      <c r="E4652" s="86"/>
      <c r="F4652" s="86"/>
      <c r="G4652" s="86"/>
      <c r="H4652" s="86"/>
      <c r="I4652" s="86"/>
      <c r="J4652" s="87"/>
      <c r="K4652" s="88"/>
      <c r="M4652" s="102">
        <v>699</v>
      </c>
      <c r="N4652" s="533" t="str">
        <f>IFERROR(VLOOKUP(M4652,INSUMOS!$C$8:$K$928,2,0),"-----")</f>
        <v>SOLDADURA PVC LIQUIDA 1/4"</v>
      </c>
      <c r="O4652" s="533"/>
      <c r="P4652" s="533"/>
      <c r="Q4652" s="533"/>
      <c r="R4652" s="78" t="str">
        <f>IFERROR(VLOOKUP(M4652,INSUMOS!$C$8:$K$928,6,0),"-----")</f>
        <v>und</v>
      </c>
      <c r="S4652" s="396">
        <v>0.01</v>
      </c>
      <c r="T4652" s="387">
        <v>0.02</v>
      </c>
      <c r="U4652" s="388">
        <f>IFERROR(VLOOKUP(M4652,INSUMOS!$C$8:$K$928,7,0),"0")</f>
        <v>146569</v>
      </c>
      <c r="V4652" s="389">
        <f>+IFERROR(U4652*(S4652*(1+T4652)),0)</f>
        <v>1495.0038000000002</v>
      </c>
      <c r="Y4652" s="393">
        <f>+IFERROR(Y4638*(S4652*(1+T4652)),0)</f>
        <v>0.1326</v>
      </c>
      <c r="Z4652" s="391">
        <f>Y4638*V4652</f>
        <v>19435.049400000004</v>
      </c>
      <c r="AA4652" s="394"/>
      <c r="AB4652" s="395">
        <f>+Y4652*U4652</f>
        <v>19435.0494</v>
      </c>
      <c r="AC4652" s="93">
        <f>+AB4652-Z4652</f>
        <v>0</v>
      </c>
      <c r="AD4652" s="94"/>
      <c r="AE4652" s="406" t="str">
        <f>+IF(V4652=0,"CERO","NO")</f>
        <v>NO</v>
      </c>
    </row>
    <row r="4653" spans="3:31" s="260" customFormat="1" x14ac:dyDescent="0.25">
      <c r="C4653" s="84"/>
      <c r="D4653" s="85"/>
      <c r="E4653" s="86"/>
      <c r="F4653" s="86"/>
      <c r="G4653" s="86"/>
      <c r="H4653" s="86"/>
      <c r="I4653" s="86"/>
      <c r="J4653" s="87"/>
      <c r="K4653" s="88"/>
      <c r="M4653" s="102">
        <v>700</v>
      </c>
      <c r="N4653" s="533" t="str">
        <f>IFERROR(VLOOKUP(M4653,INSUMOS!$C$8:$K$928,2,0),"-----")</f>
        <v>LIMPIADOR PVC 1/4</v>
      </c>
      <c r="O4653" s="533"/>
      <c r="P4653" s="533"/>
      <c r="Q4653" s="533"/>
      <c r="R4653" s="78" t="str">
        <f>IFERROR(VLOOKUP(M4653,INSUMOS!$C$8:$K$928,6,0),"-----")</f>
        <v>und</v>
      </c>
      <c r="S4653" s="396">
        <v>0.01</v>
      </c>
      <c r="T4653" s="387">
        <v>0.02</v>
      </c>
      <c r="U4653" s="388">
        <f>IFERROR(VLOOKUP(M4653,INSUMOS!$C$8:$K$928,7,0),"0")</f>
        <v>65913</v>
      </c>
      <c r="V4653" s="389">
        <f>+IFERROR(U4653*(S4653*(1+T4653)),0)</f>
        <v>672.31260000000009</v>
      </c>
      <c r="Y4653" s="393">
        <f>+IFERROR(Y4638*(S4653*(1+T4653)),0)</f>
        <v>0.1326</v>
      </c>
      <c r="Z4653" s="391">
        <f>Y4638*V4653</f>
        <v>8740.0638000000017</v>
      </c>
      <c r="AA4653" s="394"/>
      <c r="AB4653" s="395">
        <f>+Y4653*U4653</f>
        <v>8740.0637999999999</v>
      </c>
      <c r="AC4653" s="93">
        <f>+AB4653-Z4653</f>
        <v>0</v>
      </c>
      <c r="AD4653" s="94"/>
      <c r="AE4653" s="406" t="str">
        <f>+IF(V4653=0,"CERO","NO")</f>
        <v>NO</v>
      </c>
    </row>
    <row r="4654" spans="3:31" s="260" customFormat="1" x14ac:dyDescent="0.25">
      <c r="C4654" s="84"/>
      <c r="D4654" s="85"/>
      <c r="E4654" s="86"/>
      <c r="F4654" s="86"/>
      <c r="G4654" s="86"/>
      <c r="H4654" s="86"/>
      <c r="I4654" s="86"/>
      <c r="J4654" s="87"/>
      <c r="K4654" s="88"/>
      <c r="M4654" s="102">
        <v>0</v>
      </c>
      <c r="N4654" s="533" t="str">
        <f>IFERROR(VLOOKUP(M4654,INSUMOS!$C$8:$K$928,2,0),"-----")</f>
        <v>-----</v>
      </c>
      <c r="O4654" s="533"/>
      <c r="P4654" s="533"/>
      <c r="Q4654" s="533"/>
      <c r="R4654" s="78" t="str">
        <f>IFERROR(VLOOKUP(M4654,INSUMOS!$C$8:$K$928,6,0),"-----")</f>
        <v>-----</v>
      </c>
      <c r="S4654" s="396"/>
      <c r="T4654" s="387"/>
      <c r="U4654" s="388" t="str">
        <f>IFERROR(VLOOKUP(M4654,INSUMOS!$C$8:$K$928,7,0),"0")</f>
        <v>0</v>
      </c>
      <c r="V4654" s="389">
        <f>+IFERROR(U4654*(S4654*(1+T4654)),0)</f>
        <v>0</v>
      </c>
      <c r="Y4654" s="393">
        <f>+IFERROR(Y4638*(S4654*(1+T4654)),0)</f>
        <v>0</v>
      </c>
      <c r="Z4654" s="391">
        <f>Y4638*V4654</f>
        <v>0</v>
      </c>
      <c r="AA4654" s="394"/>
      <c r="AB4654" s="395">
        <f>+Y4654*U4654</f>
        <v>0</v>
      </c>
      <c r="AC4654" s="93">
        <f>+AB4654-Z4654</f>
        <v>0</v>
      </c>
      <c r="AD4654" s="94"/>
      <c r="AE4654" s="406" t="str">
        <f>+IF(V4654=0,"CERO","NO")</f>
        <v>CERO</v>
      </c>
    </row>
    <row r="4655" spans="3:31" s="260" customFormat="1" ht="15.75" thickBot="1" x14ac:dyDescent="0.3">
      <c r="C4655" s="84"/>
      <c r="D4655" s="85"/>
      <c r="E4655" s="86"/>
      <c r="F4655" s="86"/>
      <c r="G4655" s="86"/>
      <c r="H4655" s="86"/>
      <c r="I4655" s="86"/>
      <c r="J4655" s="87"/>
      <c r="K4655" s="88"/>
      <c r="M4655" s="102">
        <v>0</v>
      </c>
      <c r="N4655" s="564"/>
      <c r="O4655" s="564"/>
      <c r="P4655" s="564"/>
      <c r="Q4655" s="564"/>
      <c r="R4655" s="96"/>
      <c r="S4655" s="79"/>
      <c r="T4655" s="97"/>
      <c r="U4655" s="358"/>
      <c r="V4655" s="397"/>
      <c r="Y4655" s="393">
        <f>+IFERROR(Y4638*(S4655*(1+T4655)),0)</f>
        <v>0</v>
      </c>
      <c r="Z4655" s="391">
        <f>Y4638*V4655</f>
        <v>0</v>
      </c>
      <c r="AA4655" s="394"/>
      <c r="AB4655" s="395">
        <f>+Y4655*U4655</f>
        <v>0</v>
      </c>
      <c r="AC4655" s="93">
        <f>+AB4655-Z4655</f>
        <v>0</v>
      </c>
      <c r="AD4655" s="94"/>
      <c r="AE4655" s="406" t="str">
        <f>+IF(V4655=0,"CERO","NO")</f>
        <v>CERO</v>
      </c>
    </row>
    <row r="4656" spans="3:31" s="260" customFormat="1" ht="15.75" thickBot="1" x14ac:dyDescent="0.3">
      <c r="C4656" s="84"/>
      <c r="D4656" s="375" t="s">
        <v>128</v>
      </c>
      <c r="E4656" s="376" t="s">
        <v>129</v>
      </c>
      <c r="F4656" s="376" t="s">
        <v>130</v>
      </c>
      <c r="G4656" s="376" t="s">
        <v>131</v>
      </c>
      <c r="H4656" s="376" t="s">
        <v>132</v>
      </c>
      <c r="I4656" s="376" t="s">
        <v>133</v>
      </c>
      <c r="J4656" s="377" t="s">
        <v>134</v>
      </c>
      <c r="K4656" s="88"/>
      <c r="M4656" s="534"/>
      <c r="N4656" s="536" t="s">
        <v>106</v>
      </c>
      <c r="O4656" s="536"/>
      <c r="P4656" s="536"/>
      <c r="Q4656" s="536"/>
      <c r="R4656" s="536"/>
      <c r="S4656" s="536"/>
      <c r="T4656" s="536"/>
      <c r="U4656" s="536"/>
      <c r="V4656" s="389">
        <f>+SUM(V4651:V4655)</f>
        <v>7475.3164000000006</v>
      </c>
      <c r="Y4656" s="398" t="s">
        <v>135</v>
      </c>
      <c r="Z4656" s="397">
        <f>+SUM(Z4651:Z4655)</f>
        <v>97179.113200000007</v>
      </c>
      <c r="AA4656" s="86"/>
      <c r="AB4656" s="384"/>
      <c r="AC4656" s="385"/>
      <c r="AD4656" s="94"/>
      <c r="AE4656" s="399"/>
    </row>
    <row r="4657" spans="3:31" s="260" customFormat="1" ht="15.75" thickBot="1" x14ac:dyDescent="0.3">
      <c r="C4657" s="84"/>
      <c r="D4657" s="375"/>
      <c r="E4657" s="407">
        <f>+D4648</f>
        <v>4.18</v>
      </c>
      <c r="F4657" s="376"/>
      <c r="G4657" s="376"/>
      <c r="H4657" s="376"/>
      <c r="I4657" s="376"/>
      <c r="J4657" s="377"/>
      <c r="K4657" s="88"/>
      <c r="M4657" s="535"/>
      <c r="N4657" s="537" t="s">
        <v>107</v>
      </c>
      <c r="O4657" s="537"/>
      <c r="P4657" s="537"/>
      <c r="Q4657" s="537"/>
      <c r="R4657" s="537"/>
      <c r="S4657" s="537"/>
      <c r="T4657" s="537"/>
      <c r="U4657" s="537"/>
      <c r="V4657" s="408">
        <f>+ROUND(V4656,$AA$5)</f>
        <v>7475.32</v>
      </c>
      <c r="Y4657" s="401" t="s">
        <v>136</v>
      </c>
      <c r="Z4657" s="402">
        <f>+ROUND(Z4656,$AA$5)</f>
        <v>97179.11</v>
      </c>
      <c r="AA4657" s="86"/>
      <c r="AB4657" s="403">
        <f>+V4657*Y4638</f>
        <v>97179.16</v>
      </c>
      <c r="AC4657" s="404">
        <f>+AB4657-Z4657</f>
        <v>5.0000000002910383E-2</v>
      </c>
      <c r="AD4657" s="94"/>
      <c r="AE4657" s="405"/>
    </row>
    <row r="4658" spans="3:31" s="260" customFormat="1" x14ac:dyDescent="0.25">
      <c r="C4658" s="84"/>
      <c r="D4658" s="380"/>
      <c r="E4658" s="381"/>
      <c r="F4658" s="381"/>
      <c r="G4658" s="381"/>
      <c r="H4658" s="381"/>
      <c r="I4658" s="381"/>
      <c r="J4658" s="382"/>
      <c r="K4658" s="88"/>
      <c r="M4658" s="568" t="s">
        <v>108</v>
      </c>
      <c r="N4658" s="569"/>
      <c r="O4658" s="569"/>
      <c r="P4658" s="569"/>
      <c r="Q4658" s="569"/>
      <c r="R4658" s="569"/>
      <c r="S4658" s="569"/>
      <c r="T4658" s="569"/>
      <c r="U4658" s="569"/>
      <c r="V4658" s="570"/>
      <c r="Y4658" s="378"/>
      <c r="Z4658" s="121"/>
      <c r="AA4658" s="86"/>
      <c r="AB4658" s="409"/>
      <c r="AC4658" s="121"/>
      <c r="AD4658" s="94"/>
      <c r="AE4658" s="126"/>
    </row>
    <row r="4659" spans="3:31" s="260" customFormat="1" ht="25.5" x14ac:dyDescent="0.25">
      <c r="C4659" s="84"/>
      <c r="D4659" s="85"/>
      <c r="E4659" s="86"/>
      <c r="F4659" s="86"/>
      <c r="G4659" s="86"/>
      <c r="H4659" s="86"/>
      <c r="I4659" s="86"/>
      <c r="J4659" s="87"/>
      <c r="K4659" s="88"/>
      <c r="M4659" s="99" t="s">
        <v>94</v>
      </c>
      <c r="N4659" s="561" t="s">
        <v>95</v>
      </c>
      <c r="O4659" s="561"/>
      <c r="P4659" s="561"/>
      <c r="Q4659" s="95" t="s">
        <v>109</v>
      </c>
      <c r="R4659" s="95" t="s">
        <v>110</v>
      </c>
      <c r="S4659" s="95" t="s">
        <v>111</v>
      </c>
      <c r="T4659" s="562" t="s">
        <v>112</v>
      </c>
      <c r="U4659" s="562"/>
      <c r="V4659" s="100" t="s">
        <v>98</v>
      </c>
      <c r="Y4659" s="383" t="s">
        <v>104</v>
      </c>
      <c r="Z4659" s="119" t="s">
        <v>9</v>
      </c>
      <c r="AA4659" s="86"/>
      <c r="AB4659" s="384"/>
      <c r="AC4659" s="385"/>
      <c r="AD4659" s="94"/>
      <c r="AE4659" s="410"/>
    </row>
    <row r="4660" spans="3:31" s="260" customFormat="1" x14ac:dyDescent="0.25">
      <c r="C4660" s="84"/>
      <c r="D4660" s="85"/>
      <c r="E4660" s="86"/>
      <c r="F4660" s="86"/>
      <c r="G4660" s="86"/>
      <c r="H4660" s="86"/>
      <c r="I4660" s="86"/>
      <c r="J4660" s="87"/>
      <c r="K4660" s="88"/>
      <c r="M4660" s="102">
        <v>129</v>
      </c>
      <c r="N4660" s="530" t="str">
        <f>IFERROR(VLOOKUP(M4660,INSUMOS!$C$8:$K$928,2,0),"-----")</f>
        <v>transporte materiales en general</v>
      </c>
      <c r="O4660" s="531"/>
      <c r="P4660" s="532"/>
      <c r="Q4660" s="78" t="str">
        <f>IFERROR(VLOOKUP(M4660,INSUMOS!$C$8:$K$928,5,0),"-----")</f>
        <v>Km</v>
      </c>
      <c r="R4660" s="80">
        <v>1</v>
      </c>
      <c r="S4660" s="80">
        <f>IFERROR(VLOOKUP(M4660,INSUMOS!$C$8:$K$928,6,0),"0")</f>
        <v>348</v>
      </c>
      <c r="T4660" s="529">
        <f>IFERROR(VLOOKUP(M4660,INSUMOS!$C$8:$K$928,7,0),"0")</f>
        <v>0.99776362060288992</v>
      </c>
      <c r="U4660" s="529"/>
      <c r="V4660" s="82">
        <f>+T4660*S4660*R4660</f>
        <v>347.2217399698057</v>
      </c>
      <c r="Y4660" s="393">
        <f>+IFERROR((R4660*S4660)*Y4638,0)</f>
        <v>4524</v>
      </c>
      <c r="Z4660" s="391">
        <f>Y4638*V4660</f>
        <v>4513.8826196074742</v>
      </c>
      <c r="AA4660" s="86"/>
      <c r="AB4660" s="92">
        <f>+Y4660*T4660</f>
        <v>4513.8826196074742</v>
      </c>
      <c r="AC4660" s="93">
        <f>+AB4660-Z4660</f>
        <v>0</v>
      </c>
      <c r="AD4660" s="94"/>
      <c r="AE4660" s="406" t="str">
        <f>+IF(V4660=0,"CERO","NO")</f>
        <v>NO</v>
      </c>
    </row>
    <row r="4661" spans="3:31" s="260" customFormat="1" x14ac:dyDescent="0.25">
      <c r="C4661" s="84"/>
      <c r="D4661" s="85"/>
      <c r="E4661" s="86"/>
      <c r="F4661" s="86"/>
      <c r="G4661" s="86"/>
      <c r="H4661" s="86"/>
      <c r="I4661" s="86"/>
      <c r="J4661" s="87"/>
      <c r="K4661" s="88"/>
      <c r="M4661" s="102">
        <v>0</v>
      </c>
      <c r="N4661" s="530" t="str">
        <f>IFERROR(VLOOKUP(M4661,INSUMOS!$C$8:$K$928,2,0),"-----")</f>
        <v>-----</v>
      </c>
      <c r="O4661" s="531"/>
      <c r="P4661" s="532"/>
      <c r="Q4661" s="78" t="str">
        <f>IFERROR(VLOOKUP(M4661,INSUMOS!$C$8:$K$928,5,0),"-----")</f>
        <v>-----</v>
      </c>
      <c r="R4661" s="80"/>
      <c r="S4661" s="80" t="str">
        <f>IFERROR(VLOOKUP(M4661,INSUMOS!$C$8:$K$928,6,0),"0")</f>
        <v>0</v>
      </c>
      <c r="T4661" s="529" t="str">
        <f>IFERROR(VLOOKUP(M4661,INSUMOS!$C$8:$K$928,7,0),"0")</f>
        <v>0</v>
      </c>
      <c r="U4661" s="529"/>
      <c r="V4661" s="82">
        <f>+T4661*S4661*R4661</f>
        <v>0</v>
      </c>
      <c r="Y4661" s="393">
        <f>+IFERROR((R4661*S4661)*Y4638,0)</f>
        <v>0</v>
      </c>
      <c r="Z4661" s="391">
        <f>Y4638*V4661</f>
        <v>0</v>
      </c>
      <c r="AA4661" s="86"/>
      <c r="AB4661" s="92">
        <f>+Y4661*T4661</f>
        <v>0</v>
      </c>
      <c r="AC4661" s="93">
        <f>+AB4661-Z4661</f>
        <v>0</v>
      </c>
      <c r="AD4661" s="94"/>
      <c r="AE4661" s="406" t="str">
        <f>+IF(V4661=0,"CERO","NO")</f>
        <v>CERO</v>
      </c>
    </row>
    <row r="4662" spans="3:31" s="260" customFormat="1" x14ac:dyDescent="0.25">
      <c r="C4662" s="84"/>
      <c r="D4662" s="85"/>
      <c r="E4662" s="86"/>
      <c r="F4662" s="86"/>
      <c r="G4662" s="86"/>
      <c r="H4662" s="86"/>
      <c r="I4662" s="86"/>
      <c r="J4662" s="87"/>
      <c r="K4662" s="88"/>
      <c r="M4662" s="102">
        <v>0</v>
      </c>
      <c r="N4662" s="530" t="str">
        <f>IFERROR(VLOOKUP(M4662,INSUMOS!$C$8:$K$928,2,0),"-----")</f>
        <v>-----</v>
      </c>
      <c r="O4662" s="531"/>
      <c r="P4662" s="532"/>
      <c r="Q4662" s="78" t="str">
        <f>IFERROR(VLOOKUP(M4662,INSUMOS!$C$8:$K$928,5,0),"-----")</f>
        <v>-----</v>
      </c>
      <c r="R4662" s="80"/>
      <c r="S4662" s="80" t="str">
        <f>IFERROR(VLOOKUP(M4662,INSUMOS!$C$8:$K$928,6,0),"0")</f>
        <v>0</v>
      </c>
      <c r="T4662" s="529" t="str">
        <f>IFERROR(VLOOKUP(M4662,INSUMOS!$C$8:$K$928,7,0),"0")</f>
        <v>0</v>
      </c>
      <c r="U4662" s="529"/>
      <c r="V4662" s="82">
        <f>+T4662*S4662*R4662</f>
        <v>0</v>
      </c>
      <c r="Y4662" s="393">
        <f>+IFERROR((R4662*S4662)*Y4638,0)</f>
        <v>0</v>
      </c>
      <c r="Z4662" s="391">
        <f>Y4638*V4662</f>
        <v>0</v>
      </c>
      <c r="AA4662" s="86"/>
      <c r="AB4662" s="92">
        <f>+Y4662*T4662</f>
        <v>0</v>
      </c>
      <c r="AC4662" s="93">
        <f>+AB4662-Z4662</f>
        <v>0</v>
      </c>
      <c r="AD4662" s="94"/>
      <c r="AE4662" s="406" t="str">
        <f>+IF(V4662=0,"CERO","NO")</f>
        <v>CERO</v>
      </c>
    </row>
    <row r="4663" spans="3:31" s="260" customFormat="1" ht="15.75" thickBot="1" x14ac:dyDescent="0.3">
      <c r="C4663" s="84"/>
      <c r="D4663" s="89"/>
      <c r="E4663" s="90"/>
      <c r="F4663" s="90"/>
      <c r="G4663" s="90"/>
      <c r="H4663" s="90"/>
      <c r="I4663" s="90"/>
      <c r="J4663" s="91"/>
      <c r="K4663" s="88"/>
      <c r="M4663" s="102">
        <v>0</v>
      </c>
      <c r="N4663" s="533"/>
      <c r="O4663" s="533"/>
      <c r="P4663" s="533"/>
      <c r="Q4663" s="79"/>
      <c r="R4663" s="78"/>
      <c r="S4663" s="81"/>
      <c r="T4663" s="529"/>
      <c r="U4663" s="529"/>
      <c r="V4663" s="82"/>
      <c r="Y4663" s="393">
        <f>+IFERROR((R4663*S4663)*Y4638,0)</f>
        <v>0</v>
      </c>
      <c r="Z4663" s="391">
        <f>Y4638*V4663</f>
        <v>0</v>
      </c>
      <c r="AA4663" s="86"/>
      <c r="AB4663" s="92">
        <f>+Y4663*T4663</f>
        <v>0</v>
      </c>
      <c r="AC4663" s="93">
        <f>+AB4663-Z4663</f>
        <v>0</v>
      </c>
      <c r="AD4663" s="94"/>
      <c r="AE4663" s="406" t="str">
        <f>+IF(V4663=0,"CERO","NO")</f>
        <v>CERO</v>
      </c>
    </row>
    <row r="4664" spans="3:31" s="260" customFormat="1" ht="15.75" thickBot="1" x14ac:dyDescent="0.3">
      <c r="C4664" s="84"/>
      <c r="D4664" s="375" t="s">
        <v>128</v>
      </c>
      <c r="E4664" s="376" t="s">
        <v>129</v>
      </c>
      <c r="F4664" s="376" t="s">
        <v>130</v>
      </c>
      <c r="G4664" s="376" t="s">
        <v>131</v>
      </c>
      <c r="H4664" s="376" t="s">
        <v>132</v>
      </c>
      <c r="I4664" s="376" t="s">
        <v>133</v>
      </c>
      <c r="J4664" s="377" t="s">
        <v>134</v>
      </c>
      <c r="K4664" s="88"/>
      <c r="M4664" s="534"/>
      <c r="N4664" s="536" t="s">
        <v>113</v>
      </c>
      <c r="O4664" s="536"/>
      <c r="P4664" s="536"/>
      <c r="Q4664" s="536"/>
      <c r="R4664" s="536"/>
      <c r="S4664" s="536"/>
      <c r="T4664" s="536"/>
      <c r="U4664" s="536"/>
      <c r="V4664" s="411">
        <f>+SUM(V4660:V4663)</f>
        <v>347.2217399698057</v>
      </c>
      <c r="Y4664" s="398" t="s">
        <v>135</v>
      </c>
      <c r="Z4664" s="397">
        <f>+SUM(Z4660:Z4663)</f>
        <v>4513.8826196074742</v>
      </c>
      <c r="AA4664" s="86"/>
      <c r="AB4664" s="384"/>
      <c r="AC4664" s="385"/>
      <c r="AD4664" s="94"/>
      <c r="AE4664" s="399"/>
    </row>
    <row r="4665" spans="3:31" s="260" customFormat="1" ht="15.75" thickBot="1" x14ac:dyDescent="0.3">
      <c r="C4665" s="84"/>
      <c r="D4665" s="355"/>
      <c r="E4665" s="367"/>
      <c r="F4665" s="412">
        <f>+E4657</f>
        <v>4.18</v>
      </c>
      <c r="G4665" s="367"/>
      <c r="H4665" s="367"/>
      <c r="I4665" s="367"/>
      <c r="J4665" s="368"/>
      <c r="K4665" s="88"/>
      <c r="M4665" s="535"/>
      <c r="N4665" s="537" t="s">
        <v>114</v>
      </c>
      <c r="O4665" s="537"/>
      <c r="P4665" s="537"/>
      <c r="Q4665" s="537"/>
      <c r="R4665" s="537"/>
      <c r="S4665" s="537"/>
      <c r="T4665" s="537"/>
      <c r="U4665" s="537"/>
      <c r="V4665" s="413">
        <f>+ROUND(V4664,$AA$5)</f>
        <v>347.22</v>
      </c>
      <c r="Y4665" s="401" t="s">
        <v>136</v>
      </c>
      <c r="Z4665" s="402">
        <f>+ROUND(Z4664,$AA$5)</f>
        <v>4513.88</v>
      </c>
      <c r="AA4665" s="86"/>
      <c r="AB4665" s="403">
        <f>+V4665*Y4638</f>
        <v>4513.8600000000006</v>
      </c>
      <c r="AC4665" s="414"/>
      <c r="AD4665" s="94"/>
      <c r="AE4665" s="405"/>
    </row>
    <row r="4666" spans="3:31" s="260" customFormat="1" ht="15.75" thickBot="1" x14ac:dyDescent="0.3">
      <c r="C4666" s="84"/>
      <c r="D4666" s="415"/>
      <c r="E4666" s="416"/>
      <c r="F4666" s="416"/>
      <c r="G4666" s="416"/>
      <c r="H4666" s="416"/>
      <c r="I4666" s="416"/>
      <c r="J4666" s="417"/>
      <c r="K4666" s="88"/>
      <c r="M4666" s="538" t="s">
        <v>115</v>
      </c>
      <c r="N4666" s="539"/>
      <c r="O4666" s="539"/>
      <c r="P4666" s="539"/>
      <c r="Q4666" s="539"/>
      <c r="R4666" s="539"/>
      <c r="S4666" s="539"/>
      <c r="T4666" s="539"/>
      <c r="U4666" s="539"/>
      <c r="V4666" s="540"/>
      <c r="Y4666" s="378"/>
      <c r="Z4666" s="121"/>
      <c r="AA4666" s="86"/>
      <c r="AB4666" s="409"/>
      <c r="AC4666" s="121"/>
      <c r="AD4666" s="94"/>
      <c r="AE4666" s="126"/>
    </row>
    <row r="4667" spans="3:31" s="260" customFormat="1" ht="15.75" thickBot="1" x14ac:dyDescent="0.3">
      <c r="C4667" s="84"/>
      <c r="D4667" s="375" t="s">
        <v>128</v>
      </c>
      <c r="E4667" s="376" t="s">
        <v>129</v>
      </c>
      <c r="F4667" s="376" t="s">
        <v>130</v>
      </c>
      <c r="G4667" s="376" t="s">
        <v>131</v>
      </c>
      <c r="H4667" s="376" t="s">
        <v>132</v>
      </c>
      <c r="I4667" s="376" t="s">
        <v>133</v>
      </c>
      <c r="J4667" s="377" t="s">
        <v>134</v>
      </c>
      <c r="K4667" s="88"/>
      <c r="M4667" s="99" t="s">
        <v>94</v>
      </c>
      <c r="N4667" s="98" t="s">
        <v>95</v>
      </c>
      <c r="O4667" s="95" t="s">
        <v>96</v>
      </c>
      <c r="P4667" s="359" t="s">
        <v>104</v>
      </c>
      <c r="Q4667" s="95" t="s">
        <v>116</v>
      </c>
      <c r="R4667" s="418" t="s">
        <v>117</v>
      </c>
      <c r="S4667" s="95" t="s">
        <v>347</v>
      </c>
      <c r="T4667" s="419" t="s">
        <v>118</v>
      </c>
      <c r="U4667" s="189" t="s">
        <v>119</v>
      </c>
      <c r="V4667" s="100" t="s">
        <v>98</v>
      </c>
      <c r="Y4667" s="383" t="s">
        <v>104</v>
      </c>
      <c r="Z4667" s="119" t="s">
        <v>9</v>
      </c>
      <c r="AA4667" s="86"/>
      <c r="AB4667" s="384"/>
      <c r="AC4667" s="385"/>
      <c r="AD4667" s="94"/>
      <c r="AE4667" s="410"/>
    </row>
    <row r="4668" spans="3:31" s="260" customFormat="1" ht="25.5" x14ac:dyDescent="0.25">
      <c r="C4668" s="84"/>
      <c r="D4668" s="354"/>
      <c r="E4668" s="96"/>
      <c r="F4668" s="96"/>
      <c r="G4668" s="96"/>
      <c r="H4668" s="96"/>
      <c r="I4668" s="96"/>
      <c r="J4668" s="420">
        <f>+F4665</f>
        <v>4.18</v>
      </c>
      <c r="K4668" s="88"/>
      <c r="M4668" s="102">
        <v>207</v>
      </c>
      <c r="N4668" s="347" t="str">
        <f>IFERROR(VLOOKUP(M4668,INSUMOS!$C$8:$K$928,2,0),"-----")</f>
        <v>Oficial Hidrosanitario</v>
      </c>
      <c r="O4668" s="78" t="str">
        <f>IFERROR(VLOOKUP(M4668,INSUMOS!$C$8:$K$928,3,0),"-----")</f>
        <v>JORNAL+PS</v>
      </c>
      <c r="P4668" s="80">
        <v>1</v>
      </c>
      <c r="Q4668" s="79">
        <v>40</v>
      </c>
      <c r="R4668" s="190">
        <f>IFERROR(VLOOKUP(M4668,INSUMOS!$C$8:$K$928,4,0),"-----")</f>
        <v>92983</v>
      </c>
      <c r="S4668" s="190">
        <f>IFERROR(VLOOKUP(M4668,INSUMOS!$C$8:$K$928,6,0),"-----")</f>
        <v>74386</v>
      </c>
      <c r="T4668" s="190">
        <f>IFERROR(VLOOKUP(M4668,INSUMOS!$C$8:$K$928,5,0),"-----")</f>
        <v>0</v>
      </c>
      <c r="U4668" s="388">
        <f>SUM(R4668:T4668)</f>
        <v>167369</v>
      </c>
      <c r="V4668" s="82">
        <f>+IFERROR((P4668/Q4668)*U4668,0)</f>
        <v>4184.2250000000004</v>
      </c>
      <c r="Y4668" s="393">
        <f>+IFERROR((Y4638/Q4668*P4668),0)</f>
        <v>0.32500000000000001</v>
      </c>
      <c r="Z4668" s="391">
        <f>Y4638*V4668</f>
        <v>54394.925000000003</v>
      </c>
      <c r="AA4668" s="86"/>
      <c r="AB4668" s="92">
        <f>+(U4668)*Y4668</f>
        <v>54394.925000000003</v>
      </c>
      <c r="AC4668" s="93">
        <f>+AB4668-Z4668</f>
        <v>0</v>
      </c>
      <c r="AD4668" s="421"/>
      <c r="AE4668" s="410" t="str">
        <f>+IF(V4668=0,"CERO","NO")</f>
        <v>NO</v>
      </c>
    </row>
    <row r="4669" spans="3:31" s="260" customFormat="1" ht="15.75" thickBot="1" x14ac:dyDescent="0.3">
      <c r="C4669" s="84"/>
      <c r="D4669" s="355"/>
      <c r="E4669" s="367"/>
      <c r="F4669" s="367"/>
      <c r="G4669" s="367"/>
      <c r="H4669" s="367"/>
      <c r="I4669" s="367"/>
      <c r="J4669" s="422">
        <f>+J4668</f>
        <v>4.18</v>
      </c>
      <c r="K4669" s="88"/>
      <c r="M4669" s="102"/>
      <c r="N4669" s="347" t="str">
        <f>IFERROR(VLOOKUP(M4669,INSUMOS!$C$8:$K$928,2,0),"-----")</f>
        <v>-----</v>
      </c>
      <c r="O4669" s="78" t="str">
        <f>IFERROR(VLOOKUP(M4669,INSUMOS!$C$8:$K$928,3,0),"-----")</f>
        <v>-----</v>
      </c>
      <c r="P4669" s="80"/>
      <c r="Q4669" s="79"/>
      <c r="R4669" s="190" t="str">
        <f>IFERROR(VLOOKUP(M4669,INSUMOS!$C$8:$K$928,4,0),"-----")</f>
        <v>-----</v>
      </c>
      <c r="S4669" s="190" t="str">
        <f>IFERROR(VLOOKUP(M4669,INSUMOS!$C$8:$K$928,6,0),"-----")</f>
        <v>-----</v>
      </c>
      <c r="T4669" s="190" t="str">
        <f>IFERROR(VLOOKUP(M4669,INSUMOS!$C$8:$K$928,5,0),"-----")</f>
        <v>-----</v>
      </c>
      <c r="U4669" s="388">
        <f>SUM(R4669:T4669)</f>
        <v>0</v>
      </c>
      <c r="V4669" s="82">
        <f>+IFERROR((P4669/Q4669)*U4669,0)</f>
        <v>0</v>
      </c>
      <c r="Y4669" s="393">
        <f>+IFERROR((Y4638/Q4669*P4669),0)</f>
        <v>0</v>
      </c>
      <c r="Z4669" s="391">
        <f>Y4638*V4669</f>
        <v>0</v>
      </c>
      <c r="AA4669" s="86"/>
      <c r="AB4669" s="92">
        <f>+U4669*Y4669</f>
        <v>0</v>
      </c>
      <c r="AC4669" s="93">
        <f>+AB4669-Z4669</f>
        <v>0</v>
      </c>
      <c r="AD4669" s="94"/>
      <c r="AE4669" s="410" t="str">
        <f>+IF(V4669=0,"CERO","NO")</f>
        <v>CERO</v>
      </c>
    </row>
    <row r="4670" spans="3:31" s="260" customFormat="1" ht="15.75" thickBot="1" x14ac:dyDescent="0.3">
      <c r="C4670" s="84"/>
      <c r="D4670" s="380"/>
      <c r="E4670" s="381"/>
      <c r="F4670" s="381"/>
      <c r="G4670" s="381"/>
      <c r="H4670" s="381"/>
      <c r="I4670" s="381"/>
      <c r="J4670" s="382"/>
      <c r="K4670" s="88"/>
      <c r="M4670" s="102">
        <v>0</v>
      </c>
      <c r="N4670" s="347"/>
      <c r="O4670" s="79"/>
      <c r="P4670" s="423"/>
      <c r="Q4670" s="81"/>
      <c r="R4670" s="111"/>
      <c r="S4670" s="357"/>
      <c r="T4670" s="111"/>
      <c r="U4670" s="388"/>
      <c r="V4670" s="426"/>
      <c r="Y4670" s="393">
        <f>+IFERROR((Y4638/Q4670*P4670),0)</f>
        <v>0</v>
      </c>
      <c r="Z4670" s="391">
        <f>Y4638*V4670</f>
        <v>0</v>
      </c>
      <c r="AA4670" s="86"/>
      <c r="AB4670" s="92">
        <f>+(U4670)*Y4670*P4670</f>
        <v>0</v>
      </c>
      <c r="AC4670" s="93">
        <f>+AB4670-Z4670</f>
        <v>0</v>
      </c>
      <c r="AD4670" s="94"/>
      <c r="AE4670" s="410" t="str">
        <f>+IF(V4670=0,"CERO","NO")</f>
        <v>CERO</v>
      </c>
    </row>
    <row r="4671" spans="3:31" s="260" customFormat="1" ht="15.75" thickBot="1" x14ac:dyDescent="0.3">
      <c r="C4671" s="84"/>
      <c r="D4671" s="375" t="s">
        <v>128</v>
      </c>
      <c r="E4671" s="376" t="s">
        <v>129</v>
      </c>
      <c r="F4671" s="376" t="s">
        <v>130</v>
      </c>
      <c r="G4671" s="376" t="s">
        <v>131</v>
      </c>
      <c r="H4671" s="376" t="s">
        <v>132</v>
      </c>
      <c r="I4671" s="376" t="s">
        <v>133</v>
      </c>
      <c r="J4671" s="377" t="s">
        <v>134</v>
      </c>
      <c r="K4671" s="88"/>
      <c r="M4671" s="534"/>
      <c r="N4671" s="536" t="s">
        <v>120</v>
      </c>
      <c r="O4671" s="536"/>
      <c r="P4671" s="536"/>
      <c r="Q4671" s="536"/>
      <c r="R4671" s="536"/>
      <c r="S4671" s="536"/>
      <c r="T4671" s="536"/>
      <c r="U4671" s="536"/>
      <c r="V4671" s="82">
        <f>+SUM(V4668:V4670)</f>
        <v>4184.2250000000004</v>
      </c>
      <c r="Y4671" s="398" t="s">
        <v>135</v>
      </c>
      <c r="Z4671" s="397">
        <f>+SUM(Z4668:Z4670)</f>
        <v>54394.925000000003</v>
      </c>
      <c r="AA4671" s="86"/>
      <c r="AB4671" s="384"/>
      <c r="AC4671" s="385"/>
      <c r="AD4671" s="94"/>
      <c r="AE4671" s="399"/>
    </row>
    <row r="4672" spans="3:31" s="260" customFormat="1" ht="15.75" thickBot="1" x14ac:dyDescent="0.3">
      <c r="C4672" s="84"/>
      <c r="D4672" s="354"/>
      <c r="E4672" s="96"/>
      <c r="F4672" s="96"/>
      <c r="G4672" s="107">
        <f>+F4665</f>
        <v>4.18</v>
      </c>
      <c r="H4672" s="96"/>
      <c r="I4672" s="96"/>
      <c r="J4672" s="427"/>
      <c r="K4672" s="88"/>
      <c r="M4672" s="535"/>
      <c r="N4672" s="537" t="s">
        <v>121</v>
      </c>
      <c r="O4672" s="537"/>
      <c r="P4672" s="537"/>
      <c r="Q4672" s="537"/>
      <c r="R4672" s="537"/>
      <c r="S4672" s="537"/>
      <c r="T4672" s="537"/>
      <c r="U4672" s="537"/>
      <c r="V4672" s="413">
        <f>+ROUND(V4671,$AA$5)</f>
        <v>4184.2299999999996</v>
      </c>
      <c r="Y4672" s="401" t="s">
        <v>136</v>
      </c>
      <c r="Z4672" s="402">
        <f>+ROUND(Z4671,$AA$5)</f>
        <v>54394.93</v>
      </c>
      <c r="AA4672" s="86"/>
      <c r="AB4672" s="403">
        <f>+V4672*Y4638</f>
        <v>54394.989999999991</v>
      </c>
      <c r="AC4672" s="404">
        <f>+AB4672-Z4672</f>
        <v>5.9999999990395736E-2</v>
      </c>
      <c r="AD4672" s="94"/>
      <c r="AE4672" s="405"/>
    </row>
    <row r="4673" spans="3:31" s="260" customFormat="1" ht="15.75" thickBot="1" x14ac:dyDescent="0.3">
      <c r="C4673" s="84"/>
      <c r="D4673" s="375" t="s">
        <v>128</v>
      </c>
      <c r="E4673" s="376" t="s">
        <v>129</v>
      </c>
      <c r="F4673" s="376" t="s">
        <v>130</v>
      </c>
      <c r="G4673" s="376" t="s">
        <v>131</v>
      </c>
      <c r="H4673" s="376" t="s">
        <v>132</v>
      </c>
      <c r="I4673" s="376" t="s">
        <v>133</v>
      </c>
      <c r="J4673" s="377" t="s">
        <v>134</v>
      </c>
      <c r="K4673" s="88"/>
      <c r="M4673" s="541"/>
      <c r="N4673" s="542"/>
      <c r="O4673" s="542"/>
      <c r="P4673" s="542"/>
      <c r="Q4673" s="542"/>
      <c r="R4673" s="542"/>
      <c r="S4673" s="542"/>
      <c r="T4673" s="542"/>
      <c r="U4673" s="542"/>
      <c r="V4673" s="543"/>
      <c r="Y4673" s="378"/>
      <c r="Z4673" s="121"/>
      <c r="AA4673" s="86"/>
      <c r="AB4673" s="409"/>
      <c r="AC4673" s="121"/>
      <c r="AD4673" s="94"/>
      <c r="AE4673" s="428"/>
    </row>
    <row r="4674" spans="3:31" s="260" customFormat="1" ht="15.75" thickBot="1" x14ac:dyDescent="0.3">
      <c r="C4674" s="84"/>
      <c r="D4674" s="355"/>
      <c r="E4674" s="367"/>
      <c r="F4674" s="367"/>
      <c r="G4674" s="367"/>
      <c r="H4674" s="412">
        <f>G4672</f>
        <v>4.18</v>
      </c>
      <c r="I4674" s="412"/>
      <c r="J4674" s="422"/>
      <c r="K4674" s="88"/>
      <c r="M4674" s="544" t="s">
        <v>122</v>
      </c>
      <c r="N4674" s="537"/>
      <c r="O4674" s="537"/>
      <c r="P4674" s="537"/>
      <c r="Q4674" s="537"/>
      <c r="R4674" s="537"/>
      <c r="S4674" s="537"/>
      <c r="T4674" s="537"/>
      <c r="U4674" s="545">
        <f>+V4672+V4665+V4657+V4648</f>
        <v>12215.98</v>
      </c>
      <c r="V4674" s="546"/>
      <c r="Y4674" s="429"/>
      <c r="Z4674" s="430">
        <f>+Z4672+Z4665+Z4657+Z4648</f>
        <v>158807.66999999998</v>
      </c>
      <c r="AA4674" s="86"/>
      <c r="AB4674" s="431">
        <f>+AB4672+AB4665+AB4657+AB4648</f>
        <v>158807.74000000002</v>
      </c>
      <c r="AC4674" s="404">
        <f>+AB4674-Z4674</f>
        <v>7.000000003608875E-2</v>
      </c>
      <c r="AD4674" s="94"/>
      <c r="AE4674" s="432"/>
    </row>
    <row r="4675" spans="3:31" s="260" customFormat="1" ht="15.75" thickBot="1" x14ac:dyDescent="0.3"/>
    <row r="4676" spans="3:31" s="260" customFormat="1" x14ac:dyDescent="0.25">
      <c r="M4676" s="547" t="s">
        <v>348</v>
      </c>
      <c r="N4676" s="548"/>
      <c r="O4676" s="548"/>
      <c r="P4676" s="548"/>
      <c r="Q4676" s="548"/>
      <c r="R4676" s="548"/>
      <c r="S4676" s="548"/>
      <c r="T4676" s="548"/>
      <c r="U4676" s="548"/>
      <c r="V4676" s="549"/>
      <c r="Y4676" s="378"/>
      <c r="Z4676" s="121"/>
      <c r="AA4676" s="86"/>
      <c r="AB4676" s="94"/>
      <c r="AC4676" s="94"/>
      <c r="AD4676" s="94"/>
      <c r="AE4676" s="126" t="s">
        <v>133</v>
      </c>
    </row>
    <row r="4677" spans="3:31" s="260" customFormat="1" x14ac:dyDescent="0.25">
      <c r="M4677" s="515" t="s">
        <v>138</v>
      </c>
      <c r="N4677" s="516"/>
      <c r="O4677" s="516"/>
      <c r="P4677" s="516"/>
      <c r="Q4677" s="516"/>
      <c r="R4677" s="516"/>
      <c r="S4677" s="516"/>
      <c r="T4677" s="437">
        <v>0</v>
      </c>
      <c r="U4677" s="517">
        <f>+ROUND(U4674*T4677,$AA$5)</f>
        <v>0</v>
      </c>
      <c r="V4677" s="518"/>
      <c r="Y4677" s="390"/>
      <c r="Z4677" s="438">
        <f>+Z4674*T4677</f>
        <v>0</v>
      </c>
      <c r="AA4677" s="86"/>
      <c r="AB4677" s="94"/>
      <c r="AC4677" s="94"/>
      <c r="AD4677" s="94"/>
      <c r="AE4677" s="386" t="s">
        <v>133</v>
      </c>
    </row>
    <row r="4678" spans="3:31" s="260" customFormat="1" x14ac:dyDescent="0.25">
      <c r="M4678" s="515" t="s">
        <v>19</v>
      </c>
      <c r="N4678" s="516"/>
      <c r="O4678" s="516"/>
      <c r="P4678" s="516"/>
      <c r="Q4678" s="516"/>
      <c r="R4678" s="516"/>
      <c r="S4678" s="516"/>
      <c r="T4678" s="437">
        <v>0.05</v>
      </c>
      <c r="U4678" s="517">
        <f>+ROUND(U4674*T4678,$AA$5)</f>
        <v>610.79999999999995</v>
      </c>
      <c r="V4678" s="518"/>
      <c r="Y4678" s="390"/>
      <c r="Z4678" s="438">
        <f>+Z4674*T4678</f>
        <v>7940.3834999999999</v>
      </c>
      <c r="AA4678" s="86"/>
      <c r="AB4678" s="94"/>
      <c r="AC4678" s="94"/>
      <c r="AD4678" s="94"/>
      <c r="AE4678" s="386" t="s">
        <v>133</v>
      </c>
    </row>
    <row r="4679" spans="3:31" s="260" customFormat="1" x14ac:dyDescent="0.25">
      <c r="M4679" s="515" t="s">
        <v>20</v>
      </c>
      <c r="N4679" s="516"/>
      <c r="O4679" s="516"/>
      <c r="P4679" s="516"/>
      <c r="Q4679" s="516"/>
      <c r="R4679" s="516"/>
      <c r="S4679" s="516"/>
      <c r="T4679" s="437">
        <v>0</v>
      </c>
      <c r="U4679" s="517">
        <f>+ROUND(U4674*T4679,$AA$5)</f>
        <v>0</v>
      </c>
      <c r="V4679" s="518"/>
      <c r="Y4679" s="390"/>
      <c r="Z4679" s="438">
        <f>+Z4674*T4679</f>
        <v>0</v>
      </c>
      <c r="AA4679" s="86"/>
      <c r="AB4679" s="94"/>
      <c r="AC4679" s="94"/>
      <c r="AD4679" s="94"/>
      <c r="AE4679" s="386" t="s">
        <v>133</v>
      </c>
    </row>
    <row r="4680" spans="3:31" s="260" customFormat="1" x14ac:dyDescent="0.25">
      <c r="M4680" s="515" t="s">
        <v>21</v>
      </c>
      <c r="N4680" s="516"/>
      <c r="O4680" s="516"/>
      <c r="P4680" s="516"/>
      <c r="Q4680" s="516"/>
      <c r="R4680" s="516"/>
      <c r="S4680" s="516"/>
      <c r="T4680" s="437">
        <f>$AA$9</f>
        <v>0</v>
      </c>
      <c r="U4680" s="517">
        <f>+ROUND(U4674*T4680,$AA$5)</f>
        <v>0</v>
      </c>
      <c r="V4680" s="518"/>
      <c r="Y4680" s="390"/>
      <c r="Z4680" s="438">
        <f>+Z4679*T4680</f>
        <v>0</v>
      </c>
      <c r="AA4680" s="86"/>
      <c r="AB4680" s="94"/>
      <c r="AC4680" s="94"/>
      <c r="AD4680" s="94"/>
      <c r="AE4680" s="386" t="s">
        <v>133</v>
      </c>
    </row>
    <row r="4681" spans="3:31" s="260" customFormat="1" ht="15.75" thickBot="1" x14ac:dyDescent="0.3">
      <c r="M4681" s="519" t="s">
        <v>349</v>
      </c>
      <c r="N4681" s="520"/>
      <c r="O4681" s="520"/>
      <c r="P4681" s="520"/>
      <c r="Q4681" s="520"/>
      <c r="R4681" s="520"/>
      <c r="S4681" s="520"/>
      <c r="T4681" s="520"/>
      <c r="U4681" s="521">
        <f>+SUM(U4677:V4680)</f>
        <v>610.79999999999995</v>
      </c>
      <c r="V4681" s="522"/>
      <c r="Y4681" s="390"/>
      <c r="Z4681" s="439">
        <f>+SUM(Z4677:Z4680)</f>
        <v>7940.3834999999999</v>
      </c>
      <c r="AA4681" s="86"/>
      <c r="AB4681" s="94"/>
      <c r="AC4681" s="94"/>
      <c r="AD4681" s="94"/>
      <c r="AE4681" s="386" t="s">
        <v>133</v>
      </c>
    </row>
    <row r="4682" spans="3:31" s="260" customFormat="1" ht="15.75" thickBot="1" x14ac:dyDescent="0.3">
      <c r="D4682" s="375" t="s">
        <v>128</v>
      </c>
      <c r="E4682" s="376" t="s">
        <v>129</v>
      </c>
      <c r="F4682" s="376" t="s">
        <v>130</v>
      </c>
      <c r="G4682" s="376" t="s">
        <v>131</v>
      </c>
      <c r="H4682" s="376" t="s">
        <v>132</v>
      </c>
      <c r="I4682" s="376" t="s">
        <v>133</v>
      </c>
      <c r="J4682" s="377" t="s">
        <v>134</v>
      </c>
      <c r="M4682" s="86"/>
      <c r="N4682" s="94"/>
      <c r="O4682" s="94"/>
      <c r="P4682" s="94"/>
      <c r="Q4682" s="86"/>
      <c r="R4682" s="86"/>
      <c r="S4682" s="86"/>
      <c r="T4682" s="440"/>
      <c r="U4682" s="523"/>
      <c r="V4682" s="523"/>
      <c r="Y4682" s="390"/>
      <c r="Z4682" s="385"/>
      <c r="AA4682" s="86"/>
      <c r="AB4682" s="94"/>
      <c r="AC4682" s="94"/>
      <c r="AD4682" s="94"/>
      <c r="AE4682" s="386" t="s">
        <v>133</v>
      </c>
    </row>
    <row r="4683" spans="3:31" s="260" customFormat="1" ht="15.75" thickBot="1" x14ac:dyDescent="0.3">
      <c r="D4683" s="355"/>
      <c r="E4683" s="367"/>
      <c r="F4683" s="367"/>
      <c r="G4683" s="367"/>
      <c r="H4683" s="412"/>
      <c r="I4683" s="412">
        <f>H4674</f>
        <v>4.18</v>
      </c>
      <c r="J4683" s="422"/>
      <c r="M4683" s="524" t="s">
        <v>11</v>
      </c>
      <c r="N4683" s="525"/>
      <c r="O4683" s="525"/>
      <c r="P4683" s="525"/>
      <c r="Q4683" s="525"/>
      <c r="R4683" s="525"/>
      <c r="S4683" s="525"/>
      <c r="T4683" s="526"/>
      <c r="U4683" s="527">
        <f>+U4681+U4674</f>
        <v>12826.779999999999</v>
      </c>
      <c r="V4683" s="528"/>
      <c r="Y4683" s="429"/>
      <c r="Z4683" s="441">
        <f>+Z4681+Z4674</f>
        <v>166748.05349999998</v>
      </c>
      <c r="AA4683" s="86"/>
      <c r="AB4683" s="94"/>
      <c r="AC4683" s="94"/>
      <c r="AD4683" s="94"/>
      <c r="AE4683" s="405" t="s">
        <v>133</v>
      </c>
    </row>
    <row r="4684" spans="3:31" s="260" customFormat="1" x14ac:dyDescent="0.25"/>
    <row r="4685" spans="3:31" s="260" customFormat="1" ht="15.75" thickBot="1" x14ac:dyDescent="0.3"/>
    <row r="4686" spans="3:31" s="260" customFormat="1" ht="15.75" thickBot="1" x14ac:dyDescent="0.3">
      <c r="M4686" s="363" t="s">
        <v>88</v>
      </c>
      <c r="N4686" s="436" t="str">
        <f>+N4637</f>
        <v>CAP.4</v>
      </c>
      <c r="O4686" s="550" t="str">
        <f>IFERROR(VLOOKUP(N4686,PPTO!C:H,2,0),"----")</f>
        <v>RED SANITARIA</v>
      </c>
      <c r="P4686" s="551"/>
      <c r="Q4686" s="551"/>
      <c r="R4686" s="551"/>
      <c r="S4686" s="551"/>
      <c r="T4686" s="551"/>
      <c r="U4686" s="552"/>
      <c r="V4686" s="74" t="s">
        <v>91</v>
      </c>
      <c r="Y4686" s="365" t="s">
        <v>104</v>
      </c>
      <c r="Z4686" s="94"/>
      <c r="AA4686" s="188"/>
      <c r="AB4686" s="553"/>
      <c r="AC4686" s="553"/>
      <c r="AD4686" s="553"/>
      <c r="AE4686" s="94"/>
    </row>
    <row r="4687" spans="3:31" s="260" customFormat="1" ht="15.75" thickBot="1" x14ac:dyDescent="0.3">
      <c r="C4687" s="369">
        <f>+N4687</f>
        <v>4.1900000000000004</v>
      </c>
      <c r="D4687" s="86"/>
      <c r="E4687" s="86"/>
      <c r="F4687" s="86"/>
      <c r="G4687" s="86"/>
      <c r="H4687" s="86"/>
      <c r="I4687" s="86"/>
      <c r="J4687" s="86"/>
      <c r="K4687" s="370"/>
      <c r="M4687" s="75" t="s">
        <v>92</v>
      </c>
      <c r="N4687" s="371">
        <f>+ROUNDUP(N4638+0.01,2)</f>
        <v>4.1900000000000004</v>
      </c>
      <c r="O4687" s="554" t="str">
        <f>IFERROR(VLOOKUP(N4687,PPTO!C:H,2,0),"----")</f>
        <v>Fluxometros para aparatos sanitarios</v>
      </c>
      <c r="P4687" s="555"/>
      <c r="Q4687" s="555"/>
      <c r="R4687" s="555"/>
      <c r="S4687" s="555"/>
      <c r="T4687" s="555"/>
      <c r="U4687" s="556"/>
      <c r="V4687" s="76" t="str">
        <f>IFERROR(VLOOKUP(N4687,PPTO!C:H,3,0),"----")</f>
        <v>UND</v>
      </c>
      <c r="Y4687" s="373">
        <f>SUMIFS(PPTO!F:F,PPTO!C:C,APUS!N4687)</f>
        <v>31</v>
      </c>
      <c r="Z4687" s="94"/>
      <c r="AA4687" s="86"/>
      <c r="AB4687" s="94"/>
      <c r="AC4687" s="94"/>
      <c r="AD4687" s="94"/>
      <c r="AE4687" s="94"/>
    </row>
    <row r="4688" spans="3:31" s="260" customFormat="1" ht="15.75" thickBot="1" x14ac:dyDescent="0.3">
      <c r="C4688" s="84"/>
      <c r="D4688" s="86"/>
      <c r="E4688" s="86"/>
      <c r="F4688" s="86"/>
      <c r="G4688" s="86"/>
      <c r="H4688" s="86"/>
      <c r="I4688" s="86"/>
      <c r="J4688" s="86"/>
      <c r="K4688" s="88"/>
      <c r="M4688" s="557"/>
      <c r="N4688" s="557"/>
      <c r="O4688" s="557"/>
      <c r="P4688" s="557"/>
      <c r="Q4688" s="557"/>
      <c r="R4688" s="557"/>
      <c r="S4688" s="557"/>
      <c r="T4688" s="557"/>
      <c r="U4688" s="557"/>
      <c r="V4688" s="557"/>
      <c r="Y4688" s="374"/>
      <c r="Z4688" s="94"/>
      <c r="AA4688" s="86"/>
      <c r="AB4688" s="94"/>
      <c r="AC4688" s="94"/>
      <c r="AD4688" s="94"/>
      <c r="AE4688" s="94"/>
    </row>
    <row r="4689" spans="3:31" s="260" customFormat="1" ht="15.75" thickBot="1" x14ac:dyDescent="0.3">
      <c r="C4689" s="84"/>
      <c r="D4689" s="375" t="s">
        <v>128</v>
      </c>
      <c r="E4689" s="376" t="s">
        <v>129</v>
      </c>
      <c r="F4689" s="376" t="s">
        <v>130</v>
      </c>
      <c r="G4689" s="376" t="s">
        <v>131</v>
      </c>
      <c r="H4689" s="376" t="s">
        <v>132</v>
      </c>
      <c r="I4689" s="376" t="s">
        <v>133</v>
      </c>
      <c r="J4689" s="377" t="s">
        <v>134</v>
      </c>
      <c r="K4689" s="88"/>
      <c r="M4689" s="558" t="s">
        <v>93</v>
      </c>
      <c r="N4689" s="559"/>
      <c r="O4689" s="559"/>
      <c r="P4689" s="559"/>
      <c r="Q4689" s="559"/>
      <c r="R4689" s="559"/>
      <c r="S4689" s="559"/>
      <c r="T4689" s="559"/>
      <c r="U4689" s="559"/>
      <c r="V4689" s="560"/>
      <c r="Y4689" s="378"/>
      <c r="Z4689" s="121"/>
      <c r="AA4689" s="86"/>
      <c r="AB4689" s="513"/>
      <c r="AC4689" s="514"/>
      <c r="AD4689" s="94"/>
      <c r="AE4689" s="379"/>
    </row>
    <row r="4690" spans="3:31" s="260" customFormat="1" x14ac:dyDescent="0.25">
      <c r="C4690" s="84"/>
      <c r="D4690" s="380"/>
      <c r="E4690" s="381"/>
      <c r="F4690" s="381"/>
      <c r="G4690" s="381"/>
      <c r="H4690" s="381"/>
      <c r="I4690" s="381"/>
      <c r="J4690" s="382"/>
      <c r="K4690" s="88"/>
      <c r="M4690" s="99" t="s">
        <v>94</v>
      </c>
      <c r="N4690" s="561" t="s">
        <v>95</v>
      </c>
      <c r="O4690" s="561"/>
      <c r="P4690" s="561"/>
      <c r="Q4690" s="561"/>
      <c r="R4690" s="95" t="s">
        <v>96</v>
      </c>
      <c r="S4690" s="95" t="s">
        <v>97</v>
      </c>
      <c r="T4690" s="562" t="s">
        <v>8</v>
      </c>
      <c r="U4690" s="562"/>
      <c r="V4690" s="100" t="s">
        <v>98</v>
      </c>
      <c r="Y4690" s="383" t="s">
        <v>104</v>
      </c>
      <c r="Z4690" s="119" t="s">
        <v>9</v>
      </c>
      <c r="AA4690" s="86"/>
      <c r="AB4690" s="384"/>
      <c r="AC4690" s="385"/>
      <c r="AD4690" s="94"/>
      <c r="AE4690" s="386"/>
    </row>
    <row r="4691" spans="3:31" s="260" customFormat="1" x14ac:dyDescent="0.25">
      <c r="C4691" s="84"/>
      <c r="D4691" s="85"/>
      <c r="E4691" s="86"/>
      <c r="F4691" s="86"/>
      <c r="G4691" s="86"/>
      <c r="H4691" s="86"/>
      <c r="I4691" s="86"/>
      <c r="J4691" s="87"/>
      <c r="K4691" s="88"/>
      <c r="M4691" s="102"/>
      <c r="N4691" s="533" t="s">
        <v>99</v>
      </c>
      <c r="O4691" s="533"/>
      <c r="P4691" s="533"/>
      <c r="Q4691" s="533"/>
      <c r="R4691" s="78" t="s">
        <v>100</v>
      </c>
      <c r="S4691" s="387">
        <f>+$AA$10</f>
        <v>0.05</v>
      </c>
      <c r="T4691" s="563">
        <f>V4721</f>
        <v>11157.93</v>
      </c>
      <c r="U4691" s="563"/>
      <c r="V4691" s="389">
        <f>+IFERROR(T4691*S4691,0)</f>
        <v>557.89650000000006</v>
      </c>
      <c r="Y4691" s="390"/>
      <c r="Z4691" s="391">
        <f>Y4687*V4691</f>
        <v>17294.791500000003</v>
      </c>
      <c r="AA4691" s="86"/>
      <c r="AB4691" s="384"/>
      <c r="AC4691" s="385"/>
      <c r="AD4691" s="94"/>
      <c r="AE4691" s="386" t="str">
        <f>+IF(V4691=0,"CERO","NO")</f>
        <v>NO</v>
      </c>
    </row>
    <row r="4692" spans="3:31" s="260" customFormat="1" x14ac:dyDescent="0.25">
      <c r="C4692" s="84"/>
      <c r="D4692" s="85"/>
      <c r="E4692" s="86"/>
      <c r="F4692" s="86"/>
      <c r="G4692" s="86"/>
      <c r="H4692" s="86"/>
      <c r="I4692" s="86"/>
      <c r="J4692" s="87"/>
      <c r="K4692" s="88"/>
      <c r="M4692" s="106"/>
      <c r="N4692" s="533" t="str">
        <f>IFERROR(VLOOKUP(M4692,INSUMOS!$C$8:$K$928,2,0),"-----")</f>
        <v>-----</v>
      </c>
      <c r="O4692" s="533"/>
      <c r="P4692" s="533"/>
      <c r="Q4692" s="533"/>
      <c r="R4692" s="78" t="str">
        <f>IFERROR(VLOOKUP(M4692,INSUMOS!$C$8:$K$928,6,0),"-----")</f>
        <v>-----</v>
      </c>
      <c r="S4692" s="392"/>
      <c r="T4692" s="529" t="str">
        <f>IFERROR(VLOOKUP(M4692,INSUMOS!$C$8:$K$928,7,0),"0")</f>
        <v>0</v>
      </c>
      <c r="U4692" s="529"/>
      <c r="V4692" s="389">
        <f>+IFERROR(T4692*S4692,0)</f>
        <v>0</v>
      </c>
      <c r="Y4692" s="393">
        <f>+IFERROR(Y4687*S4692,0)</f>
        <v>0</v>
      </c>
      <c r="Z4692" s="391">
        <f>Y4687*V4692</f>
        <v>0</v>
      </c>
      <c r="AA4692" s="394"/>
      <c r="AB4692" s="395">
        <f>+Y4692*T4692</f>
        <v>0</v>
      </c>
      <c r="AC4692" s="93">
        <f>+AB4692-Z4692</f>
        <v>0</v>
      </c>
      <c r="AD4692" s="94"/>
      <c r="AE4692" s="386" t="str">
        <f>+IF(V4692=0,"CERO","NO")</f>
        <v>CERO</v>
      </c>
    </row>
    <row r="4693" spans="3:31" s="260" customFormat="1" x14ac:dyDescent="0.25">
      <c r="C4693" s="84"/>
      <c r="D4693" s="85"/>
      <c r="E4693" s="86"/>
      <c r="F4693" s="86"/>
      <c r="G4693" s="86"/>
      <c r="H4693" s="86"/>
      <c r="I4693" s="86"/>
      <c r="J4693" s="87"/>
      <c r="K4693" s="88"/>
      <c r="M4693" s="102">
        <v>0</v>
      </c>
      <c r="N4693" s="533"/>
      <c r="O4693" s="533"/>
      <c r="P4693" s="533"/>
      <c r="Q4693" s="533"/>
      <c r="R4693" s="78"/>
      <c r="S4693" s="396"/>
      <c r="T4693" s="529"/>
      <c r="U4693" s="529"/>
      <c r="V4693" s="397"/>
      <c r="Y4693" s="393">
        <f>+IFERROR(Y4687*S4693,0)</f>
        <v>0</v>
      </c>
      <c r="Z4693" s="391">
        <f>Y4687*V4693</f>
        <v>0</v>
      </c>
      <c r="AA4693" s="394"/>
      <c r="AB4693" s="395">
        <f>+Y4693*T4693</f>
        <v>0</v>
      </c>
      <c r="AC4693" s="93">
        <f>+AB4693-Z4693</f>
        <v>0</v>
      </c>
      <c r="AD4693" s="94"/>
      <c r="AE4693" s="386" t="str">
        <f>+IF(V4693=0,"CERO","NO")</f>
        <v>CERO</v>
      </c>
    </row>
    <row r="4694" spans="3:31" s="260" customFormat="1" x14ac:dyDescent="0.25">
      <c r="C4694" s="84"/>
      <c r="D4694" s="85"/>
      <c r="E4694" s="86"/>
      <c r="F4694" s="86"/>
      <c r="G4694" s="86"/>
      <c r="H4694" s="86"/>
      <c r="I4694" s="86"/>
      <c r="J4694" s="87"/>
      <c r="K4694" s="88"/>
      <c r="M4694" s="102">
        <v>0</v>
      </c>
      <c r="N4694" s="533"/>
      <c r="O4694" s="533"/>
      <c r="P4694" s="533"/>
      <c r="Q4694" s="533"/>
      <c r="R4694" s="78"/>
      <c r="S4694" s="396"/>
      <c r="T4694" s="529"/>
      <c r="U4694" s="529"/>
      <c r="V4694" s="397"/>
      <c r="Y4694" s="393">
        <f>+IFERROR(Y4687*S4694,0)</f>
        <v>0</v>
      </c>
      <c r="Z4694" s="391">
        <f>Y4687*V4694</f>
        <v>0</v>
      </c>
      <c r="AA4694" s="394"/>
      <c r="AB4694" s="395">
        <f>+Y4694*T4694</f>
        <v>0</v>
      </c>
      <c r="AC4694" s="93">
        <f>+AB4694-Z4694</f>
        <v>0</v>
      </c>
      <c r="AD4694" s="94"/>
      <c r="AE4694" s="386" t="str">
        <f>+IF(V4694=0,"CERO","NO")</f>
        <v>CERO</v>
      </c>
    </row>
    <row r="4695" spans="3:31" s="260" customFormat="1" ht="15.75" thickBot="1" x14ac:dyDescent="0.3">
      <c r="C4695" s="84"/>
      <c r="D4695" s="85"/>
      <c r="E4695" s="86"/>
      <c r="F4695" s="86"/>
      <c r="G4695" s="86"/>
      <c r="H4695" s="86"/>
      <c r="I4695" s="86"/>
      <c r="J4695" s="87"/>
      <c r="K4695" s="88"/>
      <c r="M4695" s="102">
        <v>0</v>
      </c>
      <c r="N4695" s="564"/>
      <c r="O4695" s="564"/>
      <c r="P4695" s="564"/>
      <c r="Q4695" s="564"/>
      <c r="R4695" s="96"/>
      <c r="S4695" s="96"/>
      <c r="T4695" s="565"/>
      <c r="U4695" s="565"/>
      <c r="V4695" s="101"/>
      <c r="Y4695" s="393">
        <f>+IFERROR(Y4687*S4695,0)</f>
        <v>0</v>
      </c>
      <c r="Z4695" s="391">
        <f>Y4687*V4695</f>
        <v>0</v>
      </c>
      <c r="AA4695" s="394"/>
      <c r="AB4695" s="395">
        <f>+Y4695*T4695</f>
        <v>0</v>
      </c>
      <c r="AC4695" s="93">
        <f>+AB4695-Z4695</f>
        <v>0</v>
      </c>
      <c r="AD4695" s="94"/>
      <c r="AE4695" s="386" t="str">
        <f>+IF(V4695=0,"CERO","NO")</f>
        <v>CERO</v>
      </c>
    </row>
    <row r="4696" spans="3:31" s="260" customFormat="1" ht="15.75" thickBot="1" x14ac:dyDescent="0.3">
      <c r="C4696" s="84"/>
      <c r="D4696" s="375" t="s">
        <v>128</v>
      </c>
      <c r="E4696" s="376" t="s">
        <v>129</v>
      </c>
      <c r="F4696" s="376" t="s">
        <v>130</v>
      </c>
      <c r="G4696" s="376" t="s">
        <v>131</v>
      </c>
      <c r="H4696" s="376" t="s">
        <v>132</v>
      </c>
      <c r="I4696" s="376" t="s">
        <v>133</v>
      </c>
      <c r="J4696" s="377" t="s">
        <v>134</v>
      </c>
      <c r="K4696" s="88"/>
      <c r="M4696" s="534"/>
      <c r="N4696" s="536" t="s">
        <v>101</v>
      </c>
      <c r="O4696" s="536"/>
      <c r="P4696" s="536"/>
      <c r="Q4696" s="536"/>
      <c r="R4696" s="536"/>
      <c r="S4696" s="536"/>
      <c r="T4696" s="536"/>
      <c r="U4696" s="536"/>
      <c r="V4696" s="389">
        <f>+SUM(V4691:V4695)</f>
        <v>557.89650000000006</v>
      </c>
      <c r="Y4696" s="398" t="s">
        <v>135</v>
      </c>
      <c r="Z4696" s="397">
        <f>+SUM(Z4691:Z4695)</f>
        <v>17294.791500000003</v>
      </c>
      <c r="AA4696" s="86"/>
      <c r="AB4696" s="384"/>
      <c r="AC4696" s="385"/>
      <c r="AD4696" s="94"/>
      <c r="AE4696" s="399"/>
    </row>
    <row r="4697" spans="3:31" s="260" customFormat="1" ht="15.75" thickBot="1" x14ac:dyDescent="0.3">
      <c r="C4697" s="84"/>
      <c r="D4697" s="375">
        <f>C4687</f>
        <v>4.1900000000000004</v>
      </c>
      <c r="E4697" s="376"/>
      <c r="F4697" s="376"/>
      <c r="G4697" s="376"/>
      <c r="H4697" s="376"/>
      <c r="I4697" s="376"/>
      <c r="J4697" s="377"/>
      <c r="K4697" s="88"/>
      <c r="M4697" s="566"/>
      <c r="N4697" s="567" t="s">
        <v>102</v>
      </c>
      <c r="O4697" s="567"/>
      <c r="P4697" s="567"/>
      <c r="Q4697" s="567"/>
      <c r="R4697" s="567"/>
      <c r="S4697" s="567"/>
      <c r="T4697" s="567"/>
      <c r="U4697" s="567"/>
      <c r="V4697" s="400">
        <f>+ROUND(V4696,$AA$5)</f>
        <v>557.9</v>
      </c>
      <c r="Y4697" s="401" t="s">
        <v>136</v>
      </c>
      <c r="Z4697" s="402">
        <f>+ROUND(Z4696,$AA$5)</f>
        <v>17294.79</v>
      </c>
      <c r="AA4697" s="86"/>
      <c r="AB4697" s="403">
        <f>+V4697*Y4687</f>
        <v>17294.899999999998</v>
      </c>
      <c r="AC4697" s="404">
        <f>+AB4697-Z4697</f>
        <v>0.1099999999969441</v>
      </c>
      <c r="AD4697" s="94"/>
      <c r="AE4697" s="405"/>
    </row>
    <row r="4698" spans="3:31" s="260" customFormat="1" x14ac:dyDescent="0.25">
      <c r="C4698" s="84"/>
      <c r="D4698" s="380"/>
      <c r="E4698" s="381"/>
      <c r="F4698" s="381"/>
      <c r="G4698" s="381"/>
      <c r="H4698" s="381"/>
      <c r="I4698" s="381"/>
      <c r="J4698" s="382"/>
      <c r="K4698" s="88"/>
      <c r="M4698" s="510" t="s">
        <v>103</v>
      </c>
      <c r="N4698" s="511"/>
      <c r="O4698" s="511"/>
      <c r="P4698" s="511"/>
      <c r="Q4698" s="511"/>
      <c r="R4698" s="511"/>
      <c r="S4698" s="511"/>
      <c r="T4698" s="511"/>
      <c r="U4698" s="511"/>
      <c r="V4698" s="512"/>
      <c r="Y4698" s="378"/>
      <c r="Z4698" s="121"/>
      <c r="AA4698" s="86"/>
      <c r="AB4698" s="513"/>
      <c r="AC4698" s="514"/>
      <c r="AD4698" s="94"/>
      <c r="AE4698" s="126"/>
    </row>
    <row r="4699" spans="3:31" s="260" customFormat="1" x14ac:dyDescent="0.25">
      <c r="C4699" s="84"/>
      <c r="D4699" s="85"/>
      <c r="E4699" s="86"/>
      <c r="F4699" s="86"/>
      <c r="G4699" s="86"/>
      <c r="H4699" s="86"/>
      <c r="I4699" s="86"/>
      <c r="J4699" s="87"/>
      <c r="K4699" s="88"/>
      <c r="M4699" s="99" t="s">
        <v>94</v>
      </c>
      <c r="N4699" s="561" t="s">
        <v>95</v>
      </c>
      <c r="O4699" s="561"/>
      <c r="P4699" s="561"/>
      <c r="Q4699" s="561"/>
      <c r="R4699" s="95" t="s">
        <v>96</v>
      </c>
      <c r="S4699" s="95" t="s">
        <v>104</v>
      </c>
      <c r="T4699" s="356" t="s">
        <v>105</v>
      </c>
      <c r="U4699" s="356" t="s">
        <v>8</v>
      </c>
      <c r="V4699" s="100" t="s">
        <v>98</v>
      </c>
      <c r="Y4699" s="383" t="s">
        <v>104</v>
      </c>
      <c r="Z4699" s="119" t="s">
        <v>9</v>
      </c>
      <c r="AA4699" s="86"/>
      <c r="AB4699" s="384"/>
      <c r="AC4699" s="385"/>
      <c r="AD4699" s="94"/>
      <c r="AE4699" s="406"/>
    </row>
    <row r="4700" spans="3:31" s="260" customFormat="1" x14ac:dyDescent="0.25">
      <c r="C4700" s="84"/>
      <c r="D4700" s="85"/>
      <c r="E4700" s="86"/>
      <c r="F4700" s="86"/>
      <c r="G4700" s="86"/>
      <c r="H4700" s="86"/>
      <c r="I4700" s="86"/>
      <c r="J4700" s="87"/>
      <c r="K4700" s="88"/>
      <c r="M4700" s="102">
        <v>864</v>
      </c>
      <c r="N4700" s="533" t="str">
        <f>IFERROR(VLOOKUP(M4700,INSUMOS!$C$8:$K$928,2,0),"-----")</f>
        <v>FLUXOMETRO</v>
      </c>
      <c r="O4700" s="533"/>
      <c r="P4700" s="533"/>
      <c r="Q4700" s="533"/>
      <c r="R4700" s="78" t="str">
        <f>IFERROR(VLOOKUP(M4700,INSUMOS!$C$8:$K$928,6,0),"-----")</f>
        <v>und</v>
      </c>
      <c r="S4700" s="396">
        <v>1</v>
      </c>
      <c r="T4700" s="387">
        <v>0</v>
      </c>
      <c r="U4700" s="388">
        <f>IFERROR(VLOOKUP(M4700,INSUMOS!$C$8:$K$928,7,0),"0")</f>
        <v>1170000</v>
      </c>
      <c r="V4700" s="389">
        <f>+IFERROR(U4700*(S4700*(1+T4700)),0)</f>
        <v>1170000</v>
      </c>
      <c r="Y4700" s="393">
        <f>+IFERROR(Y4687*(S4700*(1+T4700)),0)</f>
        <v>31</v>
      </c>
      <c r="Z4700" s="391">
        <f>Y4687*V4700</f>
        <v>36270000</v>
      </c>
      <c r="AA4700" s="394"/>
      <c r="AB4700" s="395">
        <f>+Y4700*U4700</f>
        <v>36270000</v>
      </c>
      <c r="AC4700" s="93">
        <f>+AB4700-Z4700</f>
        <v>0</v>
      </c>
      <c r="AD4700" s="94"/>
      <c r="AE4700" s="406" t="str">
        <f>+IF(V4700=0,"CERO","NO")</f>
        <v>NO</v>
      </c>
    </row>
    <row r="4701" spans="3:31" s="260" customFormat="1" x14ac:dyDescent="0.25">
      <c r="C4701" s="84"/>
      <c r="D4701" s="85"/>
      <c r="E4701" s="86"/>
      <c r="F4701" s="86"/>
      <c r="G4701" s="86"/>
      <c r="H4701" s="86"/>
      <c r="I4701" s="86"/>
      <c r="J4701" s="87"/>
      <c r="K4701" s="88"/>
      <c r="M4701" s="102"/>
      <c r="N4701" s="533" t="str">
        <f>IFERROR(VLOOKUP(M4701,INSUMOS!$C$8:$K$928,2,0),"-----")</f>
        <v>-----</v>
      </c>
      <c r="O4701" s="533"/>
      <c r="P4701" s="533"/>
      <c r="Q4701" s="533"/>
      <c r="R4701" s="78" t="str">
        <f>IFERROR(VLOOKUP(M4701,INSUMOS!$C$8:$K$928,6,0),"-----")</f>
        <v>-----</v>
      </c>
      <c r="S4701" s="396"/>
      <c r="T4701" s="387"/>
      <c r="U4701" s="388" t="str">
        <f>IFERROR(VLOOKUP(M4701,INSUMOS!$C$8:$K$928,7,0),"0")</f>
        <v>0</v>
      </c>
      <c r="V4701" s="389">
        <f>+IFERROR(U4701*(S4701*(1+T4701)),0)</f>
        <v>0</v>
      </c>
      <c r="Y4701" s="393">
        <f>+IFERROR(Y4687*(S4701*(1+T4701)),0)</f>
        <v>0</v>
      </c>
      <c r="Z4701" s="391">
        <f>Y4687*V4701</f>
        <v>0</v>
      </c>
      <c r="AA4701" s="394"/>
      <c r="AB4701" s="395">
        <f>+Y4701*U4701</f>
        <v>0</v>
      </c>
      <c r="AC4701" s="93">
        <f>+AB4701-Z4701</f>
        <v>0</v>
      </c>
      <c r="AD4701" s="94"/>
      <c r="AE4701" s="406" t="str">
        <f>+IF(V4701=0,"CERO","NO")</f>
        <v>CERO</v>
      </c>
    </row>
    <row r="4702" spans="3:31" s="260" customFormat="1" x14ac:dyDescent="0.25">
      <c r="C4702" s="84"/>
      <c r="D4702" s="85"/>
      <c r="E4702" s="86"/>
      <c r="F4702" s="86"/>
      <c r="G4702" s="86"/>
      <c r="H4702" s="86"/>
      <c r="I4702" s="86"/>
      <c r="J4702" s="87"/>
      <c r="K4702" s="88"/>
      <c r="M4702" s="102"/>
      <c r="N4702" s="533" t="str">
        <f>IFERROR(VLOOKUP(M4702,INSUMOS!$C$8:$K$928,2,0),"-----")</f>
        <v>-----</v>
      </c>
      <c r="O4702" s="533"/>
      <c r="P4702" s="533"/>
      <c r="Q4702" s="533"/>
      <c r="R4702" s="78" t="str">
        <f>IFERROR(VLOOKUP(M4702,INSUMOS!$C$8:$K$928,6,0),"-----")</f>
        <v>-----</v>
      </c>
      <c r="S4702" s="396"/>
      <c r="T4702" s="387"/>
      <c r="U4702" s="388" t="str">
        <f>IFERROR(VLOOKUP(M4702,INSUMOS!$C$8:$K$928,7,0),"0")</f>
        <v>0</v>
      </c>
      <c r="V4702" s="389">
        <f>+IFERROR(U4702*(S4702*(1+T4702)),0)</f>
        <v>0</v>
      </c>
      <c r="Y4702" s="393">
        <f>+IFERROR(Y4687*(S4702*(1+T4702)),0)</f>
        <v>0</v>
      </c>
      <c r="Z4702" s="391">
        <f>Y4687*V4702</f>
        <v>0</v>
      </c>
      <c r="AA4702" s="394"/>
      <c r="AB4702" s="395">
        <f>+Y4702*U4702</f>
        <v>0</v>
      </c>
      <c r="AC4702" s="93">
        <f>+AB4702-Z4702</f>
        <v>0</v>
      </c>
      <c r="AD4702" s="94"/>
      <c r="AE4702" s="406" t="str">
        <f>+IF(V4702=0,"CERO","NO")</f>
        <v>CERO</v>
      </c>
    </row>
    <row r="4703" spans="3:31" s="260" customFormat="1" x14ac:dyDescent="0.25">
      <c r="C4703" s="84"/>
      <c r="D4703" s="85"/>
      <c r="E4703" s="86"/>
      <c r="F4703" s="86"/>
      <c r="G4703" s="86"/>
      <c r="H4703" s="86"/>
      <c r="I4703" s="86"/>
      <c r="J4703" s="87"/>
      <c r="K4703" s="88"/>
      <c r="M4703" s="102">
        <v>0</v>
      </c>
      <c r="N4703" s="533" t="str">
        <f>IFERROR(VLOOKUP(M4703,INSUMOS!$C$8:$K$928,2,0),"-----")</f>
        <v>-----</v>
      </c>
      <c r="O4703" s="533"/>
      <c r="P4703" s="533"/>
      <c r="Q4703" s="533"/>
      <c r="R4703" s="78" t="str">
        <f>IFERROR(VLOOKUP(M4703,INSUMOS!$C$8:$K$928,6,0),"-----")</f>
        <v>-----</v>
      </c>
      <c r="S4703" s="396"/>
      <c r="T4703" s="387"/>
      <c r="U4703" s="388" t="str">
        <f>IFERROR(VLOOKUP(M4703,INSUMOS!$C$8:$K$928,7,0),"0")</f>
        <v>0</v>
      </c>
      <c r="V4703" s="389">
        <f>+IFERROR(U4703*(S4703*(1+T4703)),0)</f>
        <v>0</v>
      </c>
      <c r="Y4703" s="393">
        <f>+IFERROR(Y4687*(S4703*(1+T4703)),0)</f>
        <v>0</v>
      </c>
      <c r="Z4703" s="391">
        <f>Y4687*V4703</f>
        <v>0</v>
      </c>
      <c r="AA4703" s="394"/>
      <c r="AB4703" s="395">
        <f>+Y4703*U4703</f>
        <v>0</v>
      </c>
      <c r="AC4703" s="93">
        <f>+AB4703-Z4703</f>
        <v>0</v>
      </c>
      <c r="AD4703" s="94"/>
      <c r="AE4703" s="406" t="str">
        <f>+IF(V4703=0,"CERO","NO")</f>
        <v>CERO</v>
      </c>
    </row>
    <row r="4704" spans="3:31" s="260" customFormat="1" ht="15.75" thickBot="1" x14ac:dyDescent="0.3">
      <c r="C4704" s="84"/>
      <c r="D4704" s="85"/>
      <c r="E4704" s="86"/>
      <c r="F4704" s="86"/>
      <c r="G4704" s="86"/>
      <c r="H4704" s="86"/>
      <c r="I4704" s="86"/>
      <c r="J4704" s="87"/>
      <c r="K4704" s="88"/>
      <c r="M4704" s="102">
        <v>0</v>
      </c>
      <c r="N4704" s="564"/>
      <c r="O4704" s="564"/>
      <c r="P4704" s="564"/>
      <c r="Q4704" s="564"/>
      <c r="R4704" s="96"/>
      <c r="S4704" s="79"/>
      <c r="T4704" s="97"/>
      <c r="U4704" s="358"/>
      <c r="V4704" s="397"/>
      <c r="Y4704" s="393">
        <f>+IFERROR(Y4687*(S4704*(1+T4704)),0)</f>
        <v>0</v>
      </c>
      <c r="Z4704" s="391">
        <f>Y4687*V4704</f>
        <v>0</v>
      </c>
      <c r="AA4704" s="394"/>
      <c r="AB4704" s="395">
        <f>+Y4704*U4704</f>
        <v>0</v>
      </c>
      <c r="AC4704" s="93">
        <f>+AB4704-Z4704</f>
        <v>0</v>
      </c>
      <c r="AD4704" s="94"/>
      <c r="AE4704" s="406" t="str">
        <f>+IF(V4704=0,"CERO","NO")</f>
        <v>CERO</v>
      </c>
    </row>
    <row r="4705" spans="3:31" s="260" customFormat="1" ht="15.75" thickBot="1" x14ac:dyDescent="0.3">
      <c r="C4705" s="84"/>
      <c r="D4705" s="375" t="s">
        <v>128</v>
      </c>
      <c r="E4705" s="376" t="s">
        <v>129</v>
      </c>
      <c r="F4705" s="376" t="s">
        <v>130</v>
      </c>
      <c r="G4705" s="376" t="s">
        <v>131</v>
      </c>
      <c r="H4705" s="376" t="s">
        <v>132</v>
      </c>
      <c r="I4705" s="376" t="s">
        <v>133</v>
      </c>
      <c r="J4705" s="377" t="s">
        <v>134</v>
      </c>
      <c r="K4705" s="88"/>
      <c r="M4705" s="534"/>
      <c r="N4705" s="536" t="s">
        <v>106</v>
      </c>
      <c r="O4705" s="536"/>
      <c r="P4705" s="536"/>
      <c r="Q4705" s="536"/>
      <c r="R4705" s="536"/>
      <c r="S4705" s="536"/>
      <c r="T4705" s="536"/>
      <c r="U4705" s="536"/>
      <c r="V4705" s="389">
        <f>+SUM(V4700:V4704)</f>
        <v>1170000</v>
      </c>
      <c r="Y4705" s="398" t="s">
        <v>135</v>
      </c>
      <c r="Z4705" s="397">
        <f>+SUM(Z4700:Z4704)</f>
        <v>36270000</v>
      </c>
      <c r="AA4705" s="86"/>
      <c r="AB4705" s="384"/>
      <c r="AC4705" s="385"/>
      <c r="AD4705" s="94"/>
      <c r="AE4705" s="399"/>
    </row>
    <row r="4706" spans="3:31" s="260" customFormat="1" ht="15.75" thickBot="1" x14ac:dyDescent="0.3">
      <c r="C4706" s="84"/>
      <c r="D4706" s="375"/>
      <c r="E4706" s="407">
        <f>+D4697</f>
        <v>4.1900000000000004</v>
      </c>
      <c r="F4706" s="376"/>
      <c r="G4706" s="376"/>
      <c r="H4706" s="376"/>
      <c r="I4706" s="376"/>
      <c r="J4706" s="377"/>
      <c r="K4706" s="88"/>
      <c r="M4706" s="535"/>
      <c r="N4706" s="537" t="s">
        <v>107</v>
      </c>
      <c r="O4706" s="537"/>
      <c r="P4706" s="537"/>
      <c r="Q4706" s="537"/>
      <c r="R4706" s="537"/>
      <c r="S4706" s="537"/>
      <c r="T4706" s="537"/>
      <c r="U4706" s="537"/>
      <c r="V4706" s="408">
        <f>+ROUND(V4705,$AA$5)</f>
        <v>1170000</v>
      </c>
      <c r="Y4706" s="401" t="s">
        <v>136</v>
      </c>
      <c r="Z4706" s="402">
        <f>+ROUND(Z4705,$AA$5)</f>
        <v>36270000</v>
      </c>
      <c r="AA4706" s="86"/>
      <c r="AB4706" s="403">
        <f>+V4706*Y4687</f>
        <v>36270000</v>
      </c>
      <c r="AC4706" s="404">
        <f>+AB4706-Z4706</f>
        <v>0</v>
      </c>
      <c r="AD4706" s="94"/>
      <c r="AE4706" s="405"/>
    </row>
    <row r="4707" spans="3:31" s="260" customFormat="1" x14ac:dyDescent="0.25">
      <c r="C4707" s="84"/>
      <c r="D4707" s="380"/>
      <c r="E4707" s="381"/>
      <c r="F4707" s="381"/>
      <c r="G4707" s="381"/>
      <c r="H4707" s="381"/>
      <c r="I4707" s="381"/>
      <c r="J4707" s="382"/>
      <c r="K4707" s="88"/>
      <c r="M4707" s="568" t="s">
        <v>108</v>
      </c>
      <c r="N4707" s="569"/>
      <c r="O4707" s="569"/>
      <c r="P4707" s="569"/>
      <c r="Q4707" s="569"/>
      <c r="R4707" s="569"/>
      <c r="S4707" s="569"/>
      <c r="T4707" s="569"/>
      <c r="U4707" s="569"/>
      <c r="V4707" s="570"/>
      <c r="Y4707" s="378"/>
      <c r="Z4707" s="121"/>
      <c r="AA4707" s="86"/>
      <c r="AB4707" s="409"/>
      <c r="AC4707" s="121"/>
      <c r="AD4707" s="94"/>
      <c r="AE4707" s="126"/>
    </row>
    <row r="4708" spans="3:31" s="260" customFormat="1" ht="25.5" x14ac:dyDescent="0.25">
      <c r="C4708" s="84"/>
      <c r="D4708" s="85"/>
      <c r="E4708" s="86"/>
      <c r="F4708" s="86"/>
      <c r="G4708" s="86"/>
      <c r="H4708" s="86"/>
      <c r="I4708" s="86"/>
      <c r="J4708" s="87"/>
      <c r="K4708" s="88"/>
      <c r="M4708" s="99" t="s">
        <v>94</v>
      </c>
      <c r="N4708" s="561" t="s">
        <v>95</v>
      </c>
      <c r="O4708" s="561"/>
      <c r="P4708" s="561"/>
      <c r="Q4708" s="95" t="s">
        <v>109</v>
      </c>
      <c r="R4708" s="95" t="s">
        <v>110</v>
      </c>
      <c r="S4708" s="95" t="s">
        <v>111</v>
      </c>
      <c r="T4708" s="562" t="s">
        <v>112</v>
      </c>
      <c r="U4708" s="562"/>
      <c r="V4708" s="100" t="s">
        <v>98</v>
      </c>
      <c r="Y4708" s="383" t="s">
        <v>104</v>
      </c>
      <c r="Z4708" s="119" t="s">
        <v>9</v>
      </c>
      <c r="AA4708" s="86"/>
      <c r="AB4708" s="384"/>
      <c r="AC4708" s="385"/>
      <c r="AD4708" s="94"/>
      <c r="AE4708" s="410"/>
    </row>
    <row r="4709" spans="3:31" s="260" customFormat="1" x14ac:dyDescent="0.25">
      <c r="C4709" s="84"/>
      <c r="D4709" s="85"/>
      <c r="E4709" s="86"/>
      <c r="F4709" s="86"/>
      <c r="G4709" s="86"/>
      <c r="H4709" s="86"/>
      <c r="I4709" s="86"/>
      <c r="J4709" s="87"/>
      <c r="K4709" s="88"/>
      <c r="M4709" s="102">
        <v>129</v>
      </c>
      <c r="N4709" s="530" t="str">
        <f>IFERROR(VLOOKUP(M4709,INSUMOS!$C$8:$K$928,2,0),"-----")</f>
        <v>transporte materiales en general</v>
      </c>
      <c r="O4709" s="531"/>
      <c r="P4709" s="532"/>
      <c r="Q4709" s="78" t="str">
        <f>IFERROR(VLOOKUP(M4709,INSUMOS!$C$8:$K$928,5,0),"-----")</f>
        <v>Km</v>
      </c>
      <c r="R4709" s="80">
        <v>1</v>
      </c>
      <c r="S4709" s="80">
        <f>IFERROR(VLOOKUP(M4709,INSUMOS!$C$8:$K$928,6,0),"0")</f>
        <v>348</v>
      </c>
      <c r="T4709" s="529">
        <f>IFERROR(VLOOKUP(M4709,INSUMOS!$C$8:$K$928,7,0),"0")</f>
        <v>0.99776362060288992</v>
      </c>
      <c r="U4709" s="529"/>
      <c r="V4709" s="82">
        <f>+T4709*S4709*R4709</f>
        <v>347.2217399698057</v>
      </c>
      <c r="Y4709" s="393">
        <f>+IFERROR((R4709*S4709)*Y4687,0)</f>
        <v>10788</v>
      </c>
      <c r="Z4709" s="391">
        <f>Y4687*V4709</f>
        <v>10763.873939063977</v>
      </c>
      <c r="AA4709" s="86"/>
      <c r="AB4709" s="92">
        <f>+Y4709*T4709</f>
        <v>10763.873939063977</v>
      </c>
      <c r="AC4709" s="93">
        <f>+AB4709-Z4709</f>
        <v>0</v>
      </c>
      <c r="AD4709" s="94"/>
      <c r="AE4709" s="406" t="str">
        <f>+IF(V4709=0,"CERO","NO")</f>
        <v>NO</v>
      </c>
    </row>
    <row r="4710" spans="3:31" s="260" customFormat="1" x14ac:dyDescent="0.25">
      <c r="C4710" s="84"/>
      <c r="D4710" s="85"/>
      <c r="E4710" s="86"/>
      <c r="F4710" s="86"/>
      <c r="G4710" s="86"/>
      <c r="H4710" s="86"/>
      <c r="I4710" s="86"/>
      <c r="J4710" s="87"/>
      <c r="K4710" s="88"/>
      <c r="M4710" s="102">
        <v>0</v>
      </c>
      <c r="N4710" s="530" t="str">
        <f>IFERROR(VLOOKUP(M4710,INSUMOS!$C$8:$K$928,2,0),"-----")</f>
        <v>-----</v>
      </c>
      <c r="O4710" s="531"/>
      <c r="P4710" s="532"/>
      <c r="Q4710" s="78" t="str">
        <f>IFERROR(VLOOKUP(M4710,INSUMOS!$C$8:$K$928,5,0),"-----")</f>
        <v>-----</v>
      </c>
      <c r="R4710" s="80"/>
      <c r="S4710" s="80" t="str">
        <f>IFERROR(VLOOKUP(M4710,INSUMOS!$C$8:$K$928,6,0),"0")</f>
        <v>0</v>
      </c>
      <c r="T4710" s="529" t="str">
        <f>IFERROR(VLOOKUP(M4710,INSUMOS!$C$8:$K$928,7,0),"0")</f>
        <v>0</v>
      </c>
      <c r="U4710" s="529"/>
      <c r="V4710" s="82">
        <f>+T4710*S4710*R4710</f>
        <v>0</v>
      </c>
      <c r="Y4710" s="393">
        <f>+IFERROR((R4710*S4710)*Y4687,0)</f>
        <v>0</v>
      </c>
      <c r="Z4710" s="391">
        <f>Y4687*V4710</f>
        <v>0</v>
      </c>
      <c r="AA4710" s="86"/>
      <c r="AB4710" s="92">
        <f>+Y4710*T4710</f>
        <v>0</v>
      </c>
      <c r="AC4710" s="93">
        <f>+AB4710-Z4710</f>
        <v>0</v>
      </c>
      <c r="AD4710" s="94"/>
      <c r="AE4710" s="406" t="str">
        <f>+IF(V4710=0,"CERO","NO")</f>
        <v>CERO</v>
      </c>
    </row>
    <row r="4711" spans="3:31" s="260" customFormat="1" x14ac:dyDescent="0.25">
      <c r="C4711" s="84"/>
      <c r="D4711" s="85"/>
      <c r="E4711" s="86"/>
      <c r="F4711" s="86"/>
      <c r="G4711" s="86"/>
      <c r="H4711" s="86"/>
      <c r="I4711" s="86"/>
      <c r="J4711" s="87"/>
      <c r="K4711" s="88"/>
      <c r="M4711" s="102">
        <v>0</v>
      </c>
      <c r="N4711" s="530" t="str">
        <f>IFERROR(VLOOKUP(M4711,INSUMOS!$C$8:$K$928,2,0),"-----")</f>
        <v>-----</v>
      </c>
      <c r="O4711" s="531"/>
      <c r="P4711" s="532"/>
      <c r="Q4711" s="78" t="str">
        <f>IFERROR(VLOOKUP(M4711,INSUMOS!$C$8:$K$928,5,0),"-----")</f>
        <v>-----</v>
      </c>
      <c r="R4711" s="80"/>
      <c r="S4711" s="80" t="str">
        <f>IFERROR(VLOOKUP(M4711,INSUMOS!$C$8:$K$928,6,0),"0")</f>
        <v>0</v>
      </c>
      <c r="T4711" s="529" t="str">
        <f>IFERROR(VLOOKUP(M4711,INSUMOS!$C$8:$K$928,7,0),"0")</f>
        <v>0</v>
      </c>
      <c r="U4711" s="529"/>
      <c r="V4711" s="82">
        <f>+T4711*S4711*R4711</f>
        <v>0</v>
      </c>
      <c r="Y4711" s="393">
        <f>+IFERROR((R4711*S4711)*Y4687,0)</f>
        <v>0</v>
      </c>
      <c r="Z4711" s="391">
        <f>Y4687*V4711</f>
        <v>0</v>
      </c>
      <c r="AA4711" s="86"/>
      <c r="AB4711" s="92">
        <f>+Y4711*T4711</f>
        <v>0</v>
      </c>
      <c r="AC4711" s="93">
        <f>+AB4711-Z4711</f>
        <v>0</v>
      </c>
      <c r="AD4711" s="94"/>
      <c r="AE4711" s="406" t="str">
        <f>+IF(V4711=0,"CERO","NO")</f>
        <v>CERO</v>
      </c>
    </row>
    <row r="4712" spans="3:31" s="260" customFormat="1" ht="15.75" thickBot="1" x14ac:dyDescent="0.3">
      <c r="C4712" s="84"/>
      <c r="D4712" s="89"/>
      <c r="E4712" s="90"/>
      <c r="F4712" s="90"/>
      <c r="G4712" s="90"/>
      <c r="H4712" s="90"/>
      <c r="I4712" s="90"/>
      <c r="J4712" s="91"/>
      <c r="K4712" s="88"/>
      <c r="M4712" s="102">
        <v>0</v>
      </c>
      <c r="N4712" s="533"/>
      <c r="O4712" s="533"/>
      <c r="P4712" s="533"/>
      <c r="Q4712" s="79"/>
      <c r="R4712" s="78"/>
      <c r="S4712" s="81"/>
      <c r="T4712" s="529"/>
      <c r="U4712" s="529"/>
      <c r="V4712" s="82"/>
      <c r="Y4712" s="393">
        <f>+IFERROR((R4712*S4712)*Y4687,0)</f>
        <v>0</v>
      </c>
      <c r="Z4712" s="391">
        <f>Y4687*V4712</f>
        <v>0</v>
      </c>
      <c r="AA4712" s="86"/>
      <c r="AB4712" s="92">
        <f>+Y4712*T4712</f>
        <v>0</v>
      </c>
      <c r="AC4712" s="93">
        <f>+AB4712-Z4712</f>
        <v>0</v>
      </c>
      <c r="AD4712" s="94"/>
      <c r="AE4712" s="406" t="str">
        <f>+IF(V4712=0,"CERO","NO")</f>
        <v>CERO</v>
      </c>
    </row>
    <row r="4713" spans="3:31" s="260" customFormat="1" ht="15.75" thickBot="1" x14ac:dyDescent="0.3">
      <c r="C4713" s="84"/>
      <c r="D4713" s="375" t="s">
        <v>128</v>
      </c>
      <c r="E4713" s="376" t="s">
        <v>129</v>
      </c>
      <c r="F4713" s="376" t="s">
        <v>130</v>
      </c>
      <c r="G4713" s="376" t="s">
        <v>131</v>
      </c>
      <c r="H4713" s="376" t="s">
        <v>132</v>
      </c>
      <c r="I4713" s="376" t="s">
        <v>133</v>
      </c>
      <c r="J4713" s="377" t="s">
        <v>134</v>
      </c>
      <c r="K4713" s="88"/>
      <c r="M4713" s="534"/>
      <c r="N4713" s="536" t="s">
        <v>113</v>
      </c>
      <c r="O4713" s="536"/>
      <c r="P4713" s="536"/>
      <c r="Q4713" s="536"/>
      <c r="R4713" s="536"/>
      <c r="S4713" s="536"/>
      <c r="T4713" s="536"/>
      <c r="U4713" s="536"/>
      <c r="V4713" s="411">
        <f>+SUM(V4709:V4712)</f>
        <v>347.2217399698057</v>
      </c>
      <c r="Y4713" s="398" t="s">
        <v>135</v>
      </c>
      <c r="Z4713" s="397">
        <f>+SUM(Z4709:Z4712)</f>
        <v>10763.873939063977</v>
      </c>
      <c r="AA4713" s="86"/>
      <c r="AB4713" s="384"/>
      <c r="AC4713" s="385"/>
      <c r="AD4713" s="94"/>
      <c r="AE4713" s="399"/>
    </row>
    <row r="4714" spans="3:31" s="260" customFormat="1" ht="15.75" thickBot="1" x14ac:dyDescent="0.3">
      <c r="C4714" s="84"/>
      <c r="D4714" s="355"/>
      <c r="E4714" s="367"/>
      <c r="F4714" s="412">
        <f>+E4706</f>
        <v>4.1900000000000004</v>
      </c>
      <c r="G4714" s="367"/>
      <c r="H4714" s="367"/>
      <c r="I4714" s="367"/>
      <c r="J4714" s="368"/>
      <c r="K4714" s="88"/>
      <c r="M4714" s="535"/>
      <c r="N4714" s="537" t="s">
        <v>114</v>
      </c>
      <c r="O4714" s="537"/>
      <c r="P4714" s="537"/>
      <c r="Q4714" s="537"/>
      <c r="R4714" s="537"/>
      <c r="S4714" s="537"/>
      <c r="T4714" s="537"/>
      <c r="U4714" s="537"/>
      <c r="V4714" s="413">
        <f>+ROUND(V4713,$AA$5)</f>
        <v>347.22</v>
      </c>
      <c r="Y4714" s="401" t="s">
        <v>136</v>
      </c>
      <c r="Z4714" s="402">
        <f>+ROUND(Z4713,$AA$5)</f>
        <v>10763.87</v>
      </c>
      <c r="AA4714" s="86"/>
      <c r="AB4714" s="403">
        <f>+V4714*Y4687</f>
        <v>10763.820000000002</v>
      </c>
      <c r="AC4714" s="414"/>
      <c r="AD4714" s="94"/>
      <c r="AE4714" s="405"/>
    </row>
    <row r="4715" spans="3:31" s="260" customFormat="1" ht="15.75" thickBot="1" x14ac:dyDescent="0.3">
      <c r="C4715" s="84"/>
      <c r="D4715" s="415"/>
      <c r="E4715" s="416"/>
      <c r="F4715" s="416"/>
      <c r="G4715" s="416"/>
      <c r="H4715" s="416"/>
      <c r="I4715" s="416"/>
      <c r="J4715" s="417"/>
      <c r="K4715" s="88"/>
      <c r="M4715" s="538" t="s">
        <v>115</v>
      </c>
      <c r="N4715" s="539"/>
      <c r="O4715" s="539"/>
      <c r="P4715" s="539"/>
      <c r="Q4715" s="539"/>
      <c r="R4715" s="539"/>
      <c r="S4715" s="539"/>
      <c r="T4715" s="539"/>
      <c r="U4715" s="539"/>
      <c r="V4715" s="540"/>
      <c r="Y4715" s="378"/>
      <c r="Z4715" s="121"/>
      <c r="AA4715" s="86"/>
      <c r="AB4715" s="409"/>
      <c r="AC4715" s="121"/>
      <c r="AD4715" s="94"/>
      <c r="AE4715" s="126"/>
    </row>
    <row r="4716" spans="3:31" s="260" customFormat="1" ht="15.75" thickBot="1" x14ac:dyDescent="0.3">
      <c r="C4716" s="84"/>
      <c r="D4716" s="375" t="s">
        <v>128</v>
      </c>
      <c r="E4716" s="376" t="s">
        <v>129</v>
      </c>
      <c r="F4716" s="376" t="s">
        <v>130</v>
      </c>
      <c r="G4716" s="376" t="s">
        <v>131</v>
      </c>
      <c r="H4716" s="376" t="s">
        <v>132</v>
      </c>
      <c r="I4716" s="376" t="s">
        <v>133</v>
      </c>
      <c r="J4716" s="377" t="s">
        <v>134</v>
      </c>
      <c r="K4716" s="88"/>
      <c r="M4716" s="99" t="s">
        <v>94</v>
      </c>
      <c r="N4716" s="98" t="s">
        <v>95</v>
      </c>
      <c r="O4716" s="95" t="s">
        <v>96</v>
      </c>
      <c r="P4716" s="359" t="s">
        <v>104</v>
      </c>
      <c r="Q4716" s="95" t="s">
        <v>116</v>
      </c>
      <c r="R4716" s="418" t="s">
        <v>117</v>
      </c>
      <c r="S4716" s="95" t="s">
        <v>347</v>
      </c>
      <c r="T4716" s="419" t="s">
        <v>118</v>
      </c>
      <c r="U4716" s="189" t="s">
        <v>119</v>
      </c>
      <c r="V4716" s="100" t="s">
        <v>98</v>
      </c>
      <c r="Y4716" s="383" t="s">
        <v>104</v>
      </c>
      <c r="Z4716" s="119" t="s">
        <v>9</v>
      </c>
      <c r="AA4716" s="86"/>
      <c r="AB4716" s="384"/>
      <c r="AC4716" s="385"/>
      <c r="AD4716" s="94"/>
      <c r="AE4716" s="410"/>
    </row>
    <row r="4717" spans="3:31" s="260" customFormat="1" ht="25.5" x14ac:dyDescent="0.25">
      <c r="C4717" s="84"/>
      <c r="D4717" s="354"/>
      <c r="E4717" s="96"/>
      <c r="F4717" s="96"/>
      <c r="G4717" s="96"/>
      <c r="H4717" s="96"/>
      <c r="I4717" s="96"/>
      <c r="J4717" s="420">
        <f>+F4714</f>
        <v>4.1900000000000004</v>
      </c>
      <c r="K4717" s="88"/>
      <c r="M4717" s="102">
        <v>207</v>
      </c>
      <c r="N4717" s="347" t="str">
        <f>IFERROR(VLOOKUP(M4717,INSUMOS!$C$8:$K$928,2,0),"-----")</f>
        <v>Oficial Hidrosanitario</v>
      </c>
      <c r="O4717" s="78" t="str">
        <f>IFERROR(VLOOKUP(M4717,INSUMOS!$C$8:$K$928,3,0),"-----")</f>
        <v>JORNAL+PS</v>
      </c>
      <c r="P4717" s="80">
        <v>1</v>
      </c>
      <c r="Q4717" s="79">
        <v>15</v>
      </c>
      <c r="R4717" s="190">
        <f>IFERROR(VLOOKUP(M4717,INSUMOS!$C$8:$K$928,4,0),"-----")</f>
        <v>92983</v>
      </c>
      <c r="S4717" s="190">
        <f>IFERROR(VLOOKUP(M4717,INSUMOS!$C$8:$K$928,6,0),"-----")</f>
        <v>74386</v>
      </c>
      <c r="T4717" s="190">
        <f>IFERROR(VLOOKUP(M4717,INSUMOS!$C$8:$K$928,5,0),"-----")</f>
        <v>0</v>
      </c>
      <c r="U4717" s="388">
        <f>SUM(R4717:T4717)</f>
        <v>167369</v>
      </c>
      <c r="V4717" s="82">
        <f>+IFERROR((P4717/Q4717)*U4717,0)</f>
        <v>11157.933333333332</v>
      </c>
      <c r="Y4717" s="393">
        <f>+IFERROR((Y4687/Q4717*P4717),0)</f>
        <v>2.0666666666666669</v>
      </c>
      <c r="Z4717" s="391">
        <f>Y4687*V4717</f>
        <v>345895.93333333329</v>
      </c>
      <c r="AA4717" s="86"/>
      <c r="AB4717" s="92">
        <f>+(U4717)*Y4717</f>
        <v>345895.93333333335</v>
      </c>
      <c r="AC4717" s="93">
        <f>+AB4717-Z4717</f>
        <v>0</v>
      </c>
      <c r="AD4717" s="421"/>
      <c r="AE4717" s="410" t="str">
        <f>+IF(V4717=0,"CERO","NO")</f>
        <v>NO</v>
      </c>
    </row>
    <row r="4718" spans="3:31" s="260" customFormat="1" ht="15.75" thickBot="1" x14ac:dyDescent="0.3">
      <c r="C4718" s="84"/>
      <c r="D4718" s="355"/>
      <c r="E4718" s="367"/>
      <c r="F4718" s="367"/>
      <c r="G4718" s="367"/>
      <c r="H4718" s="367"/>
      <c r="I4718" s="367"/>
      <c r="J4718" s="422">
        <f>+J4717</f>
        <v>4.1900000000000004</v>
      </c>
      <c r="K4718" s="88"/>
      <c r="M4718" s="102"/>
      <c r="N4718" s="347" t="str">
        <f>IFERROR(VLOOKUP(M4718,INSUMOS!$C$8:$K$928,2,0),"-----")</f>
        <v>-----</v>
      </c>
      <c r="O4718" s="78" t="str">
        <f>IFERROR(VLOOKUP(M4718,INSUMOS!$C$8:$K$928,3,0),"-----")</f>
        <v>-----</v>
      </c>
      <c r="P4718" s="80"/>
      <c r="Q4718" s="79"/>
      <c r="R4718" s="190" t="str">
        <f>IFERROR(VLOOKUP(M4718,INSUMOS!$C$8:$K$928,4,0),"-----")</f>
        <v>-----</v>
      </c>
      <c r="S4718" s="190" t="str">
        <f>IFERROR(VLOOKUP(M4718,INSUMOS!$C$8:$K$928,6,0),"-----")</f>
        <v>-----</v>
      </c>
      <c r="T4718" s="190" t="str">
        <f>IFERROR(VLOOKUP(M4718,INSUMOS!$C$8:$K$928,5,0),"-----")</f>
        <v>-----</v>
      </c>
      <c r="U4718" s="388">
        <f>SUM(R4718:T4718)</f>
        <v>0</v>
      </c>
      <c r="V4718" s="82">
        <f>+IFERROR((P4718/Q4718)*U4718,0)</f>
        <v>0</v>
      </c>
      <c r="Y4718" s="393">
        <f>+IFERROR((Y4687/Q4718*P4718),0)</f>
        <v>0</v>
      </c>
      <c r="Z4718" s="391">
        <f>Y4687*V4718</f>
        <v>0</v>
      </c>
      <c r="AA4718" s="86"/>
      <c r="AB4718" s="92">
        <f>+U4718*Y4718</f>
        <v>0</v>
      </c>
      <c r="AC4718" s="93">
        <f>+AB4718-Z4718</f>
        <v>0</v>
      </c>
      <c r="AD4718" s="94"/>
      <c r="AE4718" s="410" t="str">
        <f>+IF(V4718=0,"CERO","NO")</f>
        <v>CERO</v>
      </c>
    </row>
    <row r="4719" spans="3:31" s="260" customFormat="1" ht="15.75" thickBot="1" x14ac:dyDescent="0.3">
      <c r="C4719" s="84"/>
      <c r="D4719" s="380"/>
      <c r="E4719" s="381"/>
      <c r="F4719" s="381"/>
      <c r="G4719" s="381"/>
      <c r="H4719" s="381"/>
      <c r="I4719" s="381"/>
      <c r="J4719" s="382"/>
      <c r="K4719" s="88"/>
      <c r="M4719" s="102">
        <v>0</v>
      </c>
      <c r="N4719" s="347"/>
      <c r="O4719" s="79"/>
      <c r="P4719" s="423"/>
      <c r="Q4719" s="81"/>
      <c r="R4719" s="111"/>
      <c r="S4719" s="357"/>
      <c r="T4719" s="111"/>
      <c r="U4719" s="388"/>
      <c r="V4719" s="426"/>
      <c r="Y4719" s="393">
        <f>+IFERROR((Y4687/Q4719*P4719),0)</f>
        <v>0</v>
      </c>
      <c r="Z4719" s="391">
        <f>Y4687*V4719</f>
        <v>0</v>
      </c>
      <c r="AA4719" s="86"/>
      <c r="AB4719" s="92">
        <f>+(U4719)*Y4719*P4719</f>
        <v>0</v>
      </c>
      <c r="AC4719" s="93">
        <f>+AB4719-Z4719</f>
        <v>0</v>
      </c>
      <c r="AD4719" s="94"/>
      <c r="AE4719" s="410" t="str">
        <f>+IF(V4719=0,"CERO","NO")</f>
        <v>CERO</v>
      </c>
    </row>
    <row r="4720" spans="3:31" s="260" customFormat="1" ht="15.75" thickBot="1" x14ac:dyDescent="0.3">
      <c r="C4720" s="84"/>
      <c r="D4720" s="375" t="s">
        <v>128</v>
      </c>
      <c r="E4720" s="376" t="s">
        <v>129</v>
      </c>
      <c r="F4720" s="376" t="s">
        <v>130</v>
      </c>
      <c r="G4720" s="376" t="s">
        <v>131</v>
      </c>
      <c r="H4720" s="376" t="s">
        <v>132</v>
      </c>
      <c r="I4720" s="376" t="s">
        <v>133</v>
      </c>
      <c r="J4720" s="377" t="s">
        <v>134</v>
      </c>
      <c r="K4720" s="88"/>
      <c r="M4720" s="534"/>
      <c r="N4720" s="536" t="s">
        <v>120</v>
      </c>
      <c r="O4720" s="536"/>
      <c r="P4720" s="536"/>
      <c r="Q4720" s="536"/>
      <c r="R4720" s="536"/>
      <c r="S4720" s="536"/>
      <c r="T4720" s="536"/>
      <c r="U4720" s="536"/>
      <c r="V4720" s="82">
        <f>+SUM(V4717:V4719)</f>
        <v>11157.933333333332</v>
      </c>
      <c r="Y4720" s="398" t="s">
        <v>135</v>
      </c>
      <c r="Z4720" s="397">
        <f>+SUM(Z4717:Z4719)</f>
        <v>345895.93333333329</v>
      </c>
      <c r="AA4720" s="86"/>
      <c r="AB4720" s="384"/>
      <c r="AC4720" s="385"/>
      <c r="AD4720" s="94"/>
      <c r="AE4720" s="399"/>
    </row>
    <row r="4721" spans="3:31" s="260" customFormat="1" ht="15.75" thickBot="1" x14ac:dyDescent="0.3">
      <c r="C4721" s="84"/>
      <c r="D4721" s="354"/>
      <c r="E4721" s="96"/>
      <c r="F4721" s="96"/>
      <c r="G4721" s="107">
        <f>+F4714</f>
        <v>4.1900000000000004</v>
      </c>
      <c r="H4721" s="96"/>
      <c r="I4721" s="96"/>
      <c r="J4721" s="427"/>
      <c r="K4721" s="88"/>
      <c r="M4721" s="535"/>
      <c r="N4721" s="537" t="s">
        <v>121</v>
      </c>
      <c r="O4721" s="537"/>
      <c r="P4721" s="537"/>
      <c r="Q4721" s="537"/>
      <c r="R4721" s="537"/>
      <c r="S4721" s="537"/>
      <c r="T4721" s="537"/>
      <c r="U4721" s="537"/>
      <c r="V4721" s="413">
        <f>+ROUND(V4720,$AA$5)</f>
        <v>11157.93</v>
      </c>
      <c r="Y4721" s="401" t="s">
        <v>136</v>
      </c>
      <c r="Z4721" s="402">
        <f>+ROUND(Z4720,$AA$5)</f>
        <v>345895.93</v>
      </c>
      <c r="AA4721" s="86"/>
      <c r="AB4721" s="403">
        <f>+V4721*Y4687</f>
        <v>345895.83</v>
      </c>
      <c r="AC4721" s="404">
        <f>+AB4721-Z4721</f>
        <v>-9.9999999976716936E-2</v>
      </c>
      <c r="AD4721" s="94"/>
      <c r="AE4721" s="405"/>
    </row>
    <row r="4722" spans="3:31" s="260" customFormat="1" ht="15.75" thickBot="1" x14ac:dyDescent="0.3">
      <c r="C4722" s="84"/>
      <c r="D4722" s="375" t="s">
        <v>128</v>
      </c>
      <c r="E4722" s="376" t="s">
        <v>129</v>
      </c>
      <c r="F4722" s="376" t="s">
        <v>130</v>
      </c>
      <c r="G4722" s="376" t="s">
        <v>131</v>
      </c>
      <c r="H4722" s="376" t="s">
        <v>132</v>
      </c>
      <c r="I4722" s="376" t="s">
        <v>133</v>
      </c>
      <c r="J4722" s="377" t="s">
        <v>134</v>
      </c>
      <c r="K4722" s="88"/>
      <c r="M4722" s="541"/>
      <c r="N4722" s="542"/>
      <c r="O4722" s="542"/>
      <c r="P4722" s="542"/>
      <c r="Q4722" s="542"/>
      <c r="R4722" s="542"/>
      <c r="S4722" s="542"/>
      <c r="T4722" s="542"/>
      <c r="U4722" s="542"/>
      <c r="V4722" s="543"/>
      <c r="Y4722" s="378"/>
      <c r="Z4722" s="121"/>
      <c r="AA4722" s="86"/>
      <c r="AB4722" s="409"/>
      <c r="AC4722" s="121"/>
      <c r="AD4722" s="94"/>
      <c r="AE4722" s="428"/>
    </row>
    <row r="4723" spans="3:31" s="260" customFormat="1" ht="15.75" thickBot="1" x14ac:dyDescent="0.3">
      <c r="C4723" s="84"/>
      <c r="D4723" s="355"/>
      <c r="E4723" s="367"/>
      <c r="F4723" s="367"/>
      <c r="G4723" s="367"/>
      <c r="H4723" s="412">
        <f>G4721</f>
        <v>4.1900000000000004</v>
      </c>
      <c r="I4723" s="412"/>
      <c r="J4723" s="422"/>
      <c r="K4723" s="88"/>
      <c r="M4723" s="544" t="s">
        <v>122</v>
      </c>
      <c r="N4723" s="537"/>
      <c r="O4723" s="537"/>
      <c r="P4723" s="537"/>
      <c r="Q4723" s="537"/>
      <c r="R4723" s="537"/>
      <c r="S4723" s="537"/>
      <c r="T4723" s="537"/>
      <c r="U4723" s="545">
        <f>+V4721+V4714+V4706+V4697</f>
        <v>1182063.0499999998</v>
      </c>
      <c r="V4723" s="546"/>
      <c r="Y4723" s="429"/>
      <c r="Z4723" s="430">
        <f>+Z4721+Z4714+Z4706+Z4697</f>
        <v>36643954.589999996</v>
      </c>
      <c r="AA4723" s="86"/>
      <c r="AB4723" s="431">
        <f>+AB4721+AB4714+AB4706+AB4697</f>
        <v>36643954.549999997</v>
      </c>
      <c r="AC4723" s="404">
        <f>+AB4723-Z4723</f>
        <v>-3.9999999105930328E-2</v>
      </c>
      <c r="AD4723" s="94"/>
      <c r="AE4723" s="432"/>
    </row>
    <row r="4724" spans="3:31" s="260" customFormat="1" ht="15.75" thickBot="1" x14ac:dyDescent="0.3"/>
    <row r="4725" spans="3:31" s="260" customFormat="1" x14ac:dyDescent="0.25">
      <c r="M4725" s="547" t="s">
        <v>348</v>
      </c>
      <c r="N4725" s="548"/>
      <c r="O4725" s="548"/>
      <c r="P4725" s="548"/>
      <c r="Q4725" s="548"/>
      <c r="R4725" s="548"/>
      <c r="S4725" s="548"/>
      <c r="T4725" s="548"/>
      <c r="U4725" s="548"/>
      <c r="V4725" s="549"/>
      <c r="Y4725" s="378"/>
      <c r="Z4725" s="121"/>
      <c r="AA4725" s="86"/>
      <c r="AB4725" s="94"/>
      <c r="AC4725" s="94"/>
      <c r="AD4725" s="94"/>
      <c r="AE4725" s="126" t="s">
        <v>133</v>
      </c>
    </row>
    <row r="4726" spans="3:31" s="260" customFormat="1" x14ac:dyDescent="0.25">
      <c r="M4726" s="515" t="s">
        <v>138</v>
      </c>
      <c r="N4726" s="516"/>
      <c r="O4726" s="516"/>
      <c r="P4726" s="516"/>
      <c r="Q4726" s="516"/>
      <c r="R4726" s="516"/>
      <c r="S4726" s="516"/>
      <c r="T4726" s="437">
        <v>0</v>
      </c>
      <c r="U4726" s="517">
        <f>+ROUND(U4723*T4726,$AA$5)</f>
        <v>0</v>
      </c>
      <c r="V4726" s="518"/>
      <c r="Y4726" s="390"/>
      <c r="Z4726" s="438">
        <f>+Z4723*T4726</f>
        <v>0</v>
      </c>
      <c r="AA4726" s="86"/>
      <c r="AB4726" s="94"/>
      <c r="AC4726" s="94"/>
      <c r="AD4726" s="94"/>
      <c r="AE4726" s="386" t="s">
        <v>133</v>
      </c>
    </row>
    <row r="4727" spans="3:31" s="260" customFormat="1" x14ac:dyDescent="0.25">
      <c r="M4727" s="515" t="s">
        <v>19</v>
      </c>
      <c r="N4727" s="516"/>
      <c r="O4727" s="516"/>
      <c r="P4727" s="516"/>
      <c r="Q4727" s="516"/>
      <c r="R4727" s="516"/>
      <c r="S4727" s="516"/>
      <c r="T4727" s="437">
        <v>0.05</v>
      </c>
      <c r="U4727" s="517">
        <f>+ROUND(U4723*T4727,$AA$5)</f>
        <v>59103.15</v>
      </c>
      <c r="V4727" s="518"/>
      <c r="Y4727" s="390"/>
      <c r="Z4727" s="438">
        <f>+Z4723*T4727</f>
        <v>1832197.7294999999</v>
      </c>
      <c r="AA4727" s="86"/>
      <c r="AB4727" s="94"/>
      <c r="AC4727" s="94"/>
      <c r="AD4727" s="94"/>
      <c r="AE4727" s="386" t="s">
        <v>133</v>
      </c>
    </row>
    <row r="4728" spans="3:31" s="260" customFormat="1" x14ac:dyDescent="0.25">
      <c r="M4728" s="515" t="s">
        <v>20</v>
      </c>
      <c r="N4728" s="516"/>
      <c r="O4728" s="516"/>
      <c r="P4728" s="516"/>
      <c r="Q4728" s="516"/>
      <c r="R4728" s="516"/>
      <c r="S4728" s="516"/>
      <c r="T4728" s="437">
        <v>0</v>
      </c>
      <c r="U4728" s="517">
        <f>+ROUND(U4723*T4728,$AA$5)</f>
        <v>0</v>
      </c>
      <c r="V4728" s="518"/>
      <c r="Y4728" s="390"/>
      <c r="Z4728" s="438">
        <f>+Z4723*T4728</f>
        <v>0</v>
      </c>
      <c r="AA4728" s="86"/>
      <c r="AB4728" s="94"/>
      <c r="AC4728" s="94"/>
      <c r="AD4728" s="94"/>
      <c r="AE4728" s="386" t="s">
        <v>133</v>
      </c>
    </row>
    <row r="4729" spans="3:31" s="260" customFormat="1" x14ac:dyDescent="0.25">
      <c r="M4729" s="515" t="s">
        <v>21</v>
      </c>
      <c r="N4729" s="516"/>
      <c r="O4729" s="516"/>
      <c r="P4729" s="516"/>
      <c r="Q4729" s="516"/>
      <c r="R4729" s="516"/>
      <c r="S4729" s="516"/>
      <c r="T4729" s="437">
        <f>$AA$9</f>
        <v>0</v>
      </c>
      <c r="U4729" s="517">
        <f>+ROUND(U4723*T4729,$AA$5)</f>
        <v>0</v>
      </c>
      <c r="V4729" s="518"/>
      <c r="Y4729" s="390"/>
      <c r="Z4729" s="438">
        <f>+Z4728*T4729</f>
        <v>0</v>
      </c>
      <c r="AA4729" s="86"/>
      <c r="AB4729" s="94"/>
      <c r="AC4729" s="94"/>
      <c r="AD4729" s="94"/>
      <c r="AE4729" s="386" t="s">
        <v>133</v>
      </c>
    </row>
    <row r="4730" spans="3:31" s="260" customFormat="1" ht="15.75" thickBot="1" x14ac:dyDescent="0.3">
      <c r="M4730" s="519" t="s">
        <v>349</v>
      </c>
      <c r="N4730" s="520"/>
      <c r="O4730" s="520"/>
      <c r="P4730" s="520"/>
      <c r="Q4730" s="520"/>
      <c r="R4730" s="520"/>
      <c r="S4730" s="520"/>
      <c r="T4730" s="520"/>
      <c r="U4730" s="521">
        <f>+SUM(U4726:V4729)</f>
        <v>59103.15</v>
      </c>
      <c r="V4730" s="522"/>
      <c r="Y4730" s="390"/>
      <c r="Z4730" s="439">
        <f>+SUM(Z4726:Z4729)</f>
        <v>1832197.7294999999</v>
      </c>
      <c r="AA4730" s="86"/>
      <c r="AB4730" s="94"/>
      <c r="AC4730" s="94"/>
      <c r="AD4730" s="94"/>
      <c r="AE4730" s="386" t="s">
        <v>133</v>
      </c>
    </row>
    <row r="4731" spans="3:31" s="260" customFormat="1" ht="15.75" thickBot="1" x14ac:dyDescent="0.3">
      <c r="D4731" s="375" t="s">
        <v>128</v>
      </c>
      <c r="E4731" s="376" t="s">
        <v>129</v>
      </c>
      <c r="F4731" s="376" t="s">
        <v>130</v>
      </c>
      <c r="G4731" s="376" t="s">
        <v>131</v>
      </c>
      <c r="H4731" s="376" t="s">
        <v>132</v>
      </c>
      <c r="I4731" s="376" t="s">
        <v>133</v>
      </c>
      <c r="J4731" s="377" t="s">
        <v>134</v>
      </c>
      <c r="M4731" s="86"/>
      <c r="N4731" s="94"/>
      <c r="O4731" s="94"/>
      <c r="P4731" s="94"/>
      <c r="Q4731" s="86"/>
      <c r="R4731" s="86"/>
      <c r="S4731" s="86"/>
      <c r="T4731" s="440"/>
      <c r="U4731" s="523"/>
      <c r="V4731" s="523"/>
      <c r="Y4731" s="390"/>
      <c r="Z4731" s="385"/>
      <c r="AA4731" s="86"/>
      <c r="AB4731" s="94"/>
      <c r="AC4731" s="94"/>
      <c r="AD4731" s="94"/>
      <c r="AE4731" s="386" t="s">
        <v>133</v>
      </c>
    </row>
    <row r="4732" spans="3:31" s="260" customFormat="1" ht="15.75" thickBot="1" x14ac:dyDescent="0.3">
      <c r="D4732" s="355"/>
      <c r="E4732" s="367"/>
      <c r="F4732" s="367"/>
      <c r="G4732" s="367"/>
      <c r="H4732" s="412"/>
      <c r="I4732" s="412">
        <f>H4723</f>
        <v>4.1900000000000004</v>
      </c>
      <c r="J4732" s="422"/>
      <c r="M4732" s="524" t="s">
        <v>11</v>
      </c>
      <c r="N4732" s="525"/>
      <c r="O4732" s="525"/>
      <c r="P4732" s="525"/>
      <c r="Q4732" s="525"/>
      <c r="R4732" s="525"/>
      <c r="S4732" s="525"/>
      <c r="T4732" s="526"/>
      <c r="U4732" s="527">
        <f>+U4730+U4723</f>
        <v>1241166.1999999997</v>
      </c>
      <c r="V4732" s="528"/>
      <c r="Y4732" s="429"/>
      <c r="Z4732" s="441">
        <f>+Z4730+Z4723</f>
        <v>38476152.319499999</v>
      </c>
      <c r="AA4732" s="86"/>
      <c r="AB4732" s="94"/>
      <c r="AC4732" s="94"/>
      <c r="AD4732" s="94"/>
      <c r="AE4732" s="405" t="s">
        <v>133</v>
      </c>
    </row>
    <row r="4733" spans="3:31" s="260" customFormat="1" x14ac:dyDescent="0.25"/>
    <row r="4734" spans="3:31" s="260" customFormat="1" ht="15.75" thickBot="1" x14ac:dyDescent="0.3"/>
    <row r="4735" spans="3:31" s="260" customFormat="1" ht="15.75" thickBot="1" x14ac:dyDescent="0.3">
      <c r="M4735" s="363" t="s">
        <v>88</v>
      </c>
      <c r="N4735" s="436" t="str">
        <f>+N4686</f>
        <v>CAP.4</v>
      </c>
      <c r="O4735" s="550" t="str">
        <f>IFERROR(VLOOKUP(N4735,PPTO!C:H,2,0),"----")</f>
        <v>RED SANITARIA</v>
      </c>
      <c r="P4735" s="551"/>
      <c r="Q4735" s="551"/>
      <c r="R4735" s="551"/>
      <c r="S4735" s="551"/>
      <c r="T4735" s="551"/>
      <c r="U4735" s="552"/>
      <c r="V4735" s="74" t="s">
        <v>91</v>
      </c>
      <c r="Y4735" s="365" t="s">
        <v>104</v>
      </c>
      <c r="Z4735" s="94"/>
      <c r="AA4735" s="188"/>
      <c r="AB4735" s="553"/>
      <c r="AC4735" s="553"/>
      <c r="AD4735" s="553"/>
      <c r="AE4735" s="94"/>
    </row>
    <row r="4736" spans="3:31" s="260" customFormat="1" ht="30.75" customHeight="1" thickBot="1" x14ac:dyDescent="0.3">
      <c r="C4736" s="369">
        <f>+N4736</f>
        <v>4.2</v>
      </c>
      <c r="D4736" s="86"/>
      <c r="E4736" s="86"/>
      <c r="F4736" s="86"/>
      <c r="G4736" s="86"/>
      <c r="H4736" s="86"/>
      <c r="I4736" s="86"/>
      <c r="J4736" s="86"/>
      <c r="K4736" s="370"/>
      <c r="M4736" s="75" t="s">
        <v>92</v>
      </c>
      <c r="N4736" s="371">
        <f>+ROUNDUP(N4687+0.01,2)</f>
        <v>4.2</v>
      </c>
      <c r="O4736" s="554" t="str">
        <f>IFERROR(VLOOKUP(N4736,PPTO!C:H,2,0),"----")</f>
        <v>suministro e instalacion de equipos de bombeo para agua residual 3HP (incluye accesorios)</v>
      </c>
      <c r="P4736" s="555"/>
      <c r="Q4736" s="555"/>
      <c r="R4736" s="555"/>
      <c r="S4736" s="555"/>
      <c r="T4736" s="555"/>
      <c r="U4736" s="556"/>
      <c r="V4736" s="76" t="str">
        <f>IFERROR(VLOOKUP(N4736,PPTO!C:H,3,0),"----")</f>
        <v>UND</v>
      </c>
      <c r="Y4736" s="373">
        <f>SUMIFS(PPTO!F:F,PPTO!C:C,APUS!N4736)</f>
        <v>1</v>
      </c>
      <c r="Z4736" s="94"/>
      <c r="AA4736" s="86"/>
      <c r="AB4736" s="94"/>
      <c r="AC4736" s="94"/>
      <c r="AD4736" s="94"/>
      <c r="AE4736" s="94"/>
    </row>
    <row r="4737" spans="3:31" s="260" customFormat="1" ht="15.75" thickBot="1" x14ac:dyDescent="0.3">
      <c r="C4737" s="84"/>
      <c r="D4737" s="86"/>
      <c r="E4737" s="86"/>
      <c r="F4737" s="86"/>
      <c r="G4737" s="86"/>
      <c r="H4737" s="86"/>
      <c r="I4737" s="86"/>
      <c r="J4737" s="86"/>
      <c r="K4737" s="88"/>
      <c r="M4737" s="557"/>
      <c r="N4737" s="557"/>
      <c r="O4737" s="557"/>
      <c r="P4737" s="557"/>
      <c r="Q4737" s="557"/>
      <c r="R4737" s="557"/>
      <c r="S4737" s="557"/>
      <c r="T4737" s="557"/>
      <c r="U4737" s="557"/>
      <c r="V4737" s="557"/>
      <c r="Y4737" s="374"/>
      <c r="Z4737" s="94"/>
      <c r="AA4737" s="86"/>
      <c r="AB4737" s="94"/>
      <c r="AC4737" s="94"/>
      <c r="AD4737" s="94"/>
      <c r="AE4737" s="94"/>
    </row>
    <row r="4738" spans="3:31" s="260" customFormat="1" ht="15.75" thickBot="1" x14ac:dyDescent="0.3">
      <c r="C4738" s="84"/>
      <c r="D4738" s="375" t="s">
        <v>128</v>
      </c>
      <c r="E4738" s="376" t="s">
        <v>129</v>
      </c>
      <c r="F4738" s="376" t="s">
        <v>130</v>
      </c>
      <c r="G4738" s="376" t="s">
        <v>131</v>
      </c>
      <c r="H4738" s="376" t="s">
        <v>132</v>
      </c>
      <c r="I4738" s="376" t="s">
        <v>133</v>
      </c>
      <c r="J4738" s="377" t="s">
        <v>134</v>
      </c>
      <c r="K4738" s="88"/>
      <c r="M4738" s="558" t="s">
        <v>93</v>
      </c>
      <c r="N4738" s="559"/>
      <c r="O4738" s="559"/>
      <c r="P4738" s="559"/>
      <c r="Q4738" s="559"/>
      <c r="R4738" s="559"/>
      <c r="S4738" s="559"/>
      <c r="T4738" s="559"/>
      <c r="U4738" s="559"/>
      <c r="V4738" s="560"/>
      <c r="Y4738" s="378"/>
      <c r="Z4738" s="121"/>
      <c r="AA4738" s="86"/>
      <c r="AB4738" s="513"/>
      <c r="AC4738" s="514"/>
      <c r="AD4738" s="94"/>
      <c r="AE4738" s="379"/>
    </row>
    <row r="4739" spans="3:31" s="260" customFormat="1" x14ac:dyDescent="0.25">
      <c r="C4739" s="84"/>
      <c r="D4739" s="380"/>
      <c r="E4739" s="381"/>
      <c r="F4739" s="381"/>
      <c r="G4739" s="381"/>
      <c r="H4739" s="381"/>
      <c r="I4739" s="381"/>
      <c r="J4739" s="382"/>
      <c r="K4739" s="88"/>
      <c r="M4739" s="99" t="s">
        <v>94</v>
      </c>
      <c r="N4739" s="561" t="s">
        <v>95</v>
      </c>
      <c r="O4739" s="561"/>
      <c r="P4739" s="561"/>
      <c r="Q4739" s="561"/>
      <c r="R4739" s="95" t="s">
        <v>96</v>
      </c>
      <c r="S4739" s="95" t="s">
        <v>97</v>
      </c>
      <c r="T4739" s="562" t="s">
        <v>8</v>
      </c>
      <c r="U4739" s="562"/>
      <c r="V4739" s="100" t="s">
        <v>98</v>
      </c>
      <c r="Y4739" s="383" t="s">
        <v>104</v>
      </c>
      <c r="Z4739" s="119" t="s">
        <v>9</v>
      </c>
      <c r="AA4739" s="86"/>
      <c r="AB4739" s="384"/>
      <c r="AC4739" s="385"/>
      <c r="AD4739" s="94"/>
      <c r="AE4739" s="386"/>
    </row>
    <row r="4740" spans="3:31" s="260" customFormat="1" x14ac:dyDescent="0.25">
      <c r="C4740" s="84"/>
      <c r="D4740" s="85"/>
      <c r="E4740" s="86"/>
      <c r="F4740" s="86"/>
      <c r="G4740" s="86"/>
      <c r="H4740" s="86"/>
      <c r="I4740" s="86"/>
      <c r="J4740" s="87"/>
      <c r="K4740" s="88"/>
      <c r="M4740" s="102"/>
      <c r="N4740" s="533" t="s">
        <v>99</v>
      </c>
      <c r="O4740" s="533"/>
      <c r="P4740" s="533"/>
      <c r="Q4740" s="533"/>
      <c r="R4740" s="78" t="s">
        <v>100</v>
      </c>
      <c r="S4740" s="387">
        <f>+$AA$10</f>
        <v>0.05</v>
      </c>
      <c r="T4740" s="563">
        <f>V4770</f>
        <v>583756</v>
      </c>
      <c r="U4740" s="563"/>
      <c r="V4740" s="389">
        <f>+IFERROR(T4740*S4740,0)</f>
        <v>29187.800000000003</v>
      </c>
      <c r="Y4740" s="390"/>
      <c r="Z4740" s="391">
        <f>Y4736*V4740</f>
        <v>29187.800000000003</v>
      </c>
      <c r="AA4740" s="86"/>
      <c r="AB4740" s="384"/>
      <c r="AC4740" s="385"/>
      <c r="AD4740" s="94"/>
      <c r="AE4740" s="386" t="str">
        <f>+IF(V4740=0,"CERO","NO")</f>
        <v>NO</v>
      </c>
    </row>
    <row r="4741" spans="3:31" s="260" customFormat="1" x14ac:dyDescent="0.25">
      <c r="C4741" s="84"/>
      <c r="D4741" s="85"/>
      <c r="E4741" s="86"/>
      <c r="F4741" s="86"/>
      <c r="G4741" s="86"/>
      <c r="H4741" s="86"/>
      <c r="I4741" s="86"/>
      <c r="J4741" s="87"/>
      <c r="K4741" s="88"/>
      <c r="M4741" s="106"/>
      <c r="N4741" s="533" t="str">
        <f>IFERROR(VLOOKUP(M4741,INSUMOS!$C$8:$K$928,2,0),"-----")</f>
        <v>-----</v>
      </c>
      <c r="O4741" s="533"/>
      <c r="P4741" s="533"/>
      <c r="Q4741" s="533"/>
      <c r="R4741" s="78" t="str">
        <f>IFERROR(VLOOKUP(M4741,INSUMOS!$C$8:$K$928,6,0),"-----")</f>
        <v>-----</v>
      </c>
      <c r="S4741" s="392"/>
      <c r="T4741" s="529" t="str">
        <f>IFERROR(VLOOKUP(M4741,INSUMOS!$C$8:$K$928,7,0),"0")</f>
        <v>0</v>
      </c>
      <c r="U4741" s="529"/>
      <c r="V4741" s="389">
        <f>+IFERROR(T4741*S4741,0)</f>
        <v>0</v>
      </c>
      <c r="Y4741" s="393">
        <f>+IFERROR(Y4736*S4741,0)</f>
        <v>0</v>
      </c>
      <c r="Z4741" s="391">
        <f>Y4736*V4741</f>
        <v>0</v>
      </c>
      <c r="AA4741" s="394"/>
      <c r="AB4741" s="395">
        <f>+Y4741*T4741</f>
        <v>0</v>
      </c>
      <c r="AC4741" s="93">
        <f>+AB4741-Z4741</f>
        <v>0</v>
      </c>
      <c r="AD4741" s="94"/>
      <c r="AE4741" s="386" t="str">
        <f>+IF(V4741=0,"CERO","NO")</f>
        <v>CERO</v>
      </c>
    </row>
    <row r="4742" spans="3:31" s="260" customFormat="1" x14ac:dyDescent="0.25">
      <c r="C4742" s="84"/>
      <c r="D4742" s="85"/>
      <c r="E4742" s="86"/>
      <c r="F4742" s="86"/>
      <c r="G4742" s="86"/>
      <c r="H4742" s="86"/>
      <c r="I4742" s="86"/>
      <c r="J4742" s="87"/>
      <c r="K4742" s="88"/>
      <c r="M4742" s="102">
        <v>0</v>
      </c>
      <c r="N4742" s="533"/>
      <c r="O4742" s="533"/>
      <c r="P4742" s="533"/>
      <c r="Q4742" s="533"/>
      <c r="R4742" s="78"/>
      <c r="S4742" s="396"/>
      <c r="T4742" s="529"/>
      <c r="U4742" s="529"/>
      <c r="V4742" s="397"/>
      <c r="Y4742" s="393">
        <f>+IFERROR(Y4736*S4742,0)</f>
        <v>0</v>
      </c>
      <c r="Z4742" s="391">
        <f>Y4736*V4742</f>
        <v>0</v>
      </c>
      <c r="AA4742" s="394"/>
      <c r="AB4742" s="395">
        <f>+Y4742*T4742</f>
        <v>0</v>
      </c>
      <c r="AC4742" s="93">
        <f>+AB4742-Z4742</f>
        <v>0</v>
      </c>
      <c r="AD4742" s="94"/>
      <c r="AE4742" s="386" t="str">
        <f>+IF(V4742=0,"CERO","NO")</f>
        <v>CERO</v>
      </c>
    </row>
    <row r="4743" spans="3:31" s="260" customFormat="1" x14ac:dyDescent="0.25">
      <c r="C4743" s="84"/>
      <c r="D4743" s="85"/>
      <c r="E4743" s="86"/>
      <c r="F4743" s="86"/>
      <c r="G4743" s="86"/>
      <c r="H4743" s="86"/>
      <c r="I4743" s="86"/>
      <c r="J4743" s="87"/>
      <c r="K4743" s="88"/>
      <c r="M4743" s="102">
        <v>0</v>
      </c>
      <c r="N4743" s="533"/>
      <c r="O4743" s="533"/>
      <c r="P4743" s="533"/>
      <c r="Q4743" s="533"/>
      <c r="R4743" s="78"/>
      <c r="S4743" s="396"/>
      <c r="T4743" s="529"/>
      <c r="U4743" s="529"/>
      <c r="V4743" s="397"/>
      <c r="Y4743" s="393">
        <f>+IFERROR(Y4736*S4743,0)</f>
        <v>0</v>
      </c>
      <c r="Z4743" s="391">
        <f>Y4736*V4743</f>
        <v>0</v>
      </c>
      <c r="AA4743" s="394"/>
      <c r="AB4743" s="395">
        <f>+Y4743*T4743</f>
        <v>0</v>
      </c>
      <c r="AC4743" s="93">
        <f>+AB4743-Z4743</f>
        <v>0</v>
      </c>
      <c r="AD4743" s="94"/>
      <c r="AE4743" s="386" t="str">
        <f>+IF(V4743=0,"CERO","NO")</f>
        <v>CERO</v>
      </c>
    </row>
    <row r="4744" spans="3:31" s="260" customFormat="1" ht="15.75" thickBot="1" x14ac:dyDescent="0.3">
      <c r="C4744" s="84"/>
      <c r="D4744" s="85"/>
      <c r="E4744" s="86"/>
      <c r="F4744" s="86"/>
      <c r="G4744" s="86"/>
      <c r="H4744" s="86"/>
      <c r="I4744" s="86"/>
      <c r="J4744" s="87"/>
      <c r="K4744" s="88"/>
      <c r="M4744" s="102">
        <v>0</v>
      </c>
      <c r="N4744" s="564"/>
      <c r="O4744" s="564"/>
      <c r="P4744" s="564"/>
      <c r="Q4744" s="564"/>
      <c r="R4744" s="96"/>
      <c r="S4744" s="96"/>
      <c r="T4744" s="565"/>
      <c r="U4744" s="565"/>
      <c r="V4744" s="101"/>
      <c r="Y4744" s="393">
        <f>+IFERROR(Y4736*S4744,0)</f>
        <v>0</v>
      </c>
      <c r="Z4744" s="391">
        <f>Y4736*V4744</f>
        <v>0</v>
      </c>
      <c r="AA4744" s="394"/>
      <c r="AB4744" s="395">
        <f>+Y4744*T4744</f>
        <v>0</v>
      </c>
      <c r="AC4744" s="93">
        <f>+AB4744-Z4744</f>
        <v>0</v>
      </c>
      <c r="AD4744" s="94"/>
      <c r="AE4744" s="386" t="str">
        <f>+IF(V4744=0,"CERO","NO")</f>
        <v>CERO</v>
      </c>
    </row>
    <row r="4745" spans="3:31" s="260" customFormat="1" ht="15.75" thickBot="1" x14ac:dyDescent="0.3">
      <c r="C4745" s="84"/>
      <c r="D4745" s="375" t="s">
        <v>128</v>
      </c>
      <c r="E4745" s="376" t="s">
        <v>129</v>
      </c>
      <c r="F4745" s="376" t="s">
        <v>130</v>
      </c>
      <c r="G4745" s="376" t="s">
        <v>131</v>
      </c>
      <c r="H4745" s="376" t="s">
        <v>132</v>
      </c>
      <c r="I4745" s="376" t="s">
        <v>133</v>
      </c>
      <c r="J4745" s="377" t="s">
        <v>134</v>
      </c>
      <c r="K4745" s="88"/>
      <c r="M4745" s="534"/>
      <c r="N4745" s="536" t="s">
        <v>101</v>
      </c>
      <c r="O4745" s="536"/>
      <c r="P4745" s="536"/>
      <c r="Q4745" s="536"/>
      <c r="R4745" s="536"/>
      <c r="S4745" s="536"/>
      <c r="T4745" s="536"/>
      <c r="U4745" s="536"/>
      <c r="V4745" s="389">
        <f>+SUM(V4740:V4744)</f>
        <v>29187.800000000003</v>
      </c>
      <c r="Y4745" s="398" t="s">
        <v>135</v>
      </c>
      <c r="Z4745" s="397">
        <f>+SUM(Z4740:Z4744)</f>
        <v>29187.800000000003</v>
      </c>
      <c r="AA4745" s="86"/>
      <c r="AB4745" s="384"/>
      <c r="AC4745" s="385"/>
      <c r="AD4745" s="94"/>
      <c r="AE4745" s="399"/>
    </row>
    <row r="4746" spans="3:31" s="260" customFormat="1" ht="15.75" thickBot="1" x14ac:dyDescent="0.3">
      <c r="C4746" s="84"/>
      <c r="D4746" s="375">
        <f>C4736</f>
        <v>4.2</v>
      </c>
      <c r="E4746" s="376"/>
      <c r="F4746" s="376"/>
      <c r="G4746" s="376"/>
      <c r="H4746" s="376"/>
      <c r="I4746" s="376"/>
      <c r="J4746" s="377"/>
      <c r="K4746" s="88"/>
      <c r="M4746" s="566"/>
      <c r="N4746" s="567" t="s">
        <v>102</v>
      </c>
      <c r="O4746" s="567"/>
      <c r="P4746" s="567"/>
      <c r="Q4746" s="567"/>
      <c r="R4746" s="567"/>
      <c r="S4746" s="567"/>
      <c r="T4746" s="567"/>
      <c r="U4746" s="567"/>
      <c r="V4746" s="400">
        <f>+ROUND(V4745,$AA$5)</f>
        <v>29187.8</v>
      </c>
      <c r="Y4746" s="401" t="s">
        <v>136</v>
      </c>
      <c r="Z4746" s="402">
        <f>+ROUND(Z4745,$AA$5)</f>
        <v>29187.8</v>
      </c>
      <c r="AA4746" s="86"/>
      <c r="AB4746" s="403">
        <f>+V4746*Y4736</f>
        <v>29187.8</v>
      </c>
      <c r="AC4746" s="404">
        <f>+AB4746-Z4746</f>
        <v>0</v>
      </c>
      <c r="AD4746" s="94"/>
      <c r="AE4746" s="405"/>
    </row>
    <row r="4747" spans="3:31" s="260" customFormat="1" x14ac:dyDescent="0.25">
      <c r="C4747" s="84"/>
      <c r="D4747" s="380"/>
      <c r="E4747" s="381"/>
      <c r="F4747" s="381"/>
      <c r="G4747" s="381"/>
      <c r="H4747" s="381"/>
      <c r="I4747" s="381"/>
      <c r="J4747" s="382"/>
      <c r="K4747" s="88"/>
      <c r="M4747" s="510" t="s">
        <v>103</v>
      </c>
      <c r="N4747" s="511"/>
      <c r="O4747" s="511"/>
      <c r="P4747" s="511"/>
      <c r="Q4747" s="511"/>
      <c r="R4747" s="511"/>
      <c r="S4747" s="511"/>
      <c r="T4747" s="511"/>
      <c r="U4747" s="511"/>
      <c r="V4747" s="512"/>
      <c r="Y4747" s="378"/>
      <c r="Z4747" s="121"/>
      <c r="AA4747" s="86"/>
      <c r="AB4747" s="513"/>
      <c r="AC4747" s="514"/>
      <c r="AD4747" s="94"/>
      <c r="AE4747" s="126"/>
    </row>
    <row r="4748" spans="3:31" s="260" customFormat="1" x14ac:dyDescent="0.25">
      <c r="C4748" s="84"/>
      <c r="D4748" s="85"/>
      <c r="E4748" s="86"/>
      <c r="F4748" s="86"/>
      <c r="G4748" s="86"/>
      <c r="H4748" s="86"/>
      <c r="I4748" s="86"/>
      <c r="J4748" s="87"/>
      <c r="K4748" s="88"/>
      <c r="M4748" s="99" t="s">
        <v>94</v>
      </c>
      <c r="N4748" s="561" t="s">
        <v>95</v>
      </c>
      <c r="O4748" s="561"/>
      <c r="P4748" s="561"/>
      <c r="Q4748" s="561"/>
      <c r="R4748" s="95" t="s">
        <v>96</v>
      </c>
      <c r="S4748" s="95" t="s">
        <v>104</v>
      </c>
      <c r="T4748" s="356" t="s">
        <v>105</v>
      </c>
      <c r="U4748" s="356" t="s">
        <v>8</v>
      </c>
      <c r="V4748" s="100" t="s">
        <v>98</v>
      </c>
      <c r="Y4748" s="383" t="s">
        <v>104</v>
      </c>
      <c r="Z4748" s="119" t="s">
        <v>9</v>
      </c>
      <c r="AA4748" s="86"/>
      <c r="AB4748" s="384"/>
      <c r="AC4748" s="385"/>
      <c r="AD4748" s="94"/>
      <c r="AE4748" s="406"/>
    </row>
    <row r="4749" spans="3:31" s="260" customFormat="1" x14ac:dyDescent="0.25">
      <c r="C4749" s="84"/>
      <c r="D4749" s="85"/>
      <c r="E4749" s="86"/>
      <c r="F4749" s="86"/>
      <c r="G4749" s="86"/>
      <c r="H4749" s="86"/>
      <c r="I4749" s="86"/>
      <c r="J4749" s="87"/>
      <c r="K4749" s="88"/>
      <c r="M4749" s="102">
        <v>811</v>
      </c>
      <c r="N4749" s="533" t="str">
        <f>IFERROR(VLOOKUP(M4749,INSUMOS!$C$8:$K$928,2,0),"-----")</f>
        <v xml:space="preserve">BOMBA SUMERGIBLE 3HP </v>
      </c>
      <c r="O4749" s="533"/>
      <c r="P4749" s="533"/>
      <c r="Q4749" s="533"/>
      <c r="R4749" s="78" t="str">
        <f>IFERROR(VLOOKUP(M4749,INSUMOS!$C$8:$K$928,6,0),"-----")</f>
        <v>und</v>
      </c>
      <c r="S4749" s="396">
        <v>2</v>
      </c>
      <c r="T4749" s="387">
        <v>0</v>
      </c>
      <c r="U4749" s="388">
        <f>IFERROR(VLOOKUP(M4749,INSUMOS!$C$8:$K$928,7,0),"0")</f>
        <v>7229250</v>
      </c>
      <c r="V4749" s="389">
        <f>+IFERROR(U4749*(S4749*(1+T4749)),0)</f>
        <v>14458500</v>
      </c>
      <c r="Y4749" s="393">
        <f>+IFERROR(Y4736*(S4749*(1+T4749)),0)</f>
        <v>2</v>
      </c>
      <c r="Z4749" s="391">
        <f>Y4736*V4749</f>
        <v>14458500</v>
      </c>
      <c r="AA4749" s="394"/>
      <c r="AB4749" s="395">
        <f>+Y4749*U4749</f>
        <v>14458500</v>
      </c>
      <c r="AC4749" s="93">
        <f>+AB4749-Z4749</f>
        <v>0</v>
      </c>
      <c r="AD4749" s="94"/>
      <c r="AE4749" s="406" t="str">
        <f>+IF(V4749=0,"CERO","NO")</f>
        <v>NO</v>
      </c>
    </row>
    <row r="4750" spans="3:31" s="260" customFormat="1" x14ac:dyDescent="0.25">
      <c r="C4750" s="84"/>
      <c r="D4750" s="85"/>
      <c r="E4750" s="86"/>
      <c r="F4750" s="86"/>
      <c r="G4750" s="86"/>
      <c r="H4750" s="86"/>
      <c r="I4750" s="86"/>
      <c r="J4750" s="87"/>
      <c r="K4750" s="88"/>
      <c r="M4750" s="102">
        <v>858</v>
      </c>
      <c r="N4750" s="533" t="str">
        <f>IFERROR(VLOOKUP(M4750,INSUMOS!$C$8:$K$928,2,0),"-----")</f>
        <v>TEE 3" HD EXTREMO BRIDADOS</v>
      </c>
      <c r="O4750" s="533"/>
      <c r="P4750" s="533"/>
      <c r="Q4750" s="533"/>
      <c r="R4750" s="78" t="str">
        <f>IFERROR(VLOOKUP(M4750,INSUMOS!$C$8:$K$928,6,0),"-----")</f>
        <v>und</v>
      </c>
      <c r="S4750" s="396">
        <v>1</v>
      </c>
      <c r="T4750" s="387">
        <v>0</v>
      </c>
      <c r="U4750" s="388">
        <f>IFERROR(VLOOKUP(M4750,INSUMOS!$C$8:$K$928,7,0),"0")</f>
        <v>498610</v>
      </c>
      <c r="V4750" s="389">
        <f>+IFERROR(U4750*(S4750*(1+T4750)),0)</f>
        <v>498610</v>
      </c>
      <c r="Y4750" s="393">
        <f>+IFERROR(Y4736*(S4750*(1+T4750)),0)</f>
        <v>1</v>
      </c>
      <c r="Z4750" s="391">
        <f>Y4736*V4750</f>
        <v>498610</v>
      </c>
      <c r="AA4750" s="394"/>
      <c r="AB4750" s="395">
        <f>+Y4750*U4750</f>
        <v>498610</v>
      </c>
      <c r="AC4750" s="93">
        <f>+AB4750-Z4750</f>
        <v>0</v>
      </c>
      <c r="AD4750" s="94"/>
      <c r="AE4750" s="406" t="str">
        <f>+IF(V4750=0,"CERO","NO")</f>
        <v>NO</v>
      </c>
    </row>
    <row r="4751" spans="3:31" s="260" customFormat="1" x14ac:dyDescent="0.25">
      <c r="C4751" s="84"/>
      <c r="D4751" s="85"/>
      <c r="E4751" s="86"/>
      <c r="F4751" s="86"/>
      <c r="G4751" s="86"/>
      <c r="H4751" s="86"/>
      <c r="I4751" s="86"/>
      <c r="J4751" s="87"/>
      <c r="K4751" s="88"/>
      <c r="M4751" s="102">
        <v>789</v>
      </c>
      <c r="N4751" s="533" t="str">
        <f>IFERROR(VLOOKUP(M4751,INSUMOS!$C$8:$K$928,2,0),"-----")</f>
        <v>VALVULA DE COMPUERTA ELASTICA BRIDADA 3"</v>
      </c>
      <c r="O4751" s="533"/>
      <c r="P4751" s="533"/>
      <c r="Q4751" s="533"/>
      <c r="R4751" s="78" t="str">
        <f>IFERROR(VLOOKUP(M4751,INSUMOS!$C$8:$K$928,6,0),"-----")</f>
        <v>und</v>
      </c>
      <c r="S4751" s="396">
        <v>2</v>
      </c>
      <c r="T4751" s="387">
        <v>0</v>
      </c>
      <c r="U4751" s="388">
        <f>IFERROR(VLOOKUP(M4751,INSUMOS!$C$8:$K$928,7,0),"0")</f>
        <v>1054340</v>
      </c>
      <c r="V4751" s="389">
        <f>+IFERROR(U4751*(S4751*(1+T4751)),0)</f>
        <v>2108680</v>
      </c>
      <c r="Y4751" s="393">
        <f>+IFERROR(Y4736*(S4751*(1+T4751)),0)</f>
        <v>2</v>
      </c>
      <c r="Z4751" s="391">
        <f>Y4736*V4751</f>
        <v>2108680</v>
      </c>
      <c r="AA4751" s="394"/>
      <c r="AB4751" s="395">
        <f>+Y4751*U4751</f>
        <v>2108680</v>
      </c>
      <c r="AC4751" s="93">
        <f>+AB4751-Z4751</f>
        <v>0</v>
      </c>
      <c r="AD4751" s="94"/>
      <c r="AE4751" s="406" t="str">
        <f>+IF(V4751=0,"CERO","NO")</f>
        <v>NO</v>
      </c>
    </row>
    <row r="4752" spans="3:31" s="260" customFormat="1" x14ac:dyDescent="0.25">
      <c r="C4752" s="84"/>
      <c r="D4752" s="85"/>
      <c r="E4752" s="86"/>
      <c r="F4752" s="86"/>
      <c r="G4752" s="86"/>
      <c r="H4752" s="86"/>
      <c r="I4752" s="86"/>
      <c r="J4752" s="87"/>
      <c r="K4752" s="88"/>
      <c r="M4752" s="102">
        <v>837</v>
      </c>
      <c r="N4752" s="533" t="str">
        <f>IFERROR(VLOOKUP(M4752,INSUMOS!$C$8:$K$928,2,0),"-----")</f>
        <v>UNION BRIDA POR ACOPLE UNIVERSAL 3"</v>
      </c>
      <c r="O4752" s="533"/>
      <c r="P4752" s="533"/>
      <c r="Q4752" s="533"/>
      <c r="R4752" s="78" t="str">
        <f>IFERROR(VLOOKUP(M4752,INSUMOS!$C$8:$K$928,6,0),"-----")</f>
        <v>und</v>
      </c>
      <c r="S4752" s="396">
        <v>4</v>
      </c>
      <c r="T4752" s="387">
        <v>0</v>
      </c>
      <c r="U4752" s="388">
        <f>IFERROR(VLOOKUP(M4752,INSUMOS!$C$8:$K$928,7,0),"0")</f>
        <v>172550</v>
      </c>
      <c r="V4752" s="389">
        <f>+IFERROR(U4752*(S4752*(1+T4752)),0)</f>
        <v>690200</v>
      </c>
      <c r="Y4752" s="393">
        <f>+IFERROR(Y4736*(S4752*(1+T4752)),0)</f>
        <v>4</v>
      </c>
      <c r="Z4752" s="391">
        <f>Y4736*V4752</f>
        <v>690200</v>
      </c>
      <c r="AA4752" s="394"/>
      <c r="AB4752" s="395">
        <f>+Y4752*U4752</f>
        <v>690200</v>
      </c>
      <c r="AC4752" s="93">
        <f>+AB4752-Z4752</f>
        <v>0</v>
      </c>
      <c r="AD4752" s="94"/>
      <c r="AE4752" s="406" t="str">
        <f>+IF(V4752=0,"CERO","NO")</f>
        <v>NO</v>
      </c>
    </row>
    <row r="4753" spans="3:31" s="260" customFormat="1" ht="15.75" thickBot="1" x14ac:dyDescent="0.3">
      <c r="C4753" s="84"/>
      <c r="D4753" s="85"/>
      <c r="E4753" s="86"/>
      <c r="F4753" s="86"/>
      <c r="G4753" s="86"/>
      <c r="H4753" s="86"/>
      <c r="I4753" s="86"/>
      <c r="J4753" s="87"/>
      <c r="K4753" s="88"/>
      <c r="M4753" s="102">
        <v>895</v>
      </c>
      <c r="N4753" s="533" t="str">
        <f>IFERROR(VLOOKUP(M4753,INSUMOS!$C$8:$K$928,2,0),"-----")</f>
        <v>VÁLVULA DE RETENCIÓN ESTREMO BRIDA HD 3"</v>
      </c>
      <c r="O4753" s="533"/>
      <c r="P4753" s="533"/>
      <c r="Q4753" s="533"/>
      <c r="R4753" s="78" t="str">
        <f>IFERROR(VLOOKUP(M4753,INSUMOS!$C$8:$K$928,6,0),"-----")</f>
        <v>und</v>
      </c>
      <c r="S4753" s="396">
        <v>2</v>
      </c>
      <c r="T4753" s="387">
        <v>0</v>
      </c>
      <c r="U4753" s="388">
        <f>IFERROR(VLOOKUP(M4753,INSUMOS!$C$8:$K$928,7,0),"0")</f>
        <v>1200234</v>
      </c>
      <c r="V4753" s="389">
        <f>+IFERROR(U4753*(S4753*(1+T4753)),0)</f>
        <v>2400468</v>
      </c>
      <c r="Y4753" s="393">
        <f>+IFERROR(Y4736*(S4753*(1+T4753)),0)</f>
        <v>2</v>
      </c>
      <c r="Z4753" s="391">
        <f>Y4736*V4753</f>
        <v>2400468</v>
      </c>
      <c r="AA4753" s="394"/>
      <c r="AB4753" s="395">
        <f>+Y4753*U4753</f>
        <v>2400468</v>
      </c>
      <c r="AC4753" s="93">
        <f>+AB4753-Z4753</f>
        <v>0</v>
      </c>
      <c r="AD4753" s="94"/>
      <c r="AE4753" s="406" t="str">
        <f>+IF(V4753=0,"CERO","NO")</f>
        <v>NO</v>
      </c>
    </row>
    <row r="4754" spans="3:31" s="260" customFormat="1" ht="15.75" thickBot="1" x14ac:dyDescent="0.3">
      <c r="C4754" s="84"/>
      <c r="D4754" s="375" t="s">
        <v>128</v>
      </c>
      <c r="E4754" s="376" t="s">
        <v>129</v>
      </c>
      <c r="F4754" s="376" t="s">
        <v>130</v>
      </c>
      <c r="G4754" s="376" t="s">
        <v>131</v>
      </c>
      <c r="H4754" s="376" t="s">
        <v>132</v>
      </c>
      <c r="I4754" s="376" t="s">
        <v>133</v>
      </c>
      <c r="J4754" s="377" t="s">
        <v>134</v>
      </c>
      <c r="K4754" s="88"/>
      <c r="M4754" s="534"/>
      <c r="N4754" s="536" t="s">
        <v>106</v>
      </c>
      <c r="O4754" s="536"/>
      <c r="P4754" s="536"/>
      <c r="Q4754" s="536"/>
      <c r="R4754" s="536"/>
      <c r="S4754" s="536"/>
      <c r="T4754" s="536"/>
      <c r="U4754" s="536"/>
      <c r="V4754" s="389">
        <f>+SUM(V4749:V4753)</f>
        <v>20156458</v>
      </c>
      <c r="Y4754" s="398" t="s">
        <v>135</v>
      </c>
      <c r="Z4754" s="397">
        <f>+SUM(Z4749:Z4753)</f>
        <v>20156458</v>
      </c>
      <c r="AA4754" s="86"/>
      <c r="AB4754" s="384"/>
      <c r="AC4754" s="385"/>
      <c r="AD4754" s="94"/>
      <c r="AE4754" s="399"/>
    </row>
    <row r="4755" spans="3:31" s="260" customFormat="1" ht="15.75" thickBot="1" x14ac:dyDescent="0.3">
      <c r="C4755" s="84"/>
      <c r="D4755" s="375"/>
      <c r="E4755" s="407">
        <f>+D4746</f>
        <v>4.2</v>
      </c>
      <c r="F4755" s="376"/>
      <c r="G4755" s="376"/>
      <c r="H4755" s="376"/>
      <c r="I4755" s="376"/>
      <c r="J4755" s="377"/>
      <c r="K4755" s="88"/>
      <c r="M4755" s="535"/>
      <c r="N4755" s="537" t="s">
        <v>107</v>
      </c>
      <c r="O4755" s="537"/>
      <c r="P4755" s="537"/>
      <c r="Q4755" s="537"/>
      <c r="R4755" s="537"/>
      <c r="S4755" s="537"/>
      <c r="T4755" s="537"/>
      <c r="U4755" s="537"/>
      <c r="V4755" s="408">
        <f>+ROUND(V4754,$AA$5)</f>
        <v>20156458</v>
      </c>
      <c r="Y4755" s="401" t="s">
        <v>136</v>
      </c>
      <c r="Z4755" s="402">
        <f>+ROUND(Z4754,$AA$5)</f>
        <v>20156458</v>
      </c>
      <c r="AA4755" s="86"/>
      <c r="AB4755" s="403">
        <f>+V4755*Y4736</f>
        <v>20156458</v>
      </c>
      <c r="AC4755" s="404">
        <f>+AB4755-Z4755</f>
        <v>0</v>
      </c>
      <c r="AD4755" s="94"/>
      <c r="AE4755" s="405"/>
    </row>
    <row r="4756" spans="3:31" s="260" customFormat="1" x14ac:dyDescent="0.25">
      <c r="C4756" s="84"/>
      <c r="D4756" s="380"/>
      <c r="E4756" s="381"/>
      <c r="F4756" s="381"/>
      <c r="G4756" s="381"/>
      <c r="H4756" s="381"/>
      <c r="I4756" s="381"/>
      <c r="J4756" s="382"/>
      <c r="K4756" s="88"/>
      <c r="M4756" s="568" t="s">
        <v>108</v>
      </c>
      <c r="N4756" s="569"/>
      <c r="O4756" s="569"/>
      <c r="P4756" s="569"/>
      <c r="Q4756" s="569"/>
      <c r="R4756" s="569"/>
      <c r="S4756" s="569"/>
      <c r="T4756" s="569"/>
      <c r="U4756" s="569"/>
      <c r="V4756" s="570"/>
      <c r="Y4756" s="378"/>
      <c r="Z4756" s="121"/>
      <c r="AA4756" s="86"/>
      <c r="AB4756" s="409"/>
      <c r="AC4756" s="121"/>
      <c r="AD4756" s="94"/>
      <c r="AE4756" s="126"/>
    </row>
    <row r="4757" spans="3:31" s="260" customFormat="1" ht="25.5" x14ac:dyDescent="0.25">
      <c r="C4757" s="84"/>
      <c r="D4757" s="85"/>
      <c r="E4757" s="86"/>
      <c r="F4757" s="86"/>
      <c r="G4757" s="86"/>
      <c r="H4757" s="86"/>
      <c r="I4757" s="86"/>
      <c r="J4757" s="87"/>
      <c r="K4757" s="88"/>
      <c r="M4757" s="99" t="s">
        <v>94</v>
      </c>
      <c r="N4757" s="561" t="s">
        <v>95</v>
      </c>
      <c r="O4757" s="561"/>
      <c r="P4757" s="561"/>
      <c r="Q4757" s="95" t="s">
        <v>109</v>
      </c>
      <c r="R4757" s="95" t="s">
        <v>110</v>
      </c>
      <c r="S4757" s="95" t="s">
        <v>111</v>
      </c>
      <c r="T4757" s="562" t="s">
        <v>112</v>
      </c>
      <c r="U4757" s="562"/>
      <c r="V4757" s="100" t="s">
        <v>98</v>
      </c>
      <c r="Y4757" s="383" t="s">
        <v>104</v>
      </c>
      <c r="Z4757" s="119" t="s">
        <v>9</v>
      </c>
      <c r="AA4757" s="86"/>
      <c r="AB4757" s="384"/>
      <c r="AC4757" s="385"/>
      <c r="AD4757" s="94"/>
      <c r="AE4757" s="410"/>
    </row>
    <row r="4758" spans="3:31" s="260" customFormat="1" x14ac:dyDescent="0.25">
      <c r="C4758" s="84"/>
      <c r="D4758" s="85"/>
      <c r="E4758" s="86"/>
      <c r="F4758" s="86"/>
      <c r="G4758" s="86"/>
      <c r="H4758" s="86"/>
      <c r="I4758" s="86"/>
      <c r="J4758" s="87"/>
      <c r="K4758" s="88"/>
      <c r="M4758" s="102">
        <v>129</v>
      </c>
      <c r="N4758" s="530" t="str">
        <f>IFERROR(VLOOKUP(M4758,INSUMOS!$C$8:$K$928,2,0),"-----")</f>
        <v>transporte materiales en general</v>
      </c>
      <c r="O4758" s="531"/>
      <c r="P4758" s="532"/>
      <c r="Q4758" s="78" t="str">
        <f>IFERROR(VLOOKUP(M4758,INSUMOS!$C$8:$K$928,5,0),"-----")</f>
        <v>Km</v>
      </c>
      <c r="R4758" s="80">
        <v>1</v>
      </c>
      <c r="S4758" s="80">
        <f>IFERROR(VLOOKUP(M4758,INSUMOS!$C$8:$K$928,6,0),"0")</f>
        <v>348</v>
      </c>
      <c r="T4758" s="529">
        <f>IFERROR(VLOOKUP(M4758,INSUMOS!$C$8:$K$928,7,0),"0")</f>
        <v>0.99776362060288992</v>
      </c>
      <c r="U4758" s="529"/>
      <c r="V4758" s="82">
        <f>+T4758*S4758*R4758</f>
        <v>347.2217399698057</v>
      </c>
      <c r="Y4758" s="393">
        <f>+IFERROR((R4758*S4758)*Y4736,0)</f>
        <v>348</v>
      </c>
      <c r="Z4758" s="391">
        <f>Y4736*V4758</f>
        <v>347.2217399698057</v>
      </c>
      <c r="AA4758" s="86"/>
      <c r="AB4758" s="92">
        <f>+Y4758*T4758</f>
        <v>347.2217399698057</v>
      </c>
      <c r="AC4758" s="93">
        <f>+AB4758-Z4758</f>
        <v>0</v>
      </c>
      <c r="AD4758" s="94"/>
      <c r="AE4758" s="406" t="str">
        <f>+IF(V4758=0,"CERO","NO")</f>
        <v>NO</v>
      </c>
    </row>
    <row r="4759" spans="3:31" s="260" customFormat="1" x14ac:dyDescent="0.25">
      <c r="C4759" s="84"/>
      <c r="D4759" s="85"/>
      <c r="E4759" s="86"/>
      <c r="F4759" s="86"/>
      <c r="G4759" s="86"/>
      <c r="H4759" s="86"/>
      <c r="I4759" s="86"/>
      <c r="J4759" s="87"/>
      <c r="K4759" s="88"/>
      <c r="M4759" s="102">
        <v>0</v>
      </c>
      <c r="N4759" s="530" t="str">
        <f>IFERROR(VLOOKUP(M4759,INSUMOS!$C$8:$K$928,2,0),"-----")</f>
        <v>-----</v>
      </c>
      <c r="O4759" s="531"/>
      <c r="P4759" s="532"/>
      <c r="Q4759" s="78" t="str">
        <f>IFERROR(VLOOKUP(M4759,INSUMOS!$C$8:$K$928,5,0),"-----")</f>
        <v>-----</v>
      </c>
      <c r="R4759" s="80"/>
      <c r="S4759" s="80" t="str">
        <f>IFERROR(VLOOKUP(M4759,INSUMOS!$C$8:$K$928,6,0),"0")</f>
        <v>0</v>
      </c>
      <c r="T4759" s="529" t="str">
        <f>IFERROR(VLOOKUP(M4759,INSUMOS!$C$8:$K$928,7,0),"0")</f>
        <v>0</v>
      </c>
      <c r="U4759" s="529"/>
      <c r="V4759" s="82">
        <f>+T4759*S4759*R4759</f>
        <v>0</v>
      </c>
      <c r="Y4759" s="393">
        <f>+IFERROR((R4759*S4759)*Y4736,0)</f>
        <v>0</v>
      </c>
      <c r="Z4759" s="391">
        <f>Y4736*V4759</f>
        <v>0</v>
      </c>
      <c r="AA4759" s="86"/>
      <c r="AB4759" s="92">
        <f>+Y4759*T4759</f>
        <v>0</v>
      </c>
      <c r="AC4759" s="93">
        <f>+AB4759-Z4759</f>
        <v>0</v>
      </c>
      <c r="AD4759" s="94"/>
      <c r="AE4759" s="406" t="str">
        <f>+IF(V4759=0,"CERO","NO")</f>
        <v>CERO</v>
      </c>
    </row>
    <row r="4760" spans="3:31" s="260" customFormat="1" x14ac:dyDescent="0.25">
      <c r="C4760" s="84"/>
      <c r="D4760" s="85"/>
      <c r="E4760" s="86"/>
      <c r="F4760" s="86"/>
      <c r="G4760" s="86"/>
      <c r="H4760" s="86"/>
      <c r="I4760" s="86"/>
      <c r="J4760" s="87"/>
      <c r="K4760" s="88"/>
      <c r="M4760" s="102">
        <v>0</v>
      </c>
      <c r="N4760" s="530" t="str">
        <f>IFERROR(VLOOKUP(M4760,INSUMOS!$C$8:$K$928,2,0),"-----")</f>
        <v>-----</v>
      </c>
      <c r="O4760" s="531"/>
      <c r="P4760" s="532"/>
      <c r="Q4760" s="78" t="str">
        <f>IFERROR(VLOOKUP(M4760,INSUMOS!$C$8:$K$928,5,0),"-----")</f>
        <v>-----</v>
      </c>
      <c r="R4760" s="80"/>
      <c r="S4760" s="80" t="str">
        <f>IFERROR(VLOOKUP(M4760,INSUMOS!$C$8:$K$928,6,0),"0")</f>
        <v>0</v>
      </c>
      <c r="T4760" s="529" t="str">
        <f>IFERROR(VLOOKUP(M4760,INSUMOS!$C$8:$K$928,7,0),"0")</f>
        <v>0</v>
      </c>
      <c r="U4760" s="529"/>
      <c r="V4760" s="82">
        <f>+T4760*S4760*R4760</f>
        <v>0</v>
      </c>
      <c r="Y4760" s="393">
        <f>+IFERROR((R4760*S4760)*Y4736,0)</f>
        <v>0</v>
      </c>
      <c r="Z4760" s="391">
        <f>Y4736*V4760</f>
        <v>0</v>
      </c>
      <c r="AA4760" s="86"/>
      <c r="AB4760" s="92">
        <f>+Y4760*T4760</f>
        <v>0</v>
      </c>
      <c r="AC4760" s="93">
        <f>+AB4760-Z4760</f>
        <v>0</v>
      </c>
      <c r="AD4760" s="94"/>
      <c r="AE4760" s="406" t="str">
        <f>+IF(V4760=0,"CERO","NO")</f>
        <v>CERO</v>
      </c>
    </row>
    <row r="4761" spans="3:31" s="260" customFormat="1" ht="15.75" thickBot="1" x14ac:dyDescent="0.3">
      <c r="C4761" s="84"/>
      <c r="D4761" s="89"/>
      <c r="E4761" s="90"/>
      <c r="F4761" s="90"/>
      <c r="G4761" s="90"/>
      <c r="H4761" s="90"/>
      <c r="I4761" s="90"/>
      <c r="J4761" s="91"/>
      <c r="K4761" s="88"/>
      <c r="M4761" s="102">
        <v>0</v>
      </c>
      <c r="N4761" s="533"/>
      <c r="O4761" s="533"/>
      <c r="P4761" s="533"/>
      <c r="Q4761" s="79"/>
      <c r="R4761" s="78"/>
      <c r="S4761" s="81"/>
      <c r="T4761" s="529"/>
      <c r="U4761" s="529"/>
      <c r="V4761" s="82"/>
      <c r="Y4761" s="393">
        <f>+IFERROR((R4761*S4761)*Y4736,0)</f>
        <v>0</v>
      </c>
      <c r="Z4761" s="391">
        <f>Y4736*V4761</f>
        <v>0</v>
      </c>
      <c r="AA4761" s="86"/>
      <c r="AB4761" s="92">
        <f>+Y4761*T4761</f>
        <v>0</v>
      </c>
      <c r="AC4761" s="93">
        <f>+AB4761-Z4761</f>
        <v>0</v>
      </c>
      <c r="AD4761" s="94"/>
      <c r="AE4761" s="406" t="str">
        <f>+IF(V4761=0,"CERO","NO")</f>
        <v>CERO</v>
      </c>
    </row>
    <row r="4762" spans="3:31" s="260" customFormat="1" ht="15.75" thickBot="1" x14ac:dyDescent="0.3">
      <c r="C4762" s="84"/>
      <c r="D4762" s="375" t="s">
        <v>128</v>
      </c>
      <c r="E4762" s="376" t="s">
        <v>129</v>
      </c>
      <c r="F4762" s="376" t="s">
        <v>130</v>
      </c>
      <c r="G4762" s="376" t="s">
        <v>131</v>
      </c>
      <c r="H4762" s="376" t="s">
        <v>132</v>
      </c>
      <c r="I4762" s="376" t="s">
        <v>133</v>
      </c>
      <c r="J4762" s="377" t="s">
        <v>134</v>
      </c>
      <c r="K4762" s="88"/>
      <c r="M4762" s="534"/>
      <c r="N4762" s="536" t="s">
        <v>113</v>
      </c>
      <c r="O4762" s="536"/>
      <c r="P4762" s="536"/>
      <c r="Q4762" s="536"/>
      <c r="R4762" s="536"/>
      <c r="S4762" s="536"/>
      <c r="T4762" s="536"/>
      <c r="U4762" s="536"/>
      <c r="V4762" s="411">
        <f>+SUM(V4758:V4761)</f>
        <v>347.2217399698057</v>
      </c>
      <c r="Y4762" s="398" t="s">
        <v>135</v>
      </c>
      <c r="Z4762" s="397">
        <f>+SUM(Z4758:Z4761)</f>
        <v>347.2217399698057</v>
      </c>
      <c r="AA4762" s="86"/>
      <c r="AB4762" s="384"/>
      <c r="AC4762" s="385"/>
      <c r="AD4762" s="94"/>
      <c r="AE4762" s="399"/>
    </row>
    <row r="4763" spans="3:31" s="260" customFormat="1" ht="15.75" thickBot="1" x14ac:dyDescent="0.3">
      <c r="C4763" s="84"/>
      <c r="D4763" s="355"/>
      <c r="E4763" s="367"/>
      <c r="F4763" s="412">
        <f>+E4755</f>
        <v>4.2</v>
      </c>
      <c r="G4763" s="367"/>
      <c r="H4763" s="367"/>
      <c r="I4763" s="367"/>
      <c r="J4763" s="368"/>
      <c r="K4763" s="88"/>
      <c r="M4763" s="535"/>
      <c r="N4763" s="537" t="s">
        <v>114</v>
      </c>
      <c r="O4763" s="537"/>
      <c r="P4763" s="537"/>
      <c r="Q4763" s="537"/>
      <c r="R4763" s="537"/>
      <c r="S4763" s="537"/>
      <c r="T4763" s="537"/>
      <c r="U4763" s="537"/>
      <c r="V4763" s="413">
        <f>+ROUND(V4762,$AA$5)</f>
        <v>347.22</v>
      </c>
      <c r="Y4763" s="401" t="s">
        <v>136</v>
      </c>
      <c r="Z4763" s="402">
        <f>+ROUND(Z4762,$AA$5)</f>
        <v>347.22</v>
      </c>
      <c r="AA4763" s="86"/>
      <c r="AB4763" s="403">
        <f>+V4763*Y4736</f>
        <v>347.22</v>
      </c>
      <c r="AC4763" s="414"/>
      <c r="AD4763" s="94"/>
      <c r="AE4763" s="405"/>
    </row>
    <row r="4764" spans="3:31" s="260" customFormat="1" ht="15.75" thickBot="1" x14ac:dyDescent="0.3">
      <c r="C4764" s="84"/>
      <c r="D4764" s="415"/>
      <c r="E4764" s="416"/>
      <c r="F4764" s="416"/>
      <c r="G4764" s="416"/>
      <c r="H4764" s="416"/>
      <c r="I4764" s="416"/>
      <c r="J4764" s="417"/>
      <c r="K4764" s="88"/>
      <c r="M4764" s="538" t="s">
        <v>115</v>
      </c>
      <c r="N4764" s="539"/>
      <c r="O4764" s="539"/>
      <c r="P4764" s="539"/>
      <c r="Q4764" s="539"/>
      <c r="R4764" s="539"/>
      <c r="S4764" s="539"/>
      <c r="T4764" s="539"/>
      <c r="U4764" s="539"/>
      <c r="V4764" s="540"/>
      <c r="Y4764" s="378"/>
      <c r="Z4764" s="121"/>
      <c r="AA4764" s="86"/>
      <c r="AB4764" s="409"/>
      <c r="AC4764" s="121"/>
      <c r="AD4764" s="94"/>
      <c r="AE4764" s="126"/>
    </row>
    <row r="4765" spans="3:31" s="260" customFormat="1" ht="15.75" thickBot="1" x14ac:dyDescent="0.3">
      <c r="C4765" s="84"/>
      <c r="D4765" s="375" t="s">
        <v>128</v>
      </c>
      <c r="E4765" s="376" t="s">
        <v>129</v>
      </c>
      <c r="F4765" s="376" t="s">
        <v>130</v>
      </c>
      <c r="G4765" s="376" t="s">
        <v>131</v>
      </c>
      <c r="H4765" s="376" t="s">
        <v>132</v>
      </c>
      <c r="I4765" s="376" t="s">
        <v>133</v>
      </c>
      <c r="J4765" s="377" t="s">
        <v>134</v>
      </c>
      <c r="K4765" s="88"/>
      <c r="M4765" s="99" t="s">
        <v>94</v>
      </c>
      <c r="N4765" s="98" t="s">
        <v>95</v>
      </c>
      <c r="O4765" s="95" t="s">
        <v>96</v>
      </c>
      <c r="P4765" s="359" t="s">
        <v>104</v>
      </c>
      <c r="Q4765" s="95" t="s">
        <v>116</v>
      </c>
      <c r="R4765" s="418" t="s">
        <v>117</v>
      </c>
      <c r="S4765" s="95" t="s">
        <v>347</v>
      </c>
      <c r="T4765" s="419" t="s">
        <v>118</v>
      </c>
      <c r="U4765" s="189" t="s">
        <v>119</v>
      </c>
      <c r="V4765" s="100" t="s">
        <v>98</v>
      </c>
      <c r="Y4765" s="383" t="s">
        <v>104</v>
      </c>
      <c r="Z4765" s="119" t="s">
        <v>9</v>
      </c>
      <c r="AA4765" s="86"/>
      <c r="AB4765" s="384"/>
      <c r="AC4765" s="385"/>
      <c r="AD4765" s="94"/>
      <c r="AE4765" s="410"/>
    </row>
    <row r="4766" spans="3:31" s="260" customFormat="1" ht="25.5" x14ac:dyDescent="0.25">
      <c r="C4766" s="84"/>
      <c r="D4766" s="354"/>
      <c r="E4766" s="96"/>
      <c r="F4766" s="96"/>
      <c r="G4766" s="96"/>
      <c r="H4766" s="96"/>
      <c r="I4766" s="96"/>
      <c r="J4766" s="420">
        <f>+F4763</f>
        <v>4.2</v>
      </c>
      <c r="K4766" s="88"/>
      <c r="M4766" s="102">
        <v>207</v>
      </c>
      <c r="N4766" s="347" t="str">
        <f>IFERROR(VLOOKUP(M4766,INSUMOS!$C$8:$K$928,2,0),"-----")</f>
        <v>Oficial Hidrosanitario</v>
      </c>
      <c r="O4766" s="78" t="str">
        <f>IFERROR(VLOOKUP(M4766,INSUMOS!$C$8:$K$928,3,0),"-----")</f>
        <v>JORNAL+PS</v>
      </c>
      <c r="P4766" s="80">
        <v>1</v>
      </c>
      <c r="Q4766" s="79">
        <v>0.5</v>
      </c>
      <c r="R4766" s="190">
        <f>IFERROR(VLOOKUP(M4766,INSUMOS!$C$8:$K$928,4,0),"-----")</f>
        <v>92983</v>
      </c>
      <c r="S4766" s="190">
        <f>IFERROR(VLOOKUP(M4766,INSUMOS!$C$8:$K$928,6,0),"-----")</f>
        <v>74386</v>
      </c>
      <c r="T4766" s="190">
        <f>IFERROR(VLOOKUP(M4766,INSUMOS!$C$8:$K$928,5,0),"-----")</f>
        <v>0</v>
      </c>
      <c r="U4766" s="388">
        <f>SUM(R4766:T4766)</f>
        <v>167369</v>
      </c>
      <c r="V4766" s="82">
        <f>+IFERROR((P4766/Q4766)*U4766,0)</f>
        <v>334738</v>
      </c>
      <c r="Y4766" s="393">
        <f>+IFERROR((Y4736/Q4766*P4766),0)</f>
        <v>2</v>
      </c>
      <c r="Z4766" s="391">
        <f>Y4736*V4766</f>
        <v>334738</v>
      </c>
      <c r="AA4766" s="86"/>
      <c r="AB4766" s="92">
        <f>+(U4766)*Y4766</f>
        <v>334738</v>
      </c>
      <c r="AC4766" s="93">
        <f>+AB4766-Z4766</f>
        <v>0</v>
      </c>
      <c r="AD4766" s="421"/>
      <c r="AE4766" s="410" t="str">
        <f>+IF(V4766=0,"CERO","NO")</f>
        <v>NO</v>
      </c>
    </row>
    <row r="4767" spans="3:31" s="260" customFormat="1" ht="26.25" thickBot="1" x14ac:dyDescent="0.3">
      <c r="C4767" s="84"/>
      <c r="D4767" s="355"/>
      <c r="E4767" s="367"/>
      <c r="F4767" s="367"/>
      <c r="G4767" s="367"/>
      <c r="H4767" s="367"/>
      <c r="I4767" s="367"/>
      <c r="J4767" s="422">
        <f>+J4766</f>
        <v>4.2</v>
      </c>
      <c r="K4767" s="88"/>
      <c r="M4767" s="102">
        <v>208</v>
      </c>
      <c r="N4767" s="347" t="str">
        <f>IFERROR(VLOOKUP(M4767,INSUMOS!$C$8:$K$928,2,0),"-----")</f>
        <v>Ayudante Hidrosanitario</v>
      </c>
      <c r="O4767" s="78" t="str">
        <f>IFERROR(VLOOKUP(M4767,INSUMOS!$C$8:$K$928,3,0),"-----")</f>
        <v>JORNAL+PS</v>
      </c>
      <c r="P4767" s="80">
        <v>1</v>
      </c>
      <c r="Q4767" s="79">
        <v>0.5</v>
      </c>
      <c r="R4767" s="190">
        <f>IFERROR(VLOOKUP(M4767,INSUMOS!$C$8:$K$928,4,0),"-----")</f>
        <v>69172</v>
      </c>
      <c r="S4767" s="190">
        <f>IFERROR(VLOOKUP(M4767,INSUMOS!$C$8:$K$928,6,0),"-----")</f>
        <v>55337</v>
      </c>
      <c r="T4767" s="190">
        <f>IFERROR(VLOOKUP(M4767,INSUMOS!$C$8:$K$928,5,0),"-----")</f>
        <v>0</v>
      </c>
      <c r="U4767" s="388">
        <f>SUM(R4767:T4767)</f>
        <v>124509</v>
      </c>
      <c r="V4767" s="82">
        <f>+IFERROR((P4767/Q4767)*U4767,0)</f>
        <v>249018</v>
      </c>
      <c r="Y4767" s="393">
        <f>+IFERROR((Y4736/Q4767*P4767),0)</f>
        <v>2</v>
      </c>
      <c r="Z4767" s="391">
        <f>Y4736*V4767</f>
        <v>249018</v>
      </c>
      <c r="AA4767" s="86"/>
      <c r="AB4767" s="92">
        <f>+U4767*Y4767</f>
        <v>249018</v>
      </c>
      <c r="AC4767" s="93">
        <f>+AB4767-Z4767</f>
        <v>0</v>
      </c>
      <c r="AD4767" s="94"/>
      <c r="AE4767" s="410" t="str">
        <f>+IF(V4767=0,"CERO","NO")</f>
        <v>NO</v>
      </c>
    </row>
    <row r="4768" spans="3:31" s="260" customFormat="1" ht="15.75" thickBot="1" x14ac:dyDescent="0.3">
      <c r="C4768" s="84"/>
      <c r="D4768" s="380"/>
      <c r="E4768" s="381"/>
      <c r="F4768" s="381"/>
      <c r="G4768" s="381"/>
      <c r="H4768" s="381"/>
      <c r="I4768" s="381"/>
      <c r="J4768" s="382"/>
      <c r="K4768" s="88"/>
      <c r="M4768" s="102">
        <v>0</v>
      </c>
      <c r="N4768" s="347"/>
      <c r="O4768" s="79"/>
      <c r="P4768" s="423"/>
      <c r="Q4768" s="81"/>
      <c r="R4768" s="111"/>
      <c r="S4768" s="357"/>
      <c r="T4768" s="111"/>
      <c r="U4768" s="388"/>
      <c r="V4768" s="426"/>
      <c r="Y4768" s="393">
        <f>+IFERROR((Y4736/Q4768*P4768),0)</f>
        <v>0</v>
      </c>
      <c r="Z4768" s="391">
        <f>Y4736*V4768</f>
        <v>0</v>
      </c>
      <c r="AA4768" s="86"/>
      <c r="AB4768" s="92">
        <f>+(U4768)*Y4768*P4768</f>
        <v>0</v>
      </c>
      <c r="AC4768" s="93">
        <f>+AB4768-Z4768</f>
        <v>0</v>
      </c>
      <c r="AD4768" s="94"/>
      <c r="AE4768" s="410" t="str">
        <f>+IF(V4768=0,"CERO","NO")</f>
        <v>CERO</v>
      </c>
    </row>
    <row r="4769" spans="3:31" s="260" customFormat="1" ht="15.75" thickBot="1" x14ac:dyDescent="0.3">
      <c r="C4769" s="84"/>
      <c r="D4769" s="375" t="s">
        <v>128</v>
      </c>
      <c r="E4769" s="376" t="s">
        <v>129</v>
      </c>
      <c r="F4769" s="376" t="s">
        <v>130</v>
      </c>
      <c r="G4769" s="376" t="s">
        <v>131</v>
      </c>
      <c r="H4769" s="376" t="s">
        <v>132</v>
      </c>
      <c r="I4769" s="376" t="s">
        <v>133</v>
      </c>
      <c r="J4769" s="377" t="s">
        <v>134</v>
      </c>
      <c r="K4769" s="88"/>
      <c r="M4769" s="534"/>
      <c r="N4769" s="536" t="s">
        <v>120</v>
      </c>
      <c r="O4769" s="536"/>
      <c r="P4769" s="536"/>
      <c r="Q4769" s="536"/>
      <c r="R4769" s="536"/>
      <c r="S4769" s="536"/>
      <c r="T4769" s="536"/>
      <c r="U4769" s="536"/>
      <c r="V4769" s="82">
        <f>+SUM(V4766:V4768)</f>
        <v>583756</v>
      </c>
      <c r="Y4769" s="398" t="s">
        <v>135</v>
      </c>
      <c r="Z4769" s="397">
        <f>+SUM(Z4766:Z4768)</f>
        <v>583756</v>
      </c>
      <c r="AA4769" s="86"/>
      <c r="AB4769" s="384"/>
      <c r="AC4769" s="385"/>
      <c r="AD4769" s="94"/>
      <c r="AE4769" s="399"/>
    </row>
    <row r="4770" spans="3:31" s="260" customFormat="1" ht="15.75" thickBot="1" x14ac:dyDescent="0.3">
      <c r="C4770" s="84"/>
      <c r="D4770" s="354"/>
      <c r="E4770" s="96"/>
      <c r="F4770" s="96"/>
      <c r="G4770" s="107">
        <f>+F4763</f>
        <v>4.2</v>
      </c>
      <c r="H4770" s="96"/>
      <c r="I4770" s="96"/>
      <c r="J4770" s="427"/>
      <c r="K4770" s="88"/>
      <c r="M4770" s="535"/>
      <c r="N4770" s="537" t="s">
        <v>121</v>
      </c>
      <c r="O4770" s="537"/>
      <c r="P4770" s="537"/>
      <c r="Q4770" s="537"/>
      <c r="R4770" s="537"/>
      <c r="S4770" s="537"/>
      <c r="T4770" s="537"/>
      <c r="U4770" s="537"/>
      <c r="V4770" s="413">
        <f>+ROUND(V4769,$AA$5)</f>
        <v>583756</v>
      </c>
      <c r="Y4770" s="401" t="s">
        <v>136</v>
      </c>
      <c r="Z4770" s="402">
        <f>+ROUND(Z4769,$AA$5)</f>
        <v>583756</v>
      </c>
      <c r="AA4770" s="86"/>
      <c r="AB4770" s="403">
        <f>+V4770*Y4736</f>
        <v>583756</v>
      </c>
      <c r="AC4770" s="404">
        <f>+AB4770-Z4770</f>
        <v>0</v>
      </c>
      <c r="AD4770" s="94"/>
      <c r="AE4770" s="405"/>
    </row>
    <row r="4771" spans="3:31" s="260" customFormat="1" ht="15.75" thickBot="1" x14ac:dyDescent="0.3">
      <c r="C4771" s="84"/>
      <c r="D4771" s="375" t="s">
        <v>128</v>
      </c>
      <c r="E4771" s="376" t="s">
        <v>129</v>
      </c>
      <c r="F4771" s="376" t="s">
        <v>130</v>
      </c>
      <c r="G4771" s="376" t="s">
        <v>131</v>
      </c>
      <c r="H4771" s="376" t="s">
        <v>132</v>
      </c>
      <c r="I4771" s="376" t="s">
        <v>133</v>
      </c>
      <c r="J4771" s="377" t="s">
        <v>134</v>
      </c>
      <c r="K4771" s="88"/>
      <c r="M4771" s="541"/>
      <c r="N4771" s="542"/>
      <c r="O4771" s="542"/>
      <c r="P4771" s="542"/>
      <c r="Q4771" s="542"/>
      <c r="R4771" s="542"/>
      <c r="S4771" s="542"/>
      <c r="T4771" s="542"/>
      <c r="U4771" s="542"/>
      <c r="V4771" s="543"/>
      <c r="Y4771" s="378"/>
      <c r="Z4771" s="121"/>
      <c r="AA4771" s="86"/>
      <c r="AB4771" s="409"/>
      <c r="AC4771" s="121"/>
      <c r="AD4771" s="94"/>
      <c r="AE4771" s="428"/>
    </row>
    <row r="4772" spans="3:31" s="260" customFormat="1" ht="15.75" thickBot="1" x14ac:dyDescent="0.3">
      <c r="C4772" s="84"/>
      <c r="D4772" s="355"/>
      <c r="E4772" s="367"/>
      <c r="F4772" s="367"/>
      <c r="G4772" s="367"/>
      <c r="H4772" s="412">
        <f>G4770</f>
        <v>4.2</v>
      </c>
      <c r="I4772" s="412"/>
      <c r="J4772" s="422"/>
      <c r="K4772" s="88"/>
      <c r="M4772" s="544" t="s">
        <v>122</v>
      </c>
      <c r="N4772" s="537"/>
      <c r="O4772" s="537"/>
      <c r="P4772" s="537"/>
      <c r="Q4772" s="537"/>
      <c r="R4772" s="537"/>
      <c r="S4772" s="537"/>
      <c r="T4772" s="537"/>
      <c r="U4772" s="545">
        <f>+V4770+V4763+V4755+V4746</f>
        <v>20769749.02</v>
      </c>
      <c r="V4772" s="546"/>
      <c r="Y4772" s="429"/>
      <c r="Z4772" s="430">
        <f>+Z4770+Z4763+Z4755+Z4746</f>
        <v>20769749.02</v>
      </c>
      <c r="AA4772" s="86"/>
      <c r="AB4772" s="431">
        <f>+AB4770+AB4763+AB4755+AB4746</f>
        <v>20769749.02</v>
      </c>
      <c r="AC4772" s="404">
        <f>+AB4772-Z4772</f>
        <v>0</v>
      </c>
      <c r="AD4772" s="94"/>
      <c r="AE4772" s="432"/>
    </row>
    <row r="4773" spans="3:31" s="260" customFormat="1" ht="15.75" thickBot="1" x14ac:dyDescent="0.3"/>
    <row r="4774" spans="3:31" s="260" customFormat="1" x14ac:dyDescent="0.25">
      <c r="M4774" s="547" t="s">
        <v>348</v>
      </c>
      <c r="N4774" s="548"/>
      <c r="O4774" s="548"/>
      <c r="P4774" s="548"/>
      <c r="Q4774" s="548"/>
      <c r="R4774" s="548"/>
      <c r="S4774" s="548"/>
      <c r="T4774" s="548"/>
      <c r="U4774" s="548"/>
      <c r="V4774" s="549"/>
      <c r="Y4774" s="378"/>
      <c r="Z4774" s="121"/>
      <c r="AA4774" s="86"/>
      <c r="AB4774" s="94"/>
      <c r="AC4774" s="94"/>
      <c r="AD4774" s="94"/>
      <c r="AE4774" s="126" t="s">
        <v>133</v>
      </c>
    </row>
    <row r="4775" spans="3:31" s="260" customFormat="1" x14ac:dyDescent="0.25">
      <c r="M4775" s="515" t="s">
        <v>138</v>
      </c>
      <c r="N4775" s="516"/>
      <c r="O4775" s="516"/>
      <c r="P4775" s="516"/>
      <c r="Q4775" s="516"/>
      <c r="R4775" s="516"/>
      <c r="S4775" s="516"/>
      <c r="T4775" s="437">
        <v>0</v>
      </c>
      <c r="U4775" s="517">
        <f>+ROUND(U4772*T4775,$AA$5)</f>
        <v>0</v>
      </c>
      <c r="V4775" s="518"/>
      <c r="Y4775" s="390"/>
      <c r="Z4775" s="438">
        <f>+Z4772*T4775</f>
        <v>0</v>
      </c>
      <c r="AA4775" s="86"/>
      <c r="AB4775" s="94"/>
      <c r="AC4775" s="94"/>
      <c r="AD4775" s="94"/>
      <c r="AE4775" s="386" t="s">
        <v>133</v>
      </c>
    </row>
    <row r="4776" spans="3:31" s="260" customFormat="1" x14ac:dyDescent="0.25">
      <c r="M4776" s="515" t="s">
        <v>19</v>
      </c>
      <c r="N4776" s="516"/>
      <c r="O4776" s="516"/>
      <c r="P4776" s="516"/>
      <c r="Q4776" s="516"/>
      <c r="R4776" s="516"/>
      <c r="S4776" s="516"/>
      <c r="T4776" s="437">
        <v>0.05</v>
      </c>
      <c r="U4776" s="517">
        <f>+ROUND(U4772*T4776,$AA$5)</f>
        <v>1038487.45</v>
      </c>
      <c r="V4776" s="518"/>
      <c r="Y4776" s="390"/>
      <c r="Z4776" s="438">
        <f>+Z4772*T4776</f>
        <v>1038487.451</v>
      </c>
      <c r="AA4776" s="86"/>
      <c r="AB4776" s="94"/>
      <c r="AC4776" s="94"/>
      <c r="AD4776" s="94"/>
      <c r="AE4776" s="386" t="s">
        <v>133</v>
      </c>
    </row>
    <row r="4777" spans="3:31" s="260" customFormat="1" x14ac:dyDescent="0.25">
      <c r="M4777" s="515" t="s">
        <v>20</v>
      </c>
      <c r="N4777" s="516"/>
      <c r="O4777" s="516"/>
      <c r="P4777" s="516"/>
      <c r="Q4777" s="516"/>
      <c r="R4777" s="516"/>
      <c r="S4777" s="516"/>
      <c r="T4777" s="437">
        <v>0</v>
      </c>
      <c r="U4777" s="517">
        <f>+ROUND(U4772*T4777,$AA$5)</f>
        <v>0</v>
      </c>
      <c r="V4777" s="518"/>
      <c r="Y4777" s="390"/>
      <c r="Z4777" s="438">
        <f>+Z4772*T4777</f>
        <v>0</v>
      </c>
      <c r="AA4777" s="86"/>
      <c r="AB4777" s="94"/>
      <c r="AC4777" s="94"/>
      <c r="AD4777" s="94"/>
      <c r="AE4777" s="386" t="s">
        <v>133</v>
      </c>
    </row>
    <row r="4778" spans="3:31" s="260" customFormat="1" x14ac:dyDescent="0.25">
      <c r="M4778" s="515" t="s">
        <v>21</v>
      </c>
      <c r="N4778" s="516"/>
      <c r="O4778" s="516"/>
      <c r="P4778" s="516"/>
      <c r="Q4778" s="516"/>
      <c r="R4778" s="516"/>
      <c r="S4778" s="516"/>
      <c r="T4778" s="437">
        <f>$AA$9</f>
        <v>0</v>
      </c>
      <c r="U4778" s="517">
        <f>+ROUND(U4772*T4778,$AA$5)</f>
        <v>0</v>
      </c>
      <c r="V4778" s="518"/>
      <c r="Y4778" s="390"/>
      <c r="Z4778" s="438">
        <f>+Z4777*T4778</f>
        <v>0</v>
      </c>
      <c r="AA4778" s="86"/>
      <c r="AB4778" s="94"/>
      <c r="AC4778" s="94"/>
      <c r="AD4778" s="94"/>
      <c r="AE4778" s="386" t="s">
        <v>133</v>
      </c>
    </row>
    <row r="4779" spans="3:31" s="260" customFormat="1" ht="15.75" thickBot="1" x14ac:dyDescent="0.3">
      <c r="M4779" s="519" t="s">
        <v>349</v>
      </c>
      <c r="N4779" s="520"/>
      <c r="O4779" s="520"/>
      <c r="P4779" s="520"/>
      <c r="Q4779" s="520"/>
      <c r="R4779" s="520"/>
      <c r="S4779" s="520"/>
      <c r="T4779" s="520"/>
      <c r="U4779" s="521">
        <f>+SUM(U4775:V4778)</f>
        <v>1038487.45</v>
      </c>
      <c r="V4779" s="522"/>
      <c r="Y4779" s="390"/>
      <c r="Z4779" s="439">
        <f>+SUM(Z4775:Z4778)</f>
        <v>1038487.451</v>
      </c>
      <c r="AA4779" s="86"/>
      <c r="AB4779" s="94"/>
      <c r="AC4779" s="94"/>
      <c r="AD4779" s="94"/>
      <c r="AE4779" s="386" t="s">
        <v>133</v>
      </c>
    </row>
    <row r="4780" spans="3:31" s="260" customFormat="1" ht="15.75" thickBot="1" x14ac:dyDescent="0.3">
      <c r="D4780" s="375" t="s">
        <v>128</v>
      </c>
      <c r="E4780" s="376" t="s">
        <v>129</v>
      </c>
      <c r="F4780" s="376" t="s">
        <v>130</v>
      </c>
      <c r="G4780" s="376" t="s">
        <v>131</v>
      </c>
      <c r="H4780" s="376" t="s">
        <v>132</v>
      </c>
      <c r="I4780" s="376" t="s">
        <v>133</v>
      </c>
      <c r="J4780" s="377" t="s">
        <v>134</v>
      </c>
      <c r="M4780" s="86"/>
      <c r="N4780" s="94"/>
      <c r="O4780" s="94"/>
      <c r="P4780" s="94"/>
      <c r="Q4780" s="86"/>
      <c r="R4780" s="86"/>
      <c r="S4780" s="86"/>
      <c r="T4780" s="440"/>
      <c r="U4780" s="523"/>
      <c r="V4780" s="523"/>
      <c r="Y4780" s="390"/>
      <c r="Z4780" s="385"/>
      <c r="AA4780" s="86"/>
      <c r="AB4780" s="94"/>
      <c r="AC4780" s="94"/>
      <c r="AD4780" s="94"/>
      <c r="AE4780" s="386" t="s">
        <v>133</v>
      </c>
    </row>
    <row r="4781" spans="3:31" s="260" customFormat="1" ht="15.75" thickBot="1" x14ac:dyDescent="0.3">
      <c r="D4781" s="355"/>
      <c r="E4781" s="367"/>
      <c r="F4781" s="367"/>
      <c r="G4781" s="367"/>
      <c r="H4781" s="412"/>
      <c r="I4781" s="412">
        <f>H4772</f>
        <v>4.2</v>
      </c>
      <c r="J4781" s="422"/>
      <c r="M4781" s="524" t="s">
        <v>11</v>
      </c>
      <c r="N4781" s="525"/>
      <c r="O4781" s="525"/>
      <c r="P4781" s="525"/>
      <c r="Q4781" s="525"/>
      <c r="R4781" s="525"/>
      <c r="S4781" s="525"/>
      <c r="T4781" s="526"/>
      <c r="U4781" s="527">
        <f>+U4779+U4772</f>
        <v>21808236.469999999</v>
      </c>
      <c r="V4781" s="528"/>
      <c r="Y4781" s="429"/>
      <c r="Z4781" s="441">
        <f>+Z4779+Z4772</f>
        <v>21808236.471000001</v>
      </c>
      <c r="AA4781" s="86"/>
      <c r="AB4781" s="94"/>
      <c r="AC4781" s="94"/>
      <c r="AD4781" s="94"/>
      <c r="AE4781" s="405" t="s">
        <v>133</v>
      </c>
    </row>
    <row r="4782" spans="3:31" s="260" customFormat="1" x14ac:dyDescent="0.25"/>
    <row r="4783" spans="3:31" s="260" customFormat="1" ht="15.75" thickBot="1" x14ac:dyDescent="0.3"/>
    <row r="4784" spans="3:31" s="260" customFormat="1" ht="15.75" thickBot="1" x14ac:dyDescent="0.3">
      <c r="M4784" s="363" t="s">
        <v>88</v>
      </c>
      <c r="N4784" s="436" t="str">
        <f>+N4735</f>
        <v>CAP.4</v>
      </c>
      <c r="O4784" s="550" t="str">
        <f>IFERROR(VLOOKUP(N4784,PPTO!C:H,2,0),"----")</f>
        <v>RED SANITARIA</v>
      </c>
      <c r="P4784" s="551"/>
      <c r="Q4784" s="551"/>
      <c r="R4784" s="551"/>
      <c r="S4784" s="551"/>
      <c r="T4784" s="551"/>
      <c r="U4784" s="552"/>
      <c r="V4784" s="74" t="s">
        <v>91</v>
      </c>
      <c r="Y4784" s="365" t="s">
        <v>104</v>
      </c>
      <c r="Z4784" s="94"/>
      <c r="AA4784" s="188"/>
      <c r="AB4784" s="553"/>
      <c r="AC4784" s="553"/>
      <c r="AD4784" s="553"/>
      <c r="AE4784" s="94"/>
    </row>
    <row r="4785" spans="3:31" s="260" customFormat="1" ht="15.75" thickBot="1" x14ac:dyDescent="0.3">
      <c r="C4785" s="369">
        <f>+N4785</f>
        <v>4.21</v>
      </c>
      <c r="D4785" s="86"/>
      <c r="E4785" s="86"/>
      <c r="F4785" s="86"/>
      <c r="G4785" s="86"/>
      <c r="H4785" s="86"/>
      <c r="I4785" s="86"/>
      <c r="J4785" s="86"/>
      <c r="K4785" s="370"/>
      <c r="M4785" s="75" t="s">
        <v>92</v>
      </c>
      <c r="N4785" s="371">
        <f>+ROUNDUP(N4736+0.01,2)</f>
        <v>4.21</v>
      </c>
      <c r="O4785" s="554" t="str">
        <f>IFERROR(VLOOKUP(N4785,PPTO!C:H,2,0),"----")</f>
        <v>Fijacion de tuberias horizontales</v>
      </c>
      <c r="P4785" s="555"/>
      <c r="Q4785" s="555"/>
      <c r="R4785" s="555"/>
      <c r="S4785" s="555"/>
      <c r="T4785" s="555"/>
      <c r="U4785" s="556"/>
      <c r="V4785" s="76" t="str">
        <f>IFERROR(VLOOKUP(N4785,PPTO!C:H,3,0),"----")</f>
        <v>UND</v>
      </c>
      <c r="Y4785" s="373">
        <f>SUMIFS(PPTO!F:F,PPTO!C:C,APUS!N4785)</f>
        <v>130</v>
      </c>
      <c r="Z4785" s="94"/>
      <c r="AA4785" s="86"/>
      <c r="AB4785" s="94"/>
      <c r="AC4785" s="94"/>
      <c r="AD4785" s="94"/>
      <c r="AE4785" s="94"/>
    </row>
    <row r="4786" spans="3:31" s="260" customFormat="1" ht="15.75" thickBot="1" x14ac:dyDescent="0.3">
      <c r="C4786" s="84"/>
      <c r="D4786" s="86"/>
      <c r="E4786" s="86"/>
      <c r="F4786" s="86"/>
      <c r="G4786" s="86"/>
      <c r="H4786" s="86"/>
      <c r="I4786" s="86"/>
      <c r="J4786" s="86"/>
      <c r="K4786" s="88"/>
      <c r="M4786" s="557"/>
      <c r="N4786" s="557"/>
      <c r="O4786" s="557"/>
      <c r="P4786" s="557"/>
      <c r="Q4786" s="557"/>
      <c r="R4786" s="557"/>
      <c r="S4786" s="557"/>
      <c r="T4786" s="557"/>
      <c r="U4786" s="557"/>
      <c r="V4786" s="557"/>
      <c r="Y4786" s="374"/>
      <c r="Z4786" s="94"/>
      <c r="AA4786" s="86"/>
      <c r="AB4786" s="94"/>
      <c r="AC4786" s="94"/>
      <c r="AD4786" s="94"/>
      <c r="AE4786" s="94"/>
    </row>
    <row r="4787" spans="3:31" s="260" customFormat="1" ht="15.75" thickBot="1" x14ac:dyDescent="0.3">
      <c r="C4787" s="84"/>
      <c r="D4787" s="375" t="s">
        <v>128</v>
      </c>
      <c r="E4787" s="376" t="s">
        <v>129</v>
      </c>
      <c r="F4787" s="376" t="s">
        <v>130</v>
      </c>
      <c r="G4787" s="376" t="s">
        <v>131</v>
      </c>
      <c r="H4787" s="376" t="s">
        <v>132</v>
      </c>
      <c r="I4787" s="376" t="s">
        <v>133</v>
      </c>
      <c r="J4787" s="377" t="s">
        <v>134</v>
      </c>
      <c r="K4787" s="88"/>
      <c r="M4787" s="558" t="s">
        <v>93</v>
      </c>
      <c r="N4787" s="559"/>
      <c r="O4787" s="559"/>
      <c r="P4787" s="559"/>
      <c r="Q4787" s="559"/>
      <c r="R4787" s="559"/>
      <c r="S4787" s="559"/>
      <c r="T4787" s="559"/>
      <c r="U4787" s="559"/>
      <c r="V4787" s="560"/>
      <c r="Y4787" s="378"/>
      <c r="Z4787" s="121"/>
      <c r="AA4787" s="86"/>
      <c r="AB4787" s="513"/>
      <c r="AC4787" s="514"/>
      <c r="AD4787" s="94"/>
      <c r="AE4787" s="379"/>
    </row>
    <row r="4788" spans="3:31" s="260" customFormat="1" x14ac:dyDescent="0.25">
      <c r="C4788" s="84"/>
      <c r="D4788" s="380"/>
      <c r="E4788" s="381"/>
      <c r="F4788" s="381"/>
      <c r="G4788" s="381"/>
      <c r="H4788" s="381"/>
      <c r="I4788" s="381"/>
      <c r="J4788" s="382"/>
      <c r="K4788" s="88"/>
      <c r="M4788" s="99" t="s">
        <v>94</v>
      </c>
      <c r="N4788" s="561" t="s">
        <v>95</v>
      </c>
      <c r="O4788" s="561"/>
      <c r="P4788" s="561"/>
      <c r="Q4788" s="561"/>
      <c r="R4788" s="95" t="s">
        <v>96</v>
      </c>
      <c r="S4788" s="95" t="s">
        <v>97</v>
      </c>
      <c r="T4788" s="562" t="s">
        <v>8</v>
      </c>
      <c r="U4788" s="562"/>
      <c r="V4788" s="100" t="s">
        <v>98</v>
      </c>
      <c r="Y4788" s="383" t="s">
        <v>104</v>
      </c>
      <c r="Z4788" s="119" t="s">
        <v>9</v>
      </c>
      <c r="AA4788" s="86"/>
      <c r="AB4788" s="384"/>
      <c r="AC4788" s="385"/>
      <c r="AD4788" s="94"/>
      <c r="AE4788" s="386"/>
    </row>
    <row r="4789" spans="3:31" s="260" customFormat="1" x14ac:dyDescent="0.25">
      <c r="C4789" s="84"/>
      <c r="D4789" s="85"/>
      <c r="E4789" s="86"/>
      <c r="F4789" s="86"/>
      <c r="G4789" s="86"/>
      <c r="H4789" s="86"/>
      <c r="I4789" s="86"/>
      <c r="J4789" s="87"/>
      <c r="K4789" s="88"/>
      <c r="M4789" s="102"/>
      <c r="N4789" s="533" t="s">
        <v>99</v>
      </c>
      <c r="O4789" s="533"/>
      <c r="P4789" s="533"/>
      <c r="Q4789" s="533"/>
      <c r="R4789" s="78" t="s">
        <v>100</v>
      </c>
      <c r="S4789" s="387">
        <f>+$AA$10</f>
        <v>0.05</v>
      </c>
      <c r="T4789" s="563">
        <f>V4819</f>
        <v>11110.16</v>
      </c>
      <c r="U4789" s="563"/>
      <c r="V4789" s="389">
        <f>+IFERROR(T4789*S4789,0)</f>
        <v>555.50800000000004</v>
      </c>
      <c r="Y4789" s="390"/>
      <c r="Z4789" s="391">
        <f>Y4785*V4789</f>
        <v>72216.040000000008</v>
      </c>
      <c r="AA4789" s="86"/>
      <c r="AB4789" s="384"/>
      <c r="AC4789" s="385"/>
      <c r="AD4789" s="94"/>
      <c r="AE4789" s="386" t="str">
        <f>+IF(V4789=0,"CERO","NO")</f>
        <v>NO</v>
      </c>
    </row>
    <row r="4790" spans="3:31" s="260" customFormat="1" x14ac:dyDescent="0.25">
      <c r="C4790" s="84"/>
      <c r="D4790" s="85"/>
      <c r="E4790" s="86"/>
      <c r="F4790" s="86"/>
      <c r="G4790" s="86"/>
      <c r="H4790" s="86"/>
      <c r="I4790" s="86"/>
      <c r="J4790" s="87"/>
      <c r="K4790" s="88"/>
      <c r="M4790" s="106"/>
      <c r="N4790" s="533" t="str">
        <f>IFERROR(VLOOKUP(M4790,INSUMOS!$C$8:$K$928,2,0),"-----")</f>
        <v>-----</v>
      </c>
      <c r="O4790" s="533"/>
      <c r="P4790" s="533"/>
      <c r="Q4790" s="533"/>
      <c r="R4790" s="78" t="str">
        <f>IFERROR(VLOOKUP(M4790,INSUMOS!$C$8:$K$928,6,0),"-----")</f>
        <v>-----</v>
      </c>
      <c r="S4790" s="392"/>
      <c r="T4790" s="529" t="str">
        <f>IFERROR(VLOOKUP(M4790,INSUMOS!$C$8:$K$928,7,0),"0")</f>
        <v>0</v>
      </c>
      <c r="U4790" s="529"/>
      <c r="V4790" s="389">
        <f>+IFERROR(T4790*S4790,0)</f>
        <v>0</v>
      </c>
      <c r="Y4790" s="393">
        <f>+IFERROR(Y4785*S4790,0)</f>
        <v>0</v>
      </c>
      <c r="Z4790" s="391">
        <f>Y4785*V4790</f>
        <v>0</v>
      </c>
      <c r="AA4790" s="394"/>
      <c r="AB4790" s="395">
        <f>+Y4790*T4790</f>
        <v>0</v>
      </c>
      <c r="AC4790" s="93">
        <f>+AB4790-Z4790</f>
        <v>0</v>
      </c>
      <c r="AD4790" s="94"/>
      <c r="AE4790" s="386" t="str">
        <f>+IF(V4790=0,"CERO","NO")</f>
        <v>CERO</v>
      </c>
    </row>
    <row r="4791" spans="3:31" s="260" customFormat="1" x14ac:dyDescent="0.25">
      <c r="C4791" s="84"/>
      <c r="D4791" s="85"/>
      <c r="E4791" s="86"/>
      <c r="F4791" s="86"/>
      <c r="G4791" s="86"/>
      <c r="H4791" s="86"/>
      <c r="I4791" s="86"/>
      <c r="J4791" s="87"/>
      <c r="K4791" s="88"/>
      <c r="M4791" s="102">
        <v>0</v>
      </c>
      <c r="N4791" s="533"/>
      <c r="O4791" s="533"/>
      <c r="P4791" s="533"/>
      <c r="Q4791" s="533"/>
      <c r="R4791" s="78"/>
      <c r="S4791" s="396"/>
      <c r="T4791" s="529"/>
      <c r="U4791" s="529"/>
      <c r="V4791" s="397"/>
      <c r="Y4791" s="393">
        <f>+IFERROR(Y4785*S4791,0)</f>
        <v>0</v>
      </c>
      <c r="Z4791" s="391">
        <f>Y4785*V4791</f>
        <v>0</v>
      </c>
      <c r="AA4791" s="394"/>
      <c r="AB4791" s="395">
        <f>+Y4791*T4791</f>
        <v>0</v>
      </c>
      <c r="AC4791" s="93">
        <f>+AB4791-Z4791</f>
        <v>0</v>
      </c>
      <c r="AD4791" s="94"/>
      <c r="AE4791" s="386" t="str">
        <f>+IF(V4791=0,"CERO","NO")</f>
        <v>CERO</v>
      </c>
    </row>
    <row r="4792" spans="3:31" s="260" customFormat="1" x14ac:dyDescent="0.25">
      <c r="C4792" s="84"/>
      <c r="D4792" s="85"/>
      <c r="E4792" s="86"/>
      <c r="F4792" s="86"/>
      <c r="G4792" s="86"/>
      <c r="H4792" s="86"/>
      <c r="I4792" s="86"/>
      <c r="J4792" s="87"/>
      <c r="K4792" s="88"/>
      <c r="M4792" s="102">
        <v>0</v>
      </c>
      <c r="N4792" s="533"/>
      <c r="O4792" s="533"/>
      <c r="P4792" s="533"/>
      <c r="Q4792" s="533"/>
      <c r="R4792" s="78"/>
      <c r="S4792" s="396"/>
      <c r="T4792" s="529"/>
      <c r="U4792" s="529"/>
      <c r="V4792" s="397"/>
      <c r="Y4792" s="393">
        <f>+IFERROR(Y4785*S4792,0)</f>
        <v>0</v>
      </c>
      <c r="Z4792" s="391">
        <f>Y4785*V4792</f>
        <v>0</v>
      </c>
      <c r="AA4792" s="394"/>
      <c r="AB4792" s="395">
        <f>+Y4792*T4792</f>
        <v>0</v>
      </c>
      <c r="AC4792" s="93">
        <f>+AB4792-Z4792</f>
        <v>0</v>
      </c>
      <c r="AD4792" s="94"/>
      <c r="AE4792" s="386" t="str">
        <f>+IF(V4792=0,"CERO","NO")</f>
        <v>CERO</v>
      </c>
    </row>
    <row r="4793" spans="3:31" s="260" customFormat="1" ht="15.75" thickBot="1" x14ac:dyDescent="0.3">
      <c r="C4793" s="84"/>
      <c r="D4793" s="85"/>
      <c r="E4793" s="86"/>
      <c r="F4793" s="86"/>
      <c r="G4793" s="86"/>
      <c r="H4793" s="86"/>
      <c r="I4793" s="86"/>
      <c r="J4793" s="87"/>
      <c r="K4793" s="88"/>
      <c r="M4793" s="102">
        <v>0</v>
      </c>
      <c r="N4793" s="564"/>
      <c r="O4793" s="564"/>
      <c r="P4793" s="564"/>
      <c r="Q4793" s="564"/>
      <c r="R4793" s="96"/>
      <c r="S4793" s="96"/>
      <c r="T4793" s="565"/>
      <c r="U4793" s="565"/>
      <c r="V4793" s="101"/>
      <c r="Y4793" s="393">
        <f>+IFERROR(Y4785*S4793,0)</f>
        <v>0</v>
      </c>
      <c r="Z4793" s="391">
        <f>Y4785*V4793</f>
        <v>0</v>
      </c>
      <c r="AA4793" s="394"/>
      <c r="AB4793" s="395">
        <f>+Y4793*T4793</f>
        <v>0</v>
      </c>
      <c r="AC4793" s="93">
        <f>+AB4793-Z4793</f>
        <v>0</v>
      </c>
      <c r="AD4793" s="94"/>
      <c r="AE4793" s="386" t="str">
        <f>+IF(V4793=0,"CERO","NO")</f>
        <v>CERO</v>
      </c>
    </row>
    <row r="4794" spans="3:31" s="260" customFormat="1" ht="15.75" thickBot="1" x14ac:dyDescent="0.3">
      <c r="C4794" s="84"/>
      <c r="D4794" s="375" t="s">
        <v>128</v>
      </c>
      <c r="E4794" s="376" t="s">
        <v>129</v>
      </c>
      <c r="F4794" s="376" t="s">
        <v>130</v>
      </c>
      <c r="G4794" s="376" t="s">
        <v>131</v>
      </c>
      <c r="H4794" s="376" t="s">
        <v>132</v>
      </c>
      <c r="I4794" s="376" t="s">
        <v>133</v>
      </c>
      <c r="J4794" s="377" t="s">
        <v>134</v>
      </c>
      <c r="K4794" s="88"/>
      <c r="M4794" s="534"/>
      <c r="N4794" s="536" t="s">
        <v>101</v>
      </c>
      <c r="O4794" s="536"/>
      <c r="P4794" s="536"/>
      <c r="Q4794" s="536"/>
      <c r="R4794" s="536"/>
      <c r="S4794" s="536"/>
      <c r="T4794" s="536"/>
      <c r="U4794" s="536"/>
      <c r="V4794" s="389">
        <f>+SUM(V4789:V4793)</f>
        <v>555.50800000000004</v>
      </c>
      <c r="Y4794" s="398" t="s">
        <v>135</v>
      </c>
      <c r="Z4794" s="397">
        <f>+SUM(Z4789:Z4793)</f>
        <v>72216.040000000008</v>
      </c>
      <c r="AA4794" s="86"/>
      <c r="AB4794" s="384"/>
      <c r="AC4794" s="385"/>
      <c r="AD4794" s="94"/>
      <c r="AE4794" s="399"/>
    </row>
    <row r="4795" spans="3:31" s="260" customFormat="1" ht="15.75" thickBot="1" x14ac:dyDescent="0.3">
      <c r="C4795" s="84"/>
      <c r="D4795" s="375">
        <f>C4785</f>
        <v>4.21</v>
      </c>
      <c r="E4795" s="376"/>
      <c r="F4795" s="376"/>
      <c r="G4795" s="376"/>
      <c r="H4795" s="376"/>
      <c r="I4795" s="376"/>
      <c r="J4795" s="377"/>
      <c r="K4795" s="88"/>
      <c r="M4795" s="566"/>
      <c r="N4795" s="567" t="s">
        <v>102</v>
      </c>
      <c r="O4795" s="567"/>
      <c r="P4795" s="567"/>
      <c r="Q4795" s="567"/>
      <c r="R4795" s="567"/>
      <c r="S4795" s="567"/>
      <c r="T4795" s="567"/>
      <c r="U4795" s="567"/>
      <c r="V4795" s="400">
        <f>+ROUND(V4794,$AA$5)</f>
        <v>555.51</v>
      </c>
      <c r="Y4795" s="401" t="s">
        <v>136</v>
      </c>
      <c r="Z4795" s="402">
        <f>+ROUND(Z4794,$AA$5)</f>
        <v>72216.039999999994</v>
      </c>
      <c r="AA4795" s="86"/>
      <c r="AB4795" s="403">
        <f>+V4795*Y4785</f>
        <v>72216.3</v>
      </c>
      <c r="AC4795" s="404">
        <f>+AB4795-Z4795</f>
        <v>0.26000000000931323</v>
      </c>
      <c r="AD4795" s="94"/>
      <c r="AE4795" s="405"/>
    </row>
    <row r="4796" spans="3:31" s="260" customFormat="1" x14ac:dyDescent="0.25">
      <c r="C4796" s="84"/>
      <c r="D4796" s="380"/>
      <c r="E4796" s="381"/>
      <c r="F4796" s="381"/>
      <c r="G4796" s="381"/>
      <c r="H4796" s="381"/>
      <c r="I4796" s="381"/>
      <c r="J4796" s="382"/>
      <c r="K4796" s="88"/>
      <c r="M4796" s="510" t="s">
        <v>103</v>
      </c>
      <c r="N4796" s="511"/>
      <c r="O4796" s="511"/>
      <c r="P4796" s="511"/>
      <c r="Q4796" s="511"/>
      <c r="R4796" s="511"/>
      <c r="S4796" s="511"/>
      <c r="T4796" s="511"/>
      <c r="U4796" s="511"/>
      <c r="V4796" s="512"/>
      <c r="Y4796" s="378"/>
      <c r="Z4796" s="121"/>
      <c r="AA4796" s="86"/>
      <c r="AB4796" s="513"/>
      <c r="AC4796" s="514"/>
      <c r="AD4796" s="94"/>
      <c r="AE4796" s="126"/>
    </row>
    <row r="4797" spans="3:31" s="260" customFormat="1" x14ac:dyDescent="0.25">
      <c r="C4797" s="84"/>
      <c r="D4797" s="85"/>
      <c r="E4797" s="86"/>
      <c r="F4797" s="86"/>
      <c r="G4797" s="86"/>
      <c r="H4797" s="86"/>
      <c r="I4797" s="86"/>
      <c r="J4797" s="87"/>
      <c r="K4797" s="88"/>
      <c r="M4797" s="99" t="s">
        <v>94</v>
      </c>
      <c r="N4797" s="561" t="s">
        <v>95</v>
      </c>
      <c r="O4797" s="561"/>
      <c r="P4797" s="561"/>
      <c r="Q4797" s="561"/>
      <c r="R4797" s="95" t="s">
        <v>96</v>
      </c>
      <c r="S4797" s="95" t="s">
        <v>104</v>
      </c>
      <c r="T4797" s="356" t="s">
        <v>105</v>
      </c>
      <c r="U4797" s="356" t="s">
        <v>8</v>
      </c>
      <c r="V4797" s="100" t="s">
        <v>98</v>
      </c>
      <c r="Y4797" s="383" t="s">
        <v>104</v>
      </c>
      <c r="Z4797" s="119" t="s">
        <v>9</v>
      </c>
      <c r="AA4797" s="86"/>
      <c r="AB4797" s="384"/>
      <c r="AC4797" s="385"/>
      <c r="AD4797" s="94"/>
      <c r="AE4797" s="406"/>
    </row>
    <row r="4798" spans="3:31" s="260" customFormat="1" x14ac:dyDescent="0.25">
      <c r="C4798" s="84"/>
      <c r="D4798" s="85"/>
      <c r="E4798" s="86"/>
      <c r="F4798" s="86"/>
      <c r="G4798" s="86"/>
      <c r="H4798" s="86"/>
      <c r="I4798" s="86"/>
      <c r="J4798" s="87"/>
      <c r="K4798" s="88"/>
      <c r="M4798" s="102">
        <v>936</v>
      </c>
      <c r="N4798" s="533" t="str">
        <f>IFERROR(VLOOKUP(M4798,INSUMOS!$C$8:$K$928,2,0),"-----")</f>
        <v>SIKA ANCHORFIX-4</v>
      </c>
      <c r="O4798" s="533"/>
      <c r="P4798" s="533"/>
      <c r="Q4798" s="533"/>
      <c r="R4798" s="78" t="str">
        <f>IFERROR(VLOOKUP(M4798,INSUMOS!$C$8:$K$928,6,0),"-----")</f>
        <v>cm3</v>
      </c>
      <c r="S4798" s="396">
        <v>5</v>
      </c>
      <c r="T4798" s="387">
        <v>0.02</v>
      </c>
      <c r="U4798" s="388">
        <f>IFERROR(VLOOKUP(M4798,INSUMOS!$C$8:$K$928,7,0),"0")</f>
        <v>255.85</v>
      </c>
      <c r="V4798" s="389">
        <f>+IFERROR(U4798*(S4798*(1+T4798)),0)</f>
        <v>1304.8349999999998</v>
      </c>
      <c r="Y4798" s="393">
        <f>+IFERROR(Y4785*(S4798*(1+T4798)),0)</f>
        <v>663</v>
      </c>
      <c r="Z4798" s="391">
        <f>Y4785*V4798</f>
        <v>169628.55</v>
      </c>
      <c r="AA4798" s="394"/>
      <c r="AB4798" s="395">
        <f>+Y4798*U4798</f>
        <v>169628.55</v>
      </c>
      <c r="AC4798" s="93">
        <f>+AB4798-Z4798</f>
        <v>0</v>
      </c>
      <c r="AD4798" s="94"/>
      <c r="AE4798" s="406" t="str">
        <f>+IF(V4798=0,"CERO","NO")</f>
        <v>NO</v>
      </c>
    </row>
    <row r="4799" spans="3:31" s="260" customFormat="1" x14ac:dyDescent="0.25">
      <c r="C4799" s="84"/>
      <c r="D4799" s="85"/>
      <c r="E4799" s="86"/>
      <c r="F4799" s="86"/>
      <c r="G4799" s="86"/>
      <c r="H4799" s="86"/>
      <c r="I4799" s="86"/>
      <c r="J4799" s="87"/>
      <c r="K4799" s="88"/>
      <c r="M4799" s="102">
        <v>937</v>
      </c>
      <c r="N4799" s="533" t="str">
        <f>IFERROR(VLOOKUP(M4799,INSUMOS!$C$8:$K$928,2,0),"-----")</f>
        <v>CHAZO MULTIPROPOSITO Ø3/8"</v>
      </c>
      <c r="O4799" s="533"/>
      <c r="P4799" s="533"/>
      <c r="Q4799" s="533"/>
      <c r="R4799" s="78" t="str">
        <f>IFERROR(VLOOKUP(M4799,INSUMOS!$C$8:$K$928,6,0),"-----")</f>
        <v>und</v>
      </c>
      <c r="S4799" s="396">
        <v>2</v>
      </c>
      <c r="T4799" s="387">
        <v>0</v>
      </c>
      <c r="U4799" s="388">
        <f>IFERROR(VLOOKUP(M4799,INSUMOS!$C$8:$K$928,7,0),"0")</f>
        <v>1100</v>
      </c>
      <c r="V4799" s="389">
        <f>+IFERROR(U4799*(S4799*(1+T4799)),0)</f>
        <v>2200</v>
      </c>
      <c r="Y4799" s="393">
        <f>+IFERROR(Y4785*(S4799*(1+T4799)),0)</f>
        <v>260</v>
      </c>
      <c r="Z4799" s="391">
        <f>Y4785*V4799</f>
        <v>286000</v>
      </c>
      <c r="AA4799" s="394"/>
      <c r="AB4799" s="395">
        <f>+Y4799*U4799</f>
        <v>286000</v>
      </c>
      <c r="AC4799" s="93">
        <f>+AB4799-Z4799</f>
        <v>0</v>
      </c>
      <c r="AD4799" s="94"/>
      <c r="AE4799" s="406" t="str">
        <f>+IF(V4799=0,"CERO","NO")</f>
        <v>NO</v>
      </c>
    </row>
    <row r="4800" spans="3:31" s="260" customFormat="1" x14ac:dyDescent="0.25">
      <c r="C4800" s="84"/>
      <c r="D4800" s="85"/>
      <c r="E4800" s="86"/>
      <c r="F4800" s="86"/>
      <c r="G4800" s="86"/>
      <c r="H4800" s="86"/>
      <c r="I4800" s="86"/>
      <c r="J4800" s="87"/>
      <c r="K4800" s="88"/>
      <c r="M4800" s="102">
        <v>938</v>
      </c>
      <c r="N4800" s="533" t="str">
        <f>IFERROR(VLOOKUP(M4800,INSUMOS!$C$8:$K$928,2,0),"-----")</f>
        <v>PERNO HEXAGONAL Ø3/8"</v>
      </c>
      <c r="O4800" s="533"/>
      <c r="P4800" s="533"/>
      <c r="Q4800" s="533"/>
      <c r="R4800" s="78" t="str">
        <f>IFERROR(VLOOKUP(M4800,INSUMOS!$C$8:$K$928,6,0),"-----")</f>
        <v>und</v>
      </c>
      <c r="S4800" s="396">
        <v>2</v>
      </c>
      <c r="T4800" s="387">
        <v>0</v>
      </c>
      <c r="U4800" s="388">
        <f>IFERROR(VLOOKUP(M4800,INSUMOS!$C$8:$K$928,7,0),"0")</f>
        <v>8800</v>
      </c>
      <c r="V4800" s="389">
        <f>+IFERROR(U4800*(S4800*(1+T4800)),0)</f>
        <v>17600</v>
      </c>
      <c r="Y4800" s="393">
        <f>+IFERROR(Y4785*(S4800*(1+T4800)),0)</f>
        <v>260</v>
      </c>
      <c r="Z4800" s="391">
        <f>Y4785*V4800</f>
        <v>2288000</v>
      </c>
      <c r="AA4800" s="394"/>
      <c r="AB4800" s="395">
        <f>+Y4800*U4800</f>
        <v>2288000</v>
      </c>
      <c r="AC4800" s="93">
        <f>+AB4800-Z4800</f>
        <v>0</v>
      </c>
      <c r="AD4800" s="94"/>
      <c r="AE4800" s="406" t="str">
        <f>+IF(V4800=0,"CERO","NO")</f>
        <v>NO</v>
      </c>
    </row>
    <row r="4801" spans="3:31" s="260" customFormat="1" x14ac:dyDescent="0.25">
      <c r="C4801" s="84"/>
      <c r="D4801" s="85"/>
      <c r="E4801" s="86"/>
      <c r="F4801" s="86"/>
      <c r="G4801" s="86"/>
      <c r="H4801" s="86"/>
      <c r="I4801" s="86"/>
      <c r="J4801" s="87"/>
      <c r="K4801" s="88"/>
      <c r="M4801" s="102">
        <v>939</v>
      </c>
      <c r="N4801" s="533" t="str">
        <f>IFERROR(VLOOKUP(M4801,INSUMOS!$C$8:$K$928,2,0),"-----")</f>
        <v>PLETINA 1"X1/8"</v>
      </c>
      <c r="O4801" s="533"/>
      <c r="P4801" s="533"/>
      <c r="Q4801" s="533"/>
      <c r="R4801" s="78" t="str">
        <f>IFERROR(VLOOKUP(M4801,INSUMOS!$C$8:$K$928,6,0),"-----")</f>
        <v>ml</v>
      </c>
      <c r="S4801" s="396">
        <v>0.3</v>
      </c>
      <c r="T4801" s="387">
        <v>0</v>
      </c>
      <c r="U4801" s="388">
        <f>IFERROR(VLOOKUP(M4801,INSUMOS!$C$8:$K$928,7,0),"0")</f>
        <v>3500</v>
      </c>
      <c r="V4801" s="389">
        <f>+IFERROR(U4801*(S4801*(1+T4801)),0)</f>
        <v>1050</v>
      </c>
      <c r="Y4801" s="393">
        <f>+IFERROR(Y4785*(S4801*(1+T4801)),0)</f>
        <v>39</v>
      </c>
      <c r="Z4801" s="391">
        <f>Y4785*V4801</f>
        <v>136500</v>
      </c>
      <c r="AA4801" s="394"/>
      <c r="AB4801" s="395">
        <f>+Y4801*U4801</f>
        <v>136500</v>
      </c>
      <c r="AC4801" s="93">
        <f>+AB4801-Z4801</f>
        <v>0</v>
      </c>
      <c r="AD4801" s="94"/>
      <c r="AE4801" s="406" t="str">
        <f>+IF(V4801=0,"CERO","NO")</f>
        <v>NO</v>
      </c>
    </row>
    <row r="4802" spans="3:31" s="260" customFormat="1" ht="15.75" thickBot="1" x14ac:dyDescent="0.3">
      <c r="C4802" s="84"/>
      <c r="D4802" s="85"/>
      <c r="E4802" s="86"/>
      <c r="F4802" s="86"/>
      <c r="G4802" s="86"/>
      <c r="H4802" s="86"/>
      <c r="I4802" s="86"/>
      <c r="J4802" s="87"/>
      <c r="K4802" s="88"/>
      <c r="M4802" s="102"/>
      <c r="N4802" s="533" t="str">
        <f>IFERROR(VLOOKUP(M4802,INSUMOS!$C$8:$K$928,2,0),"-----")</f>
        <v>-----</v>
      </c>
      <c r="O4802" s="533"/>
      <c r="P4802" s="533"/>
      <c r="Q4802" s="533"/>
      <c r="R4802" s="78" t="str">
        <f>IFERROR(VLOOKUP(M4802,INSUMOS!$C$8:$K$928,6,0),"-----")</f>
        <v>-----</v>
      </c>
      <c r="S4802" s="396"/>
      <c r="T4802" s="387"/>
      <c r="U4802" s="388" t="str">
        <f>IFERROR(VLOOKUP(M4802,INSUMOS!$C$8:$K$928,7,0),"0")</f>
        <v>0</v>
      </c>
      <c r="V4802" s="389">
        <f>+IFERROR(U4802*(S4802*(1+T4802)),0)</f>
        <v>0</v>
      </c>
      <c r="Y4802" s="393">
        <f>+IFERROR(Y4785*(S4802*(1+T4802)),0)</f>
        <v>0</v>
      </c>
      <c r="Z4802" s="391">
        <f>Y4785*V4802</f>
        <v>0</v>
      </c>
      <c r="AA4802" s="394"/>
      <c r="AB4802" s="395">
        <f>+Y4802*U4802</f>
        <v>0</v>
      </c>
      <c r="AC4802" s="93">
        <f>+AB4802-Z4802</f>
        <v>0</v>
      </c>
      <c r="AD4802" s="94"/>
      <c r="AE4802" s="406" t="str">
        <f>+IF(V4802=0,"CERO","NO")</f>
        <v>CERO</v>
      </c>
    </row>
    <row r="4803" spans="3:31" s="260" customFormat="1" ht="15.75" thickBot="1" x14ac:dyDescent="0.3">
      <c r="C4803" s="84"/>
      <c r="D4803" s="375" t="s">
        <v>128</v>
      </c>
      <c r="E4803" s="376" t="s">
        <v>129</v>
      </c>
      <c r="F4803" s="376" t="s">
        <v>130</v>
      </c>
      <c r="G4803" s="376" t="s">
        <v>131</v>
      </c>
      <c r="H4803" s="376" t="s">
        <v>132</v>
      </c>
      <c r="I4803" s="376" t="s">
        <v>133</v>
      </c>
      <c r="J4803" s="377" t="s">
        <v>134</v>
      </c>
      <c r="K4803" s="88"/>
      <c r="M4803" s="534"/>
      <c r="N4803" s="536" t="s">
        <v>106</v>
      </c>
      <c r="O4803" s="536"/>
      <c r="P4803" s="536"/>
      <c r="Q4803" s="536"/>
      <c r="R4803" s="536"/>
      <c r="S4803" s="536"/>
      <c r="T4803" s="536"/>
      <c r="U4803" s="536"/>
      <c r="V4803" s="389">
        <f>+SUM(V4798:V4802)</f>
        <v>22154.834999999999</v>
      </c>
      <c r="Y4803" s="398" t="s">
        <v>135</v>
      </c>
      <c r="Z4803" s="397">
        <f>+SUM(Z4798:Z4802)</f>
        <v>2880128.55</v>
      </c>
      <c r="AA4803" s="86"/>
      <c r="AB4803" s="384"/>
      <c r="AC4803" s="385"/>
      <c r="AD4803" s="94"/>
      <c r="AE4803" s="399"/>
    </row>
    <row r="4804" spans="3:31" s="260" customFormat="1" ht="15.75" thickBot="1" x14ac:dyDescent="0.3">
      <c r="C4804" s="84"/>
      <c r="D4804" s="375"/>
      <c r="E4804" s="407">
        <f>+D4795</f>
        <v>4.21</v>
      </c>
      <c r="F4804" s="376"/>
      <c r="G4804" s="376"/>
      <c r="H4804" s="376"/>
      <c r="I4804" s="376"/>
      <c r="J4804" s="377"/>
      <c r="K4804" s="88"/>
      <c r="M4804" s="535"/>
      <c r="N4804" s="537" t="s">
        <v>107</v>
      </c>
      <c r="O4804" s="537"/>
      <c r="P4804" s="537"/>
      <c r="Q4804" s="537"/>
      <c r="R4804" s="537"/>
      <c r="S4804" s="537"/>
      <c r="T4804" s="537"/>
      <c r="U4804" s="537"/>
      <c r="V4804" s="408">
        <f>+ROUND(V4803,$AA$5)</f>
        <v>22154.84</v>
      </c>
      <c r="Y4804" s="401" t="s">
        <v>136</v>
      </c>
      <c r="Z4804" s="402">
        <f>+ROUND(Z4803,$AA$5)</f>
        <v>2880128.55</v>
      </c>
      <c r="AA4804" s="86"/>
      <c r="AB4804" s="403">
        <f>+V4804*Y4785</f>
        <v>2880129.2</v>
      </c>
      <c r="AC4804" s="404">
        <f>+AB4804-Z4804</f>
        <v>0.65000000037252903</v>
      </c>
      <c r="AD4804" s="94"/>
      <c r="AE4804" s="405"/>
    </row>
    <row r="4805" spans="3:31" s="260" customFormat="1" x14ac:dyDescent="0.25">
      <c r="C4805" s="84"/>
      <c r="D4805" s="380"/>
      <c r="E4805" s="381"/>
      <c r="F4805" s="381"/>
      <c r="G4805" s="381"/>
      <c r="H4805" s="381"/>
      <c r="I4805" s="381"/>
      <c r="J4805" s="382"/>
      <c r="K4805" s="88"/>
      <c r="M4805" s="568" t="s">
        <v>108</v>
      </c>
      <c r="N4805" s="569"/>
      <c r="O4805" s="569"/>
      <c r="P4805" s="569"/>
      <c r="Q4805" s="569"/>
      <c r="R4805" s="569"/>
      <c r="S4805" s="569"/>
      <c r="T4805" s="569"/>
      <c r="U4805" s="569"/>
      <c r="V4805" s="570"/>
      <c r="Y4805" s="378"/>
      <c r="Z4805" s="121"/>
      <c r="AA4805" s="86"/>
      <c r="AB4805" s="409"/>
      <c r="AC4805" s="121"/>
      <c r="AD4805" s="94"/>
      <c r="AE4805" s="126"/>
    </row>
    <row r="4806" spans="3:31" s="260" customFormat="1" ht="25.5" x14ac:dyDescent="0.25">
      <c r="C4806" s="84"/>
      <c r="D4806" s="85"/>
      <c r="E4806" s="86"/>
      <c r="F4806" s="86"/>
      <c r="G4806" s="86"/>
      <c r="H4806" s="86"/>
      <c r="I4806" s="86"/>
      <c r="J4806" s="87"/>
      <c r="K4806" s="88"/>
      <c r="M4806" s="99" t="s">
        <v>94</v>
      </c>
      <c r="N4806" s="561" t="s">
        <v>95</v>
      </c>
      <c r="O4806" s="561"/>
      <c r="P4806" s="561"/>
      <c r="Q4806" s="95" t="s">
        <v>109</v>
      </c>
      <c r="R4806" s="95" t="s">
        <v>110</v>
      </c>
      <c r="S4806" s="95" t="s">
        <v>111</v>
      </c>
      <c r="T4806" s="562" t="s">
        <v>112</v>
      </c>
      <c r="U4806" s="562"/>
      <c r="V4806" s="100" t="s">
        <v>98</v>
      </c>
      <c r="Y4806" s="383" t="s">
        <v>104</v>
      </c>
      <c r="Z4806" s="119" t="s">
        <v>9</v>
      </c>
      <c r="AA4806" s="86"/>
      <c r="AB4806" s="384"/>
      <c r="AC4806" s="385"/>
      <c r="AD4806" s="94"/>
      <c r="AE4806" s="410"/>
    </row>
    <row r="4807" spans="3:31" s="260" customFormat="1" x14ac:dyDescent="0.25">
      <c r="C4807" s="84"/>
      <c r="D4807" s="85"/>
      <c r="E4807" s="86"/>
      <c r="F4807" s="86"/>
      <c r="G4807" s="86"/>
      <c r="H4807" s="86"/>
      <c r="I4807" s="86"/>
      <c r="J4807" s="87"/>
      <c r="K4807" s="88"/>
      <c r="M4807" s="102">
        <v>129</v>
      </c>
      <c r="N4807" s="530" t="str">
        <f>IFERROR(VLOOKUP(M4807,INSUMOS!$C$8:$K$928,2,0),"-----")</f>
        <v>transporte materiales en general</v>
      </c>
      <c r="O4807" s="531"/>
      <c r="P4807" s="532"/>
      <c r="Q4807" s="78" t="str">
        <f>IFERROR(VLOOKUP(M4807,INSUMOS!$C$8:$K$928,5,0),"-----")</f>
        <v>Km</v>
      </c>
      <c r="R4807" s="80">
        <v>1</v>
      </c>
      <c r="S4807" s="80">
        <f>IFERROR(VLOOKUP(M4807,INSUMOS!$C$8:$K$928,6,0),"0")</f>
        <v>348</v>
      </c>
      <c r="T4807" s="529">
        <f>IFERROR(VLOOKUP(M4807,INSUMOS!$C$8:$K$928,7,0),"0")</f>
        <v>0.99776362060288992</v>
      </c>
      <c r="U4807" s="529"/>
      <c r="V4807" s="82">
        <f>+T4807*S4807*R4807</f>
        <v>347.2217399698057</v>
      </c>
      <c r="Y4807" s="393">
        <f>+IFERROR((R4807*S4807)*Y4785,0)</f>
        <v>45240</v>
      </c>
      <c r="Z4807" s="391">
        <f>Y4785*V4807</f>
        <v>45138.82619607474</v>
      </c>
      <c r="AA4807" s="86"/>
      <c r="AB4807" s="92">
        <f>+Y4807*T4807</f>
        <v>45138.82619607474</v>
      </c>
      <c r="AC4807" s="93">
        <f>+AB4807-Z4807</f>
        <v>0</v>
      </c>
      <c r="AD4807" s="94"/>
      <c r="AE4807" s="406" t="str">
        <f>+IF(V4807=0,"CERO","NO")</f>
        <v>NO</v>
      </c>
    </row>
    <row r="4808" spans="3:31" s="260" customFormat="1" x14ac:dyDescent="0.25">
      <c r="C4808" s="84"/>
      <c r="D4808" s="85"/>
      <c r="E4808" s="86"/>
      <c r="F4808" s="86"/>
      <c r="G4808" s="86"/>
      <c r="H4808" s="86"/>
      <c r="I4808" s="86"/>
      <c r="J4808" s="87"/>
      <c r="K4808" s="88"/>
      <c r="M4808" s="102">
        <v>0</v>
      </c>
      <c r="N4808" s="530" t="str">
        <f>IFERROR(VLOOKUP(M4808,INSUMOS!$C$8:$K$928,2,0),"-----")</f>
        <v>-----</v>
      </c>
      <c r="O4808" s="531"/>
      <c r="P4808" s="532"/>
      <c r="Q4808" s="78" t="str">
        <f>IFERROR(VLOOKUP(M4808,INSUMOS!$C$8:$K$928,5,0),"-----")</f>
        <v>-----</v>
      </c>
      <c r="R4808" s="80"/>
      <c r="S4808" s="80" t="str">
        <f>IFERROR(VLOOKUP(M4808,INSUMOS!$C$8:$K$928,6,0),"0")</f>
        <v>0</v>
      </c>
      <c r="T4808" s="529" t="str">
        <f>IFERROR(VLOOKUP(M4808,INSUMOS!$C$8:$K$928,7,0),"0")</f>
        <v>0</v>
      </c>
      <c r="U4808" s="529"/>
      <c r="V4808" s="82">
        <f>+T4808*S4808*R4808</f>
        <v>0</v>
      </c>
      <c r="Y4808" s="393">
        <f>+IFERROR((R4808*S4808)*Y4785,0)</f>
        <v>0</v>
      </c>
      <c r="Z4808" s="391">
        <f>Y4785*V4808</f>
        <v>0</v>
      </c>
      <c r="AA4808" s="86"/>
      <c r="AB4808" s="92">
        <f>+Y4808*T4808</f>
        <v>0</v>
      </c>
      <c r="AC4808" s="93">
        <f>+AB4808-Z4808</f>
        <v>0</v>
      </c>
      <c r="AD4808" s="94"/>
      <c r="AE4808" s="406" t="str">
        <f>+IF(V4808=0,"CERO","NO")</f>
        <v>CERO</v>
      </c>
    </row>
    <row r="4809" spans="3:31" s="260" customFormat="1" x14ac:dyDescent="0.25">
      <c r="C4809" s="84"/>
      <c r="D4809" s="85"/>
      <c r="E4809" s="86"/>
      <c r="F4809" s="86"/>
      <c r="G4809" s="86"/>
      <c r="H4809" s="86"/>
      <c r="I4809" s="86"/>
      <c r="J4809" s="87"/>
      <c r="K4809" s="88"/>
      <c r="M4809" s="102">
        <v>0</v>
      </c>
      <c r="N4809" s="530" t="str">
        <f>IFERROR(VLOOKUP(M4809,INSUMOS!$C$8:$K$928,2,0),"-----")</f>
        <v>-----</v>
      </c>
      <c r="O4809" s="531"/>
      <c r="P4809" s="532"/>
      <c r="Q4809" s="78" t="str">
        <f>IFERROR(VLOOKUP(M4809,INSUMOS!$C$8:$K$928,5,0),"-----")</f>
        <v>-----</v>
      </c>
      <c r="R4809" s="80"/>
      <c r="S4809" s="80" t="str">
        <f>IFERROR(VLOOKUP(M4809,INSUMOS!$C$8:$K$928,6,0),"0")</f>
        <v>0</v>
      </c>
      <c r="T4809" s="529" t="str">
        <f>IFERROR(VLOOKUP(M4809,INSUMOS!$C$8:$K$928,7,0),"0")</f>
        <v>0</v>
      </c>
      <c r="U4809" s="529"/>
      <c r="V4809" s="82">
        <f>+T4809*S4809*R4809</f>
        <v>0</v>
      </c>
      <c r="Y4809" s="393">
        <f>+IFERROR((R4809*S4809)*Y4785,0)</f>
        <v>0</v>
      </c>
      <c r="Z4809" s="391">
        <f>Y4785*V4809</f>
        <v>0</v>
      </c>
      <c r="AA4809" s="86"/>
      <c r="AB4809" s="92">
        <f>+Y4809*T4809</f>
        <v>0</v>
      </c>
      <c r="AC4809" s="93">
        <f>+AB4809-Z4809</f>
        <v>0</v>
      </c>
      <c r="AD4809" s="94"/>
      <c r="AE4809" s="406" t="str">
        <f>+IF(V4809=0,"CERO","NO")</f>
        <v>CERO</v>
      </c>
    </row>
    <row r="4810" spans="3:31" s="260" customFormat="1" ht="15.75" thickBot="1" x14ac:dyDescent="0.3">
      <c r="C4810" s="84"/>
      <c r="D4810" s="89"/>
      <c r="E4810" s="90"/>
      <c r="F4810" s="90"/>
      <c r="G4810" s="90"/>
      <c r="H4810" s="90"/>
      <c r="I4810" s="90"/>
      <c r="J4810" s="91"/>
      <c r="K4810" s="88"/>
      <c r="M4810" s="102">
        <v>0</v>
      </c>
      <c r="N4810" s="533"/>
      <c r="O4810" s="533"/>
      <c r="P4810" s="533"/>
      <c r="Q4810" s="79"/>
      <c r="R4810" s="78"/>
      <c r="S4810" s="81"/>
      <c r="T4810" s="529"/>
      <c r="U4810" s="529"/>
      <c r="V4810" s="82"/>
      <c r="Y4810" s="393">
        <f>+IFERROR((R4810*S4810)*Y4785,0)</f>
        <v>0</v>
      </c>
      <c r="Z4810" s="391">
        <f>Y4785*V4810</f>
        <v>0</v>
      </c>
      <c r="AA4810" s="86"/>
      <c r="AB4810" s="92">
        <f>+Y4810*T4810</f>
        <v>0</v>
      </c>
      <c r="AC4810" s="93">
        <f>+AB4810-Z4810</f>
        <v>0</v>
      </c>
      <c r="AD4810" s="94"/>
      <c r="AE4810" s="406" t="str">
        <f>+IF(V4810=0,"CERO","NO")</f>
        <v>CERO</v>
      </c>
    </row>
    <row r="4811" spans="3:31" s="260" customFormat="1" ht="15.75" thickBot="1" x14ac:dyDescent="0.3">
      <c r="C4811" s="84"/>
      <c r="D4811" s="375" t="s">
        <v>128</v>
      </c>
      <c r="E4811" s="376" t="s">
        <v>129</v>
      </c>
      <c r="F4811" s="376" t="s">
        <v>130</v>
      </c>
      <c r="G4811" s="376" t="s">
        <v>131</v>
      </c>
      <c r="H4811" s="376" t="s">
        <v>132</v>
      </c>
      <c r="I4811" s="376" t="s">
        <v>133</v>
      </c>
      <c r="J4811" s="377" t="s">
        <v>134</v>
      </c>
      <c r="K4811" s="88"/>
      <c r="M4811" s="534"/>
      <c r="N4811" s="536" t="s">
        <v>113</v>
      </c>
      <c r="O4811" s="536"/>
      <c r="P4811" s="536"/>
      <c r="Q4811" s="536"/>
      <c r="R4811" s="536"/>
      <c r="S4811" s="536"/>
      <c r="T4811" s="536"/>
      <c r="U4811" s="536"/>
      <c r="V4811" s="411">
        <f>+SUM(V4807:V4810)</f>
        <v>347.2217399698057</v>
      </c>
      <c r="Y4811" s="398" t="s">
        <v>135</v>
      </c>
      <c r="Z4811" s="397">
        <f>+SUM(Z4807:Z4810)</f>
        <v>45138.82619607474</v>
      </c>
      <c r="AA4811" s="86"/>
      <c r="AB4811" s="384"/>
      <c r="AC4811" s="385"/>
      <c r="AD4811" s="94"/>
      <c r="AE4811" s="399"/>
    </row>
    <row r="4812" spans="3:31" s="260" customFormat="1" ht="15.75" thickBot="1" x14ac:dyDescent="0.3">
      <c r="C4812" s="84"/>
      <c r="D4812" s="355"/>
      <c r="E4812" s="367"/>
      <c r="F4812" s="412">
        <f>+E4804</f>
        <v>4.21</v>
      </c>
      <c r="G4812" s="367"/>
      <c r="H4812" s="367"/>
      <c r="I4812" s="367"/>
      <c r="J4812" s="368"/>
      <c r="K4812" s="88"/>
      <c r="M4812" s="535"/>
      <c r="N4812" s="537" t="s">
        <v>114</v>
      </c>
      <c r="O4812" s="537"/>
      <c r="P4812" s="537"/>
      <c r="Q4812" s="537"/>
      <c r="R4812" s="537"/>
      <c r="S4812" s="537"/>
      <c r="T4812" s="537"/>
      <c r="U4812" s="537"/>
      <c r="V4812" s="413">
        <f>+ROUND(V4811,$AA$5)</f>
        <v>347.22</v>
      </c>
      <c r="Y4812" s="401" t="s">
        <v>136</v>
      </c>
      <c r="Z4812" s="402">
        <f>+ROUND(Z4811,$AA$5)</f>
        <v>45138.83</v>
      </c>
      <c r="AA4812" s="86"/>
      <c r="AB4812" s="403">
        <f>+V4812*Y4785</f>
        <v>45138.600000000006</v>
      </c>
      <c r="AC4812" s="414"/>
      <c r="AD4812" s="94"/>
      <c r="AE4812" s="405"/>
    </row>
    <row r="4813" spans="3:31" s="260" customFormat="1" ht="15.75" thickBot="1" x14ac:dyDescent="0.3">
      <c r="C4813" s="84"/>
      <c r="D4813" s="415"/>
      <c r="E4813" s="416"/>
      <c r="F4813" s="416"/>
      <c r="G4813" s="416"/>
      <c r="H4813" s="416"/>
      <c r="I4813" s="416"/>
      <c r="J4813" s="417"/>
      <c r="K4813" s="88"/>
      <c r="M4813" s="538" t="s">
        <v>115</v>
      </c>
      <c r="N4813" s="539"/>
      <c r="O4813" s="539"/>
      <c r="P4813" s="539"/>
      <c r="Q4813" s="539"/>
      <c r="R4813" s="539"/>
      <c r="S4813" s="539"/>
      <c r="T4813" s="539"/>
      <c r="U4813" s="539"/>
      <c r="V4813" s="540"/>
      <c r="Y4813" s="378"/>
      <c r="Z4813" s="121"/>
      <c r="AA4813" s="86"/>
      <c r="AB4813" s="409"/>
      <c r="AC4813" s="121"/>
      <c r="AD4813" s="94"/>
      <c r="AE4813" s="126"/>
    </row>
    <row r="4814" spans="3:31" s="260" customFormat="1" ht="15.75" thickBot="1" x14ac:dyDescent="0.3">
      <c r="C4814" s="84"/>
      <c r="D4814" s="375" t="s">
        <v>128</v>
      </c>
      <c r="E4814" s="376" t="s">
        <v>129</v>
      </c>
      <c r="F4814" s="376" t="s">
        <v>130</v>
      </c>
      <c r="G4814" s="376" t="s">
        <v>131</v>
      </c>
      <c r="H4814" s="376" t="s">
        <v>132</v>
      </c>
      <c r="I4814" s="376" t="s">
        <v>133</v>
      </c>
      <c r="J4814" s="377" t="s">
        <v>134</v>
      </c>
      <c r="K4814" s="88"/>
      <c r="M4814" s="99" t="s">
        <v>94</v>
      </c>
      <c r="N4814" s="98" t="s">
        <v>95</v>
      </c>
      <c r="O4814" s="95" t="s">
        <v>96</v>
      </c>
      <c r="P4814" s="359" t="s">
        <v>104</v>
      </c>
      <c r="Q4814" s="95" t="s">
        <v>116</v>
      </c>
      <c r="R4814" s="418" t="s">
        <v>117</v>
      </c>
      <c r="S4814" s="95" t="s">
        <v>347</v>
      </c>
      <c r="T4814" s="419" t="s">
        <v>118</v>
      </c>
      <c r="U4814" s="189" t="s">
        <v>119</v>
      </c>
      <c r="V4814" s="100" t="s">
        <v>98</v>
      </c>
      <c r="Y4814" s="383" t="s">
        <v>104</v>
      </c>
      <c r="Z4814" s="119" t="s">
        <v>9</v>
      </c>
      <c r="AA4814" s="86"/>
      <c r="AB4814" s="384"/>
      <c r="AC4814" s="385"/>
      <c r="AD4814" s="94"/>
      <c r="AE4814" s="410"/>
    </row>
    <row r="4815" spans="3:31" s="260" customFormat="1" ht="25.5" x14ac:dyDescent="0.25">
      <c r="C4815" s="84"/>
      <c r="D4815" s="354"/>
      <c r="E4815" s="96"/>
      <c r="F4815" s="96"/>
      <c r="G4815" s="96"/>
      <c r="H4815" s="96"/>
      <c r="I4815" s="96"/>
      <c r="J4815" s="420">
        <f>+F4812</f>
        <v>4.21</v>
      </c>
      <c r="K4815" s="88"/>
      <c r="M4815" s="102">
        <v>201</v>
      </c>
      <c r="N4815" s="347" t="str">
        <f>IFERROR(VLOOKUP(M4815,INSUMOS!$C$8:$K$928,2,0),"-----")</f>
        <v>Oficial Albañileria</v>
      </c>
      <c r="O4815" s="78" t="str">
        <f>IFERROR(VLOOKUP(M4815,INSUMOS!$C$8:$K$928,3,0),"-----")</f>
        <v>JORNAL+PS</v>
      </c>
      <c r="P4815" s="80">
        <v>1</v>
      </c>
      <c r="Q4815" s="79">
        <v>25</v>
      </c>
      <c r="R4815" s="190">
        <f>IFERROR(VLOOKUP(M4815,INSUMOS!$C$8:$K$928,4,0),"-----")</f>
        <v>85136</v>
      </c>
      <c r="S4815" s="190">
        <f>IFERROR(VLOOKUP(M4815,INSUMOS!$C$8:$K$928,6,0),"-----")</f>
        <v>68109</v>
      </c>
      <c r="T4815" s="190">
        <f>IFERROR(VLOOKUP(M4815,INSUMOS!$C$8:$K$928,5,0),"-----")</f>
        <v>0</v>
      </c>
      <c r="U4815" s="388">
        <f>SUM(R4815:T4815)</f>
        <v>153245</v>
      </c>
      <c r="V4815" s="82">
        <f>+IFERROR((P4815/Q4815)*U4815,0)</f>
        <v>6129.8</v>
      </c>
      <c r="Y4815" s="393">
        <f>+IFERROR((Y4785/Q4815*P4815),0)</f>
        <v>5.2</v>
      </c>
      <c r="Z4815" s="391">
        <f>Y4785*V4815</f>
        <v>796874</v>
      </c>
      <c r="AA4815" s="86"/>
      <c r="AB4815" s="92">
        <f>+(U4815)*Y4815</f>
        <v>796874</v>
      </c>
      <c r="AC4815" s="93">
        <f>+AB4815-Z4815</f>
        <v>0</v>
      </c>
      <c r="AD4815" s="421"/>
      <c r="AE4815" s="410" t="str">
        <f>+IF(V4815=0,"CERO","NO")</f>
        <v>NO</v>
      </c>
    </row>
    <row r="4816" spans="3:31" s="260" customFormat="1" ht="26.25" thickBot="1" x14ac:dyDescent="0.3">
      <c r="C4816" s="84"/>
      <c r="D4816" s="355"/>
      <c r="E4816" s="367"/>
      <c r="F4816" s="367"/>
      <c r="G4816" s="367"/>
      <c r="H4816" s="367"/>
      <c r="I4816" s="367"/>
      <c r="J4816" s="422">
        <f>+J4815</f>
        <v>4.21</v>
      </c>
      <c r="K4816" s="88"/>
      <c r="M4816" s="102">
        <v>208</v>
      </c>
      <c r="N4816" s="347" t="str">
        <f>IFERROR(VLOOKUP(M4816,INSUMOS!$C$8:$K$928,2,0),"-----")</f>
        <v>Ayudante Hidrosanitario</v>
      </c>
      <c r="O4816" s="78" t="str">
        <f>IFERROR(VLOOKUP(M4816,INSUMOS!$C$8:$K$928,3,0),"-----")</f>
        <v>JORNAL+PS</v>
      </c>
      <c r="P4816" s="80">
        <v>1</v>
      </c>
      <c r="Q4816" s="79">
        <v>25</v>
      </c>
      <c r="R4816" s="190">
        <f>IFERROR(VLOOKUP(M4816,INSUMOS!$C$8:$K$928,4,0),"-----")</f>
        <v>69172</v>
      </c>
      <c r="S4816" s="190">
        <f>IFERROR(VLOOKUP(M4816,INSUMOS!$C$8:$K$928,6,0),"-----")</f>
        <v>55337</v>
      </c>
      <c r="T4816" s="190">
        <f>IFERROR(VLOOKUP(M4816,INSUMOS!$C$8:$K$928,5,0),"-----")</f>
        <v>0</v>
      </c>
      <c r="U4816" s="388">
        <f>SUM(R4816:T4816)</f>
        <v>124509</v>
      </c>
      <c r="V4816" s="82">
        <f>+IFERROR((P4816/Q4816)*U4816,0)</f>
        <v>4980.3599999999997</v>
      </c>
      <c r="Y4816" s="393">
        <f>+IFERROR((Y4785/Q4816*P4816),0)</f>
        <v>5.2</v>
      </c>
      <c r="Z4816" s="391">
        <f>Y4785*V4816</f>
        <v>647446.79999999993</v>
      </c>
      <c r="AA4816" s="86"/>
      <c r="AB4816" s="92">
        <f>+U4816*Y4816</f>
        <v>647446.80000000005</v>
      </c>
      <c r="AC4816" s="93">
        <f>+AB4816-Z4816</f>
        <v>0</v>
      </c>
      <c r="AD4816" s="94"/>
      <c r="AE4816" s="410" t="str">
        <f>+IF(V4816=0,"CERO","NO")</f>
        <v>NO</v>
      </c>
    </row>
    <row r="4817" spans="3:31" s="260" customFormat="1" ht="15.75" thickBot="1" x14ac:dyDescent="0.3">
      <c r="C4817" s="84"/>
      <c r="D4817" s="380"/>
      <c r="E4817" s="381"/>
      <c r="F4817" s="381"/>
      <c r="G4817" s="381"/>
      <c r="H4817" s="381"/>
      <c r="I4817" s="381"/>
      <c r="J4817" s="382"/>
      <c r="K4817" s="88"/>
      <c r="M4817" s="102">
        <v>0</v>
      </c>
      <c r="N4817" s="347"/>
      <c r="O4817" s="79"/>
      <c r="P4817" s="423"/>
      <c r="Q4817" s="81"/>
      <c r="R4817" s="111"/>
      <c r="S4817" s="357"/>
      <c r="T4817" s="111"/>
      <c r="U4817" s="388"/>
      <c r="V4817" s="426"/>
      <c r="Y4817" s="393">
        <f>+IFERROR((Y4785/Q4817*P4817),0)</f>
        <v>0</v>
      </c>
      <c r="Z4817" s="391">
        <f>Y4785*V4817</f>
        <v>0</v>
      </c>
      <c r="AA4817" s="86"/>
      <c r="AB4817" s="92">
        <f>+(U4817)*Y4817*P4817</f>
        <v>0</v>
      </c>
      <c r="AC4817" s="93">
        <f>+AB4817-Z4817</f>
        <v>0</v>
      </c>
      <c r="AD4817" s="94"/>
      <c r="AE4817" s="410" t="str">
        <f>+IF(V4817=0,"CERO","NO")</f>
        <v>CERO</v>
      </c>
    </row>
    <row r="4818" spans="3:31" s="260" customFormat="1" ht="15.75" thickBot="1" x14ac:dyDescent="0.3">
      <c r="C4818" s="84"/>
      <c r="D4818" s="375" t="s">
        <v>128</v>
      </c>
      <c r="E4818" s="376" t="s">
        <v>129</v>
      </c>
      <c r="F4818" s="376" t="s">
        <v>130</v>
      </c>
      <c r="G4818" s="376" t="s">
        <v>131</v>
      </c>
      <c r="H4818" s="376" t="s">
        <v>132</v>
      </c>
      <c r="I4818" s="376" t="s">
        <v>133</v>
      </c>
      <c r="J4818" s="377" t="s">
        <v>134</v>
      </c>
      <c r="K4818" s="88"/>
      <c r="M4818" s="534"/>
      <c r="N4818" s="536" t="s">
        <v>120</v>
      </c>
      <c r="O4818" s="536"/>
      <c r="P4818" s="536"/>
      <c r="Q4818" s="536"/>
      <c r="R4818" s="536"/>
      <c r="S4818" s="536"/>
      <c r="T4818" s="536"/>
      <c r="U4818" s="536"/>
      <c r="V4818" s="82">
        <f>+SUM(V4815:V4817)</f>
        <v>11110.16</v>
      </c>
      <c r="Y4818" s="398" t="s">
        <v>135</v>
      </c>
      <c r="Z4818" s="397">
        <f>+SUM(Z4815:Z4817)</f>
        <v>1444320.7999999998</v>
      </c>
      <c r="AA4818" s="86"/>
      <c r="AB4818" s="384"/>
      <c r="AC4818" s="385"/>
      <c r="AD4818" s="94"/>
      <c r="AE4818" s="399"/>
    </row>
    <row r="4819" spans="3:31" s="260" customFormat="1" ht="15.75" thickBot="1" x14ac:dyDescent="0.3">
      <c r="C4819" s="84"/>
      <c r="D4819" s="354"/>
      <c r="E4819" s="96"/>
      <c r="F4819" s="96"/>
      <c r="G4819" s="107">
        <f>+F4812</f>
        <v>4.21</v>
      </c>
      <c r="H4819" s="96"/>
      <c r="I4819" s="96"/>
      <c r="J4819" s="427"/>
      <c r="K4819" s="88"/>
      <c r="M4819" s="535"/>
      <c r="N4819" s="537" t="s">
        <v>121</v>
      </c>
      <c r="O4819" s="537"/>
      <c r="P4819" s="537"/>
      <c r="Q4819" s="537"/>
      <c r="R4819" s="537"/>
      <c r="S4819" s="537"/>
      <c r="T4819" s="537"/>
      <c r="U4819" s="537"/>
      <c r="V4819" s="413">
        <f>+ROUND(V4818,$AA$5)</f>
        <v>11110.16</v>
      </c>
      <c r="Y4819" s="401" t="s">
        <v>136</v>
      </c>
      <c r="Z4819" s="402">
        <f>+ROUND(Z4818,$AA$5)</f>
        <v>1444320.8</v>
      </c>
      <c r="AA4819" s="86"/>
      <c r="AB4819" s="403">
        <f>+V4819*Y4785</f>
        <v>1444320.8</v>
      </c>
      <c r="AC4819" s="404">
        <f>+AB4819-Z4819</f>
        <v>0</v>
      </c>
      <c r="AD4819" s="94"/>
      <c r="AE4819" s="405"/>
    </row>
    <row r="4820" spans="3:31" s="260" customFormat="1" ht="15.75" thickBot="1" x14ac:dyDescent="0.3">
      <c r="C4820" s="84"/>
      <c r="D4820" s="375" t="s">
        <v>128</v>
      </c>
      <c r="E4820" s="376" t="s">
        <v>129</v>
      </c>
      <c r="F4820" s="376" t="s">
        <v>130</v>
      </c>
      <c r="G4820" s="376" t="s">
        <v>131</v>
      </c>
      <c r="H4820" s="376" t="s">
        <v>132</v>
      </c>
      <c r="I4820" s="376" t="s">
        <v>133</v>
      </c>
      <c r="J4820" s="377" t="s">
        <v>134</v>
      </c>
      <c r="K4820" s="88"/>
      <c r="M4820" s="541"/>
      <c r="N4820" s="542"/>
      <c r="O4820" s="542"/>
      <c r="P4820" s="542"/>
      <c r="Q4820" s="542"/>
      <c r="R4820" s="542"/>
      <c r="S4820" s="542"/>
      <c r="T4820" s="542"/>
      <c r="U4820" s="542"/>
      <c r="V4820" s="543"/>
      <c r="Y4820" s="378"/>
      <c r="Z4820" s="121"/>
      <c r="AA4820" s="86"/>
      <c r="AB4820" s="409"/>
      <c r="AC4820" s="121"/>
      <c r="AD4820" s="94"/>
      <c r="AE4820" s="428"/>
    </row>
    <row r="4821" spans="3:31" s="260" customFormat="1" ht="15.75" thickBot="1" x14ac:dyDescent="0.3">
      <c r="C4821" s="84"/>
      <c r="D4821" s="355"/>
      <c r="E4821" s="367"/>
      <c r="F4821" s="367"/>
      <c r="G4821" s="367"/>
      <c r="H4821" s="412">
        <f>G4819</f>
        <v>4.21</v>
      </c>
      <c r="I4821" s="412"/>
      <c r="J4821" s="422"/>
      <c r="K4821" s="88"/>
      <c r="M4821" s="544" t="s">
        <v>122</v>
      </c>
      <c r="N4821" s="537"/>
      <c r="O4821" s="537"/>
      <c r="P4821" s="537"/>
      <c r="Q4821" s="537"/>
      <c r="R4821" s="537"/>
      <c r="S4821" s="537"/>
      <c r="T4821" s="537"/>
      <c r="U4821" s="545">
        <f>+V4819+V4812+V4804+V4795</f>
        <v>34167.730000000003</v>
      </c>
      <c r="V4821" s="546"/>
      <c r="Y4821" s="429"/>
      <c r="Z4821" s="430">
        <f>+Z4819+Z4812+Z4804+Z4795</f>
        <v>4441804.22</v>
      </c>
      <c r="AA4821" s="86"/>
      <c r="AB4821" s="431">
        <f>+AB4819+AB4812+AB4804+AB4795</f>
        <v>4441804.9000000004</v>
      </c>
      <c r="AC4821" s="404">
        <f>+AB4821-Z4821</f>
        <v>0.68000000063329935</v>
      </c>
      <c r="AD4821" s="94"/>
      <c r="AE4821" s="432"/>
    </row>
    <row r="4822" spans="3:31" s="260" customFormat="1" ht="15.75" thickBot="1" x14ac:dyDescent="0.3"/>
    <row r="4823" spans="3:31" s="260" customFormat="1" x14ac:dyDescent="0.25">
      <c r="M4823" s="547" t="s">
        <v>348</v>
      </c>
      <c r="N4823" s="548"/>
      <c r="O4823" s="548"/>
      <c r="P4823" s="548"/>
      <c r="Q4823" s="548"/>
      <c r="R4823" s="548"/>
      <c r="S4823" s="548"/>
      <c r="T4823" s="548"/>
      <c r="U4823" s="548"/>
      <c r="V4823" s="549"/>
      <c r="Y4823" s="378"/>
      <c r="Z4823" s="121"/>
      <c r="AA4823" s="86"/>
      <c r="AB4823" s="94"/>
      <c r="AC4823" s="94"/>
      <c r="AD4823" s="94"/>
      <c r="AE4823" s="126" t="s">
        <v>133</v>
      </c>
    </row>
    <row r="4824" spans="3:31" s="260" customFormat="1" x14ac:dyDescent="0.25">
      <c r="M4824" s="515" t="s">
        <v>138</v>
      </c>
      <c r="N4824" s="516"/>
      <c r="O4824" s="516"/>
      <c r="P4824" s="516"/>
      <c r="Q4824" s="516"/>
      <c r="R4824" s="516"/>
      <c r="S4824" s="516"/>
      <c r="T4824" s="437">
        <v>0</v>
      </c>
      <c r="U4824" s="517">
        <f>+ROUND(U4821*T4824,$AA$5)</f>
        <v>0</v>
      </c>
      <c r="V4824" s="518"/>
      <c r="Y4824" s="390"/>
      <c r="Z4824" s="438">
        <f>+Z4821*T4824</f>
        <v>0</v>
      </c>
      <c r="AA4824" s="86"/>
      <c r="AB4824" s="94"/>
      <c r="AC4824" s="94"/>
      <c r="AD4824" s="94"/>
      <c r="AE4824" s="386" t="s">
        <v>133</v>
      </c>
    </row>
    <row r="4825" spans="3:31" s="260" customFormat="1" x14ac:dyDescent="0.25">
      <c r="M4825" s="515" t="s">
        <v>19</v>
      </c>
      <c r="N4825" s="516"/>
      <c r="O4825" s="516"/>
      <c r="P4825" s="516"/>
      <c r="Q4825" s="516"/>
      <c r="R4825" s="516"/>
      <c r="S4825" s="516"/>
      <c r="T4825" s="437">
        <v>0.05</v>
      </c>
      <c r="U4825" s="517">
        <f>+ROUND(U4821*T4825,$AA$5)</f>
        <v>1708.39</v>
      </c>
      <c r="V4825" s="518"/>
      <c r="Y4825" s="390"/>
      <c r="Z4825" s="438">
        <f>+Z4821*T4825</f>
        <v>222090.21100000001</v>
      </c>
      <c r="AA4825" s="86"/>
      <c r="AB4825" s="94"/>
      <c r="AC4825" s="94"/>
      <c r="AD4825" s="94"/>
      <c r="AE4825" s="386" t="s">
        <v>133</v>
      </c>
    </row>
    <row r="4826" spans="3:31" s="260" customFormat="1" x14ac:dyDescent="0.25">
      <c r="M4826" s="515" t="s">
        <v>20</v>
      </c>
      <c r="N4826" s="516"/>
      <c r="O4826" s="516"/>
      <c r="P4826" s="516"/>
      <c r="Q4826" s="516"/>
      <c r="R4826" s="516"/>
      <c r="S4826" s="516"/>
      <c r="T4826" s="437">
        <v>0</v>
      </c>
      <c r="U4826" s="517">
        <f>+ROUND(U4821*T4826,$AA$5)</f>
        <v>0</v>
      </c>
      <c r="V4826" s="518"/>
      <c r="Y4826" s="390"/>
      <c r="Z4826" s="438">
        <f>+Z4821*T4826</f>
        <v>0</v>
      </c>
      <c r="AA4826" s="86"/>
      <c r="AB4826" s="94"/>
      <c r="AC4826" s="94"/>
      <c r="AD4826" s="94"/>
      <c r="AE4826" s="386" t="s">
        <v>133</v>
      </c>
    </row>
    <row r="4827" spans="3:31" s="260" customFormat="1" x14ac:dyDescent="0.25">
      <c r="M4827" s="515" t="s">
        <v>21</v>
      </c>
      <c r="N4827" s="516"/>
      <c r="O4827" s="516"/>
      <c r="P4827" s="516"/>
      <c r="Q4827" s="516"/>
      <c r="R4827" s="516"/>
      <c r="S4827" s="516"/>
      <c r="T4827" s="437">
        <f>$AA$9</f>
        <v>0</v>
      </c>
      <c r="U4827" s="517">
        <f>+ROUND(U4821*T4827,$AA$5)</f>
        <v>0</v>
      </c>
      <c r="V4827" s="518"/>
      <c r="Y4827" s="390"/>
      <c r="Z4827" s="438">
        <f>+Z4826*T4827</f>
        <v>0</v>
      </c>
      <c r="AA4827" s="86"/>
      <c r="AB4827" s="94"/>
      <c r="AC4827" s="94"/>
      <c r="AD4827" s="94"/>
      <c r="AE4827" s="386" t="s">
        <v>133</v>
      </c>
    </row>
    <row r="4828" spans="3:31" s="260" customFormat="1" ht="15.75" thickBot="1" x14ac:dyDescent="0.3">
      <c r="M4828" s="519" t="s">
        <v>349</v>
      </c>
      <c r="N4828" s="520"/>
      <c r="O4828" s="520"/>
      <c r="P4828" s="520"/>
      <c r="Q4828" s="520"/>
      <c r="R4828" s="520"/>
      <c r="S4828" s="520"/>
      <c r="T4828" s="520"/>
      <c r="U4828" s="521">
        <f>+SUM(U4824:V4827)</f>
        <v>1708.39</v>
      </c>
      <c r="V4828" s="522"/>
      <c r="Y4828" s="390"/>
      <c r="Z4828" s="439">
        <f>+SUM(Z4824:Z4827)</f>
        <v>222090.21100000001</v>
      </c>
      <c r="AA4828" s="86"/>
      <c r="AB4828" s="94"/>
      <c r="AC4828" s="94"/>
      <c r="AD4828" s="94"/>
      <c r="AE4828" s="386" t="s">
        <v>133</v>
      </c>
    </row>
    <row r="4829" spans="3:31" s="260" customFormat="1" ht="15.75" thickBot="1" x14ac:dyDescent="0.3">
      <c r="D4829" s="375" t="s">
        <v>128</v>
      </c>
      <c r="E4829" s="376" t="s">
        <v>129</v>
      </c>
      <c r="F4829" s="376" t="s">
        <v>130</v>
      </c>
      <c r="G4829" s="376" t="s">
        <v>131</v>
      </c>
      <c r="H4829" s="376" t="s">
        <v>132</v>
      </c>
      <c r="I4829" s="376" t="s">
        <v>133</v>
      </c>
      <c r="J4829" s="377" t="s">
        <v>134</v>
      </c>
      <c r="M4829" s="86"/>
      <c r="N4829" s="94"/>
      <c r="O4829" s="94"/>
      <c r="P4829" s="94"/>
      <c r="Q4829" s="86"/>
      <c r="R4829" s="86"/>
      <c r="S4829" s="86"/>
      <c r="T4829" s="440"/>
      <c r="U4829" s="523"/>
      <c r="V4829" s="523"/>
      <c r="Y4829" s="390"/>
      <c r="Z4829" s="385"/>
      <c r="AA4829" s="86"/>
      <c r="AB4829" s="94"/>
      <c r="AC4829" s="94"/>
      <c r="AD4829" s="94"/>
      <c r="AE4829" s="386" t="s">
        <v>133</v>
      </c>
    </row>
    <row r="4830" spans="3:31" s="260" customFormat="1" ht="15.75" thickBot="1" x14ac:dyDescent="0.3">
      <c r="D4830" s="355"/>
      <c r="E4830" s="367"/>
      <c r="F4830" s="367"/>
      <c r="G4830" s="367"/>
      <c r="H4830" s="412"/>
      <c r="I4830" s="412">
        <f>H4821</f>
        <v>4.21</v>
      </c>
      <c r="J4830" s="422"/>
      <c r="M4830" s="524" t="s">
        <v>11</v>
      </c>
      <c r="N4830" s="525"/>
      <c r="O4830" s="525"/>
      <c r="P4830" s="525"/>
      <c r="Q4830" s="525"/>
      <c r="R4830" s="525"/>
      <c r="S4830" s="525"/>
      <c r="T4830" s="526"/>
      <c r="U4830" s="527">
        <f>+U4828+U4821</f>
        <v>35876.120000000003</v>
      </c>
      <c r="V4830" s="528"/>
      <c r="Y4830" s="429"/>
      <c r="Z4830" s="441">
        <f>+Z4828+Z4821</f>
        <v>4663894.4309999999</v>
      </c>
      <c r="AA4830" s="86"/>
      <c r="AB4830" s="94"/>
      <c r="AC4830" s="94"/>
      <c r="AD4830" s="94"/>
      <c r="AE4830" s="405" t="s">
        <v>133</v>
      </c>
    </row>
    <row r="4831" spans="3:31" s="260" customFormat="1" x14ac:dyDescent="0.25"/>
    <row r="4832" spans="3:31" s="260" customFormat="1" ht="15.75" thickBot="1" x14ac:dyDescent="0.3"/>
    <row r="4833" spans="3:31" s="260" customFormat="1" ht="15.75" thickBot="1" x14ac:dyDescent="0.3">
      <c r="M4833" s="363" t="s">
        <v>88</v>
      </c>
      <c r="N4833" s="436" t="str">
        <f>+N4784</f>
        <v>CAP.4</v>
      </c>
      <c r="O4833" s="550" t="str">
        <f>IFERROR(VLOOKUP(N4833,PPTO!C:H,2,0),"----")</f>
        <v>RED SANITARIA</v>
      </c>
      <c r="P4833" s="551"/>
      <c r="Q4833" s="551"/>
      <c r="R4833" s="551"/>
      <c r="S4833" s="551"/>
      <c r="T4833" s="551"/>
      <c r="U4833" s="552"/>
      <c r="V4833" s="74" t="s">
        <v>91</v>
      </c>
      <c r="Y4833" s="365" t="s">
        <v>104</v>
      </c>
      <c r="Z4833" s="94"/>
      <c r="AA4833" s="188"/>
      <c r="AB4833" s="553"/>
      <c r="AC4833" s="553"/>
      <c r="AD4833" s="553"/>
      <c r="AE4833" s="94"/>
    </row>
    <row r="4834" spans="3:31" s="260" customFormat="1" ht="30.75" customHeight="1" thickBot="1" x14ac:dyDescent="0.3">
      <c r="C4834" s="369">
        <f>+N4834</f>
        <v>4.22</v>
      </c>
      <c r="D4834" s="86"/>
      <c r="E4834" s="86"/>
      <c r="F4834" s="86"/>
      <c r="G4834" s="86"/>
      <c r="H4834" s="86"/>
      <c r="I4834" s="86"/>
      <c r="J4834" s="86"/>
      <c r="K4834" s="370"/>
      <c r="M4834" s="75" t="s">
        <v>92</v>
      </c>
      <c r="N4834" s="371">
        <f>+ROUNDUP(N4785+0.01,2)</f>
        <v>4.22</v>
      </c>
      <c r="O4834" s="554" t="str">
        <f>IFERROR(VLOOKUP(N4834,PPTO!C:H,2,0),"----")</f>
        <v>Fijacion de tuberias verticales</v>
      </c>
      <c r="P4834" s="555"/>
      <c r="Q4834" s="555"/>
      <c r="R4834" s="555"/>
      <c r="S4834" s="555"/>
      <c r="T4834" s="555"/>
      <c r="U4834" s="556"/>
      <c r="V4834" s="76" t="str">
        <f>IFERROR(VLOOKUP(N4834,PPTO!C:H,3,0),"----")</f>
        <v>UND</v>
      </c>
      <c r="Y4834" s="373">
        <f>SUMIFS(PPTO!F:F,PPTO!C:C,APUS!N4834)</f>
        <v>18</v>
      </c>
      <c r="Z4834" s="94"/>
      <c r="AA4834" s="86"/>
      <c r="AB4834" s="94"/>
      <c r="AC4834" s="94"/>
      <c r="AD4834" s="94"/>
      <c r="AE4834" s="94"/>
    </row>
    <row r="4835" spans="3:31" s="260" customFormat="1" ht="15.75" thickBot="1" x14ac:dyDescent="0.3">
      <c r="C4835" s="84"/>
      <c r="D4835" s="86"/>
      <c r="E4835" s="86"/>
      <c r="F4835" s="86"/>
      <c r="G4835" s="86"/>
      <c r="H4835" s="86"/>
      <c r="I4835" s="86"/>
      <c r="J4835" s="86"/>
      <c r="K4835" s="88"/>
      <c r="M4835" s="557"/>
      <c r="N4835" s="557"/>
      <c r="O4835" s="557"/>
      <c r="P4835" s="557"/>
      <c r="Q4835" s="557"/>
      <c r="R4835" s="557"/>
      <c r="S4835" s="557"/>
      <c r="T4835" s="557"/>
      <c r="U4835" s="557"/>
      <c r="V4835" s="557"/>
      <c r="Y4835" s="374"/>
      <c r="Z4835" s="94"/>
      <c r="AA4835" s="86"/>
      <c r="AB4835" s="94"/>
      <c r="AC4835" s="94"/>
      <c r="AD4835" s="94"/>
      <c r="AE4835" s="94"/>
    </row>
    <row r="4836" spans="3:31" s="260" customFormat="1" ht="15.75" thickBot="1" x14ac:dyDescent="0.3">
      <c r="C4836" s="84"/>
      <c r="D4836" s="375" t="s">
        <v>128</v>
      </c>
      <c r="E4836" s="376" t="s">
        <v>129</v>
      </c>
      <c r="F4836" s="376" t="s">
        <v>130</v>
      </c>
      <c r="G4836" s="376" t="s">
        <v>131</v>
      </c>
      <c r="H4836" s="376" t="s">
        <v>132</v>
      </c>
      <c r="I4836" s="376" t="s">
        <v>133</v>
      </c>
      <c r="J4836" s="377" t="s">
        <v>134</v>
      </c>
      <c r="K4836" s="88"/>
      <c r="M4836" s="558" t="s">
        <v>93</v>
      </c>
      <c r="N4836" s="559"/>
      <c r="O4836" s="559"/>
      <c r="P4836" s="559"/>
      <c r="Q4836" s="559"/>
      <c r="R4836" s="559"/>
      <c r="S4836" s="559"/>
      <c r="T4836" s="559"/>
      <c r="U4836" s="559"/>
      <c r="V4836" s="560"/>
      <c r="Y4836" s="378"/>
      <c r="Z4836" s="121"/>
      <c r="AA4836" s="86"/>
      <c r="AB4836" s="513"/>
      <c r="AC4836" s="514"/>
      <c r="AD4836" s="94"/>
      <c r="AE4836" s="379"/>
    </row>
    <row r="4837" spans="3:31" s="260" customFormat="1" x14ac:dyDescent="0.25">
      <c r="C4837" s="84"/>
      <c r="D4837" s="380"/>
      <c r="E4837" s="381"/>
      <c r="F4837" s="381"/>
      <c r="G4837" s="381"/>
      <c r="H4837" s="381"/>
      <c r="I4837" s="381"/>
      <c r="J4837" s="382"/>
      <c r="K4837" s="88"/>
      <c r="M4837" s="99" t="s">
        <v>94</v>
      </c>
      <c r="N4837" s="561" t="s">
        <v>95</v>
      </c>
      <c r="O4837" s="561"/>
      <c r="P4837" s="561"/>
      <c r="Q4837" s="561"/>
      <c r="R4837" s="95" t="s">
        <v>96</v>
      </c>
      <c r="S4837" s="95" t="s">
        <v>97</v>
      </c>
      <c r="T4837" s="562" t="s">
        <v>8</v>
      </c>
      <c r="U4837" s="562"/>
      <c r="V4837" s="100" t="s">
        <v>98</v>
      </c>
      <c r="Y4837" s="383" t="s">
        <v>104</v>
      </c>
      <c r="Z4837" s="119" t="s">
        <v>9</v>
      </c>
      <c r="AA4837" s="86"/>
      <c r="AB4837" s="384"/>
      <c r="AC4837" s="385"/>
      <c r="AD4837" s="94"/>
      <c r="AE4837" s="386"/>
    </row>
    <row r="4838" spans="3:31" s="260" customFormat="1" x14ac:dyDescent="0.25">
      <c r="C4838" s="84"/>
      <c r="D4838" s="85"/>
      <c r="E4838" s="86"/>
      <c r="F4838" s="86"/>
      <c r="G4838" s="86"/>
      <c r="H4838" s="86"/>
      <c r="I4838" s="86"/>
      <c r="J4838" s="87"/>
      <c r="K4838" s="88"/>
      <c r="M4838" s="102"/>
      <c r="N4838" s="533" t="s">
        <v>99</v>
      </c>
      <c r="O4838" s="533"/>
      <c r="P4838" s="533"/>
      <c r="Q4838" s="533"/>
      <c r="R4838" s="78" t="s">
        <v>100</v>
      </c>
      <c r="S4838" s="387">
        <f>+$AA$10</f>
        <v>0.05</v>
      </c>
      <c r="T4838" s="563">
        <f>V4868</f>
        <v>14593.9</v>
      </c>
      <c r="U4838" s="563"/>
      <c r="V4838" s="389">
        <f>+IFERROR(T4838*S4838,0)</f>
        <v>729.69500000000005</v>
      </c>
      <c r="Y4838" s="390"/>
      <c r="Z4838" s="391">
        <f>Y4834*V4838</f>
        <v>13134.51</v>
      </c>
      <c r="AA4838" s="86"/>
      <c r="AB4838" s="384"/>
      <c r="AC4838" s="385"/>
      <c r="AD4838" s="94"/>
      <c r="AE4838" s="386" t="str">
        <f>+IF(V4838=0,"CERO","NO")</f>
        <v>NO</v>
      </c>
    </row>
    <row r="4839" spans="3:31" s="260" customFormat="1" x14ac:dyDescent="0.25">
      <c r="C4839" s="84"/>
      <c r="D4839" s="85"/>
      <c r="E4839" s="86"/>
      <c r="F4839" s="86"/>
      <c r="G4839" s="86"/>
      <c r="H4839" s="86"/>
      <c r="I4839" s="86"/>
      <c r="J4839" s="87"/>
      <c r="K4839" s="88"/>
      <c r="M4839" s="106"/>
      <c r="N4839" s="533" t="str">
        <f>IFERROR(VLOOKUP(M4839,INSUMOS!$C$8:$K$928,2,0),"-----")</f>
        <v>-----</v>
      </c>
      <c r="O4839" s="533"/>
      <c r="P4839" s="533"/>
      <c r="Q4839" s="533"/>
      <c r="R4839" s="78" t="str">
        <f>IFERROR(VLOOKUP(M4839,INSUMOS!$C$8:$K$928,6,0),"-----")</f>
        <v>-----</v>
      </c>
      <c r="S4839" s="392"/>
      <c r="T4839" s="529" t="str">
        <f>IFERROR(VLOOKUP(M4839,INSUMOS!$C$8:$K$928,7,0),"0")</f>
        <v>0</v>
      </c>
      <c r="U4839" s="529"/>
      <c r="V4839" s="389">
        <f>+IFERROR(T4839*S4839,0)</f>
        <v>0</v>
      </c>
      <c r="Y4839" s="393">
        <f>+IFERROR(Y4834*S4839,0)</f>
        <v>0</v>
      </c>
      <c r="Z4839" s="391">
        <f>Y4834*V4839</f>
        <v>0</v>
      </c>
      <c r="AA4839" s="394"/>
      <c r="AB4839" s="395">
        <f>+Y4839*T4839</f>
        <v>0</v>
      </c>
      <c r="AC4839" s="93">
        <f>+AB4839-Z4839</f>
        <v>0</v>
      </c>
      <c r="AD4839" s="94"/>
      <c r="AE4839" s="386" t="str">
        <f>+IF(V4839=0,"CERO","NO")</f>
        <v>CERO</v>
      </c>
    </row>
    <row r="4840" spans="3:31" s="260" customFormat="1" x14ac:dyDescent="0.25">
      <c r="C4840" s="84"/>
      <c r="D4840" s="85"/>
      <c r="E4840" s="86"/>
      <c r="F4840" s="86"/>
      <c r="G4840" s="86"/>
      <c r="H4840" s="86"/>
      <c r="I4840" s="86"/>
      <c r="J4840" s="87"/>
      <c r="K4840" s="88"/>
      <c r="M4840" s="102">
        <v>0</v>
      </c>
      <c r="N4840" s="533"/>
      <c r="O4840" s="533"/>
      <c r="P4840" s="533"/>
      <c r="Q4840" s="533"/>
      <c r="R4840" s="78"/>
      <c r="S4840" s="396"/>
      <c r="T4840" s="529"/>
      <c r="U4840" s="529"/>
      <c r="V4840" s="397"/>
      <c r="Y4840" s="393">
        <f>+IFERROR(Y4834*S4840,0)</f>
        <v>0</v>
      </c>
      <c r="Z4840" s="391">
        <f>Y4834*V4840</f>
        <v>0</v>
      </c>
      <c r="AA4840" s="394"/>
      <c r="AB4840" s="395">
        <f>+Y4840*T4840</f>
        <v>0</v>
      </c>
      <c r="AC4840" s="93">
        <f>+AB4840-Z4840</f>
        <v>0</v>
      </c>
      <c r="AD4840" s="94"/>
      <c r="AE4840" s="386" t="str">
        <f>+IF(V4840=0,"CERO","NO")</f>
        <v>CERO</v>
      </c>
    </row>
    <row r="4841" spans="3:31" s="260" customFormat="1" x14ac:dyDescent="0.25">
      <c r="C4841" s="84"/>
      <c r="D4841" s="85"/>
      <c r="E4841" s="86"/>
      <c r="F4841" s="86"/>
      <c r="G4841" s="86"/>
      <c r="H4841" s="86"/>
      <c r="I4841" s="86"/>
      <c r="J4841" s="87"/>
      <c r="K4841" s="88"/>
      <c r="M4841" s="102">
        <v>0</v>
      </c>
      <c r="N4841" s="533"/>
      <c r="O4841" s="533"/>
      <c r="P4841" s="533"/>
      <c r="Q4841" s="533"/>
      <c r="R4841" s="78"/>
      <c r="S4841" s="396"/>
      <c r="T4841" s="529"/>
      <c r="U4841" s="529"/>
      <c r="V4841" s="397"/>
      <c r="Y4841" s="393">
        <f>+IFERROR(Y4834*S4841,0)</f>
        <v>0</v>
      </c>
      <c r="Z4841" s="391">
        <f>Y4834*V4841</f>
        <v>0</v>
      </c>
      <c r="AA4841" s="394"/>
      <c r="AB4841" s="395">
        <f>+Y4841*T4841</f>
        <v>0</v>
      </c>
      <c r="AC4841" s="93">
        <f>+AB4841-Z4841</f>
        <v>0</v>
      </c>
      <c r="AD4841" s="94"/>
      <c r="AE4841" s="386" t="str">
        <f>+IF(V4841=0,"CERO","NO")</f>
        <v>CERO</v>
      </c>
    </row>
    <row r="4842" spans="3:31" s="260" customFormat="1" ht="15.75" thickBot="1" x14ac:dyDescent="0.3">
      <c r="C4842" s="84"/>
      <c r="D4842" s="85"/>
      <c r="E4842" s="86"/>
      <c r="F4842" s="86"/>
      <c r="G4842" s="86"/>
      <c r="H4842" s="86"/>
      <c r="I4842" s="86"/>
      <c r="J4842" s="87"/>
      <c r="K4842" s="88"/>
      <c r="M4842" s="102">
        <v>0</v>
      </c>
      <c r="N4842" s="564"/>
      <c r="O4842" s="564"/>
      <c r="P4842" s="564"/>
      <c r="Q4842" s="564"/>
      <c r="R4842" s="96"/>
      <c r="S4842" s="96"/>
      <c r="T4842" s="565"/>
      <c r="U4842" s="565"/>
      <c r="V4842" s="101"/>
      <c r="Y4842" s="393">
        <f>+IFERROR(Y4834*S4842,0)</f>
        <v>0</v>
      </c>
      <c r="Z4842" s="391">
        <f>Y4834*V4842</f>
        <v>0</v>
      </c>
      <c r="AA4842" s="394"/>
      <c r="AB4842" s="395">
        <f>+Y4842*T4842</f>
        <v>0</v>
      </c>
      <c r="AC4842" s="93">
        <f>+AB4842-Z4842</f>
        <v>0</v>
      </c>
      <c r="AD4842" s="94"/>
      <c r="AE4842" s="386" t="str">
        <f>+IF(V4842=0,"CERO","NO")</f>
        <v>CERO</v>
      </c>
    </row>
    <row r="4843" spans="3:31" s="260" customFormat="1" ht="15.75" thickBot="1" x14ac:dyDescent="0.3">
      <c r="C4843" s="84"/>
      <c r="D4843" s="375" t="s">
        <v>128</v>
      </c>
      <c r="E4843" s="376" t="s">
        <v>129</v>
      </c>
      <c r="F4843" s="376" t="s">
        <v>130</v>
      </c>
      <c r="G4843" s="376" t="s">
        <v>131</v>
      </c>
      <c r="H4843" s="376" t="s">
        <v>132</v>
      </c>
      <c r="I4843" s="376" t="s">
        <v>133</v>
      </c>
      <c r="J4843" s="377" t="s">
        <v>134</v>
      </c>
      <c r="K4843" s="88"/>
      <c r="M4843" s="534"/>
      <c r="N4843" s="536" t="s">
        <v>101</v>
      </c>
      <c r="O4843" s="536"/>
      <c r="P4843" s="536"/>
      <c r="Q4843" s="536"/>
      <c r="R4843" s="536"/>
      <c r="S4843" s="536"/>
      <c r="T4843" s="536"/>
      <c r="U4843" s="536"/>
      <c r="V4843" s="389">
        <f>+SUM(V4838:V4842)</f>
        <v>729.69500000000005</v>
      </c>
      <c r="Y4843" s="398" t="s">
        <v>135</v>
      </c>
      <c r="Z4843" s="397">
        <f>+SUM(Z4838:Z4842)</f>
        <v>13134.51</v>
      </c>
      <c r="AA4843" s="86"/>
      <c r="AB4843" s="384"/>
      <c r="AC4843" s="385"/>
      <c r="AD4843" s="94"/>
      <c r="AE4843" s="399"/>
    </row>
    <row r="4844" spans="3:31" s="260" customFormat="1" ht="15.75" thickBot="1" x14ac:dyDescent="0.3">
      <c r="C4844" s="84"/>
      <c r="D4844" s="375">
        <f>C4834</f>
        <v>4.22</v>
      </c>
      <c r="E4844" s="376"/>
      <c r="F4844" s="376"/>
      <c r="G4844" s="376"/>
      <c r="H4844" s="376"/>
      <c r="I4844" s="376"/>
      <c r="J4844" s="377"/>
      <c r="K4844" s="88"/>
      <c r="M4844" s="566"/>
      <c r="N4844" s="567" t="s">
        <v>102</v>
      </c>
      <c r="O4844" s="567"/>
      <c r="P4844" s="567"/>
      <c r="Q4844" s="567"/>
      <c r="R4844" s="567"/>
      <c r="S4844" s="567"/>
      <c r="T4844" s="567"/>
      <c r="U4844" s="567"/>
      <c r="V4844" s="400">
        <f>+ROUND(V4843,$AA$5)</f>
        <v>729.7</v>
      </c>
      <c r="Y4844" s="401" t="s">
        <v>136</v>
      </c>
      <c r="Z4844" s="402">
        <f>+ROUND(Z4843,$AA$5)</f>
        <v>13134.51</v>
      </c>
      <c r="AA4844" s="86"/>
      <c r="AB4844" s="403">
        <f>+V4844*Y4834</f>
        <v>13134.6</v>
      </c>
      <c r="AC4844" s="404">
        <f>+AB4844-Z4844</f>
        <v>9.0000000000145519E-2</v>
      </c>
      <c r="AD4844" s="94"/>
      <c r="AE4844" s="405"/>
    </row>
    <row r="4845" spans="3:31" s="260" customFormat="1" x14ac:dyDescent="0.25">
      <c r="C4845" s="84"/>
      <c r="D4845" s="380"/>
      <c r="E4845" s="381"/>
      <c r="F4845" s="381"/>
      <c r="G4845" s="381"/>
      <c r="H4845" s="381"/>
      <c r="I4845" s="381"/>
      <c r="J4845" s="382"/>
      <c r="K4845" s="88"/>
      <c r="M4845" s="510" t="s">
        <v>103</v>
      </c>
      <c r="N4845" s="511"/>
      <c r="O4845" s="511"/>
      <c r="P4845" s="511"/>
      <c r="Q4845" s="511"/>
      <c r="R4845" s="511"/>
      <c r="S4845" s="511"/>
      <c r="T4845" s="511"/>
      <c r="U4845" s="511"/>
      <c r="V4845" s="512"/>
      <c r="Y4845" s="378"/>
      <c r="Z4845" s="121"/>
      <c r="AA4845" s="86"/>
      <c r="AB4845" s="513"/>
      <c r="AC4845" s="514"/>
      <c r="AD4845" s="94"/>
      <c r="AE4845" s="126"/>
    </row>
    <row r="4846" spans="3:31" s="260" customFormat="1" x14ac:dyDescent="0.25">
      <c r="C4846" s="84"/>
      <c r="D4846" s="85"/>
      <c r="E4846" s="86"/>
      <c r="F4846" s="86"/>
      <c r="G4846" s="86"/>
      <c r="H4846" s="86"/>
      <c r="I4846" s="86"/>
      <c r="J4846" s="87"/>
      <c r="K4846" s="88"/>
      <c r="M4846" s="99" t="s">
        <v>94</v>
      </c>
      <c r="N4846" s="561" t="s">
        <v>95</v>
      </c>
      <c r="O4846" s="561"/>
      <c r="P4846" s="561"/>
      <c r="Q4846" s="561"/>
      <c r="R4846" s="95" t="s">
        <v>96</v>
      </c>
      <c r="S4846" s="95" t="s">
        <v>104</v>
      </c>
      <c r="T4846" s="356" t="s">
        <v>105</v>
      </c>
      <c r="U4846" s="356" t="s">
        <v>8</v>
      </c>
      <c r="V4846" s="100" t="s">
        <v>98</v>
      </c>
      <c r="Y4846" s="383" t="s">
        <v>104</v>
      </c>
      <c r="Z4846" s="119" t="s">
        <v>9</v>
      </c>
      <c r="AA4846" s="86"/>
      <c r="AB4846" s="384"/>
      <c r="AC4846" s="385"/>
      <c r="AD4846" s="94"/>
      <c r="AE4846" s="406"/>
    </row>
    <row r="4847" spans="3:31" s="260" customFormat="1" x14ac:dyDescent="0.25">
      <c r="C4847" s="84"/>
      <c r="D4847" s="85"/>
      <c r="E4847" s="86"/>
      <c r="F4847" s="86"/>
      <c r="G4847" s="86"/>
      <c r="H4847" s="86"/>
      <c r="I4847" s="86"/>
      <c r="J4847" s="87"/>
      <c r="K4847" s="88"/>
      <c r="M4847" s="102">
        <v>938</v>
      </c>
      <c r="N4847" s="533" t="str">
        <f>IFERROR(VLOOKUP(M4847,INSUMOS!$C$8:$K$928,2,0),"-----")</f>
        <v>PERNO HEXAGONAL Ø3/8"</v>
      </c>
      <c r="O4847" s="533"/>
      <c r="P4847" s="533"/>
      <c r="Q4847" s="533"/>
      <c r="R4847" s="78" t="str">
        <f>IFERROR(VLOOKUP(M4847,INSUMOS!$C$8:$K$928,6,0),"-----")</f>
        <v>und</v>
      </c>
      <c r="S4847" s="396">
        <v>6</v>
      </c>
      <c r="T4847" s="387">
        <v>0</v>
      </c>
      <c r="U4847" s="388">
        <f>IFERROR(VLOOKUP(M4847,INSUMOS!$C$8:$K$928,7,0),"0")</f>
        <v>8800</v>
      </c>
      <c r="V4847" s="389">
        <f>+IFERROR(U4847*(S4847*(1+T4847)),0)</f>
        <v>52800</v>
      </c>
      <c r="Y4847" s="393">
        <f>+IFERROR(Y4834*(S4847*(1+T4847)),0)</f>
        <v>108</v>
      </c>
      <c r="Z4847" s="391">
        <f>Y4834*V4847</f>
        <v>950400</v>
      </c>
      <c r="AA4847" s="394"/>
      <c r="AB4847" s="395">
        <f>+Y4847*U4847</f>
        <v>950400</v>
      </c>
      <c r="AC4847" s="93">
        <f>+AB4847-Z4847</f>
        <v>0</v>
      </c>
      <c r="AD4847" s="94"/>
      <c r="AE4847" s="406" t="str">
        <f>+IF(V4847=0,"CERO","NO")</f>
        <v>NO</v>
      </c>
    </row>
    <row r="4848" spans="3:31" s="260" customFormat="1" x14ac:dyDescent="0.25">
      <c r="C4848" s="84"/>
      <c r="D4848" s="85"/>
      <c r="E4848" s="86"/>
      <c r="F4848" s="86"/>
      <c r="G4848" s="86"/>
      <c r="H4848" s="86"/>
      <c r="I4848" s="86"/>
      <c r="J4848" s="87"/>
      <c r="K4848" s="88"/>
      <c r="M4848" s="102">
        <v>613</v>
      </c>
      <c r="N4848" s="533" t="str">
        <f>IFERROR(VLOOKUP(M4848,INSUMOS!$C$8:$K$928,2,0),"-----")</f>
        <v>Angulo 6"x6"x1/8"</v>
      </c>
      <c r="O4848" s="533"/>
      <c r="P4848" s="533"/>
      <c r="Q4848" s="533"/>
      <c r="R4848" s="78" t="str">
        <f>IFERROR(VLOOKUP(M4848,INSUMOS!$C$8:$K$928,6,0),"-----")</f>
        <v>ml</v>
      </c>
      <c r="S4848" s="396">
        <v>0.25</v>
      </c>
      <c r="T4848" s="387">
        <v>0</v>
      </c>
      <c r="U4848" s="388">
        <f>IFERROR(VLOOKUP(M4848,INSUMOS!$C$8:$K$928,7,0),"0")</f>
        <v>112500</v>
      </c>
      <c r="V4848" s="389">
        <f>+IFERROR(U4848*(S4848*(1+T4848)),0)</f>
        <v>28125</v>
      </c>
      <c r="Y4848" s="393">
        <f>+IFERROR(Y4834*(S4848*(1+T4848)),0)</f>
        <v>4.5</v>
      </c>
      <c r="Z4848" s="391">
        <f>Y4834*V4848</f>
        <v>506250</v>
      </c>
      <c r="AA4848" s="394"/>
      <c r="AB4848" s="395">
        <f>+Y4848*U4848</f>
        <v>506250</v>
      </c>
      <c r="AC4848" s="93">
        <f>+AB4848-Z4848</f>
        <v>0</v>
      </c>
      <c r="AD4848" s="94"/>
      <c r="AE4848" s="406" t="str">
        <f>+IF(V4848=0,"CERO","NO")</f>
        <v>NO</v>
      </c>
    </row>
    <row r="4849" spans="3:31" s="260" customFormat="1" x14ac:dyDescent="0.25">
      <c r="C4849" s="84"/>
      <c r="D4849" s="85"/>
      <c r="E4849" s="86"/>
      <c r="F4849" s="86"/>
      <c r="G4849" s="86"/>
      <c r="H4849" s="86"/>
      <c r="I4849" s="86"/>
      <c r="J4849" s="87"/>
      <c r="K4849" s="88"/>
      <c r="M4849" s="102">
        <v>614</v>
      </c>
      <c r="N4849" s="533" t="str">
        <f>IFERROR(VLOOKUP(M4849,INSUMOS!$C$8:$K$928,2,0),"-----")</f>
        <v>Pletina de acero 2"x1/8"</v>
      </c>
      <c r="O4849" s="533"/>
      <c r="P4849" s="533"/>
      <c r="Q4849" s="533"/>
      <c r="R4849" s="78" t="str">
        <f>IFERROR(VLOOKUP(M4849,INSUMOS!$C$8:$K$928,6,0),"-----")</f>
        <v>ml</v>
      </c>
      <c r="S4849" s="396">
        <v>0.8</v>
      </c>
      <c r="T4849" s="387">
        <v>0</v>
      </c>
      <c r="U4849" s="388">
        <f>IFERROR(VLOOKUP(M4849,INSUMOS!$C$8:$K$928,7,0),"0")</f>
        <v>7400</v>
      </c>
      <c r="V4849" s="389">
        <f>+IFERROR(U4849*(S4849*(1+T4849)),0)</f>
        <v>5920</v>
      </c>
      <c r="Y4849" s="393">
        <f>+IFERROR(Y4834*(S4849*(1+T4849)),0)</f>
        <v>14.4</v>
      </c>
      <c r="Z4849" s="391">
        <f>Y4834*V4849</f>
        <v>106560</v>
      </c>
      <c r="AA4849" s="394"/>
      <c r="AB4849" s="395">
        <f>+Y4849*U4849</f>
        <v>106560</v>
      </c>
      <c r="AC4849" s="93">
        <f>+AB4849-Z4849</f>
        <v>0</v>
      </c>
      <c r="AD4849" s="94"/>
      <c r="AE4849" s="406" t="str">
        <f>+IF(V4849=0,"CERO","NO")</f>
        <v>NO</v>
      </c>
    </row>
    <row r="4850" spans="3:31" s="260" customFormat="1" x14ac:dyDescent="0.25">
      <c r="C4850" s="84"/>
      <c r="D4850" s="85"/>
      <c r="E4850" s="86"/>
      <c r="F4850" s="86"/>
      <c r="G4850" s="86"/>
      <c r="H4850" s="86"/>
      <c r="I4850" s="86"/>
      <c r="J4850" s="87"/>
      <c r="K4850" s="88"/>
      <c r="M4850" s="102">
        <v>936</v>
      </c>
      <c r="N4850" s="533" t="str">
        <f>IFERROR(VLOOKUP(M4850,INSUMOS!$C$8:$K$928,2,0),"-----")</f>
        <v>SIKA ANCHORFIX-4</v>
      </c>
      <c r="O4850" s="533"/>
      <c r="P4850" s="533"/>
      <c r="Q4850" s="533"/>
      <c r="R4850" s="78" t="str">
        <f>IFERROR(VLOOKUP(M4850,INSUMOS!$C$8:$K$928,6,0),"-----")</f>
        <v>cm3</v>
      </c>
      <c r="S4850" s="396">
        <v>5</v>
      </c>
      <c r="T4850" s="387">
        <v>0</v>
      </c>
      <c r="U4850" s="388">
        <f>IFERROR(VLOOKUP(M4850,INSUMOS!$C$8:$K$928,7,0),"0")</f>
        <v>255.85</v>
      </c>
      <c r="V4850" s="389">
        <f>+IFERROR(U4850*(S4850*(1+T4850)),0)</f>
        <v>1279.25</v>
      </c>
      <c r="Y4850" s="393">
        <f>+IFERROR(Y4834*(S4850*(1+T4850)),0)</f>
        <v>90</v>
      </c>
      <c r="Z4850" s="391">
        <f>Y4834*V4850</f>
        <v>23026.5</v>
      </c>
      <c r="AA4850" s="394"/>
      <c r="AB4850" s="395">
        <f>+Y4850*U4850</f>
        <v>23026.5</v>
      </c>
      <c r="AC4850" s="93">
        <f>+AB4850-Z4850</f>
        <v>0</v>
      </c>
      <c r="AD4850" s="94"/>
      <c r="AE4850" s="406" t="str">
        <f>+IF(V4850=0,"CERO","NO")</f>
        <v>NO</v>
      </c>
    </row>
    <row r="4851" spans="3:31" s="260" customFormat="1" ht="15.75" thickBot="1" x14ac:dyDescent="0.3">
      <c r="C4851" s="84"/>
      <c r="D4851" s="85"/>
      <c r="E4851" s="86"/>
      <c r="F4851" s="86"/>
      <c r="G4851" s="86"/>
      <c r="H4851" s="86"/>
      <c r="I4851" s="86"/>
      <c r="J4851" s="87"/>
      <c r="K4851" s="88"/>
      <c r="M4851" s="102">
        <v>937</v>
      </c>
      <c r="N4851" s="533" t="str">
        <f>IFERROR(VLOOKUP(M4851,INSUMOS!$C$8:$K$928,2,0),"-----")</f>
        <v>CHAZO MULTIPROPOSITO Ø3/8"</v>
      </c>
      <c r="O4851" s="533"/>
      <c r="P4851" s="533"/>
      <c r="Q4851" s="533"/>
      <c r="R4851" s="78" t="str">
        <f>IFERROR(VLOOKUP(M4851,INSUMOS!$C$8:$K$928,6,0),"-----")</f>
        <v>und</v>
      </c>
      <c r="S4851" s="396">
        <v>6</v>
      </c>
      <c r="T4851" s="387">
        <v>0</v>
      </c>
      <c r="U4851" s="388">
        <f>IFERROR(VLOOKUP(M4851,INSUMOS!$C$8:$K$928,7,0),"0")</f>
        <v>1100</v>
      </c>
      <c r="V4851" s="389">
        <f>+IFERROR(U4851*(S4851*(1+T4851)),0)</f>
        <v>6600</v>
      </c>
      <c r="Y4851" s="393">
        <f>+IFERROR(Y4834*(S4851*(1+T4851)),0)</f>
        <v>108</v>
      </c>
      <c r="Z4851" s="391">
        <f>Y4834*V4851</f>
        <v>118800</v>
      </c>
      <c r="AA4851" s="394"/>
      <c r="AB4851" s="395">
        <f>+Y4851*U4851</f>
        <v>118800</v>
      </c>
      <c r="AC4851" s="93">
        <f>+AB4851-Z4851</f>
        <v>0</v>
      </c>
      <c r="AD4851" s="94"/>
      <c r="AE4851" s="406" t="str">
        <f>+IF(V4851=0,"CERO","NO")</f>
        <v>NO</v>
      </c>
    </row>
    <row r="4852" spans="3:31" s="260" customFormat="1" ht="15.75" thickBot="1" x14ac:dyDescent="0.3">
      <c r="C4852" s="84"/>
      <c r="D4852" s="375" t="s">
        <v>128</v>
      </c>
      <c r="E4852" s="376" t="s">
        <v>129</v>
      </c>
      <c r="F4852" s="376" t="s">
        <v>130</v>
      </c>
      <c r="G4852" s="376" t="s">
        <v>131</v>
      </c>
      <c r="H4852" s="376" t="s">
        <v>132</v>
      </c>
      <c r="I4852" s="376" t="s">
        <v>133</v>
      </c>
      <c r="J4852" s="377" t="s">
        <v>134</v>
      </c>
      <c r="K4852" s="88"/>
      <c r="M4852" s="534"/>
      <c r="N4852" s="536" t="s">
        <v>106</v>
      </c>
      <c r="O4852" s="536"/>
      <c r="P4852" s="536"/>
      <c r="Q4852" s="536"/>
      <c r="R4852" s="536"/>
      <c r="S4852" s="536"/>
      <c r="T4852" s="536"/>
      <c r="U4852" s="536"/>
      <c r="V4852" s="389">
        <f>+SUM(V4847:V4851)</f>
        <v>94724.25</v>
      </c>
      <c r="Y4852" s="398" t="s">
        <v>135</v>
      </c>
      <c r="Z4852" s="397">
        <f>+SUM(Z4847:Z4851)</f>
        <v>1705036.5</v>
      </c>
      <c r="AA4852" s="86"/>
      <c r="AB4852" s="384"/>
      <c r="AC4852" s="385"/>
      <c r="AD4852" s="94"/>
      <c r="AE4852" s="399"/>
    </row>
    <row r="4853" spans="3:31" s="260" customFormat="1" ht="15.75" thickBot="1" x14ac:dyDescent="0.3">
      <c r="C4853" s="84"/>
      <c r="D4853" s="375"/>
      <c r="E4853" s="407">
        <f>+D4844</f>
        <v>4.22</v>
      </c>
      <c r="F4853" s="376"/>
      <c r="G4853" s="376"/>
      <c r="H4853" s="376"/>
      <c r="I4853" s="376"/>
      <c r="J4853" s="377"/>
      <c r="K4853" s="88"/>
      <c r="M4853" s="535"/>
      <c r="N4853" s="537" t="s">
        <v>107</v>
      </c>
      <c r="O4853" s="537"/>
      <c r="P4853" s="537"/>
      <c r="Q4853" s="537"/>
      <c r="R4853" s="537"/>
      <c r="S4853" s="537"/>
      <c r="T4853" s="537"/>
      <c r="U4853" s="537"/>
      <c r="V4853" s="408">
        <f>+ROUND(V4852,$AA$5)</f>
        <v>94724.25</v>
      </c>
      <c r="Y4853" s="401" t="s">
        <v>136</v>
      </c>
      <c r="Z4853" s="402">
        <f>+ROUND(Z4852,$AA$5)</f>
        <v>1705036.5</v>
      </c>
      <c r="AA4853" s="86"/>
      <c r="AB4853" s="403">
        <f>+V4853*Y4834</f>
        <v>1705036.5</v>
      </c>
      <c r="AC4853" s="404">
        <f>+AB4853-Z4853</f>
        <v>0</v>
      </c>
      <c r="AD4853" s="94"/>
      <c r="AE4853" s="405"/>
    </row>
    <row r="4854" spans="3:31" s="260" customFormat="1" x14ac:dyDescent="0.25">
      <c r="C4854" s="84"/>
      <c r="D4854" s="380"/>
      <c r="E4854" s="381"/>
      <c r="F4854" s="381"/>
      <c r="G4854" s="381"/>
      <c r="H4854" s="381"/>
      <c r="I4854" s="381"/>
      <c r="J4854" s="382"/>
      <c r="K4854" s="88"/>
      <c r="M4854" s="568" t="s">
        <v>108</v>
      </c>
      <c r="N4854" s="569"/>
      <c r="O4854" s="569"/>
      <c r="P4854" s="569"/>
      <c r="Q4854" s="569"/>
      <c r="R4854" s="569"/>
      <c r="S4854" s="569"/>
      <c r="T4854" s="569"/>
      <c r="U4854" s="569"/>
      <c r="V4854" s="570"/>
      <c r="Y4854" s="378"/>
      <c r="Z4854" s="121"/>
      <c r="AA4854" s="86"/>
      <c r="AB4854" s="409"/>
      <c r="AC4854" s="121"/>
      <c r="AD4854" s="94"/>
      <c r="AE4854" s="126"/>
    </row>
    <row r="4855" spans="3:31" s="260" customFormat="1" ht="25.5" x14ac:dyDescent="0.25">
      <c r="C4855" s="84"/>
      <c r="D4855" s="85"/>
      <c r="E4855" s="86"/>
      <c r="F4855" s="86"/>
      <c r="G4855" s="86"/>
      <c r="H4855" s="86"/>
      <c r="I4855" s="86"/>
      <c r="J4855" s="87"/>
      <c r="K4855" s="88"/>
      <c r="M4855" s="99" t="s">
        <v>94</v>
      </c>
      <c r="N4855" s="561" t="s">
        <v>95</v>
      </c>
      <c r="O4855" s="561"/>
      <c r="P4855" s="561"/>
      <c r="Q4855" s="95" t="s">
        <v>109</v>
      </c>
      <c r="R4855" s="95" t="s">
        <v>110</v>
      </c>
      <c r="S4855" s="95" t="s">
        <v>111</v>
      </c>
      <c r="T4855" s="562" t="s">
        <v>112</v>
      </c>
      <c r="U4855" s="562"/>
      <c r="V4855" s="100" t="s">
        <v>98</v>
      </c>
      <c r="Y4855" s="383" t="s">
        <v>104</v>
      </c>
      <c r="Z4855" s="119" t="s">
        <v>9</v>
      </c>
      <c r="AA4855" s="86"/>
      <c r="AB4855" s="384"/>
      <c r="AC4855" s="385"/>
      <c r="AD4855" s="94"/>
      <c r="AE4855" s="410"/>
    </row>
    <row r="4856" spans="3:31" s="260" customFormat="1" x14ac:dyDescent="0.25">
      <c r="C4856" s="84"/>
      <c r="D4856" s="85"/>
      <c r="E4856" s="86"/>
      <c r="F4856" s="86"/>
      <c r="G4856" s="86"/>
      <c r="H4856" s="86"/>
      <c r="I4856" s="86"/>
      <c r="J4856" s="87"/>
      <c r="K4856" s="88"/>
      <c r="M4856" s="102"/>
      <c r="N4856" s="530" t="str">
        <f>IFERROR(VLOOKUP(M4856,INSUMOS!$C$8:$K$928,2,0),"-----")</f>
        <v>-----</v>
      </c>
      <c r="O4856" s="531"/>
      <c r="P4856" s="532"/>
      <c r="Q4856" s="78" t="str">
        <f>IFERROR(VLOOKUP(M4856,INSUMOS!$C$8:$K$928,5,0),"-----")</f>
        <v>-----</v>
      </c>
      <c r="R4856" s="80"/>
      <c r="S4856" s="80" t="str">
        <f>IFERROR(VLOOKUP(M4856,INSUMOS!$C$8:$K$928,6,0),"0")</f>
        <v>0</v>
      </c>
      <c r="T4856" s="529" t="str">
        <f>IFERROR(VLOOKUP(M4856,INSUMOS!$C$8:$K$928,7,0),"0")</f>
        <v>0</v>
      </c>
      <c r="U4856" s="529"/>
      <c r="V4856" s="82">
        <f>+T4856*S4856*R4856</f>
        <v>0</v>
      </c>
      <c r="Y4856" s="393">
        <f>+IFERROR((R4856*S4856)*Y4834,0)</f>
        <v>0</v>
      </c>
      <c r="Z4856" s="391">
        <f>Y4834*V4856</f>
        <v>0</v>
      </c>
      <c r="AA4856" s="86"/>
      <c r="AB4856" s="92">
        <f>+Y4856*T4856</f>
        <v>0</v>
      </c>
      <c r="AC4856" s="93">
        <f>+AB4856-Z4856</f>
        <v>0</v>
      </c>
      <c r="AD4856" s="94"/>
      <c r="AE4856" s="406" t="str">
        <f>+IF(V4856=0,"CERO","NO")</f>
        <v>CERO</v>
      </c>
    </row>
    <row r="4857" spans="3:31" s="260" customFormat="1" x14ac:dyDescent="0.25">
      <c r="C4857" s="84"/>
      <c r="D4857" s="85"/>
      <c r="E4857" s="86"/>
      <c r="F4857" s="86"/>
      <c r="G4857" s="86"/>
      <c r="H4857" s="86"/>
      <c r="I4857" s="86"/>
      <c r="J4857" s="87"/>
      <c r="K4857" s="88"/>
      <c r="M4857" s="102">
        <v>0</v>
      </c>
      <c r="N4857" s="530" t="str">
        <f>IFERROR(VLOOKUP(M4857,INSUMOS!$C$8:$K$928,2,0),"-----")</f>
        <v>-----</v>
      </c>
      <c r="O4857" s="531"/>
      <c r="P4857" s="532"/>
      <c r="Q4857" s="78" t="str">
        <f>IFERROR(VLOOKUP(M4857,INSUMOS!$C$8:$K$928,5,0),"-----")</f>
        <v>-----</v>
      </c>
      <c r="R4857" s="80"/>
      <c r="S4857" s="80" t="str">
        <f>IFERROR(VLOOKUP(M4857,INSUMOS!$C$8:$K$928,6,0),"0")</f>
        <v>0</v>
      </c>
      <c r="T4857" s="529" t="str">
        <f>IFERROR(VLOOKUP(M4857,INSUMOS!$C$8:$K$928,7,0),"0")</f>
        <v>0</v>
      </c>
      <c r="U4857" s="529"/>
      <c r="V4857" s="82">
        <f>+T4857*S4857*R4857</f>
        <v>0</v>
      </c>
      <c r="Y4857" s="393">
        <f>+IFERROR((R4857*S4857)*Y4834,0)</f>
        <v>0</v>
      </c>
      <c r="Z4857" s="391">
        <f>Y4834*V4857</f>
        <v>0</v>
      </c>
      <c r="AA4857" s="86"/>
      <c r="AB4857" s="92">
        <f>+Y4857*T4857</f>
        <v>0</v>
      </c>
      <c r="AC4857" s="93">
        <f>+AB4857-Z4857</f>
        <v>0</v>
      </c>
      <c r="AD4857" s="94"/>
      <c r="AE4857" s="406" t="str">
        <f>+IF(V4857=0,"CERO","NO")</f>
        <v>CERO</v>
      </c>
    </row>
    <row r="4858" spans="3:31" s="260" customFormat="1" x14ac:dyDescent="0.25">
      <c r="C4858" s="84"/>
      <c r="D4858" s="85"/>
      <c r="E4858" s="86"/>
      <c r="F4858" s="86"/>
      <c r="G4858" s="86"/>
      <c r="H4858" s="86"/>
      <c r="I4858" s="86"/>
      <c r="J4858" s="87"/>
      <c r="K4858" s="88"/>
      <c r="M4858" s="102">
        <v>0</v>
      </c>
      <c r="N4858" s="530" t="str">
        <f>IFERROR(VLOOKUP(M4858,INSUMOS!$C$8:$K$928,2,0),"-----")</f>
        <v>-----</v>
      </c>
      <c r="O4858" s="531"/>
      <c r="P4858" s="532"/>
      <c r="Q4858" s="78" t="str">
        <f>IFERROR(VLOOKUP(M4858,INSUMOS!$C$8:$K$928,5,0),"-----")</f>
        <v>-----</v>
      </c>
      <c r="R4858" s="80"/>
      <c r="S4858" s="80" t="str">
        <f>IFERROR(VLOOKUP(M4858,INSUMOS!$C$8:$K$928,6,0),"0")</f>
        <v>0</v>
      </c>
      <c r="T4858" s="529" t="str">
        <f>IFERROR(VLOOKUP(M4858,INSUMOS!$C$8:$K$928,7,0),"0")</f>
        <v>0</v>
      </c>
      <c r="U4858" s="529"/>
      <c r="V4858" s="82">
        <f>+T4858*S4858*R4858</f>
        <v>0</v>
      </c>
      <c r="Y4858" s="393">
        <f>+IFERROR((R4858*S4858)*Y4834,0)</f>
        <v>0</v>
      </c>
      <c r="Z4858" s="391">
        <f>Y4834*V4858</f>
        <v>0</v>
      </c>
      <c r="AA4858" s="86"/>
      <c r="AB4858" s="92">
        <f>+Y4858*T4858</f>
        <v>0</v>
      </c>
      <c r="AC4858" s="93">
        <f>+AB4858-Z4858</f>
        <v>0</v>
      </c>
      <c r="AD4858" s="94"/>
      <c r="AE4858" s="406" t="str">
        <f>+IF(V4858=0,"CERO","NO")</f>
        <v>CERO</v>
      </c>
    </row>
    <row r="4859" spans="3:31" s="260" customFormat="1" ht="15.75" thickBot="1" x14ac:dyDescent="0.3">
      <c r="C4859" s="84"/>
      <c r="D4859" s="89"/>
      <c r="E4859" s="90"/>
      <c r="F4859" s="90"/>
      <c r="G4859" s="90"/>
      <c r="H4859" s="90"/>
      <c r="I4859" s="90"/>
      <c r="J4859" s="91"/>
      <c r="K4859" s="88"/>
      <c r="M4859" s="102">
        <v>0</v>
      </c>
      <c r="N4859" s="533"/>
      <c r="O4859" s="533"/>
      <c r="P4859" s="533"/>
      <c r="Q4859" s="79"/>
      <c r="R4859" s="78"/>
      <c r="S4859" s="81"/>
      <c r="T4859" s="529"/>
      <c r="U4859" s="529"/>
      <c r="V4859" s="82"/>
      <c r="Y4859" s="393">
        <f>+IFERROR((R4859*S4859)*Y4834,0)</f>
        <v>0</v>
      </c>
      <c r="Z4859" s="391">
        <f>Y4834*V4859</f>
        <v>0</v>
      </c>
      <c r="AA4859" s="86"/>
      <c r="AB4859" s="92">
        <f>+Y4859*T4859</f>
        <v>0</v>
      </c>
      <c r="AC4859" s="93">
        <f>+AB4859-Z4859</f>
        <v>0</v>
      </c>
      <c r="AD4859" s="94"/>
      <c r="AE4859" s="406" t="str">
        <f>+IF(V4859=0,"CERO","NO")</f>
        <v>CERO</v>
      </c>
    </row>
    <row r="4860" spans="3:31" s="260" customFormat="1" ht="15.75" thickBot="1" x14ac:dyDescent="0.3">
      <c r="C4860" s="84"/>
      <c r="D4860" s="375" t="s">
        <v>128</v>
      </c>
      <c r="E4860" s="376" t="s">
        <v>129</v>
      </c>
      <c r="F4860" s="376" t="s">
        <v>130</v>
      </c>
      <c r="G4860" s="376" t="s">
        <v>131</v>
      </c>
      <c r="H4860" s="376" t="s">
        <v>132</v>
      </c>
      <c r="I4860" s="376" t="s">
        <v>133</v>
      </c>
      <c r="J4860" s="377" t="s">
        <v>134</v>
      </c>
      <c r="K4860" s="88"/>
      <c r="M4860" s="534"/>
      <c r="N4860" s="536" t="s">
        <v>113</v>
      </c>
      <c r="O4860" s="536"/>
      <c r="P4860" s="536"/>
      <c r="Q4860" s="536"/>
      <c r="R4860" s="536"/>
      <c r="S4860" s="536"/>
      <c r="T4860" s="536"/>
      <c r="U4860" s="536"/>
      <c r="V4860" s="411">
        <f>+SUM(V4856:V4859)</f>
        <v>0</v>
      </c>
      <c r="Y4860" s="398" t="s">
        <v>135</v>
      </c>
      <c r="Z4860" s="397">
        <f>+SUM(Z4856:Z4859)</f>
        <v>0</v>
      </c>
      <c r="AA4860" s="86"/>
      <c r="AB4860" s="384"/>
      <c r="AC4860" s="385"/>
      <c r="AD4860" s="94"/>
      <c r="AE4860" s="399"/>
    </row>
    <row r="4861" spans="3:31" s="260" customFormat="1" ht="15.75" thickBot="1" x14ac:dyDescent="0.3">
      <c r="C4861" s="84"/>
      <c r="D4861" s="355"/>
      <c r="E4861" s="367"/>
      <c r="F4861" s="412">
        <f>+E4853</f>
        <v>4.22</v>
      </c>
      <c r="G4861" s="367"/>
      <c r="H4861" s="367"/>
      <c r="I4861" s="367"/>
      <c r="J4861" s="368"/>
      <c r="K4861" s="88"/>
      <c r="M4861" s="535"/>
      <c r="N4861" s="537" t="s">
        <v>114</v>
      </c>
      <c r="O4861" s="537"/>
      <c r="P4861" s="537"/>
      <c r="Q4861" s="537"/>
      <c r="R4861" s="537"/>
      <c r="S4861" s="537"/>
      <c r="T4861" s="537"/>
      <c r="U4861" s="537"/>
      <c r="V4861" s="413">
        <f>+ROUND(V4860,$AA$5)</f>
        <v>0</v>
      </c>
      <c r="Y4861" s="401" t="s">
        <v>136</v>
      </c>
      <c r="Z4861" s="402">
        <f>+ROUND(Z4860,$AA$5)</f>
        <v>0</v>
      </c>
      <c r="AA4861" s="86"/>
      <c r="AB4861" s="403">
        <f>+V4861*Y4834</f>
        <v>0</v>
      </c>
      <c r="AC4861" s="414"/>
      <c r="AD4861" s="94"/>
      <c r="AE4861" s="405"/>
    </row>
    <row r="4862" spans="3:31" s="260" customFormat="1" ht="15.75" thickBot="1" x14ac:dyDescent="0.3">
      <c r="C4862" s="84"/>
      <c r="D4862" s="415"/>
      <c r="E4862" s="416"/>
      <c r="F4862" s="416"/>
      <c r="G4862" s="416"/>
      <c r="H4862" s="416"/>
      <c r="I4862" s="416"/>
      <c r="J4862" s="417"/>
      <c r="K4862" s="88"/>
      <c r="M4862" s="538" t="s">
        <v>115</v>
      </c>
      <c r="N4862" s="539"/>
      <c r="O4862" s="539"/>
      <c r="P4862" s="539"/>
      <c r="Q4862" s="539"/>
      <c r="R4862" s="539"/>
      <c r="S4862" s="539"/>
      <c r="T4862" s="539"/>
      <c r="U4862" s="539"/>
      <c r="V4862" s="540"/>
      <c r="Y4862" s="378"/>
      <c r="Z4862" s="121"/>
      <c r="AA4862" s="86"/>
      <c r="AB4862" s="409"/>
      <c r="AC4862" s="121"/>
      <c r="AD4862" s="94"/>
      <c r="AE4862" s="126"/>
    </row>
    <row r="4863" spans="3:31" s="260" customFormat="1" ht="15.75" thickBot="1" x14ac:dyDescent="0.3">
      <c r="C4863" s="84"/>
      <c r="D4863" s="375" t="s">
        <v>128</v>
      </c>
      <c r="E4863" s="376" t="s">
        <v>129</v>
      </c>
      <c r="F4863" s="376" t="s">
        <v>130</v>
      </c>
      <c r="G4863" s="376" t="s">
        <v>131</v>
      </c>
      <c r="H4863" s="376" t="s">
        <v>132</v>
      </c>
      <c r="I4863" s="376" t="s">
        <v>133</v>
      </c>
      <c r="J4863" s="377" t="s">
        <v>134</v>
      </c>
      <c r="K4863" s="88"/>
      <c r="M4863" s="99" t="s">
        <v>94</v>
      </c>
      <c r="N4863" s="98" t="s">
        <v>95</v>
      </c>
      <c r="O4863" s="95" t="s">
        <v>96</v>
      </c>
      <c r="P4863" s="359" t="s">
        <v>104</v>
      </c>
      <c r="Q4863" s="95" t="s">
        <v>116</v>
      </c>
      <c r="R4863" s="418" t="s">
        <v>117</v>
      </c>
      <c r="S4863" s="95" t="s">
        <v>347</v>
      </c>
      <c r="T4863" s="419" t="s">
        <v>118</v>
      </c>
      <c r="U4863" s="189" t="s">
        <v>119</v>
      </c>
      <c r="V4863" s="100" t="s">
        <v>98</v>
      </c>
      <c r="Y4863" s="383" t="s">
        <v>104</v>
      </c>
      <c r="Z4863" s="119" t="s">
        <v>9</v>
      </c>
      <c r="AA4863" s="86"/>
      <c r="AB4863" s="384"/>
      <c r="AC4863" s="385"/>
      <c r="AD4863" s="94"/>
      <c r="AE4863" s="410"/>
    </row>
    <row r="4864" spans="3:31" s="260" customFormat="1" ht="25.5" x14ac:dyDescent="0.25">
      <c r="C4864" s="84"/>
      <c r="D4864" s="354"/>
      <c r="E4864" s="96"/>
      <c r="F4864" s="96"/>
      <c r="G4864" s="96"/>
      <c r="H4864" s="96"/>
      <c r="I4864" s="96"/>
      <c r="J4864" s="420">
        <f>+F4861</f>
        <v>4.22</v>
      </c>
      <c r="K4864" s="88"/>
      <c r="M4864" s="102">
        <v>207</v>
      </c>
      <c r="N4864" s="347" t="str">
        <f>IFERROR(VLOOKUP(M4864,INSUMOS!$C$8:$K$928,2,0),"-----")</f>
        <v>Oficial Hidrosanitario</v>
      </c>
      <c r="O4864" s="78" t="str">
        <f>IFERROR(VLOOKUP(M4864,INSUMOS!$C$8:$K$928,3,0),"-----")</f>
        <v>JORNAL+PS</v>
      </c>
      <c r="P4864" s="80">
        <v>1</v>
      </c>
      <c r="Q4864" s="79">
        <v>20</v>
      </c>
      <c r="R4864" s="190">
        <f>IFERROR(VLOOKUP(M4864,INSUMOS!$C$8:$K$928,4,0),"-----")</f>
        <v>92983</v>
      </c>
      <c r="S4864" s="190">
        <f>IFERROR(VLOOKUP(M4864,INSUMOS!$C$8:$K$928,6,0),"-----")</f>
        <v>74386</v>
      </c>
      <c r="T4864" s="190">
        <f>IFERROR(VLOOKUP(M4864,INSUMOS!$C$8:$K$928,5,0),"-----")</f>
        <v>0</v>
      </c>
      <c r="U4864" s="388">
        <f>SUM(R4864:T4864)</f>
        <v>167369</v>
      </c>
      <c r="V4864" s="82">
        <f>+IFERROR((P4864/Q4864)*U4864,0)</f>
        <v>8368.4500000000007</v>
      </c>
      <c r="Y4864" s="393">
        <f>+IFERROR((Y4834/Q4864*P4864),0)</f>
        <v>0.9</v>
      </c>
      <c r="Z4864" s="391">
        <f>Y4834*V4864</f>
        <v>150632.1</v>
      </c>
      <c r="AA4864" s="86"/>
      <c r="AB4864" s="92">
        <f>+(U4864)*Y4864</f>
        <v>150632.1</v>
      </c>
      <c r="AC4864" s="93">
        <f>+AB4864-Z4864</f>
        <v>0</v>
      </c>
      <c r="AD4864" s="421"/>
      <c r="AE4864" s="410" t="str">
        <f>+IF(V4864=0,"CERO","NO")</f>
        <v>NO</v>
      </c>
    </row>
    <row r="4865" spans="3:31" s="260" customFormat="1" ht="26.25" thickBot="1" x14ac:dyDescent="0.3">
      <c r="C4865" s="84"/>
      <c r="D4865" s="355"/>
      <c r="E4865" s="367"/>
      <c r="F4865" s="367"/>
      <c r="G4865" s="367"/>
      <c r="H4865" s="367"/>
      <c r="I4865" s="367"/>
      <c r="J4865" s="422">
        <f>+J4864</f>
        <v>4.22</v>
      </c>
      <c r="K4865" s="88"/>
      <c r="M4865" s="102">
        <v>208</v>
      </c>
      <c r="N4865" s="347" t="str">
        <f>IFERROR(VLOOKUP(M4865,INSUMOS!$C$8:$K$928,2,0),"-----")</f>
        <v>Ayudante Hidrosanitario</v>
      </c>
      <c r="O4865" s="78" t="str">
        <f>IFERROR(VLOOKUP(M4865,INSUMOS!$C$8:$K$928,3,0),"-----")</f>
        <v>JORNAL+PS</v>
      </c>
      <c r="P4865" s="80">
        <v>1</v>
      </c>
      <c r="Q4865" s="79">
        <v>20</v>
      </c>
      <c r="R4865" s="190">
        <f>IFERROR(VLOOKUP(M4865,INSUMOS!$C$8:$K$928,4,0),"-----")</f>
        <v>69172</v>
      </c>
      <c r="S4865" s="190">
        <f>IFERROR(VLOOKUP(M4865,INSUMOS!$C$8:$K$928,6,0),"-----")</f>
        <v>55337</v>
      </c>
      <c r="T4865" s="190">
        <f>IFERROR(VLOOKUP(M4865,INSUMOS!$C$8:$K$928,5,0),"-----")</f>
        <v>0</v>
      </c>
      <c r="U4865" s="388">
        <f>SUM(R4865:T4865)</f>
        <v>124509</v>
      </c>
      <c r="V4865" s="82">
        <f>+IFERROR((P4865/Q4865)*U4865,0)</f>
        <v>6225.4500000000007</v>
      </c>
      <c r="Y4865" s="393">
        <f>+IFERROR((Y4834/Q4865*P4865),0)</f>
        <v>0.9</v>
      </c>
      <c r="Z4865" s="391">
        <f>Y4834*V4865</f>
        <v>112058.1</v>
      </c>
      <c r="AA4865" s="86"/>
      <c r="AB4865" s="92">
        <f>+U4865*Y4865</f>
        <v>112058.1</v>
      </c>
      <c r="AC4865" s="93">
        <f>+AB4865-Z4865</f>
        <v>0</v>
      </c>
      <c r="AD4865" s="94"/>
      <c r="AE4865" s="410" t="str">
        <f>+IF(V4865=0,"CERO","NO")</f>
        <v>NO</v>
      </c>
    </row>
    <row r="4866" spans="3:31" s="260" customFormat="1" ht="15.75" thickBot="1" x14ac:dyDescent="0.3">
      <c r="C4866" s="84"/>
      <c r="D4866" s="380"/>
      <c r="E4866" s="381"/>
      <c r="F4866" s="381"/>
      <c r="G4866" s="381"/>
      <c r="H4866" s="381"/>
      <c r="I4866" s="381"/>
      <c r="J4866" s="382"/>
      <c r="K4866" s="88"/>
      <c r="M4866" s="102">
        <v>0</v>
      </c>
      <c r="N4866" s="347"/>
      <c r="O4866" s="79"/>
      <c r="P4866" s="423"/>
      <c r="Q4866" s="81"/>
      <c r="R4866" s="111"/>
      <c r="S4866" s="357"/>
      <c r="T4866" s="111"/>
      <c r="U4866" s="388"/>
      <c r="V4866" s="426"/>
      <c r="Y4866" s="393">
        <f>+IFERROR((Y4834/Q4866*P4866),0)</f>
        <v>0</v>
      </c>
      <c r="Z4866" s="391">
        <f>Y4834*V4866</f>
        <v>0</v>
      </c>
      <c r="AA4866" s="86"/>
      <c r="AB4866" s="92">
        <f>+(U4866)*Y4866*P4866</f>
        <v>0</v>
      </c>
      <c r="AC4866" s="93">
        <f>+AB4866-Z4866</f>
        <v>0</v>
      </c>
      <c r="AD4866" s="94"/>
      <c r="AE4866" s="410" t="str">
        <f>+IF(V4866=0,"CERO","NO")</f>
        <v>CERO</v>
      </c>
    </row>
    <row r="4867" spans="3:31" s="260" customFormat="1" ht="15.75" thickBot="1" x14ac:dyDescent="0.3">
      <c r="C4867" s="84"/>
      <c r="D4867" s="375" t="s">
        <v>128</v>
      </c>
      <c r="E4867" s="376" t="s">
        <v>129</v>
      </c>
      <c r="F4867" s="376" t="s">
        <v>130</v>
      </c>
      <c r="G4867" s="376" t="s">
        <v>131</v>
      </c>
      <c r="H4867" s="376" t="s">
        <v>132</v>
      </c>
      <c r="I4867" s="376" t="s">
        <v>133</v>
      </c>
      <c r="J4867" s="377" t="s">
        <v>134</v>
      </c>
      <c r="K4867" s="88"/>
      <c r="M4867" s="534"/>
      <c r="N4867" s="536" t="s">
        <v>120</v>
      </c>
      <c r="O4867" s="536"/>
      <c r="P4867" s="536"/>
      <c r="Q4867" s="536"/>
      <c r="R4867" s="536"/>
      <c r="S4867" s="536"/>
      <c r="T4867" s="536"/>
      <c r="U4867" s="536"/>
      <c r="V4867" s="82">
        <f>+SUM(V4864:V4866)</f>
        <v>14593.900000000001</v>
      </c>
      <c r="Y4867" s="398" t="s">
        <v>135</v>
      </c>
      <c r="Z4867" s="397">
        <f>+SUM(Z4864:Z4866)</f>
        <v>262690.2</v>
      </c>
      <c r="AA4867" s="86"/>
      <c r="AB4867" s="384"/>
      <c r="AC4867" s="385"/>
      <c r="AD4867" s="94"/>
      <c r="AE4867" s="399"/>
    </row>
    <row r="4868" spans="3:31" s="260" customFormat="1" ht="15.75" thickBot="1" x14ac:dyDescent="0.3">
      <c r="C4868" s="84"/>
      <c r="D4868" s="354"/>
      <c r="E4868" s="96"/>
      <c r="F4868" s="96"/>
      <c r="G4868" s="107">
        <f>+F4861</f>
        <v>4.22</v>
      </c>
      <c r="H4868" s="96"/>
      <c r="I4868" s="96"/>
      <c r="J4868" s="427"/>
      <c r="K4868" s="88"/>
      <c r="M4868" s="535"/>
      <c r="N4868" s="537" t="s">
        <v>121</v>
      </c>
      <c r="O4868" s="537"/>
      <c r="P4868" s="537"/>
      <c r="Q4868" s="537"/>
      <c r="R4868" s="537"/>
      <c r="S4868" s="537"/>
      <c r="T4868" s="537"/>
      <c r="U4868" s="537"/>
      <c r="V4868" s="413">
        <f>+ROUND(V4867,$AA$5)</f>
        <v>14593.9</v>
      </c>
      <c r="Y4868" s="401" t="s">
        <v>136</v>
      </c>
      <c r="Z4868" s="402">
        <f>+ROUND(Z4867,$AA$5)</f>
        <v>262690.2</v>
      </c>
      <c r="AA4868" s="86"/>
      <c r="AB4868" s="403">
        <f>+V4868*Y4834</f>
        <v>262690.2</v>
      </c>
      <c r="AC4868" s="404">
        <f>+AB4868-Z4868</f>
        <v>0</v>
      </c>
      <c r="AD4868" s="94"/>
      <c r="AE4868" s="405"/>
    </row>
    <row r="4869" spans="3:31" s="260" customFormat="1" ht="15.75" thickBot="1" x14ac:dyDescent="0.3">
      <c r="C4869" s="84"/>
      <c r="D4869" s="375" t="s">
        <v>128</v>
      </c>
      <c r="E4869" s="376" t="s">
        <v>129</v>
      </c>
      <c r="F4869" s="376" t="s">
        <v>130</v>
      </c>
      <c r="G4869" s="376" t="s">
        <v>131</v>
      </c>
      <c r="H4869" s="376" t="s">
        <v>132</v>
      </c>
      <c r="I4869" s="376" t="s">
        <v>133</v>
      </c>
      <c r="J4869" s="377" t="s">
        <v>134</v>
      </c>
      <c r="K4869" s="88"/>
      <c r="M4869" s="541"/>
      <c r="N4869" s="542"/>
      <c r="O4869" s="542"/>
      <c r="P4869" s="542"/>
      <c r="Q4869" s="542"/>
      <c r="R4869" s="542"/>
      <c r="S4869" s="542"/>
      <c r="T4869" s="542"/>
      <c r="U4869" s="542"/>
      <c r="V4869" s="543"/>
      <c r="Y4869" s="378"/>
      <c r="Z4869" s="121"/>
      <c r="AA4869" s="86"/>
      <c r="AB4869" s="409"/>
      <c r="AC4869" s="121"/>
      <c r="AD4869" s="94"/>
      <c r="AE4869" s="428"/>
    </row>
    <row r="4870" spans="3:31" s="260" customFormat="1" ht="15.75" thickBot="1" x14ac:dyDescent="0.3">
      <c r="C4870" s="84"/>
      <c r="D4870" s="355"/>
      <c r="E4870" s="367"/>
      <c r="F4870" s="367"/>
      <c r="G4870" s="367"/>
      <c r="H4870" s="412">
        <f>G4868</f>
        <v>4.22</v>
      </c>
      <c r="I4870" s="412"/>
      <c r="J4870" s="422"/>
      <c r="K4870" s="88"/>
      <c r="M4870" s="544" t="s">
        <v>122</v>
      </c>
      <c r="N4870" s="537"/>
      <c r="O4870" s="537"/>
      <c r="P4870" s="537"/>
      <c r="Q4870" s="537"/>
      <c r="R4870" s="537"/>
      <c r="S4870" s="537"/>
      <c r="T4870" s="537"/>
      <c r="U4870" s="545">
        <f>+V4868+V4861+V4853+V4844</f>
        <v>110047.84999999999</v>
      </c>
      <c r="V4870" s="546"/>
      <c r="Y4870" s="429"/>
      <c r="Z4870" s="430">
        <f>+Z4868+Z4861+Z4853+Z4844</f>
        <v>1980861.21</v>
      </c>
      <c r="AA4870" s="86"/>
      <c r="AB4870" s="431">
        <f>+AB4868+AB4861+AB4853+AB4844</f>
        <v>1980861.3</v>
      </c>
      <c r="AC4870" s="404">
        <f>+AB4870-Z4870</f>
        <v>9.0000000083819032E-2</v>
      </c>
      <c r="AD4870" s="94"/>
      <c r="AE4870" s="432"/>
    </row>
    <row r="4871" spans="3:31" s="260" customFormat="1" ht="15.75" thickBot="1" x14ac:dyDescent="0.3"/>
    <row r="4872" spans="3:31" s="260" customFormat="1" x14ac:dyDescent="0.25">
      <c r="M4872" s="547" t="s">
        <v>348</v>
      </c>
      <c r="N4872" s="548"/>
      <c r="O4872" s="548"/>
      <c r="P4872" s="548"/>
      <c r="Q4872" s="548"/>
      <c r="R4872" s="548"/>
      <c r="S4872" s="548"/>
      <c r="T4872" s="548"/>
      <c r="U4872" s="548"/>
      <c r="V4872" s="549"/>
      <c r="Y4872" s="378"/>
      <c r="Z4872" s="121"/>
      <c r="AA4872" s="86"/>
      <c r="AB4872" s="94"/>
      <c r="AC4872" s="94"/>
      <c r="AD4872" s="94"/>
      <c r="AE4872" s="126" t="s">
        <v>133</v>
      </c>
    </row>
    <row r="4873" spans="3:31" s="260" customFormat="1" x14ac:dyDescent="0.25">
      <c r="M4873" s="515" t="s">
        <v>138</v>
      </c>
      <c r="N4873" s="516"/>
      <c r="O4873" s="516"/>
      <c r="P4873" s="516"/>
      <c r="Q4873" s="516"/>
      <c r="R4873" s="516"/>
      <c r="S4873" s="516"/>
      <c r="T4873" s="437">
        <v>0</v>
      </c>
      <c r="U4873" s="517">
        <f>+ROUND(U4870*T4873,$AA$5)</f>
        <v>0</v>
      </c>
      <c r="V4873" s="518"/>
      <c r="Y4873" s="390"/>
      <c r="Z4873" s="438">
        <f>+Z4870*T4873</f>
        <v>0</v>
      </c>
      <c r="AA4873" s="86"/>
      <c r="AB4873" s="94"/>
      <c r="AC4873" s="94"/>
      <c r="AD4873" s="94"/>
      <c r="AE4873" s="386" t="s">
        <v>133</v>
      </c>
    </row>
    <row r="4874" spans="3:31" s="260" customFormat="1" x14ac:dyDescent="0.25">
      <c r="M4874" s="515" t="s">
        <v>19</v>
      </c>
      <c r="N4874" s="516"/>
      <c r="O4874" s="516"/>
      <c r="P4874" s="516"/>
      <c r="Q4874" s="516"/>
      <c r="R4874" s="516"/>
      <c r="S4874" s="516"/>
      <c r="T4874" s="437">
        <v>0.05</v>
      </c>
      <c r="U4874" s="517">
        <f>+ROUND(U4870*T4874,$AA$5)</f>
        <v>5502.39</v>
      </c>
      <c r="V4874" s="518"/>
      <c r="Y4874" s="390"/>
      <c r="Z4874" s="438">
        <f>+Z4870*T4874</f>
        <v>99043.060500000007</v>
      </c>
      <c r="AA4874" s="86"/>
      <c r="AB4874" s="94"/>
      <c r="AC4874" s="94"/>
      <c r="AD4874" s="94"/>
      <c r="AE4874" s="386" t="s">
        <v>133</v>
      </c>
    </row>
    <row r="4875" spans="3:31" s="260" customFormat="1" x14ac:dyDescent="0.25">
      <c r="M4875" s="515" t="s">
        <v>20</v>
      </c>
      <c r="N4875" s="516"/>
      <c r="O4875" s="516"/>
      <c r="P4875" s="516"/>
      <c r="Q4875" s="516"/>
      <c r="R4875" s="516"/>
      <c r="S4875" s="516"/>
      <c r="T4875" s="437">
        <v>0</v>
      </c>
      <c r="U4875" s="517">
        <f>+ROUND(U4870*T4875,$AA$5)</f>
        <v>0</v>
      </c>
      <c r="V4875" s="518"/>
      <c r="Y4875" s="390"/>
      <c r="Z4875" s="438">
        <f>+Z4870*T4875</f>
        <v>0</v>
      </c>
      <c r="AA4875" s="86"/>
      <c r="AB4875" s="94"/>
      <c r="AC4875" s="94"/>
      <c r="AD4875" s="94"/>
      <c r="AE4875" s="386" t="s">
        <v>133</v>
      </c>
    </row>
    <row r="4876" spans="3:31" s="260" customFormat="1" x14ac:dyDescent="0.25">
      <c r="M4876" s="515" t="s">
        <v>21</v>
      </c>
      <c r="N4876" s="516"/>
      <c r="O4876" s="516"/>
      <c r="P4876" s="516"/>
      <c r="Q4876" s="516"/>
      <c r="R4876" s="516"/>
      <c r="S4876" s="516"/>
      <c r="T4876" s="437">
        <f>$AA$9</f>
        <v>0</v>
      </c>
      <c r="U4876" s="517">
        <f>+ROUND(U4870*T4876,$AA$5)</f>
        <v>0</v>
      </c>
      <c r="V4876" s="518"/>
      <c r="Y4876" s="390"/>
      <c r="Z4876" s="438">
        <f>+Z4875*T4876</f>
        <v>0</v>
      </c>
      <c r="AA4876" s="86"/>
      <c r="AB4876" s="94"/>
      <c r="AC4876" s="94"/>
      <c r="AD4876" s="94"/>
      <c r="AE4876" s="386" t="s">
        <v>133</v>
      </c>
    </row>
    <row r="4877" spans="3:31" s="260" customFormat="1" ht="15.75" thickBot="1" x14ac:dyDescent="0.3">
      <c r="M4877" s="519" t="s">
        <v>349</v>
      </c>
      <c r="N4877" s="520"/>
      <c r="O4877" s="520"/>
      <c r="P4877" s="520"/>
      <c r="Q4877" s="520"/>
      <c r="R4877" s="520"/>
      <c r="S4877" s="520"/>
      <c r="T4877" s="520"/>
      <c r="U4877" s="521">
        <f>+SUM(U4873:V4876)</f>
        <v>5502.39</v>
      </c>
      <c r="V4877" s="522"/>
      <c r="Y4877" s="390"/>
      <c r="Z4877" s="439">
        <f>+SUM(Z4873:Z4876)</f>
        <v>99043.060500000007</v>
      </c>
      <c r="AA4877" s="86"/>
      <c r="AB4877" s="94"/>
      <c r="AC4877" s="94"/>
      <c r="AD4877" s="94"/>
      <c r="AE4877" s="386" t="s">
        <v>133</v>
      </c>
    </row>
    <row r="4878" spans="3:31" s="260" customFormat="1" ht="15.75" thickBot="1" x14ac:dyDescent="0.3">
      <c r="D4878" s="375" t="s">
        <v>128</v>
      </c>
      <c r="E4878" s="376" t="s">
        <v>129</v>
      </c>
      <c r="F4878" s="376" t="s">
        <v>130</v>
      </c>
      <c r="G4878" s="376" t="s">
        <v>131</v>
      </c>
      <c r="H4878" s="376" t="s">
        <v>132</v>
      </c>
      <c r="I4878" s="376" t="s">
        <v>133</v>
      </c>
      <c r="J4878" s="377" t="s">
        <v>134</v>
      </c>
      <c r="M4878" s="86"/>
      <c r="N4878" s="94"/>
      <c r="O4878" s="94"/>
      <c r="P4878" s="94"/>
      <c r="Q4878" s="86"/>
      <c r="R4878" s="86"/>
      <c r="S4878" s="86"/>
      <c r="T4878" s="440"/>
      <c r="U4878" s="523"/>
      <c r="V4878" s="523"/>
      <c r="Y4878" s="390"/>
      <c r="Z4878" s="385"/>
      <c r="AA4878" s="86"/>
      <c r="AB4878" s="94"/>
      <c r="AC4878" s="94"/>
      <c r="AD4878" s="94"/>
      <c r="AE4878" s="386" t="s">
        <v>133</v>
      </c>
    </row>
    <row r="4879" spans="3:31" s="260" customFormat="1" ht="15.75" thickBot="1" x14ac:dyDescent="0.3">
      <c r="D4879" s="355"/>
      <c r="E4879" s="367"/>
      <c r="F4879" s="367"/>
      <c r="G4879" s="367"/>
      <c r="H4879" s="412"/>
      <c r="I4879" s="412">
        <f>H4870</f>
        <v>4.22</v>
      </c>
      <c r="J4879" s="422"/>
      <c r="M4879" s="524" t="s">
        <v>11</v>
      </c>
      <c r="N4879" s="525"/>
      <c r="O4879" s="525"/>
      <c r="P4879" s="525"/>
      <c r="Q4879" s="525"/>
      <c r="R4879" s="525"/>
      <c r="S4879" s="525"/>
      <c r="T4879" s="526"/>
      <c r="U4879" s="527">
        <f>+U4877+U4870</f>
        <v>115550.23999999999</v>
      </c>
      <c r="V4879" s="528"/>
      <c r="Y4879" s="429"/>
      <c r="Z4879" s="441">
        <f>+Z4877+Z4870</f>
        <v>2079904.2704999999</v>
      </c>
      <c r="AA4879" s="86"/>
      <c r="AB4879" s="94"/>
      <c r="AC4879" s="94"/>
      <c r="AD4879" s="94"/>
      <c r="AE4879" s="405" t="s">
        <v>133</v>
      </c>
    </row>
    <row r="4880" spans="3:31" s="260" customFormat="1" x14ac:dyDescent="0.25"/>
    <row r="4881" spans="3:31" s="260" customFormat="1" ht="15.75" thickBot="1" x14ac:dyDescent="0.3"/>
    <row r="4882" spans="3:31" s="260" customFormat="1" ht="15.75" thickBot="1" x14ac:dyDescent="0.3">
      <c r="M4882" s="363" t="s">
        <v>88</v>
      </c>
      <c r="N4882" s="436" t="str">
        <f>+N4833</f>
        <v>CAP.4</v>
      </c>
      <c r="O4882" s="550" t="str">
        <f>IFERROR(VLOOKUP(N4882,PPTO!C:H,2,0),"----")</f>
        <v>RED SANITARIA</v>
      </c>
      <c r="P4882" s="551"/>
      <c r="Q4882" s="551"/>
      <c r="R4882" s="551"/>
      <c r="S4882" s="551"/>
      <c r="T4882" s="551"/>
      <c r="U4882" s="552"/>
      <c r="V4882" s="74" t="s">
        <v>91</v>
      </c>
      <c r="Y4882" s="365" t="s">
        <v>104</v>
      </c>
      <c r="Z4882" s="94"/>
      <c r="AA4882" s="188"/>
      <c r="AB4882" s="553"/>
      <c r="AC4882" s="553"/>
      <c r="AD4882" s="553"/>
      <c r="AE4882" s="94"/>
    </row>
    <row r="4883" spans="3:31" s="260" customFormat="1" ht="15.75" thickBot="1" x14ac:dyDescent="0.3">
      <c r="C4883" s="369">
        <f>+N4883</f>
        <v>4.2300000000000004</v>
      </c>
      <c r="D4883" s="86"/>
      <c r="E4883" s="86"/>
      <c r="F4883" s="86"/>
      <c r="G4883" s="86"/>
      <c r="H4883" s="86"/>
      <c r="I4883" s="86"/>
      <c r="J4883" s="86"/>
      <c r="K4883" s="370"/>
      <c r="M4883" s="75" t="s">
        <v>92</v>
      </c>
      <c r="N4883" s="371">
        <f>+ROUNDUP(N4834+0.01,2)</f>
        <v>4.2300000000000004</v>
      </c>
      <c r="O4883" s="554" t="str">
        <f>IFERROR(VLOOKUP(N4883,PPTO!C:H,2,0),"----")</f>
        <v>Cajas de inspeccion de aguas residuales</v>
      </c>
      <c r="P4883" s="555"/>
      <c r="Q4883" s="555"/>
      <c r="R4883" s="555"/>
      <c r="S4883" s="555"/>
      <c r="T4883" s="555"/>
      <c r="U4883" s="556"/>
      <c r="V4883" s="76" t="str">
        <f>IFERROR(VLOOKUP(N4883,PPTO!C:H,3,0),"----")</f>
        <v>UND</v>
      </c>
      <c r="Y4883" s="373">
        <f>SUMIFS(PPTO!F:F,PPTO!C:C,APUS!N4883)</f>
        <v>2</v>
      </c>
      <c r="Z4883" s="94"/>
      <c r="AA4883" s="86"/>
      <c r="AB4883" s="94"/>
      <c r="AC4883" s="94"/>
      <c r="AD4883" s="94"/>
      <c r="AE4883" s="94"/>
    </row>
    <row r="4884" spans="3:31" s="260" customFormat="1" ht="15.75" thickBot="1" x14ac:dyDescent="0.3">
      <c r="C4884" s="84"/>
      <c r="D4884" s="86"/>
      <c r="E4884" s="86"/>
      <c r="F4884" s="86"/>
      <c r="G4884" s="86"/>
      <c r="H4884" s="86"/>
      <c r="I4884" s="86"/>
      <c r="J4884" s="86"/>
      <c r="K4884" s="88"/>
      <c r="M4884" s="557"/>
      <c r="N4884" s="557"/>
      <c r="O4884" s="557"/>
      <c r="P4884" s="557"/>
      <c r="Q4884" s="557"/>
      <c r="R4884" s="557"/>
      <c r="S4884" s="557"/>
      <c r="T4884" s="557"/>
      <c r="U4884" s="557"/>
      <c r="V4884" s="557"/>
      <c r="Y4884" s="374"/>
      <c r="Z4884" s="94"/>
      <c r="AA4884" s="86"/>
      <c r="AB4884" s="94"/>
      <c r="AC4884" s="94"/>
      <c r="AD4884" s="94"/>
      <c r="AE4884" s="94"/>
    </row>
    <row r="4885" spans="3:31" s="260" customFormat="1" ht="15.75" thickBot="1" x14ac:dyDescent="0.3">
      <c r="C4885" s="84"/>
      <c r="D4885" s="375" t="s">
        <v>128</v>
      </c>
      <c r="E4885" s="376" t="s">
        <v>129</v>
      </c>
      <c r="F4885" s="376" t="s">
        <v>130</v>
      </c>
      <c r="G4885" s="376" t="s">
        <v>131</v>
      </c>
      <c r="H4885" s="376" t="s">
        <v>132</v>
      </c>
      <c r="I4885" s="376" t="s">
        <v>133</v>
      </c>
      <c r="J4885" s="377" t="s">
        <v>134</v>
      </c>
      <c r="K4885" s="88"/>
      <c r="M4885" s="558" t="s">
        <v>93</v>
      </c>
      <c r="N4885" s="559"/>
      <c r="O4885" s="559"/>
      <c r="P4885" s="559"/>
      <c r="Q4885" s="559"/>
      <c r="R4885" s="559"/>
      <c r="S4885" s="559"/>
      <c r="T4885" s="559"/>
      <c r="U4885" s="559"/>
      <c r="V4885" s="560"/>
      <c r="Y4885" s="378"/>
      <c r="Z4885" s="121"/>
      <c r="AA4885" s="86"/>
      <c r="AB4885" s="513"/>
      <c r="AC4885" s="514"/>
      <c r="AD4885" s="94"/>
      <c r="AE4885" s="379"/>
    </row>
    <row r="4886" spans="3:31" s="260" customFormat="1" x14ac:dyDescent="0.25">
      <c r="C4886" s="84"/>
      <c r="D4886" s="380"/>
      <c r="E4886" s="381"/>
      <c r="F4886" s="381"/>
      <c r="G4886" s="381"/>
      <c r="H4886" s="381"/>
      <c r="I4886" s="381"/>
      <c r="J4886" s="382"/>
      <c r="K4886" s="88"/>
      <c r="M4886" s="99" t="s">
        <v>94</v>
      </c>
      <c r="N4886" s="561" t="s">
        <v>95</v>
      </c>
      <c r="O4886" s="561"/>
      <c r="P4886" s="561"/>
      <c r="Q4886" s="561"/>
      <c r="R4886" s="95" t="s">
        <v>96</v>
      </c>
      <c r="S4886" s="95" t="s">
        <v>97</v>
      </c>
      <c r="T4886" s="562" t="s">
        <v>8</v>
      </c>
      <c r="U4886" s="562"/>
      <c r="V4886" s="100" t="s">
        <v>98</v>
      </c>
      <c r="Y4886" s="383" t="s">
        <v>104</v>
      </c>
      <c r="Z4886" s="119" t="s">
        <v>9</v>
      </c>
      <c r="AA4886" s="86"/>
      <c r="AB4886" s="384"/>
      <c r="AC4886" s="385"/>
      <c r="AD4886" s="94"/>
      <c r="AE4886" s="386"/>
    </row>
    <row r="4887" spans="3:31" s="260" customFormat="1" x14ac:dyDescent="0.25">
      <c r="C4887" s="84"/>
      <c r="D4887" s="85"/>
      <c r="E4887" s="86"/>
      <c r="F4887" s="86"/>
      <c r="G4887" s="86"/>
      <c r="H4887" s="86"/>
      <c r="I4887" s="86"/>
      <c r="J4887" s="87"/>
      <c r="K4887" s="88"/>
      <c r="M4887" s="102"/>
      <c r="N4887" s="533" t="s">
        <v>99</v>
      </c>
      <c r="O4887" s="533"/>
      <c r="P4887" s="533"/>
      <c r="Q4887" s="533"/>
      <c r="R4887" s="78" t="s">
        <v>100</v>
      </c>
      <c r="S4887" s="387">
        <f>+$AA$10</f>
        <v>0.05</v>
      </c>
      <c r="T4887" s="563">
        <f>V4917</f>
        <v>33440.879999999997</v>
      </c>
      <c r="U4887" s="563"/>
      <c r="V4887" s="389">
        <f>+IFERROR(T4887*S4887,0)</f>
        <v>1672.0439999999999</v>
      </c>
      <c r="Y4887" s="390"/>
      <c r="Z4887" s="391">
        <f>Y4883*V4887</f>
        <v>3344.0879999999997</v>
      </c>
      <c r="AA4887" s="86"/>
      <c r="AB4887" s="384"/>
      <c r="AC4887" s="385"/>
      <c r="AD4887" s="94"/>
      <c r="AE4887" s="386" t="str">
        <f>+IF(V4887=0,"CERO","NO")</f>
        <v>NO</v>
      </c>
    </row>
    <row r="4888" spans="3:31" s="260" customFormat="1" x14ac:dyDescent="0.25">
      <c r="C4888" s="84"/>
      <c r="D4888" s="85"/>
      <c r="E4888" s="86"/>
      <c r="F4888" s="86"/>
      <c r="G4888" s="86"/>
      <c r="H4888" s="86"/>
      <c r="I4888" s="86"/>
      <c r="J4888" s="87"/>
      <c r="K4888" s="88"/>
      <c r="M4888" s="106"/>
      <c r="N4888" s="533" t="str">
        <f>IFERROR(VLOOKUP(M4888,INSUMOS!$C$8:$K$928,2,0),"-----")</f>
        <v>-----</v>
      </c>
      <c r="O4888" s="533"/>
      <c r="P4888" s="533"/>
      <c r="Q4888" s="533"/>
      <c r="R4888" s="78" t="str">
        <f>IFERROR(VLOOKUP(M4888,INSUMOS!$C$8:$K$928,6,0),"-----")</f>
        <v>-----</v>
      </c>
      <c r="S4888" s="392"/>
      <c r="T4888" s="529" t="str">
        <f>IFERROR(VLOOKUP(M4888,INSUMOS!$C$8:$K$928,7,0),"0")</f>
        <v>0</v>
      </c>
      <c r="U4888" s="529"/>
      <c r="V4888" s="389">
        <f>+IFERROR(T4888*S4888,0)</f>
        <v>0</v>
      </c>
      <c r="Y4888" s="393">
        <f>+IFERROR(Y4883*S4888,0)</f>
        <v>0</v>
      </c>
      <c r="Z4888" s="391">
        <f>Y4883*V4888</f>
        <v>0</v>
      </c>
      <c r="AA4888" s="394"/>
      <c r="AB4888" s="395">
        <f>+Y4888*T4888</f>
        <v>0</v>
      </c>
      <c r="AC4888" s="93">
        <f>+AB4888-Z4888</f>
        <v>0</v>
      </c>
      <c r="AD4888" s="94"/>
      <c r="AE4888" s="386" t="str">
        <f>+IF(V4888=0,"CERO","NO")</f>
        <v>CERO</v>
      </c>
    </row>
    <row r="4889" spans="3:31" s="260" customFormat="1" x14ac:dyDescent="0.25">
      <c r="C4889" s="84"/>
      <c r="D4889" s="85"/>
      <c r="E4889" s="86"/>
      <c r="F4889" s="86"/>
      <c r="G4889" s="86"/>
      <c r="H4889" s="86"/>
      <c r="I4889" s="86"/>
      <c r="J4889" s="87"/>
      <c r="K4889" s="88"/>
      <c r="M4889" s="102">
        <v>0</v>
      </c>
      <c r="N4889" s="533"/>
      <c r="O4889" s="533"/>
      <c r="P4889" s="533"/>
      <c r="Q4889" s="533"/>
      <c r="R4889" s="78"/>
      <c r="S4889" s="396"/>
      <c r="T4889" s="529"/>
      <c r="U4889" s="529"/>
      <c r="V4889" s="397"/>
      <c r="Y4889" s="393">
        <f>+IFERROR(Y4883*S4889,0)</f>
        <v>0</v>
      </c>
      <c r="Z4889" s="391">
        <f>Y4883*V4889</f>
        <v>0</v>
      </c>
      <c r="AA4889" s="394"/>
      <c r="AB4889" s="395">
        <f>+Y4889*T4889</f>
        <v>0</v>
      </c>
      <c r="AC4889" s="93">
        <f>+AB4889-Z4889</f>
        <v>0</v>
      </c>
      <c r="AD4889" s="94"/>
      <c r="AE4889" s="386" t="str">
        <f>+IF(V4889=0,"CERO","NO")</f>
        <v>CERO</v>
      </c>
    </row>
    <row r="4890" spans="3:31" s="260" customFormat="1" x14ac:dyDescent="0.25">
      <c r="C4890" s="84"/>
      <c r="D4890" s="85"/>
      <c r="E4890" s="86"/>
      <c r="F4890" s="86"/>
      <c r="G4890" s="86"/>
      <c r="H4890" s="86"/>
      <c r="I4890" s="86"/>
      <c r="J4890" s="87"/>
      <c r="K4890" s="88"/>
      <c r="M4890" s="102">
        <v>0</v>
      </c>
      <c r="N4890" s="533"/>
      <c r="O4890" s="533"/>
      <c r="P4890" s="533"/>
      <c r="Q4890" s="533"/>
      <c r="R4890" s="78"/>
      <c r="S4890" s="396"/>
      <c r="T4890" s="529"/>
      <c r="U4890" s="529"/>
      <c r="V4890" s="397"/>
      <c r="Y4890" s="393">
        <f>+IFERROR(Y4883*S4890,0)</f>
        <v>0</v>
      </c>
      <c r="Z4890" s="391">
        <f>Y4883*V4890</f>
        <v>0</v>
      </c>
      <c r="AA4890" s="394"/>
      <c r="AB4890" s="395">
        <f>+Y4890*T4890</f>
        <v>0</v>
      </c>
      <c r="AC4890" s="93">
        <f>+AB4890-Z4890</f>
        <v>0</v>
      </c>
      <c r="AD4890" s="94"/>
      <c r="AE4890" s="386" t="str">
        <f>+IF(V4890=0,"CERO","NO")</f>
        <v>CERO</v>
      </c>
    </row>
    <row r="4891" spans="3:31" s="260" customFormat="1" ht="15.75" thickBot="1" x14ac:dyDescent="0.3">
      <c r="C4891" s="84"/>
      <c r="D4891" s="85"/>
      <c r="E4891" s="86"/>
      <c r="F4891" s="86"/>
      <c r="G4891" s="86"/>
      <c r="H4891" s="86"/>
      <c r="I4891" s="86"/>
      <c r="J4891" s="87"/>
      <c r="K4891" s="88"/>
      <c r="M4891" s="102">
        <v>0</v>
      </c>
      <c r="N4891" s="564"/>
      <c r="O4891" s="564"/>
      <c r="P4891" s="564"/>
      <c r="Q4891" s="564"/>
      <c r="R4891" s="96"/>
      <c r="S4891" s="96"/>
      <c r="T4891" s="565"/>
      <c r="U4891" s="565"/>
      <c r="V4891" s="101"/>
      <c r="Y4891" s="393">
        <f>+IFERROR(Y4883*S4891,0)</f>
        <v>0</v>
      </c>
      <c r="Z4891" s="391">
        <f>Y4883*V4891</f>
        <v>0</v>
      </c>
      <c r="AA4891" s="394"/>
      <c r="AB4891" s="395">
        <f>+Y4891*T4891</f>
        <v>0</v>
      </c>
      <c r="AC4891" s="93">
        <f>+AB4891-Z4891</f>
        <v>0</v>
      </c>
      <c r="AD4891" s="94"/>
      <c r="AE4891" s="386" t="str">
        <f>+IF(V4891=0,"CERO","NO")</f>
        <v>CERO</v>
      </c>
    </row>
    <row r="4892" spans="3:31" s="260" customFormat="1" ht="15.75" thickBot="1" x14ac:dyDescent="0.3">
      <c r="C4892" s="84"/>
      <c r="D4892" s="375" t="s">
        <v>128</v>
      </c>
      <c r="E4892" s="376" t="s">
        <v>129</v>
      </c>
      <c r="F4892" s="376" t="s">
        <v>130</v>
      </c>
      <c r="G4892" s="376" t="s">
        <v>131</v>
      </c>
      <c r="H4892" s="376" t="s">
        <v>132</v>
      </c>
      <c r="I4892" s="376" t="s">
        <v>133</v>
      </c>
      <c r="J4892" s="377" t="s">
        <v>134</v>
      </c>
      <c r="K4892" s="88"/>
      <c r="M4892" s="534"/>
      <c r="N4892" s="536" t="s">
        <v>101</v>
      </c>
      <c r="O4892" s="536"/>
      <c r="P4892" s="536"/>
      <c r="Q4892" s="536"/>
      <c r="R4892" s="536"/>
      <c r="S4892" s="536"/>
      <c r="T4892" s="536"/>
      <c r="U4892" s="536"/>
      <c r="V4892" s="389">
        <f>+SUM(V4887:V4891)</f>
        <v>1672.0439999999999</v>
      </c>
      <c r="Y4892" s="398" t="s">
        <v>135</v>
      </c>
      <c r="Z4892" s="397">
        <f>+SUM(Z4887:Z4891)</f>
        <v>3344.0879999999997</v>
      </c>
      <c r="AA4892" s="86"/>
      <c r="AB4892" s="384"/>
      <c r="AC4892" s="385"/>
      <c r="AD4892" s="94"/>
      <c r="AE4892" s="399"/>
    </row>
    <row r="4893" spans="3:31" s="260" customFormat="1" ht="15.75" thickBot="1" x14ac:dyDescent="0.3">
      <c r="C4893" s="84"/>
      <c r="D4893" s="375">
        <f>C4883</f>
        <v>4.2300000000000004</v>
      </c>
      <c r="E4893" s="376"/>
      <c r="F4893" s="376"/>
      <c r="G4893" s="376"/>
      <c r="H4893" s="376"/>
      <c r="I4893" s="376"/>
      <c r="J4893" s="377"/>
      <c r="K4893" s="88"/>
      <c r="M4893" s="566"/>
      <c r="N4893" s="567" t="s">
        <v>102</v>
      </c>
      <c r="O4893" s="567"/>
      <c r="P4893" s="567"/>
      <c r="Q4893" s="567"/>
      <c r="R4893" s="567"/>
      <c r="S4893" s="567"/>
      <c r="T4893" s="567"/>
      <c r="U4893" s="567"/>
      <c r="V4893" s="400">
        <f>+ROUND(V4892,$AA$5)</f>
        <v>1672.04</v>
      </c>
      <c r="Y4893" s="401" t="s">
        <v>136</v>
      </c>
      <c r="Z4893" s="402">
        <f>+ROUND(Z4892,$AA$5)</f>
        <v>3344.09</v>
      </c>
      <c r="AA4893" s="86"/>
      <c r="AB4893" s="403">
        <f>+V4893*Y4883</f>
        <v>3344.08</v>
      </c>
      <c r="AC4893" s="404">
        <f>+AB4893-Z4893</f>
        <v>-1.0000000000218279E-2</v>
      </c>
      <c r="AD4893" s="94"/>
      <c r="AE4893" s="405"/>
    </row>
    <row r="4894" spans="3:31" s="260" customFormat="1" x14ac:dyDescent="0.25">
      <c r="C4894" s="84"/>
      <c r="D4894" s="380"/>
      <c r="E4894" s="381"/>
      <c r="F4894" s="381"/>
      <c r="G4894" s="381"/>
      <c r="H4894" s="381"/>
      <c r="I4894" s="381"/>
      <c r="J4894" s="382"/>
      <c r="K4894" s="88"/>
      <c r="M4894" s="510" t="s">
        <v>103</v>
      </c>
      <c r="N4894" s="511"/>
      <c r="O4894" s="511"/>
      <c r="P4894" s="511"/>
      <c r="Q4894" s="511"/>
      <c r="R4894" s="511"/>
      <c r="S4894" s="511"/>
      <c r="T4894" s="511"/>
      <c r="U4894" s="511"/>
      <c r="V4894" s="512"/>
      <c r="Y4894" s="378"/>
      <c r="Z4894" s="121"/>
      <c r="AA4894" s="86"/>
      <c r="AB4894" s="513"/>
      <c r="AC4894" s="514"/>
      <c r="AD4894" s="94"/>
      <c r="AE4894" s="126"/>
    </row>
    <row r="4895" spans="3:31" s="260" customFormat="1" x14ac:dyDescent="0.25">
      <c r="C4895" s="84"/>
      <c r="D4895" s="85"/>
      <c r="E4895" s="86"/>
      <c r="F4895" s="86"/>
      <c r="G4895" s="86"/>
      <c r="H4895" s="86"/>
      <c r="I4895" s="86"/>
      <c r="J4895" s="87"/>
      <c r="K4895" s="88"/>
      <c r="M4895" s="99" t="s">
        <v>94</v>
      </c>
      <c r="N4895" s="561" t="s">
        <v>95</v>
      </c>
      <c r="O4895" s="561"/>
      <c r="P4895" s="561"/>
      <c r="Q4895" s="561"/>
      <c r="R4895" s="95" t="s">
        <v>96</v>
      </c>
      <c r="S4895" s="95" t="s">
        <v>104</v>
      </c>
      <c r="T4895" s="356" t="s">
        <v>105</v>
      </c>
      <c r="U4895" s="356" t="s">
        <v>8</v>
      </c>
      <c r="V4895" s="100" t="s">
        <v>98</v>
      </c>
      <c r="Y4895" s="383" t="s">
        <v>104</v>
      </c>
      <c r="Z4895" s="119" t="s">
        <v>9</v>
      </c>
      <c r="AA4895" s="86"/>
      <c r="AB4895" s="384"/>
      <c r="AC4895" s="385"/>
      <c r="AD4895" s="94"/>
      <c r="AE4895" s="406"/>
    </row>
    <row r="4896" spans="3:31" s="260" customFormat="1" x14ac:dyDescent="0.25">
      <c r="C4896" s="84"/>
      <c r="D4896" s="85"/>
      <c r="E4896" s="86"/>
      <c r="F4896" s="86"/>
      <c r="G4896" s="86"/>
      <c r="H4896" s="86"/>
      <c r="I4896" s="86"/>
      <c r="J4896" s="87"/>
      <c r="K4896" s="88"/>
      <c r="M4896" s="102" t="s">
        <v>633</v>
      </c>
      <c r="N4896" s="533" t="str">
        <f>IFERROR(VLOOKUP(M4896,INSUMOS!$C$8:$K$928,2,0),"-----")</f>
        <v>CONCRETO DE 3.000 PSI</v>
      </c>
      <c r="O4896" s="533"/>
      <c r="P4896" s="533"/>
      <c r="Q4896" s="533"/>
      <c r="R4896" s="78" t="str">
        <f>IFERROR(VLOOKUP(M4896,INSUMOS!$C$8:$K$928,6,0),"-----")</f>
        <v>m3</v>
      </c>
      <c r="S4896" s="396">
        <v>0.04</v>
      </c>
      <c r="T4896" s="387">
        <v>0</v>
      </c>
      <c r="U4896" s="388">
        <f>IFERROR(VLOOKUP(M4896,INSUMOS!$C$8:$K$928,7,0),"0")</f>
        <v>789152.76</v>
      </c>
      <c r="V4896" s="389">
        <f>+IFERROR(U4896*(S4896*(1+T4896)),0)</f>
        <v>31566.110400000001</v>
      </c>
      <c r="Y4896" s="393">
        <f>+IFERROR(Y4883*(S4896*(1+T4896)),0)</f>
        <v>0.08</v>
      </c>
      <c r="Z4896" s="391">
        <f>Y4883*V4896</f>
        <v>63132.220800000003</v>
      </c>
      <c r="AA4896" s="394"/>
      <c r="AB4896" s="395">
        <f>+Y4896*U4896</f>
        <v>63132.220800000003</v>
      </c>
      <c r="AC4896" s="93">
        <f>+AB4896-Z4896</f>
        <v>0</v>
      </c>
      <c r="AD4896" s="94"/>
      <c r="AE4896" s="406" t="str">
        <f>+IF(V4896=0,"CERO","NO")</f>
        <v>NO</v>
      </c>
    </row>
    <row r="4897" spans="3:31" s="260" customFormat="1" x14ac:dyDescent="0.25">
      <c r="C4897" s="84"/>
      <c r="D4897" s="85"/>
      <c r="E4897" s="86"/>
      <c r="F4897" s="86"/>
      <c r="G4897" s="86"/>
      <c r="H4897" s="86"/>
      <c r="I4897" s="86"/>
      <c r="J4897" s="87"/>
      <c r="K4897" s="88"/>
      <c r="M4897" s="102" t="s">
        <v>886</v>
      </c>
      <c r="N4897" s="533" t="str">
        <f>IFERROR(VLOOKUP(M4897,INSUMOS!$C$8:$K$928,2,0),"-----")</f>
        <v>MORTERO 1:3</v>
      </c>
      <c r="O4897" s="533"/>
      <c r="P4897" s="533"/>
      <c r="Q4897" s="533"/>
      <c r="R4897" s="78" t="str">
        <f>IFERROR(VLOOKUP(M4897,INSUMOS!$C$8:$K$928,6,0),"-----")</f>
        <v>m3</v>
      </c>
      <c r="S4897" s="396">
        <v>7.0000000000000007E-2</v>
      </c>
      <c r="T4897" s="387">
        <v>0</v>
      </c>
      <c r="U4897" s="388">
        <f>IFERROR(VLOOKUP(M4897,INSUMOS!$C$8:$K$928,7,0),"0")</f>
        <v>678786.06</v>
      </c>
      <c r="V4897" s="389">
        <f>+IFERROR(U4897*(S4897*(1+T4897)),0)</f>
        <v>47515.024200000007</v>
      </c>
      <c r="Y4897" s="393">
        <f>+IFERROR(Y4883*(S4897*(1+T4897)),0)</f>
        <v>0.14000000000000001</v>
      </c>
      <c r="Z4897" s="391">
        <f>Y4883*V4897</f>
        <v>95030.048400000014</v>
      </c>
      <c r="AA4897" s="394"/>
      <c r="AB4897" s="395">
        <f>+Y4897*U4897</f>
        <v>95030.048400000014</v>
      </c>
      <c r="AC4897" s="93">
        <f>+AB4897-Z4897</f>
        <v>0</v>
      </c>
      <c r="AD4897" s="94"/>
      <c r="AE4897" s="406" t="str">
        <f>+IF(V4897=0,"CERO","NO")</f>
        <v>NO</v>
      </c>
    </row>
    <row r="4898" spans="3:31" s="260" customFormat="1" x14ac:dyDescent="0.25">
      <c r="C4898" s="84"/>
      <c r="D4898" s="85"/>
      <c r="E4898" s="86"/>
      <c r="F4898" s="86"/>
      <c r="G4898" s="86"/>
      <c r="H4898" s="86"/>
      <c r="I4898" s="86"/>
      <c r="J4898" s="87"/>
      <c r="K4898" s="88"/>
      <c r="M4898" s="102">
        <v>440</v>
      </c>
      <c r="N4898" s="533" t="str">
        <f>IFERROR(VLOOKUP(M4898,INSUMOS!$C$8:$K$928,2,0),"-----")</f>
        <v>ACERO DE REFUERZO fy 420</v>
      </c>
      <c r="O4898" s="533"/>
      <c r="P4898" s="533"/>
      <c r="Q4898" s="533"/>
      <c r="R4898" s="78" t="str">
        <f>IFERROR(VLOOKUP(M4898,INSUMOS!$C$8:$K$928,6,0),"-----")</f>
        <v>kg</v>
      </c>
      <c r="S4898" s="396">
        <v>7.44</v>
      </c>
      <c r="T4898" s="387">
        <v>0</v>
      </c>
      <c r="U4898" s="388">
        <f>IFERROR(VLOOKUP(M4898,INSUMOS!$C$8:$K$928,7,0),"0")</f>
        <v>4477.0000000000009</v>
      </c>
      <c r="V4898" s="389">
        <f>+IFERROR(U4898*(S4898*(1+T4898)),0)</f>
        <v>33308.880000000012</v>
      </c>
      <c r="Y4898" s="393">
        <f>+IFERROR(Y4883*(S4898*(1+T4898)),0)</f>
        <v>14.88</v>
      </c>
      <c r="Z4898" s="391">
        <f>Y4883*V4898</f>
        <v>66617.760000000024</v>
      </c>
      <c r="AA4898" s="394"/>
      <c r="AB4898" s="395">
        <f>+Y4898*U4898</f>
        <v>66617.760000000024</v>
      </c>
      <c r="AC4898" s="93">
        <f>+AB4898-Z4898</f>
        <v>0</v>
      </c>
      <c r="AD4898" s="94"/>
      <c r="AE4898" s="406" t="str">
        <f>+IF(V4898=0,"CERO","NO")</f>
        <v>NO</v>
      </c>
    </row>
    <row r="4899" spans="3:31" s="260" customFormat="1" x14ac:dyDescent="0.25">
      <c r="C4899" s="84"/>
      <c r="D4899" s="85"/>
      <c r="E4899" s="86"/>
      <c r="F4899" s="86"/>
      <c r="G4899" s="86"/>
      <c r="H4899" s="86"/>
      <c r="I4899" s="86"/>
      <c r="J4899" s="87"/>
      <c r="K4899" s="88"/>
      <c r="M4899" s="102">
        <v>447</v>
      </c>
      <c r="N4899" s="533" t="str">
        <f>IFERROR(VLOOKUP(M4899,INSUMOS!$C$8:$K$928,2,0),"-----")</f>
        <v>ALAMBRE DE AMARRE No 18</v>
      </c>
      <c r="O4899" s="533"/>
      <c r="P4899" s="533"/>
      <c r="Q4899" s="533"/>
      <c r="R4899" s="78" t="str">
        <f>IFERROR(VLOOKUP(M4899,INSUMOS!$C$8:$K$928,6,0),"-----")</f>
        <v>Kg</v>
      </c>
      <c r="S4899" s="396">
        <v>0.74399999999999999</v>
      </c>
      <c r="T4899" s="387">
        <v>0</v>
      </c>
      <c r="U4899" s="388">
        <f>IFERROR(VLOOKUP(M4899,INSUMOS!$C$8:$K$928,7,0),"0")</f>
        <v>5500</v>
      </c>
      <c r="V4899" s="389">
        <f>+IFERROR(U4899*(S4899*(1+T4899)),0)</f>
        <v>4092</v>
      </c>
      <c r="Y4899" s="393">
        <f>+IFERROR(Y4883*(S4899*(1+T4899)),0)</f>
        <v>1.488</v>
      </c>
      <c r="Z4899" s="391">
        <f>Y4883*V4899</f>
        <v>8184</v>
      </c>
      <c r="AA4899" s="394"/>
      <c r="AB4899" s="395">
        <f>+Y4899*U4899</f>
        <v>8184</v>
      </c>
      <c r="AC4899" s="93">
        <f>+AB4899-Z4899</f>
        <v>0</v>
      </c>
      <c r="AD4899" s="94"/>
      <c r="AE4899" s="406" t="str">
        <f>+IF(V4899=0,"CERO","NO")</f>
        <v>NO</v>
      </c>
    </row>
    <row r="4900" spans="3:31" s="260" customFormat="1" ht="15.75" thickBot="1" x14ac:dyDescent="0.3">
      <c r="C4900" s="84"/>
      <c r="D4900" s="85"/>
      <c r="E4900" s="86"/>
      <c r="F4900" s="86"/>
      <c r="G4900" s="86"/>
      <c r="H4900" s="86"/>
      <c r="I4900" s="86"/>
      <c r="J4900" s="87"/>
      <c r="K4900" s="88"/>
      <c r="M4900" s="102">
        <v>430</v>
      </c>
      <c r="N4900" s="533" t="str">
        <f>IFERROR(VLOOKUP(M4900,INSUMOS!$C$8:$K$928,2,0),"-----")</f>
        <v>LADRILLO MACIZO</v>
      </c>
      <c r="O4900" s="533"/>
      <c r="P4900" s="533"/>
      <c r="Q4900" s="533"/>
      <c r="R4900" s="78" t="str">
        <f>IFERROR(VLOOKUP(M4900,INSUMOS!$C$8:$K$928,6,0),"-----")</f>
        <v>und</v>
      </c>
      <c r="S4900" s="396">
        <v>7</v>
      </c>
      <c r="T4900" s="387">
        <v>0</v>
      </c>
      <c r="U4900" s="388">
        <f>IFERROR(VLOOKUP(M4900,INSUMOS!$C$8:$K$928,7,0),"0")</f>
        <v>1089.0000000000002</v>
      </c>
      <c r="V4900" s="389">
        <f>+IFERROR(U4900*(S4900*(1+T4900)),0)</f>
        <v>7623.0000000000018</v>
      </c>
      <c r="Y4900" s="393">
        <f>+IFERROR(Y4883*(S4900*(1+T4900)),0)</f>
        <v>14</v>
      </c>
      <c r="Z4900" s="391">
        <f>Y4883*V4900</f>
        <v>15246.000000000004</v>
      </c>
      <c r="AA4900" s="394"/>
      <c r="AB4900" s="395">
        <f>+Y4900*U4900</f>
        <v>15246.000000000004</v>
      </c>
      <c r="AC4900" s="93">
        <f>+AB4900-Z4900</f>
        <v>0</v>
      </c>
      <c r="AD4900" s="94"/>
      <c r="AE4900" s="406" t="str">
        <f>+IF(V4900=0,"CERO","NO")</f>
        <v>NO</v>
      </c>
    </row>
    <row r="4901" spans="3:31" s="260" customFormat="1" ht="15.75" thickBot="1" x14ac:dyDescent="0.3">
      <c r="C4901" s="84"/>
      <c r="D4901" s="375" t="s">
        <v>128</v>
      </c>
      <c r="E4901" s="376" t="s">
        <v>129</v>
      </c>
      <c r="F4901" s="376" t="s">
        <v>130</v>
      </c>
      <c r="G4901" s="376" t="s">
        <v>131</v>
      </c>
      <c r="H4901" s="376" t="s">
        <v>132</v>
      </c>
      <c r="I4901" s="376" t="s">
        <v>133</v>
      </c>
      <c r="J4901" s="377" t="s">
        <v>134</v>
      </c>
      <c r="K4901" s="88"/>
      <c r="M4901" s="534"/>
      <c r="N4901" s="536" t="s">
        <v>106</v>
      </c>
      <c r="O4901" s="536"/>
      <c r="P4901" s="536"/>
      <c r="Q4901" s="536"/>
      <c r="R4901" s="536"/>
      <c r="S4901" s="536"/>
      <c r="T4901" s="536"/>
      <c r="U4901" s="536"/>
      <c r="V4901" s="389">
        <f>+SUM(V4896:V4900)</f>
        <v>124105.01460000002</v>
      </c>
      <c r="Y4901" s="398" t="s">
        <v>135</v>
      </c>
      <c r="Z4901" s="397">
        <f>+SUM(Z4896:Z4900)</f>
        <v>248210.02920000005</v>
      </c>
      <c r="AA4901" s="86"/>
      <c r="AB4901" s="384"/>
      <c r="AC4901" s="385"/>
      <c r="AD4901" s="94"/>
      <c r="AE4901" s="399"/>
    </row>
    <row r="4902" spans="3:31" s="260" customFormat="1" ht="15.75" thickBot="1" x14ac:dyDescent="0.3">
      <c r="C4902" s="84"/>
      <c r="D4902" s="375"/>
      <c r="E4902" s="407">
        <f>+D4893</f>
        <v>4.2300000000000004</v>
      </c>
      <c r="F4902" s="376"/>
      <c r="G4902" s="376"/>
      <c r="H4902" s="376"/>
      <c r="I4902" s="376"/>
      <c r="J4902" s="377"/>
      <c r="K4902" s="88"/>
      <c r="M4902" s="535"/>
      <c r="N4902" s="537" t="s">
        <v>107</v>
      </c>
      <c r="O4902" s="537"/>
      <c r="P4902" s="537"/>
      <c r="Q4902" s="537"/>
      <c r="R4902" s="537"/>
      <c r="S4902" s="537"/>
      <c r="T4902" s="537"/>
      <c r="U4902" s="537"/>
      <c r="V4902" s="408">
        <f>+ROUND(V4901,$AA$5)</f>
        <v>124105.01</v>
      </c>
      <c r="Y4902" s="401" t="s">
        <v>136</v>
      </c>
      <c r="Z4902" s="402">
        <f>+ROUND(Z4901,$AA$5)</f>
        <v>248210.03</v>
      </c>
      <c r="AA4902" s="86"/>
      <c r="AB4902" s="403">
        <f>+V4902*Y4883</f>
        <v>248210.02</v>
      </c>
      <c r="AC4902" s="404">
        <f>+AB4902-Z4902</f>
        <v>-1.0000000009313226E-2</v>
      </c>
      <c r="AD4902" s="94"/>
      <c r="AE4902" s="405"/>
    </row>
    <row r="4903" spans="3:31" s="260" customFormat="1" x14ac:dyDescent="0.25">
      <c r="C4903" s="84"/>
      <c r="D4903" s="380"/>
      <c r="E4903" s="381"/>
      <c r="F4903" s="381"/>
      <c r="G4903" s="381"/>
      <c r="H4903" s="381"/>
      <c r="I4903" s="381"/>
      <c r="J4903" s="382"/>
      <c r="K4903" s="88"/>
      <c r="M4903" s="568" t="s">
        <v>108</v>
      </c>
      <c r="N4903" s="569"/>
      <c r="O4903" s="569"/>
      <c r="P4903" s="569"/>
      <c r="Q4903" s="569"/>
      <c r="R4903" s="569"/>
      <c r="S4903" s="569"/>
      <c r="T4903" s="569"/>
      <c r="U4903" s="569"/>
      <c r="V4903" s="570"/>
      <c r="Y4903" s="378"/>
      <c r="Z4903" s="121"/>
      <c r="AA4903" s="86"/>
      <c r="AB4903" s="409"/>
      <c r="AC4903" s="121"/>
      <c r="AD4903" s="94"/>
      <c r="AE4903" s="126"/>
    </row>
    <row r="4904" spans="3:31" s="260" customFormat="1" ht="25.5" x14ac:dyDescent="0.25">
      <c r="C4904" s="84"/>
      <c r="D4904" s="85"/>
      <c r="E4904" s="86"/>
      <c r="F4904" s="86"/>
      <c r="G4904" s="86"/>
      <c r="H4904" s="86"/>
      <c r="I4904" s="86"/>
      <c r="J4904" s="87"/>
      <c r="K4904" s="88"/>
      <c r="M4904" s="99" t="s">
        <v>94</v>
      </c>
      <c r="N4904" s="561" t="s">
        <v>95</v>
      </c>
      <c r="O4904" s="561"/>
      <c r="P4904" s="561"/>
      <c r="Q4904" s="95" t="s">
        <v>109</v>
      </c>
      <c r="R4904" s="95" t="s">
        <v>110</v>
      </c>
      <c r="S4904" s="95" t="s">
        <v>111</v>
      </c>
      <c r="T4904" s="562" t="s">
        <v>112</v>
      </c>
      <c r="U4904" s="562"/>
      <c r="V4904" s="100" t="s">
        <v>98</v>
      </c>
      <c r="Y4904" s="383" t="s">
        <v>104</v>
      </c>
      <c r="Z4904" s="119" t="s">
        <v>9</v>
      </c>
      <c r="AA4904" s="86"/>
      <c r="AB4904" s="384"/>
      <c r="AC4904" s="385"/>
      <c r="AD4904" s="94"/>
      <c r="AE4904" s="410"/>
    </row>
    <row r="4905" spans="3:31" s="260" customFormat="1" x14ac:dyDescent="0.25">
      <c r="C4905" s="84"/>
      <c r="D4905" s="85"/>
      <c r="E4905" s="86"/>
      <c r="F4905" s="86"/>
      <c r="G4905" s="86"/>
      <c r="H4905" s="86"/>
      <c r="I4905" s="86"/>
      <c r="J4905" s="87"/>
      <c r="K4905" s="88"/>
      <c r="M4905" s="102"/>
      <c r="N4905" s="530" t="str">
        <f>IFERROR(VLOOKUP(M4905,INSUMOS!$C$8:$K$928,2,0),"-----")</f>
        <v>-----</v>
      </c>
      <c r="O4905" s="531"/>
      <c r="P4905" s="532"/>
      <c r="Q4905" s="78" t="str">
        <f>IFERROR(VLOOKUP(M4905,INSUMOS!$C$8:$K$928,5,0),"-----")</f>
        <v>-----</v>
      </c>
      <c r="R4905" s="80"/>
      <c r="S4905" s="80" t="str">
        <f>IFERROR(VLOOKUP(M4905,INSUMOS!$C$8:$K$928,6,0),"0")</f>
        <v>0</v>
      </c>
      <c r="T4905" s="529" t="str">
        <f>IFERROR(VLOOKUP(M4905,INSUMOS!$C$8:$K$928,7,0),"0")</f>
        <v>0</v>
      </c>
      <c r="U4905" s="529"/>
      <c r="V4905" s="82">
        <f>+T4905*S4905*R4905</f>
        <v>0</v>
      </c>
      <c r="Y4905" s="393">
        <f>+IFERROR((R4905*S4905)*Y4883,0)</f>
        <v>0</v>
      </c>
      <c r="Z4905" s="391">
        <f>Y4883*V4905</f>
        <v>0</v>
      </c>
      <c r="AA4905" s="86"/>
      <c r="AB4905" s="92">
        <f>+Y4905*T4905</f>
        <v>0</v>
      </c>
      <c r="AC4905" s="93">
        <f>+AB4905-Z4905</f>
        <v>0</v>
      </c>
      <c r="AD4905" s="94"/>
      <c r="AE4905" s="406" t="str">
        <f>+IF(V4905=0,"CERO","NO")</f>
        <v>CERO</v>
      </c>
    </row>
    <row r="4906" spans="3:31" s="260" customFormat="1" x14ac:dyDescent="0.25">
      <c r="C4906" s="84"/>
      <c r="D4906" s="85"/>
      <c r="E4906" s="86"/>
      <c r="F4906" s="86"/>
      <c r="G4906" s="86"/>
      <c r="H4906" s="86"/>
      <c r="I4906" s="86"/>
      <c r="J4906" s="87"/>
      <c r="K4906" s="88"/>
      <c r="M4906" s="102">
        <v>0</v>
      </c>
      <c r="N4906" s="530" t="str">
        <f>IFERROR(VLOOKUP(M4906,INSUMOS!$C$8:$K$928,2,0),"-----")</f>
        <v>-----</v>
      </c>
      <c r="O4906" s="531"/>
      <c r="P4906" s="532"/>
      <c r="Q4906" s="78" t="str">
        <f>IFERROR(VLOOKUP(M4906,INSUMOS!$C$8:$K$928,5,0),"-----")</f>
        <v>-----</v>
      </c>
      <c r="R4906" s="80"/>
      <c r="S4906" s="80" t="str">
        <f>IFERROR(VLOOKUP(M4906,INSUMOS!$C$8:$K$928,6,0),"0")</f>
        <v>0</v>
      </c>
      <c r="T4906" s="529" t="str">
        <f>IFERROR(VLOOKUP(M4906,INSUMOS!$C$8:$K$928,7,0),"0")</f>
        <v>0</v>
      </c>
      <c r="U4906" s="529"/>
      <c r="V4906" s="82">
        <f>+T4906*S4906*R4906</f>
        <v>0</v>
      </c>
      <c r="Y4906" s="393">
        <f>+IFERROR((R4906*S4906)*Y4883,0)</f>
        <v>0</v>
      </c>
      <c r="Z4906" s="391">
        <f>Y4883*V4906</f>
        <v>0</v>
      </c>
      <c r="AA4906" s="86"/>
      <c r="AB4906" s="92">
        <f>+Y4906*T4906</f>
        <v>0</v>
      </c>
      <c r="AC4906" s="93">
        <f>+AB4906-Z4906</f>
        <v>0</v>
      </c>
      <c r="AD4906" s="94"/>
      <c r="AE4906" s="406" t="str">
        <f>+IF(V4906=0,"CERO","NO")</f>
        <v>CERO</v>
      </c>
    </row>
    <row r="4907" spans="3:31" s="260" customFormat="1" x14ac:dyDescent="0.25">
      <c r="C4907" s="84"/>
      <c r="D4907" s="85"/>
      <c r="E4907" s="86"/>
      <c r="F4907" s="86"/>
      <c r="G4907" s="86"/>
      <c r="H4907" s="86"/>
      <c r="I4907" s="86"/>
      <c r="J4907" s="87"/>
      <c r="K4907" s="88"/>
      <c r="M4907" s="102">
        <v>0</v>
      </c>
      <c r="N4907" s="530" t="str">
        <f>IFERROR(VLOOKUP(M4907,INSUMOS!$C$8:$K$928,2,0),"-----")</f>
        <v>-----</v>
      </c>
      <c r="O4907" s="531"/>
      <c r="P4907" s="532"/>
      <c r="Q4907" s="78" t="str">
        <f>IFERROR(VLOOKUP(M4907,INSUMOS!$C$8:$K$928,5,0),"-----")</f>
        <v>-----</v>
      </c>
      <c r="R4907" s="80"/>
      <c r="S4907" s="80" t="str">
        <f>IFERROR(VLOOKUP(M4907,INSUMOS!$C$8:$K$928,6,0),"0")</f>
        <v>0</v>
      </c>
      <c r="T4907" s="529" t="str">
        <f>IFERROR(VLOOKUP(M4907,INSUMOS!$C$8:$K$928,7,0),"0")</f>
        <v>0</v>
      </c>
      <c r="U4907" s="529"/>
      <c r="V4907" s="82">
        <f>+T4907*S4907*R4907</f>
        <v>0</v>
      </c>
      <c r="Y4907" s="393">
        <f>+IFERROR((R4907*S4907)*Y4883,0)</f>
        <v>0</v>
      </c>
      <c r="Z4907" s="391">
        <f>Y4883*V4907</f>
        <v>0</v>
      </c>
      <c r="AA4907" s="86"/>
      <c r="AB4907" s="92">
        <f>+Y4907*T4907</f>
        <v>0</v>
      </c>
      <c r="AC4907" s="93">
        <f>+AB4907-Z4907</f>
        <v>0</v>
      </c>
      <c r="AD4907" s="94"/>
      <c r="AE4907" s="406" t="str">
        <f>+IF(V4907=0,"CERO","NO")</f>
        <v>CERO</v>
      </c>
    </row>
    <row r="4908" spans="3:31" s="260" customFormat="1" ht="15.75" thickBot="1" x14ac:dyDescent="0.3">
      <c r="C4908" s="84"/>
      <c r="D4908" s="89"/>
      <c r="E4908" s="90"/>
      <c r="F4908" s="90"/>
      <c r="G4908" s="90"/>
      <c r="H4908" s="90"/>
      <c r="I4908" s="90"/>
      <c r="J4908" s="91"/>
      <c r="K4908" s="88"/>
      <c r="M4908" s="102">
        <v>0</v>
      </c>
      <c r="N4908" s="533"/>
      <c r="O4908" s="533"/>
      <c r="P4908" s="533"/>
      <c r="Q4908" s="79"/>
      <c r="R4908" s="78"/>
      <c r="S4908" s="81"/>
      <c r="T4908" s="529"/>
      <c r="U4908" s="529"/>
      <c r="V4908" s="82"/>
      <c r="Y4908" s="393">
        <f>+IFERROR((R4908*S4908)*Y4883,0)</f>
        <v>0</v>
      </c>
      <c r="Z4908" s="391">
        <f>Y4883*V4908</f>
        <v>0</v>
      </c>
      <c r="AA4908" s="86"/>
      <c r="AB4908" s="92">
        <f>+Y4908*T4908</f>
        <v>0</v>
      </c>
      <c r="AC4908" s="93">
        <f>+AB4908-Z4908</f>
        <v>0</v>
      </c>
      <c r="AD4908" s="94"/>
      <c r="AE4908" s="406" t="str">
        <f>+IF(V4908=0,"CERO","NO")</f>
        <v>CERO</v>
      </c>
    </row>
    <row r="4909" spans="3:31" s="260" customFormat="1" ht="15.75" thickBot="1" x14ac:dyDescent="0.3">
      <c r="C4909" s="84"/>
      <c r="D4909" s="375" t="s">
        <v>128</v>
      </c>
      <c r="E4909" s="376" t="s">
        <v>129</v>
      </c>
      <c r="F4909" s="376" t="s">
        <v>130</v>
      </c>
      <c r="G4909" s="376" t="s">
        <v>131</v>
      </c>
      <c r="H4909" s="376" t="s">
        <v>132</v>
      </c>
      <c r="I4909" s="376" t="s">
        <v>133</v>
      </c>
      <c r="J4909" s="377" t="s">
        <v>134</v>
      </c>
      <c r="K4909" s="88"/>
      <c r="M4909" s="534"/>
      <c r="N4909" s="536" t="s">
        <v>113</v>
      </c>
      <c r="O4909" s="536"/>
      <c r="P4909" s="536"/>
      <c r="Q4909" s="536"/>
      <c r="R4909" s="536"/>
      <c r="S4909" s="536"/>
      <c r="T4909" s="536"/>
      <c r="U4909" s="536"/>
      <c r="V4909" s="411">
        <f>+SUM(V4905:V4908)</f>
        <v>0</v>
      </c>
      <c r="Y4909" s="398" t="s">
        <v>135</v>
      </c>
      <c r="Z4909" s="397">
        <f>+SUM(Z4905:Z4908)</f>
        <v>0</v>
      </c>
      <c r="AA4909" s="86"/>
      <c r="AB4909" s="384"/>
      <c r="AC4909" s="385"/>
      <c r="AD4909" s="94"/>
      <c r="AE4909" s="399"/>
    </row>
    <row r="4910" spans="3:31" s="260" customFormat="1" ht="15.75" thickBot="1" x14ac:dyDescent="0.3">
      <c r="C4910" s="84"/>
      <c r="D4910" s="355"/>
      <c r="E4910" s="367"/>
      <c r="F4910" s="412">
        <f>+E4902</f>
        <v>4.2300000000000004</v>
      </c>
      <c r="G4910" s="367"/>
      <c r="H4910" s="367"/>
      <c r="I4910" s="367"/>
      <c r="J4910" s="368"/>
      <c r="K4910" s="88"/>
      <c r="M4910" s="535"/>
      <c r="N4910" s="537" t="s">
        <v>114</v>
      </c>
      <c r="O4910" s="537"/>
      <c r="P4910" s="537"/>
      <c r="Q4910" s="537"/>
      <c r="R4910" s="537"/>
      <c r="S4910" s="537"/>
      <c r="T4910" s="537"/>
      <c r="U4910" s="537"/>
      <c r="V4910" s="413">
        <f>+ROUND(V4909,$AA$5)</f>
        <v>0</v>
      </c>
      <c r="Y4910" s="401" t="s">
        <v>136</v>
      </c>
      <c r="Z4910" s="402">
        <f>+ROUND(Z4909,$AA$5)</f>
        <v>0</v>
      </c>
      <c r="AA4910" s="86"/>
      <c r="AB4910" s="403">
        <f>+V4910*Y4883</f>
        <v>0</v>
      </c>
      <c r="AC4910" s="414"/>
      <c r="AD4910" s="94"/>
      <c r="AE4910" s="405"/>
    </row>
    <row r="4911" spans="3:31" s="260" customFormat="1" ht="15.75" thickBot="1" x14ac:dyDescent="0.3">
      <c r="C4911" s="84"/>
      <c r="D4911" s="415"/>
      <c r="E4911" s="416"/>
      <c r="F4911" s="416"/>
      <c r="G4911" s="416"/>
      <c r="H4911" s="416"/>
      <c r="I4911" s="416"/>
      <c r="J4911" s="417"/>
      <c r="K4911" s="88"/>
      <c r="M4911" s="538" t="s">
        <v>115</v>
      </c>
      <c r="N4911" s="539"/>
      <c r="O4911" s="539"/>
      <c r="P4911" s="539"/>
      <c r="Q4911" s="539"/>
      <c r="R4911" s="539"/>
      <c r="S4911" s="539"/>
      <c r="T4911" s="539"/>
      <c r="U4911" s="539"/>
      <c r="V4911" s="540"/>
      <c r="Y4911" s="378"/>
      <c r="Z4911" s="121"/>
      <c r="AA4911" s="86"/>
      <c r="AB4911" s="409"/>
      <c r="AC4911" s="121"/>
      <c r="AD4911" s="94"/>
      <c r="AE4911" s="126"/>
    </row>
    <row r="4912" spans="3:31" s="260" customFormat="1" ht="15.75" thickBot="1" x14ac:dyDescent="0.3">
      <c r="C4912" s="84"/>
      <c r="D4912" s="375" t="s">
        <v>128</v>
      </c>
      <c r="E4912" s="376" t="s">
        <v>129</v>
      </c>
      <c r="F4912" s="376" t="s">
        <v>130</v>
      </c>
      <c r="G4912" s="376" t="s">
        <v>131</v>
      </c>
      <c r="H4912" s="376" t="s">
        <v>132</v>
      </c>
      <c r="I4912" s="376" t="s">
        <v>133</v>
      </c>
      <c r="J4912" s="377" t="s">
        <v>134</v>
      </c>
      <c r="K4912" s="88"/>
      <c r="M4912" s="99" t="s">
        <v>94</v>
      </c>
      <c r="N4912" s="98" t="s">
        <v>95</v>
      </c>
      <c r="O4912" s="95" t="s">
        <v>96</v>
      </c>
      <c r="P4912" s="359" t="s">
        <v>104</v>
      </c>
      <c r="Q4912" s="95" t="s">
        <v>116</v>
      </c>
      <c r="R4912" s="418" t="s">
        <v>117</v>
      </c>
      <c r="S4912" s="95" t="s">
        <v>347</v>
      </c>
      <c r="T4912" s="419" t="s">
        <v>118</v>
      </c>
      <c r="U4912" s="189" t="s">
        <v>119</v>
      </c>
      <c r="V4912" s="100" t="s">
        <v>98</v>
      </c>
      <c r="Y4912" s="383" t="s">
        <v>104</v>
      </c>
      <c r="Z4912" s="119" t="s">
        <v>9</v>
      </c>
      <c r="AA4912" s="86"/>
      <c r="AB4912" s="384"/>
      <c r="AC4912" s="385"/>
      <c r="AD4912" s="94"/>
      <c r="AE4912" s="410"/>
    </row>
    <row r="4913" spans="3:31" s="260" customFormat="1" ht="25.5" x14ac:dyDescent="0.25">
      <c r="C4913" s="84"/>
      <c r="D4913" s="354"/>
      <c r="E4913" s="96"/>
      <c r="F4913" s="96"/>
      <c r="G4913" s="96"/>
      <c r="H4913" s="96"/>
      <c r="I4913" s="96"/>
      <c r="J4913" s="420">
        <f>+F4910</f>
        <v>4.2300000000000004</v>
      </c>
      <c r="K4913" s="88"/>
      <c r="M4913" s="102">
        <v>201</v>
      </c>
      <c r="N4913" s="347" t="str">
        <f>IFERROR(VLOOKUP(M4913,INSUMOS!$C$8:$K$928,2,0),"-----")</f>
        <v>Oficial Albañileria</v>
      </c>
      <c r="O4913" s="78" t="str">
        <f>IFERROR(VLOOKUP(M4913,INSUMOS!$C$8:$K$928,3,0),"-----")</f>
        <v>JORNAL+PS</v>
      </c>
      <c r="P4913" s="80">
        <v>1</v>
      </c>
      <c r="Q4913" s="79">
        <v>8</v>
      </c>
      <c r="R4913" s="190">
        <f>IFERROR(VLOOKUP(M4913,INSUMOS!$C$8:$K$928,4,0),"-----")</f>
        <v>85136</v>
      </c>
      <c r="S4913" s="190">
        <f>IFERROR(VLOOKUP(M4913,INSUMOS!$C$8:$K$928,6,0),"-----")</f>
        <v>68109</v>
      </c>
      <c r="T4913" s="190">
        <f>IFERROR(VLOOKUP(M4913,INSUMOS!$C$8:$K$928,5,0),"-----")</f>
        <v>0</v>
      </c>
      <c r="U4913" s="388">
        <f>SUM(R4913:T4913)</f>
        <v>153245</v>
      </c>
      <c r="V4913" s="82">
        <f>+IFERROR((P4913/Q4913)*U4913,0)</f>
        <v>19155.625</v>
      </c>
      <c r="Y4913" s="393">
        <f>+IFERROR((Y4883/Q4913*P4913),0)</f>
        <v>0.25</v>
      </c>
      <c r="Z4913" s="391">
        <f>Y4883*V4913</f>
        <v>38311.25</v>
      </c>
      <c r="AA4913" s="86"/>
      <c r="AB4913" s="92">
        <f>+(U4913)*Y4913</f>
        <v>38311.25</v>
      </c>
      <c r="AC4913" s="93">
        <f>+AB4913-Z4913</f>
        <v>0</v>
      </c>
      <c r="AD4913" s="421"/>
      <c r="AE4913" s="410" t="str">
        <f>+IF(V4913=0,"CERO","NO")</f>
        <v>NO</v>
      </c>
    </row>
    <row r="4914" spans="3:31" s="260" customFormat="1" ht="26.25" thickBot="1" x14ac:dyDescent="0.3">
      <c r="C4914" s="84"/>
      <c r="D4914" s="355"/>
      <c r="E4914" s="367"/>
      <c r="F4914" s="367"/>
      <c r="G4914" s="367"/>
      <c r="H4914" s="367"/>
      <c r="I4914" s="367"/>
      <c r="J4914" s="422">
        <f>+J4913</f>
        <v>4.2300000000000004</v>
      </c>
      <c r="K4914" s="88"/>
      <c r="M4914" s="102">
        <v>202</v>
      </c>
      <c r="N4914" s="347" t="str">
        <f>IFERROR(VLOOKUP(M4914,INSUMOS!$C$8:$K$928,2,0),"-----")</f>
        <v>Ayudante Albañileria</v>
      </c>
      <c r="O4914" s="78" t="str">
        <f>IFERROR(VLOOKUP(M4914,INSUMOS!$C$8:$K$928,3,0),"-----")</f>
        <v>JORNAL+PS</v>
      </c>
      <c r="P4914" s="80">
        <v>1</v>
      </c>
      <c r="Q4914" s="79">
        <v>8</v>
      </c>
      <c r="R4914" s="190">
        <f>IFERROR(VLOOKUP(M4914,INSUMOS!$C$8:$K$928,4,0),"-----")</f>
        <v>63490</v>
      </c>
      <c r="S4914" s="190">
        <f>IFERROR(VLOOKUP(M4914,INSUMOS!$C$8:$K$928,6,0),"-----")</f>
        <v>50792</v>
      </c>
      <c r="T4914" s="190">
        <f>IFERROR(VLOOKUP(M4914,INSUMOS!$C$8:$K$928,5,0),"-----")</f>
        <v>0</v>
      </c>
      <c r="U4914" s="388">
        <f>SUM(R4914:T4914)</f>
        <v>114282</v>
      </c>
      <c r="V4914" s="82">
        <f>+IFERROR((P4914/Q4914)*U4914,0)</f>
        <v>14285.25</v>
      </c>
      <c r="Y4914" s="393">
        <f>+IFERROR((Y4883/Q4914*P4914),0)</f>
        <v>0.25</v>
      </c>
      <c r="Z4914" s="391">
        <f>Y4883*V4914</f>
        <v>28570.5</v>
      </c>
      <c r="AA4914" s="86"/>
      <c r="AB4914" s="92">
        <f>+U4914*Y4914</f>
        <v>28570.5</v>
      </c>
      <c r="AC4914" s="93">
        <f>+AB4914-Z4914</f>
        <v>0</v>
      </c>
      <c r="AD4914" s="94"/>
      <c r="AE4914" s="410" t="str">
        <f>+IF(V4914=0,"CERO","NO")</f>
        <v>NO</v>
      </c>
    </row>
    <row r="4915" spans="3:31" s="260" customFormat="1" ht="15.75" thickBot="1" x14ac:dyDescent="0.3">
      <c r="C4915" s="84"/>
      <c r="D4915" s="380"/>
      <c r="E4915" s="381"/>
      <c r="F4915" s="381"/>
      <c r="G4915" s="381"/>
      <c r="H4915" s="381"/>
      <c r="I4915" s="381"/>
      <c r="J4915" s="382"/>
      <c r="K4915" s="88"/>
      <c r="M4915" s="102">
        <v>0</v>
      </c>
      <c r="N4915" s="347"/>
      <c r="O4915" s="79"/>
      <c r="P4915" s="423"/>
      <c r="Q4915" s="81"/>
      <c r="R4915" s="111"/>
      <c r="S4915" s="357"/>
      <c r="T4915" s="111"/>
      <c r="U4915" s="388"/>
      <c r="V4915" s="426"/>
      <c r="Y4915" s="393">
        <f>+IFERROR((Y4883/Q4915*P4915),0)</f>
        <v>0</v>
      </c>
      <c r="Z4915" s="391">
        <f>Y4883*V4915</f>
        <v>0</v>
      </c>
      <c r="AA4915" s="86"/>
      <c r="AB4915" s="92">
        <f>+(U4915)*Y4915*P4915</f>
        <v>0</v>
      </c>
      <c r="AC4915" s="93">
        <f>+AB4915-Z4915</f>
        <v>0</v>
      </c>
      <c r="AD4915" s="94"/>
      <c r="AE4915" s="410" t="str">
        <f>+IF(V4915=0,"CERO","NO")</f>
        <v>CERO</v>
      </c>
    </row>
    <row r="4916" spans="3:31" s="260" customFormat="1" ht="15.75" thickBot="1" x14ac:dyDescent="0.3">
      <c r="C4916" s="84"/>
      <c r="D4916" s="375" t="s">
        <v>128</v>
      </c>
      <c r="E4916" s="376" t="s">
        <v>129</v>
      </c>
      <c r="F4916" s="376" t="s">
        <v>130</v>
      </c>
      <c r="G4916" s="376" t="s">
        <v>131</v>
      </c>
      <c r="H4916" s="376" t="s">
        <v>132</v>
      </c>
      <c r="I4916" s="376" t="s">
        <v>133</v>
      </c>
      <c r="J4916" s="377" t="s">
        <v>134</v>
      </c>
      <c r="K4916" s="88"/>
      <c r="M4916" s="534"/>
      <c r="N4916" s="536" t="s">
        <v>120</v>
      </c>
      <c r="O4916" s="536"/>
      <c r="P4916" s="536"/>
      <c r="Q4916" s="536"/>
      <c r="R4916" s="536"/>
      <c r="S4916" s="536"/>
      <c r="T4916" s="536"/>
      <c r="U4916" s="536"/>
      <c r="V4916" s="82">
        <f>+SUM(V4913:V4915)</f>
        <v>33440.875</v>
      </c>
      <c r="Y4916" s="398" t="s">
        <v>135</v>
      </c>
      <c r="Z4916" s="397">
        <f>+SUM(Z4913:Z4915)</f>
        <v>66881.75</v>
      </c>
      <c r="AA4916" s="86"/>
      <c r="AB4916" s="384"/>
      <c r="AC4916" s="385"/>
      <c r="AD4916" s="94"/>
      <c r="AE4916" s="399"/>
    </row>
    <row r="4917" spans="3:31" s="260" customFormat="1" ht="15.75" thickBot="1" x14ac:dyDescent="0.3">
      <c r="C4917" s="84"/>
      <c r="D4917" s="354"/>
      <c r="E4917" s="96"/>
      <c r="F4917" s="96"/>
      <c r="G4917" s="107">
        <f>+F4910</f>
        <v>4.2300000000000004</v>
      </c>
      <c r="H4917" s="96"/>
      <c r="I4917" s="96"/>
      <c r="J4917" s="427"/>
      <c r="K4917" s="88"/>
      <c r="M4917" s="535"/>
      <c r="N4917" s="537" t="s">
        <v>121</v>
      </c>
      <c r="O4917" s="537"/>
      <c r="P4917" s="537"/>
      <c r="Q4917" s="537"/>
      <c r="R4917" s="537"/>
      <c r="S4917" s="537"/>
      <c r="T4917" s="537"/>
      <c r="U4917" s="537"/>
      <c r="V4917" s="413">
        <f>+ROUND(V4916,$AA$5)</f>
        <v>33440.879999999997</v>
      </c>
      <c r="Y4917" s="401" t="s">
        <v>136</v>
      </c>
      <c r="Z4917" s="402">
        <f>+ROUND(Z4916,$AA$5)</f>
        <v>66881.75</v>
      </c>
      <c r="AA4917" s="86"/>
      <c r="AB4917" s="403">
        <f>+V4917*Y4883</f>
        <v>66881.759999999995</v>
      </c>
      <c r="AC4917" s="404">
        <f>+AB4917-Z4917</f>
        <v>9.9999999947613105E-3</v>
      </c>
      <c r="AD4917" s="94"/>
      <c r="AE4917" s="405"/>
    </row>
    <row r="4918" spans="3:31" s="260" customFormat="1" ht="15.75" thickBot="1" x14ac:dyDescent="0.3">
      <c r="C4918" s="84"/>
      <c r="D4918" s="375" t="s">
        <v>128</v>
      </c>
      <c r="E4918" s="376" t="s">
        <v>129</v>
      </c>
      <c r="F4918" s="376" t="s">
        <v>130</v>
      </c>
      <c r="G4918" s="376" t="s">
        <v>131</v>
      </c>
      <c r="H4918" s="376" t="s">
        <v>132</v>
      </c>
      <c r="I4918" s="376" t="s">
        <v>133</v>
      </c>
      <c r="J4918" s="377" t="s">
        <v>134</v>
      </c>
      <c r="K4918" s="88"/>
      <c r="M4918" s="541"/>
      <c r="N4918" s="542"/>
      <c r="O4918" s="542"/>
      <c r="P4918" s="542"/>
      <c r="Q4918" s="542"/>
      <c r="R4918" s="542"/>
      <c r="S4918" s="542"/>
      <c r="T4918" s="542"/>
      <c r="U4918" s="542"/>
      <c r="V4918" s="543"/>
      <c r="Y4918" s="378"/>
      <c r="Z4918" s="121"/>
      <c r="AA4918" s="86"/>
      <c r="AB4918" s="409"/>
      <c r="AC4918" s="121"/>
      <c r="AD4918" s="94"/>
      <c r="AE4918" s="428"/>
    </row>
    <row r="4919" spans="3:31" s="260" customFormat="1" ht="15.75" thickBot="1" x14ac:dyDescent="0.3">
      <c r="C4919" s="84"/>
      <c r="D4919" s="355"/>
      <c r="E4919" s="367"/>
      <c r="F4919" s="367"/>
      <c r="G4919" s="367"/>
      <c r="H4919" s="412">
        <f>G4917</f>
        <v>4.2300000000000004</v>
      </c>
      <c r="I4919" s="412"/>
      <c r="J4919" s="422"/>
      <c r="K4919" s="88"/>
      <c r="M4919" s="544" t="s">
        <v>122</v>
      </c>
      <c r="N4919" s="537"/>
      <c r="O4919" s="537"/>
      <c r="P4919" s="537"/>
      <c r="Q4919" s="537"/>
      <c r="R4919" s="537"/>
      <c r="S4919" s="537"/>
      <c r="T4919" s="537"/>
      <c r="U4919" s="545">
        <f>+V4917+V4910+V4902+V4893</f>
        <v>159217.93</v>
      </c>
      <c r="V4919" s="546"/>
      <c r="Y4919" s="429"/>
      <c r="Z4919" s="430">
        <f>+Z4917+Z4910+Z4902+Z4893</f>
        <v>318435.87000000005</v>
      </c>
      <c r="AA4919" s="86"/>
      <c r="AB4919" s="431">
        <f>+AB4917+AB4910+AB4902+AB4893</f>
        <v>318435.86</v>
      </c>
      <c r="AC4919" s="404">
        <f>+AB4919-Z4919</f>
        <v>-1.0000000067520887E-2</v>
      </c>
      <c r="AD4919" s="94"/>
      <c r="AE4919" s="432"/>
    </row>
    <row r="4920" spans="3:31" s="260" customFormat="1" ht="15.75" thickBot="1" x14ac:dyDescent="0.3"/>
    <row r="4921" spans="3:31" s="260" customFormat="1" x14ac:dyDescent="0.25">
      <c r="M4921" s="547" t="s">
        <v>348</v>
      </c>
      <c r="N4921" s="548"/>
      <c r="O4921" s="548"/>
      <c r="P4921" s="548"/>
      <c r="Q4921" s="548"/>
      <c r="R4921" s="548"/>
      <c r="S4921" s="548"/>
      <c r="T4921" s="548"/>
      <c r="U4921" s="548"/>
      <c r="V4921" s="549"/>
      <c r="Y4921" s="378"/>
      <c r="Z4921" s="121"/>
      <c r="AA4921" s="86"/>
      <c r="AB4921" s="94"/>
      <c r="AC4921" s="94"/>
      <c r="AD4921" s="94"/>
      <c r="AE4921" s="126" t="s">
        <v>133</v>
      </c>
    </row>
    <row r="4922" spans="3:31" s="260" customFormat="1" x14ac:dyDescent="0.25">
      <c r="M4922" s="515" t="s">
        <v>138</v>
      </c>
      <c r="N4922" s="516"/>
      <c r="O4922" s="516"/>
      <c r="P4922" s="516"/>
      <c r="Q4922" s="516"/>
      <c r="R4922" s="516"/>
      <c r="S4922" s="516"/>
      <c r="T4922" s="437">
        <v>0</v>
      </c>
      <c r="U4922" s="517">
        <f>+ROUND(U4919*T4922,$AA$5)</f>
        <v>0</v>
      </c>
      <c r="V4922" s="518"/>
      <c r="Y4922" s="390"/>
      <c r="Z4922" s="438">
        <f>+Z4919*T4922</f>
        <v>0</v>
      </c>
      <c r="AA4922" s="86"/>
      <c r="AB4922" s="94"/>
      <c r="AC4922" s="94"/>
      <c r="AD4922" s="94"/>
      <c r="AE4922" s="386" t="s">
        <v>133</v>
      </c>
    </row>
    <row r="4923" spans="3:31" s="260" customFormat="1" x14ac:dyDescent="0.25">
      <c r="M4923" s="515" t="s">
        <v>19</v>
      </c>
      <c r="N4923" s="516"/>
      <c r="O4923" s="516"/>
      <c r="P4923" s="516"/>
      <c r="Q4923" s="516"/>
      <c r="R4923" s="516"/>
      <c r="S4923" s="516"/>
      <c r="T4923" s="437">
        <v>0.05</v>
      </c>
      <c r="U4923" s="517">
        <f>+ROUND(U4919*T4923,$AA$5)</f>
        <v>7960.9</v>
      </c>
      <c r="V4923" s="518"/>
      <c r="Y4923" s="390"/>
      <c r="Z4923" s="438">
        <f>+Z4919*T4923</f>
        <v>15921.793500000003</v>
      </c>
      <c r="AA4923" s="86"/>
      <c r="AB4923" s="94"/>
      <c r="AC4923" s="94"/>
      <c r="AD4923" s="94"/>
      <c r="AE4923" s="386" t="s">
        <v>133</v>
      </c>
    </row>
    <row r="4924" spans="3:31" s="260" customFormat="1" x14ac:dyDescent="0.25">
      <c r="M4924" s="515" t="s">
        <v>20</v>
      </c>
      <c r="N4924" s="516"/>
      <c r="O4924" s="516"/>
      <c r="P4924" s="516"/>
      <c r="Q4924" s="516"/>
      <c r="R4924" s="516"/>
      <c r="S4924" s="516"/>
      <c r="T4924" s="437">
        <v>0</v>
      </c>
      <c r="U4924" s="517">
        <f>+ROUND(U4919*T4924,$AA$5)</f>
        <v>0</v>
      </c>
      <c r="V4924" s="518"/>
      <c r="Y4924" s="390"/>
      <c r="Z4924" s="438">
        <f>+Z4919*T4924</f>
        <v>0</v>
      </c>
      <c r="AA4924" s="86"/>
      <c r="AB4924" s="94"/>
      <c r="AC4924" s="94"/>
      <c r="AD4924" s="94"/>
      <c r="AE4924" s="386" t="s">
        <v>133</v>
      </c>
    </row>
    <row r="4925" spans="3:31" s="260" customFormat="1" x14ac:dyDescent="0.25">
      <c r="M4925" s="515" t="s">
        <v>21</v>
      </c>
      <c r="N4925" s="516"/>
      <c r="O4925" s="516"/>
      <c r="P4925" s="516"/>
      <c r="Q4925" s="516"/>
      <c r="R4925" s="516"/>
      <c r="S4925" s="516"/>
      <c r="T4925" s="437">
        <f>$AA$9</f>
        <v>0</v>
      </c>
      <c r="U4925" s="517">
        <f>+ROUND(U4919*T4925,$AA$5)</f>
        <v>0</v>
      </c>
      <c r="V4925" s="518"/>
      <c r="Y4925" s="390"/>
      <c r="Z4925" s="438">
        <f>+Z4924*T4925</f>
        <v>0</v>
      </c>
      <c r="AA4925" s="86"/>
      <c r="AB4925" s="94"/>
      <c r="AC4925" s="94"/>
      <c r="AD4925" s="94"/>
      <c r="AE4925" s="386" t="s">
        <v>133</v>
      </c>
    </row>
    <row r="4926" spans="3:31" s="260" customFormat="1" ht="15.75" thickBot="1" x14ac:dyDescent="0.3">
      <c r="M4926" s="519" t="s">
        <v>349</v>
      </c>
      <c r="N4926" s="520"/>
      <c r="O4926" s="520"/>
      <c r="P4926" s="520"/>
      <c r="Q4926" s="520"/>
      <c r="R4926" s="520"/>
      <c r="S4926" s="520"/>
      <c r="T4926" s="520"/>
      <c r="U4926" s="521">
        <f>+SUM(U4922:V4925)</f>
        <v>7960.9</v>
      </c>
      <c r="V4926" s="522"/>
      <c r="Y4926" s="390"/>
      <c r="Z4926" s="439">
        <f>+SUM(Z4922:Z4925)</f>
        <v>15921.793500000003</v>
      </c>
      <c r="AA4926" s="86"/>
      <c r="AB4926" s="94"/>
      <c r="AC4926" s="94"/>
      <c r="AD4926" s="94"/>
      <c r="AE4926" s="386" t="s">
        <v>133</v>
      </c>
    </row>
    <row r="4927" spans="3:31" s="260" customFormat="1" ht="15.75" thickBot="1" x14ac:dyDescent="0.3">
      <c r="D4927" s="375" t="s">
        <v>128</v>
      </c>
      <c r="E4927" s="376" t="s">
        <v>129</v>
      </c>
      <c r="F4927" s="376" t="s">
        <v>130</v>
      </c>
      <c r="G4927" s="376" t="s">
        <v>131</v>
      </c>
      <c r="H4927" s="376" t="s">
        <v>132</v>
      </c>
      <c r="I4927" s="376" t="s">
        <v>133</v>
      </c>
      <c r="J4927" s="377" t="s">
        <v>134</v>
      </c>
      <c r="M4927" s="86"/>
      <c r="N4927" s="94"/>
      <c r="O4927" s="94"/>
      <c r="P4927" s="94"/>
      <c r="Q4927" s="86"/>
      <c r="R4927" s="86"/>
      <c r="S4927" s="86"/>
      <c r="T4927" s="440"/>
      <c r="U4927" s="523"/>
      <c r="V4927" s="523"/>
      <c r="Y4927" s="390"/>
      <c r="Z4927" s="385"/>
      <c r="AA4927" s="86"/>
      <c r="AB4927" s="94"/>
      <c r="AC4927" s="94"/>
      <c r="AD4927" s="94"/>
      <c r="AE4927" s="386" t="s">
        <v>133</v>
      </c>
    </row>
    <row r="4928" spans="3:31" s="260" customFormat="1" ht="15.75" thickBot="1" x14ac:dyDescent="0.3">
      <c r="D4928" s="355"/>
      <c r="E4928" s="367"/>
      <c r="F4928" s="367"/>
      <c r="G4928" s="367"/>
      <c r="H4928" s="412"/>
      <c r="I4928" s="412">
        <f>H4919</f>
        <v>4.2300000000000004</v>
      </c>
      <c r="J4928" s="422"/>
      <c r="M4928" s="524" t="s">
        <v>11</v>
      </c>
      <c r="N4928" s="525"/>
      <c r="O4928" s="525"/>
      <c r="P4928" s="525"/>
      <c r="Q4928" s="525"/>
      <c r="R4928" s="525"/>
      <c r="S4928" s="525"/>
      <c r="T4928" s="526"/>
      <c r="U4928" s="527">
        <f>+U4926+U4919</f>
        <v>167178.82999999999</v>
      </c>
      <c r="V4928" s="528"/>
      <c r="Y4928" s="429"/>
      <c r="Z4928" s="441">
        <f>+Z4926+Z4919</f>
        <v>334357.66350000008</v>
      </c>
      <c r="AA4928" s="86"/>
      <c r="AB4928" s="94"/>
      <c r="AC4928" s="94"/>
      <c r="AD4928" s="94"/>
      <c r="AE4928" s="405" t="s">
        <v>133</v>
      </c>
    </row>
    <row r="4929" spans="3:31" s="260" customFormat="1" x14ac:dyDescent="0.25"/>
    <row r="4930" spans="3:31" s="260" customFormat="1" ht="15.75" thickBot="1" x14ac:dyDescent="0.3"/>
    <row r="4931" spans="3:31" s="260" customFormat="1" ht="15.75" thickBot="1" x14ac:dyDescent="0.3">
      <c r="M4931" s="363" t="s">
        <v>88</v>
      </c>
      <c r="N4931" s="436" t="s">
        <v>41</v>
      </c>
      <c r="O4931" s="550" t="str">
        <f>IFERROR(VLOOKUP(N4931,PPTO!C:H,2,0),"----")</f>
        <v>RED PLUVIAL</v>
      </c>
      <c r="P4931" s="551"/>
      <c r="Q4931" s="551"/>
      <c r="R4931" s="551"/>
      <c r="S4931" s="551"/>
      <c r="T4931" s="551"/>
      <c r="U4931" s="552"/>
      <c r="V4931" s="74" t="s">
        <v>91</v>
      </c>
      <c r="Y4931" s="365" t="s">
        <v>104</v>
      </c>
      <c r="Z4931" s="94"/>
      <c r="AA4931" s="188"/>
      <c r="AB4931" s="553"/>
      <c r="AC4931" s="553"/>
      <c r="AD4931" s="553"/>
      <c r="AE4931" s="94"/>
    </row>
    <row r="4932" spans="3:31" s="260" customFormat="1" ht="15.75" thickBot="1" x14ac:dyDescent="0.3">
      <c r="C4932" s="369">
        <f>+N4932</f>
        <v>5.01</v>
      </c>
      <c r="D4932" s="86"/>
      <c r="E4932" s="86"/>
      <c r="F4932" s="86"/>
      <c r="G4932" s="86"/>
      <c r="H4932" s="86"/>
      <c r="I4932" s="86"/>
      <c r="J4932" s="86"/>
      <c r="K4932" s="370"/>
      <c r="M4932" s="75" t="s">
        <v>92</v>
      </c>
      <c r="N4932" s="371">
        <v>5.01</v>
      </c>
      <c r="O4932" s="554" t="str">
        <f>IFERROR(VLOOKUP(N4932,PPTO!C:H,2,0),"----")</f>
        <v>Tubería PVC Ø4"</v>
      </c>
      <c r="P4932" s="555"/>
      <c r="Q4932" s="555"/>
      <c r="R4932" s="555"/>
      <c r="S4932" s="555"/>
      <c r="T4932" s="555"/>
      <c r="U4932" s="556"/>
      <c r="V4932" s="76" t="str">
        <f>IFERROR(VLOOKUP(N4932,PPTO!C:H,3,0),"----")</f>
        <v>ML</v>
      </c>
      <c r="Y4932" s="373">
        <f>SUMIFS(PPTO!F:F,PPTO!C:C,APUS!N4932)</f>
        <v>83.36</v>
      </c>
      <c r="Z4932" s="94"/>
      <c r="AA4932" s="86"/>
      <c r="AB4932" s="94"/>
      <c r="AC4932" s="94"/>
      <c r="AD4932" s="94"/>
      <c r="AE4932" s="94"/>
    </row>
    <row r="4933" spans="3:31" s="260" customFormat="1" ht="15.75" thickBot="1" x14ac:dyDescent="0.3">
      <c r="C4933" s="84"/>
      <c r="D4933" s="86"/>
      <c r="E4933" s="86"/>
      <c r="F4933" s="86"/>
      <c r="G4933" s="86"/>
      <c r="H4933" s="86"/>
      <c r="I4933" s="86"/>
      <c r="J4933" s="86"/>
      <c r="K4933" s="88"/>
      <c r="M4933" s="557"/>
      <c r="N4933" s="557"/>
      <c r="O4933" s="557"/>
      <c r="P4933" s="557"/>
      <c r="Q4933" s="557"/>
      <c r="R4933" s="557"/>
      <c r="S4933" s="557"/>
      <c r="T4933" s="557"/>
      <c r="U4933" s="557"/>
      <c r="V4933" s="557"/>
      <c r="Y4933" s="374"/>
      <c r="Z4933" s="94"/>
      <c r="AA4933" s="86"/>
      <c r="AB4933" s="94"/>
      <c r="AC4933" s="94"/>
      <c r="AD4933" s="94"/>
      <c r="AE4933" s="94"/>
    </row>
    <row r="4934" spans="3:31" s="260" customFormat="1" ht="15.75" thickBot="1" x14ac:dyDescent="0.3">
      <c r="C4934" s="84"/>
      <c r="D4934" s="375" t="s">
        <v>128</v>
      </c>
      <c r="E4934" s="376" t="s">
        <v>129</v>
      </c>
      <c r="F4934" s="376" t="s">
        <v>130</v>
      </c>
      <c r="G4934" s="376" t="s">
        <v>131</v>
      </c>
      <c r="H4934" s="376" t="s">
        <v>132</v>
      </c>
      <c r="I4934" s="376" t="s">
        <v>133</v>
      </c>
      <c r="J4934" s="377" t="s">
        <v>134</v>
      </c>
      <c r="K4934" s="88"/>
      <c r="M4934" s="558" t="s">
        <v>93</v>
      </c>
      <c r="N4934" s="559"/>
      <c r="O4934" s="559"/>
      <c r="P4934" s="559"/>
      <c r="Q4934" s="559"/>
      <c r="R4934" s="559"/>
      <c r="S4934" s="559"/>
      <c r="T4934" s="559"/>
      <c r="U4934" s="559"/>
      <c r="V4934" s="560"/>
      <c r="Y4934" s="378"/>
      <c r="Z4934" s="121"/>
      <c r="AA4934" s="86"/>
      <c r="AB4934" s="513"/>
      <c r="AC4934" s="514"/>
      <c r="AD4934" s="94"/>
      <c r="AE4934" s="379"/>
    </row>
    <row r="4935" spans="3:31" s="260" customFormat="1" x14ac:dyDescent="0.25">
      <c r="C4935" s="84"/>
      <c r="D4935" s="380"/>
      <c r="E4935" s="381"/>
      <c r="F4935" s="381"/>
      <c r="G4935" s="381"/>
      <c r="H4935" s="381"/>
      <c r="I4935" s="381"/>
      <c r="J4935" s="382"/>
      <c r="K4935" s="88"/>
      <c r="M4935" s="99" t="s">
        <v>94</v>
      </c>
      <c r="N4935" s="561" t="s">
        <v>95</v>
      </c>
      <c r="O4935" s="561"/>
      <c r="P4935" s="561"/>
      <c r="Q4935" s="561"/>
      <c r="R4935" s="95" t="s">
        <v>96</v>
      </c>
      <c r="S4935" s="95" t="s">
        <v>97</v>
      </c>
      <c r="T4935" s="562" t="s">
        <v>8</v>
      </c>
      <c r="U4935" s="562"/>
      <c r="V4935" s="100" t="s">
        <v>98</v>
      </c>
      <c r="Y4935" s="383" t="s">
        <v>104</v>
      </c>
      <c r="Z4935" s="119" t="s">
        <v>9</v>
      </c>
      <c r="AA4935" s="86"/>
      <c r="AB4935" s="384"/>
      <c r="AC4935" s="385"/>
      <c r="AD4935" s="94"/>
      <c r="AE4935" s="386"/>
    </row>
    <row r="4936" spans="3:31" s="260" customFormat="1" x14ac:dyDescent="0.25">
      <c r="C4936" s="84"/>
      <c r="D4936" s="85"/>
      <c r="E4936" s="86"/>
      <c r="F4936" s="86"/>
      <c r="G4936" s="86"/>
      <c r="H4936" s="86"/>
      <c r="I4936" s="86"/>
      <c r="J4936" s="87"/>
      <c r="K4936" s="88"/>
      <c r="M4936" s="102"/>
      <c r="N4936" s="533" t="s">
        <v>99</v>
      </c>
      <c r="O4936" s="533"/>
      <c r="P4936" s="533"/>
      <c r="Q4936" s="533"/>
      <c r="R4936" s="78" t="s">
        <v>100</v>
      </c>
      <c r="S4936" s="387">
        <f>+$AA$10</f>
        <v>0.05</v>
      </c>
      <c r="T4936" s="563">
        <f>V4966</f>
        <v>8368.4500000000007</v>
      </c>
      <c r="U4936" s="563"/>
      <c r="V4936" s="389">
        <f>+IFERROR(T4936*S4936,0)</f>
        <v>418.42250000000007</v>
      </c>
      <c r="Y4936" s="390"/>
      <c r="Z4936" s="391">
        <f>Y4932*V4936</f>
        <v>34879.699600000007</v>
      </c>
      <c r="AA4936" s="86"/>
      <c r="AB4936" s="384"/>
      <c r="AC4936" s="385"/>
      <c r="AD4936" s="94"/>
      <c r="AE4936" s="386" t="str">
        <f>+IF(V4936=0,"CERO","NO")</f>
        <v>NO</v>
      </c>
    </row>
    <row r="4937" spans="3:31" s="260" customFormat="1" x14ac:dyDescent="0.25">
      <c r="C4937" s="84"/>
      <c r="D4937" s="85"/>
      <c r="E4937" s="86"/>
      <c r="F4937" s="86"/>
      <c r="G4937" s="86"/>
      <c r="H4937" s="86"/>
      <c r="I4937" s="86"/>
      <c r="J4937" s="87"/>
      <c r="K4937" s="88"/>
      <c r="M4937" s="106"/>
      <c r="N4937" s="533" t="str">
        <f>IFERROR(VLOOKUP(M4937,INSUMOS!$C$8:$K$928,2,0),"-----")</f>
        <v>-----</v>
      </c>
      <c r="O4937" s="533"/>
      <c r="P4937" s="533"/>
      <c r="Q4937" s="533"/>
      <c r="R4937" s="78" t="str">
        <f>IFERROR(VLOOKUP(M4937,INSUMOS!$C$8:$K$928,6,0),"-----")</f>
        <v>-----</v>
      </c>
      <c r="S4937" s="392"/>
      <c r="T4937" s="529" t="str">
        <f>IFERROR(VLOOKUP(M4937,INSUMOS!$C$8:$K$928,7,0),"0")</f>
        <v>0</v>
      </c>
      <c r="U4937" s="529"/>
      <c r="V4937" s="389">
        <f>+IFERROR(T4937*S4937,0)</f>
        <v>0</v>
      </c>
      <c r="Y4937" s="393">
        <f>+IFERROR(Y4932*S4937,0)</f>
        <v>0</v>
      </c>
      <c r="Z4937" s="391">
        <f>Y4932*V4937</f>
        <v>0</v>
      </c>
      <c r="AA4937" s="394"/>
      <c r="AB4937" s="395">
        <f>+Y4937*T4937</f>
        <v>0</v>
      </c>
      <c r="AC4937" s="93">
        <f>+AB4937-Z4937</f>
        <v>0</v>
      </c>
      <c r="AD4937" s="94"/>
      <c r="AE4937" s="386" t="str">
        <f>+IF(V4937=0,"CERO","NO")</f>
        <v>CERO</v>
      </c>
    </row>
    <row r="4938" spans="3:31" s="260" customFormat="1" x14ac:dyDescent="0.25">
      <c r="C4938" s="84"/>
      <c r="D4938" s="85"/>
      <c r="E4938" s="86"/>
      <c r="F4938" s="86"/>
      <c r="G4938" s="86"/>
      <c r="H4938" s="86"/>
      <c r="I4938" s="86"/>
      <c r="J4938" s="87"/>
      <c r="K4938" s="88"/>
      <c r="M4938" s="102"/>
      <c r="N4938" s="533" t="str">
        <f>IFERROR(VLOOKUP(M4938,INSUMOS!$C$8:$K$928,2,0),"-----")</f>
        <v>-----</v>
      </c>
      <c r="O4938" s="533"/>
      <c r="P4938" s="533"/>
      <c r="Q4938" s="533"/>
      <c r="R4938" s="78" t="str">
        <f>IFERROR(VLOOKUP(M4938,INSUMOS!$C$8:$K$928,6,0),"-----")</f>
        <v>-----</v>
      </c>
      <c r="S4938" s="392"/>
      <c r="T4938" s="529" t="str">
        <f>IFERROR(VLOOKUP(M4938,INSUMOS!$C$8:$K$928,7,0),"0")</f>
        <v>0</v>
      </c>
      <c r="U4938" s="529"/>
      <c r="V4938" s="389">
        <f>+IFERROR(T4938*S4938,0)</f>
        <v>0</v>
      </c>
      <c r="Y4938" s="393">
        <f>+IFERROR(Y4932*S4938,0)</f>
        <v>0</v>
      </c>
      <c r="Z4938" s="391">
        <f>Y4932*V4938</f>
        <v>0</v>
      </c>
      <c r="AA4938" s="394"/>
      <c r="AB4938" s="395">
        <f>+Y4938*T4938</f>
        <v>0</v>
      </c>
      <c r="AC4938" s="93">
        <f>+AB4938-Z4938</f>
        <v>0</v>
      </c>
      <c r="AD4938" s="94"/>
      <c r="AE4938" s="386" t="str">
        <f>+IF(V4938=0,"CERO","NO")</f>
        <v>CERO</v>
      </c>
    </row>
    <row r="4939" spans="3:31" s="260" customFormat="1" x14ac:dyDescent="0.25">
      <c r="C4939" s="84"/>
      <c r="D4939" s="85"/>
      <c r="E4939" s="86"/>
      <c r="F4939" s="86"/>
      <c r="G4939" s="86"/>
      <c r="H4939" s="86"/>
      <c r="I4939" s="86"/>
      <c r="J4939" s="87"/>
      <c r="K4939" s="88"/>
      <c r="M4939" s="102">
        <v>0</v>
      </c>
      <c r="N4939" s="533" t="str">
        <f>IFERROR(VLOOKUP(M4939,INSUMOS!$C$8:$K$928,2,0),"-----")</f>
        <v>-----</v>
      </c>
      <c r="O4939" s="533"/>
      <c r="P4939" s="533"/>
      <c r="Q4939" s="533"/>
      <c r="R4939" s="78"/>
      <c r="S4939" s="396"/>
      <c r="T4939" s="529"/>
      <c r="U4939" s="529"/>
      <c r="V4939" s="397"/>
      <c r="Y4939" s="393">
        <f>+IFERROR(Y4932*S4939,0)</f>
        <v>0</v>
      </c>
      <c r="Z4939" s="391">
        <f>Y4932*V4939</f>
        <v>0</v>
      </c>
      <c r="AA4939" s="394"/>
      <c r="AB4939" s="395">
        <f>+Y4939*T4939</f>
        <v>0</v>
      </c>
      <c r="AC4939" s="93">
        <f>+AB4939-Z4939</f>
        <v>0</v>
      </c>
      <c r="AD4939" s="94"/>
      <c r="AE4939" s="386" t="str">
        <f>+IF(V4939=0,"CERO","NO")</f>
        <v>CERO</v>
      </c>
    </row>
    <row r="4940" spans="3:31" s="260" customFormat="1" ht="15.75" thickBot="1" x14ac:dyDescent="0.3">
      <c r="C4940" s="84"/>
      <c r="D4940" s="85"/>
      <c r="E4940" s="86"/>
      <c r="F4940" s="86"/>
      <c r="G4940" s="86"/>
      <c r="H4940" s="86"/>
      <c r="I4940" s="86"/>
      <c r="J4940" s="87"/>
      <c r="K4940" s="88"/>
      <c r="M4940" s="102">
        <v>0</v>
      </c>
      <c r="N4940" s="564"/>
      <c r="O4940" s="564"/>
      <c r="P4940" s="564"/>
      <c r="Q4940" s="564"/>
      <c r="R4940" s="96"/>
      <c r="S4940" s="96"/>
      <c r="T4940" s="565"/>
      <c r="U4940" s="565"/>
      <c r="V4940" s="101"/>
      <c r="Y4940" s="393">
        <f>+IFERROR(Y4932*S4940,0)</f>
        <v>0</v>
      </c>
      <c r="Z4940" s="391">
        <f>Y4932*V4940</f>
        <v>0</v>
      </c>
      <c r="AA4940" s="394"/>
      <c r="AB4940" s="395">
        <f>+Y4940*T4940</f>
        <v>0</v>
      </c>
      <c r="AC4940" s="93">
        <f>+AB4940-Z4940</f>
        <v>0</v>
      </c>
      <c r="AD4940" s="94"/>
      <c r="AE4940" s="386" t="str">
        <f>+IF(V4940=0,"CERO","NO")</f>
        <v>CERO</v>
      </c>
    </row>
    <row r="4941" spans="3:31" s="260" customFormat="1" ht="15.75" thickBot="1" x14ac:dyDescent="0.3">
      <c r="C4941" s="84"/>
      <c r="D4941" s="375" t="s">
        <v>128</v>
      </c>
      <c r="E4941" s="376" t="s">
        <v>129</v>
      </c>
      <c r="F4941" s="376" t="s">
        <v>130</v>
      </c>
      <c r="G4941" s="376" t="s">
        <v>131</v>
      </c>
      <c r="H4941" s="376" t="s">
        <v>132</v>
      </c>
      <c r="I4941" s="376" t="s">
        <v>133</v>
      </c>
      <c r="J4941" s="377" t="s">
        <v>134</v>
      </c>
      <c r="K4941" s="88"/>
      <c r="M4941" s="534"/>
      <c r="N4941" s="536" t="s">
        <v>101</v>
      </c>
      <c r="O4941" s="536"/>
      <c r="P4941" s="536"/>
      <c r="Q4941" s="536"/>
      <c r="R4941" s="536"/>
      <c r="S4941" s="536"/>
      <c r="T4941" s="536"/>
      <c r="U4941" s="536"/>
      <c r="V4941" s="389">
        <f>+SUM(V4936:V4940)</f>
        <v>418.42250000000007</v>
      </c>
      <c r="Y4941" s="398" t="s">
        <v>135</v>
      </c>
      <c r="Z4941" s="397">
        <f>+SUM(Z4936:Z4940)</f>
        <v>34879.699600000007</v>
      </c>
      <c r="AA4941" s="86"/>
      <c r="AB4941" s="384"/>
      <c r="AC4941" s="385"/>
      <c r="AD4941" s="94"/>
      <c r="AE4941" s="399"/>
    </row>
    <row r="4942" spans="3:31" s="260" customFormat="1" ht="15.75" thickBot="1" x14ac:dyDescent="0.3">
      <c r="C4942" s="84"/>
      <c r="D4942" s="375">
        <f>C4932</f>
        <v>5.01</v>
      </c>
      <c r="E4942" s="376"/>
      <c r="F4942" s="376"/>
      <c r="G4942" s="376"/>
      <c r="H4942" s="376"/>
      <c r="I4942" s="376"/>
      <c r="J4942" s="377"/>
      <c r="K4942" s="88"/>
      <c r="M4942" s="566"/>
      <c r="N4942" s="567" t="s">
        <v>102</v>
      </c>
      <c r="O4942" s="567"/>
      <c r="P4942" s="567"/>
      <c r="Q4942" s="567"/>
      <c r="R4942" s="567"/>
      <c r="S4942" s="567"/>
      <c r="T4942" s="567"/>
      <c r="U4942" s="567"/>
      <c r="V4942" s="400">
        <f>+ROUND(V4941,$AA$5)</f>
        <v>418.42</v>
      </c>
      <c r="Y4942" s="401" t="s">
        <v>136</v>
      </c>
      <c r="Z4942" s="402">
        <f>+ROUND(Z4941,$AA$5)</f>
        <v>34879.699999999997</v>
      </c>
      <c r="AA4942" s="86"/>
      <c r="AB4942" s="403">
        <f>+V4942*Y4932</f>
        <v>34879.491200000004</v>
      </c>
      <c r="AC4942" s="404">
        <f>+AB4942-Z4942</f>
        <v>-0.20879999999306165</v>
      </c>
      <c r="AD4942" s="94"/>
      <c r="AE4942" s="405"/>
    </row>
    <row r="4943" spans="3:31" s="260" customFormat="1" x14ac:dyDescent="0.25">
      <c r="C4943" s="84"/>
      <c r="D4943" s="380"/>
      <c r="E4943" s="381"/>
      <c r="F4943" s="381"/>
      <c r="G4943" s="381"/>
      <c r="H4943" s="381"/>
      <c r="I4943" s="381"/>
      <c r="J4943" s="382"/>
      <c r="K4943" s="88"/>
      <c r="M4943" s="510" t="s">
        <v>103</v>
      </c>
      <c r="N4943" s="511"/>
      <c r="O4943" s="511"/>
      <c r="P4943" s="511"/>
      <c r="Q4943" s="511"/>
      <c r="R4943" s="511"/>
      <c r="S4943" s="511"/>
      <c r="T4943" s="511"/>
      <c r="U4943" s="511"/>
      <c r="V4943" s="512"/>
      <c r="Y4943" s="378"/>
      <c r="Z4943" s="121"/>
      <c r="AA4943" s="86"/>
      <c r="AB4943" s="513"/>
      <c r="AC4943" s="514"/>
      <c r="AD4943" s="94"/>
      <c r="AE4943" s="126"/>
    </row>
    <row r="4944" spans="3:31" s="260" customFormat="1" x14ac:dyDescent="0.25">
      <c r="C4944" s="84"/>
      <c r="D4944" s="85"/>
      <c r="E4944" s="86"/>
      <c r="F4944" s="86"/>
      <c r="G4944" s="86"/>
      <c r="H4944" s="86"/>
      <c r="I4944" s="86"/>
      <c r="J4944" s="87"/>
      <c r="K4944" s="88"/>
      <c r="M4944" s="99" t="s">
        <v>94</v>
      </c>
      <c r="N4944" s="561" t="s">
        <v>95</v>
      </c>
      <c r="O4944" s="561"/>
      <c r="P4944" s="561"/>
      <c r="Q4944" s="561"/>
      <c r="R4944" s="95" t="s">
        <v>96</v>
      </c>
      <c r="S4944" s="95" t="s">
        <v>104</v>
      </c>
      <c r="T4944" s="356" t="s">
        <v>105</v>
      </c>
      <c r="U4944" s="356" t="s">
        <v>8</v>
      </c>
      <c r="V4944" s="100" t="s">
        <v>98</v>
      </c>
      <c r="Y4944" s="383" t="s">
        <v>104</v>
      </c>
      <c r="Z4944" s="119" t="s">
        <v>9</v>
      </c>
      <c r="AA4944" s="86"/>
      <c r="AB4944" s="384"/>
      <c r="AC4944" s="385"/>
      <c r="AD4944" s="94"/>
      <c r="AE4944" s="406"/>
    </row>
    <row r="4945" spans="3:31" s="260" customFormat="1" x14ac:dyDescent="0.25">
      <c r="C4945" s="84"/>
      <c r="D4945" s="85"/>
      <c r="E4945" s="86"/>
      <c r="F4945" s="86"/>
      <c r="G4945" s="86"/>
      <c r="H4945" s="86"/>
      <c r="I4945" s="86"/>
      <c r="J4945" s="87"/>
      <c r="K4945" s="88"/>
      <c r="M4945" s="102">
        <v>551</v>
      </c>
      <c r="N4945" s="533" t="str">
        <f>IFERROR(VLOOKUP(M4945,INSUMOS!$C$8:$K$928,2,0),"-----")</f>
        <v xml:space="preserve">TUBERIA PVC SANITARIO 4" </v>
      </c>
      <c r="O4945" s="533"/>
      <c r="P4945" s="533"/>
      <c r="Q4945" s="533"/>
      <c r="R4945" s="78" t="str">
        <f>IFERROR(VLOOKUP(M4945,INSUMOS!$C$8:$K$928,6,0),"-----")</f>
        <v>ml</v>
      </c>
      <c r="S4945" s="396">
        <v>1</v>
      </c>
      <c r="T4945" s="387">
        <v>0.02</v>
      </c>
      <c r="U4945" s="388">
        <f>IFERROR(VLOOKUP(M4945,INSUMOS!$C$8:$K$928,7,0),"0")</f>
        <v>34941.333333333336</v>
      </c>
      <c r="V4945" s="389">
        <f>+IFERROR(U4945*(S4945*(1+T4945)),0)</f>
        <v>35640.160000000003</v>
      </c>
      <c r="Y4945" s="393">
        <f>+IFERROR(Y4932*(S4945*(1+T4945)),0)</f>
        <v>85.027200000000008</v>
      </c>
      <c r="Z4945" s="391">
        <f>Y4932*V4945</f>
        <v>2970963.7376000001</v>
      </c>
      <c r="AA4945" s="394"/>
      <c r="AB4945" s="395">
        <f>+Y4945*U4945</f>
        <v>2970963.7376000006</v>
      </c>
      <c r="AC4945" s="93">
        <f>+AB4945-Z4945</f>
        <v>0</v>
      </c>
      <c r="AD4945" s="94"/>
      <c r="AE4945" s="406" t="str">
        <f>+IF(V4945=0,"CERO","NO")</f>
        <v>NO</v>
      </c>
    </row>
    <row r="4946" spans="3:31" s="260" customFormat="1" x14ac:dyDescent="0.25">
      <c r="C4946" s="84"/>
      <c r="D4946" s="85"/>
      <c r="E4946" s="86"/>
      <c r="F4946" s="86"/>
      <c r="G4946" s="86"/>
      <c r="H4946" s="86"/>
      <c r="I4946" s="86"/>
      <c r="J4946" s="87"/>
      <c r="K4946" s="88"/>
      <c r="M4946" s="102">
        <v>699</v>
      </c>
      <c r="N4946" s="533" t="str">
        <f>IFERROR(VLOOKUP(M4946,INSUMOS!$C$8:$K$928,2,0),"-----")</f>
        <v>SOLDADURA PVC LIQUIDA 1/4"</v>
      </c>
      <c r="O4946" s="533"/>
      <c r="P4946" s="533"/>
      <c r="Q4946" s="533"/>
      <c r="R4946" s="78" t="str">
        <f>IFERROR(VLOOKUP(M4946,INSUMOS!$C$8:$K$928,6,0),"-----")</f>
        <v>und</v>
      </c>
      <c r="S4946" s="392">
        <v>0.01</v>
      </c>
      <c r="T4946" s="387">
        <v>0.02</v>
      </c>
      <c r="U4946" s="388">
        <f>IFERROR(VLOOKUP(M4946,INSUMOS!$C$8:$K$928,7,0),"0")</f>
        <v>146569</v>
      </c>
      <c r="V4946" s="389">
        <f>+IFERROR(U4946*(S4946*(1+T4946)),0)</f>
        <v>1495.0038000000002</v>
      </c>
      <c r="Y4946" s="393">
        <f>+IFERROR(Y4932*(S4946*(1+T4946)),0)</f>
        <v>0.85027200000000003</v>
      </c>
      <c r="Z4946" s="391">
        <f>Y4932*V4946</f>
        <v>124623.51676800002</v>
      </c>
      <c r="AA4946" s="394"/>
      <c r="AB4946" s="395">
        <f>+Y4946*U4946</f>
        <v>124623.516768</v>
      </c>
      <c r="AC4946" s="93">
        <f>+AB4946-Z4946</f>
        <v>0</v>
      </c>
      <c r="AD4946" s="94"/>
      <c r="AE4946" s="406" t="str">
        <f>+IF(V4946=0,"CERO","NO")</f>
        <v>NO</v>
      </c>
    </row>
    <row r="4947" spans="3:31" s="260" customFormat="1" x14ac:dyDescent="0.25">
      <c r="C4947" s="84"/>
      <c r="D4947" s="85"/>
      <c r="E4947" s="86"/>
      <c r="F4947" s="86"/>
      <c r="G4947" s="86"/>
      <c r="H4947" s="86"/>
      <c r="I4947" s="86"/>
      <c r="J4947" s="87"/>
      <c r="K4947" s="88"/>
      <c r="M4947" s="102">
        <v>700</v>
      </c>
      <c r="N4947" s="533" t="str">
        <f>IFERROR(VLOOKUP(M4947,INSUMOS!$C$8:$K$928,2,0),"-----")</f>
        <v>LIMPIADOR PVC 1/4</v>
      </c>
      <c r="O4947" s="533"/>
      <c r="P4947" s="533"/>
      <c r="Q4947" s="533"/>
      <c r="R4947" s="78" t="str">
        <f>IFERROR(VLOOKUP(M4947,INSUMOS!$C$8:$K$928,6,0),"-----")</f>
        <v>und</v>
      </c>
      <c r="S4947" s="396">
        <v>0.01</v>
      </c>
      <c r="T4947" s="387">
        <v>0.02</v>
      </c>
      <c r="U4947" s="388">
        <f>IFERROR(VLOOKUP(M4947,INSUMOS!$C$8:$K$928,7,0),"0")</f>
        <v>65913</v>
      </c>
      <c r="V4947" s="389">
        <f>+IFERROR(U4947*(S4947*(1+T4947)),0)</f>
        <v>672.31260000000009</v>
      </c>
      <c r="Y4947" s="393">
        <f>+IFERROR(Y4932*(S4947*(1+T4947)),0)</f>
        <v>0.85027200000000003</v>
      </c>
      <c r="Z4947" s="391">
        <f>Y4932*V4947</f>
        <v>56043.978336000007</v>
      </c>
      <c r="AA4947" s="394"/>
      <c r="AB4947" s="395">
        <f>+Y4947*U4947</f>
        <v>56043.978336</v>
      </c>
      <c r="AC4947" s="93">
        <f>+AB4947-Z4947</f>
        <v>0</v>
      </c>
      <c r="AD4947" s="94"/>
      <c r="AE4947" s="406" t="str">
        <f>+IF(V4947=0,"CERO","NO")</f>
        <v>NO</v>
      </c>
    </row>
    <row r="4948" spans="3:31" s="260" customFormat="1" x14ac:dyDescent="0.25">
      <c r="C4948" s="84"/>
      <c r="D4948" s="85"/>
      <c r="E4948" s="86"/>
      <c r="F4948" s="86"/>
      <c r="G4948" s="86"/>
      <c r="H4948" s="86"/>
      <c r="I4948" s="86"/>
      <c r="J4948" s="87"/>
      <c r="K4948" s="88"/>
      <c r="M4948" s="102"/>
      <c r="N4948" s="533" t="str">
        <f>IFERROR(VLOOKUP(M4948,INSUMOS!$C$8:$K$928,2,0),"-----")</f>
        <v>-----</v>
      </c>
      <c r="O4948" s="533"/>
      <c r="P4948" s="533"/>
      <c r="Q4948" s="533"/>
      <c r="R4948" s="78" t="str">
        <f>IFERROR(VLOOKUP(M4948,INSUMOS!$C$8:$K$928,6,0),"-----")</f>
        <v>-----</v>
      </c>
      <c r="S4948" s="396"/>
      <c r="T4948" s="387">
        <v>0</v>
      </c>
      <c r="U4948" s="388" t="str">
        <f>IFERROR(VLOOKUP(M4948,INSUMOS!$C$8:$K$928,7,0),"0")</f>
        <v>0</v>
      </c>
      <c r="V4948" s="389">
        <f>+IFERROR(U4948*(S4948*(1+T4948)),0)</f>
        <v>0</v>
      </c>
      <c r="Y4948" s="393">
        <f>+IFERROR(Y4932*(S4948*(1+T4948)),0)</f>
        <v>0</v>
      </c>
      <c r="Z4948" s="391">
        <f>Y4932*V4948</f>
        <v>0</v>
      </c>
      <c r="AA4948" s="394"/>
      <c r="AB4948" s="395">
        <f>+Y4948*U4948</f>
        <v>0</v>
      </c>
      <c r="AC4948" s="93">
        <f>+AB4948-Z4948</f>
        <v>0</v>
      </c>
      <c r="AD4948" s="94"/>
      <c r="AE4948" s="406" t="str">
        <f>+IF(V4948=0,"CERO","NO")</f>
        <v>CERO</v>
      </c>
    </row>
    <row r="4949" spans="3:31" s="260" customFormat="1" ht="15.75" thickBot="1" x14ac:dyDescent="0.3">
      <c r="C4949" s="84"/>
      <c r="D4949" s="85"/>
      <c r="E4949" s="86"/>
      <c r="F4949" s="86"/>
      <c r="G4949" s="86"/>
      <c r="H4949" s="86"/>
      <c r="I4949" s="86"/>
      <c r="J4949" s="87"/>
      <c r="K4949" s="88"/>
      <c r="M4949" s="102"/>
      <c r="N4949" s="533" t="str">
        <f>IFERROR(VLOOKUP(M4949,INSUMOS!$C$8:$K$928,2,0),"-----")</f>
        <v>-----</v>
      </c>
      <c r="O4949" s="533"/>
      <c r="P4949" s="533"/>
      <c r="Q4949" s="533"/>
      <c r="R4949" s="78" t="str">
        <f>IFERROR(VLOOKUP(M4949,INSUMOS!$C$8:$K$928,6,0),"-----")</f>
        <v>-----</v>
      </c>
      <c r="S4949" s="79"/>
      <c r="T4949" s="97">
        <v>0</v>
      </c>
      <c r="U4949" s="388" t="str">
        <f>IFERROR(VLOOKUP(M4949,INSUMOS!$C$8:$K$928,7,0),"0")</f>
        <v>0</v>
      </c>
      <c r="V4949" s="389">
        <f>+IFERROR(U4949*(S4949*(1+T4949)),0)</f>
        <v>0</v>
      </c>
      <c r="Y4949" s="393">
        <f>+IFERROR(Y4932*(S4949*(1+T4949)),0)</f>
        <v>0</v>
      </c>
      <c r="Z4949" s="391">
        <f>Y4932*V4949</f>
        <v>0</v>
      </c>
      <c r="AA4949" s="394"/>
      <c r="AB4949" s="395">
        <f>+Y4949*U4949</f>
        <v>0</v>
      </c>
      <c r="AC4949" s="93">
        <f>+AB4949-Z4949</f>
        <v>0</v>
      </c>
      <c r="AD4949" s="94"/>
      <c r="AE4949" s="406" t="str">
        <f>+IF(V4949=0,"CERO","NO")</f>
        <v>CERO</v>
      </c>
    </row>
    <row r="4950" spans="3:31" s="260" customFormat="1" ht="15.75" thickBot="1" x14ac:dyDescent="0.3">
      <c r="C4950" s="84"/>
      <c r="D4950" s="375" t="s">
        <v>128</v>
      </c>
      <c r="E4950" s="376" t="s">
        <v>129</v>
      </c>
      <c r="F4950" s="376" t="s">
        <v>130</v>
      </c>
      <c r="G4950" s="376" t="s">
        <v>131</v>
      </c>
      <c r="H4950" s="376" t="s">
        <v>132</v>
      </c>
      <c r="I4950" s="376" t="s">
        <v>133</v>
      </c>
      <c r="J4950" s="377" t="s">
        <v>134</v>
      </c>
      <c r="K4950" s="88"/>
      <c r="M4950" s="534"/>
      <c r="N4950" s="536" t="s">
        <v>106</v>
      </c>
      <c r="O4950" s="536"/>
      <c r="P4950" s="536"/>
      <c r="Q4950" s="536"/>
      <c r="R4950" s="536"/>
      <c r="S4950" s="536"/>
      <c r="T4950" s="536"/>
      <c r="U4950" s="536"/>
      <c r="V4950" s="389">
        <f>+SUM(V4945:V4949)</f>
        <v>37807.4764</v>
      </c>
      <c r="Y4950" s="398" t="s">
        <v>135</v>
      </c>
      <c r="Z4950" s="397">
        <f>+SUM(Z4945:Z4949)</f>
        <v>3151631.2327040001</v>
      </c>
      <c r="AA4950" s="86"/>
      <c r="AB4950" s="384"/>
      <c r="AC4950" s="385"/>
      <c r="AD4950" s="94"/>
      <c r="AE4950" s="399"/>
    </row>
    <row r="4951" spans="3:31" s="260" customFormat="1" ht="15.75" thickBot="1" x14ac:dyDescent="0.3">
      <c r="C4951" s="84"/>
      <c r="D4951" s="375"/>
      <c r="E4951" s="407">
        <f>+D4942</f>
        <v>5.01</v>
      </c>
      <c r="F4951" s="376"/>
      <c r="G4951" s="376"/>
      <c r="H4951" s="376"/>
      <c r="I4951" s="376"/>
      <c r="J4951" s="377"/>
      <c r="K4951" s="88"/>
      <c r="M4951" s="535"/>
      <c r="N4951" s="537" t="s">
        <v>107</v>
      </c>
      <c r="O4951" s="537"/>
      <c r="P4951" s="537"/>
      <c r="Q4951" s="537"/>
      <c r="R4951" s="537"/>
      <c r="S4951" s="537"/>
      <c r="T4951" s="537"/>
      <c r="U4951" s="537"/>
      <c r="V4951" s="408">
        <f>+ROUND(V4950,$AA$5)</f>
        <v>37807.480000000003</v>
      </c>
      <c r="Y4951" s="401" t="s">
        <v>136</v>
      </c>
      <c r="Z4951" s="402">
        <f>+ROUND(Z4950,$AA$5)</f>
        <v>3151631.23</v>
      </c>
      <c r="AA4951" s="86"/>
      <c r="AB4951" s="403">
        <f>+V4951*Y4932</f>
        <v>3151631.5328000002</v>
      </c>
      <c r="AC4951" s="404">
        <f>+AB4951-Z4951</f>
        <v>0.30280000017955899</v>
      </c>
      <c r="AD4951" s="94"/>
      <c r="AE4951" s="405"/>
    </row>
    <row r="4952" spans="3:31" s="260" customFormat="1" x14ac:dyDescent="0.25">
      <c r="C4952" s="84"/>
      <c r="D4952" s="380"/>
      <c r="E4952" s="381"/>
      <c r="F4952" s="381"/>
      <c r="G4952" s="381"/>
      <c r="H4952" s="381"/>
      <c r="I4952" s="381"/>
      <c r="J4952" s="382"/>
      <c r="K4952" s="88"/>
      <c r="M4952" s="568" t="s">
        <v>108</v>
      </c>
      <c r="N4952" s="569"/>
      <c r="O4952" s="569"/>
      <c r="P4952" s="569"/>
      <c r="Q4952" s="569"/>
      <c r="R4952" s="569"/>
      <c r="S4952" s="569"/>
      <c r="T4952" s="569"/>
      <c r="U4952" s="569"/>
      <c r="V4952" s="570"/>
      <c r="Y4952" s="378"/>
      <c r="Z4952" s="121"/>
      <c r="AA4952" s="86"/>
      <c r="AB4952" s="409"/>
      <c r="AC4952" s="121"/>
      <c r="AD4952" s="94"/>
      <c r="AE4952" s="126"/>
    </row>
    <row r="4953" spans="3:31" s="260" customFormat="1" ht="25.5" x14ac:dyDescent="0.25">
      <c r="C4953" s="84"/>
      <c r="D4953" s="85"/>
      <c r="E4953" s="86"/>
      <c r="F4953" s="86"/>
      <c r="G4953" s="86"/>
      <c r="H4953" s="86"/>
      <c r="I4953" s="86"/>
      <c r="J4953" s="87"/>
      <c r="K4953" s="88"/>
      <c r="M4953" s="99" t="s">
        <v>94</v>
      </c>
      <c r="N4953" s="561" t="s">
        <v>95</v>
      </c>
      <c r="O4953" s="561"/>
      <c r="P4953" s="561"/>
      <c r="Q4953" s="95" t="s">
        <v>109</v>
      </c>
      <c r="R4953" s="95" t="s">
        <v>110</v>
      </c>
      <c r="S4953" s="95" t="s">
        <v>111</v>
      </c>
      <c r="T4953" s="562" t="s">
        <v>112</v>
      </c>
      <c r="U4953" s="562"/>
      <c r="V4953" s="100" t="s">
        <v>98</v>
      </c>
      <c r="Y4953" s="383" t="s">
        <v>104</v>
      </c>
      <c r="Z4953" s="119" t="s">
        <v>9</v>
      </c>
      <c r="AA4953" s="86"/>
      <c r="AB4953" s="384"/>
      <c r="AC4953" s="385"/>
      <c r="AD4953" s="94"/>
      <c r="AE4953" s="410"/>
    </row>
    <row r="4954" spans="3:31" s="260" customFormat="1" x14ac:dyDescent="0.25">
      <c r="C4954" s="84"/>
      <c r="D4954" s="85"/>
      <c r="E4954" s="86"/>
      <c r="F4954" s="86"/>
      <c r="G4954" s="86"/>
      <c r="H4954" s="86"/>
      <c r="I4954" s="86"/>
      <c r="J4954" s="87"/>
      <c r="K4954" s="88"/>
      <c r="M4954" s="102">
        <v>129</v>
      </c>
      <c r="N4954" s="530" t="str">
        <f>IFERROR(VLOOKUP(M4954,INSUMOS!$C$8:$K$928,2,0),"-----")</f>
        <v>transporte materiales en general</v>
      </c>
      <c r="O4954" s="531"/>
      <c r="P4954" s="532"/>
      <c r="Q4954" s="78" t="str">
        <f>IFERROR(VLOOKUP(M4954,INSUMOS!$C$8:$K$928,5,0),"-----")</f>
        <v>Km</v>
      </c>
      <c r="R4954" s="80">
        <v>1</v>
      </c>
      <c r="S4954" s="80">
        <f>IFERROR(VLOOKUP(M4954,INSUMOS!$C$8:$K$928,6,0),"0")</f>
        <v>348</v>
      </c>
      <c r="T4954" s="529">
        <f>IFERROR(VLOOKUP(M4954,INSUMOS!$C$8:$K$928,7,0),"0")</f>
        <v>0.99776362060288992</v>
      </c>
      <c r="U4954" s="529"/>
      <c r="V4954" s="82">
        <f>+T4954*S4954*R4954</f>
        <v>347.2217399698057</v>
      </c>
      <c r="Y4954" s="393">
        <f>+IFERROR((R4954*S4954)*Y4932,0)</f>
        <v>29009.279999999999</v>
      </c>
      <c r="Z4954" s="391">
        <f>Y4932*V4954</f>
        <v>28944.404243883004</v>
      </c>
      <c r="AA4954" s="86"/>
      <c r="AB4954" s="92">
        <f>+Y4954*T4954</f>
        <v>28944.404243883</v>
      </c>
      <c r="AC4954" s="93">
        <f>+AB4954-Z4954</f>
        <v>0</v>
      </c>
      <c r="AD4954" s="94"/>
      <c r="AE4954" s="406" t="str">
        <f>+IF(V4954=0,"CERO","NO")</f>
        <v>NO</v>
      </c>
    </row>
    <row r="4955" spans="3:31" s="260" customFormat="1" x14ac:dyDescent="0.25">
      <c r="C4955" s="84"/>
      <c r="D4955" s="85"/>
      <c r="E4955" s="86"/>
      <c r="F4955" s="86"/>
      <c r="G4955" s="86"/>
      <c r="H4955" s="86"/>
      <c r="I4955" s="86"/>
      <c r="J4955" s="87"/>
      <c r="K4955" s="88"/>
      <c r="M4955" s="102">
        <v>0</v>
      </c>
      <c r="N4955" s="530" t="str">
        <f>IFERROR(VLOOKUP(M4955,INSUMOS!$C$8:$K$928,2,0),"-----")</f>
        <v>-----</v>
      </c>
      <c r="O4955" s="531"/>
      <c r="P4955" s="532"/>
      <c r="Q4955" s="78" t="str">
        <f>IFERROR(VLOOKUP(M4955,INSUMOS!$C$8:$K$928,5,0),"-----")</f>
        <v>-----</v>
      </c>
      <c r="R4955" s="80"/>
      <c r="S4955" s="80" t="str">
        <f>IFERROR(VLOOKUP(M4955,INSUMOS!$C$8:$K$928,6,0),"0")</f>
        <v>0</v>
      </c>
      <c r="T4955" s="529" t="str">
        <f>IFERROR(VLOOKUP(M4955,INSUMOS!$C$8:$K$928,7,0),"0")</f>
        <v>0</v>
      </c>
      <c r="U4955" s="529"/>
      <c r="V4955" s="82">
        <f>+T4955*S4955*R4955</f>
        <v>0</v>
      </c>
      <c r="Y4955" s="393">
        <f>+IFERROR((R4955*S4955)*Y4932,0)</f>
        <v>0</v>
      </c>
      <c r="Z4955" s="391">
        <f>Y4932*V4955</f>
        <v>0</v>
      </c>
      <c r="AA4955" s="86"/>
      <c r="AB4955" s="92">
        <f>+Y4955*T4955</f>
        <v>0</v>
      </c>
      <c r="AC4955" s="93">
        <f>+AB4955-Z4955</f>
        <v>0</v>
      </c>
      <c r="AD4955" s="94"/>
      <c r="AE4955" s="406" t="str">
        <f>+IF(V4955=0,"CERO","NO")</f>
        <v>CERO</v>
      </c>
    </row>
    <row r="4956" spans="3:31" s="260" customFormat="1" x14ac:dyDescent="0.25">
      <c r="C4956" s="84"/>
      <c r="D4956" s="85"/>
      <c r="E4956" s="86"/>
      <c r="F4956" s="86"/>
      <c r="G4956" s="86"/>
      <c r="H4956" s="86"/>
      <c r="I4956" s="86"/>
      <c r="J4956" s="87"/>
      <c r="K4956" s="88"/>
      <c r="M4956" s="102">
        <v>0</v>
      </c>
      <c r="N4956" s="530" t="str">
        <f>IFERROR(VLOOKUP(M4956,INSUMOS!$C$8:$K$928,2,0),"-----")</f>
        <v>-----</v>
      </c>
      <c r="O4956" s="531"/>
      <c r="P4956" s="532"/>
      <c r="Q4956" s="78" t="str">
        <f>IFERROR(VLOOKUP(M4956,INSUMOS!$C$8:$K$928,5,0),"-----")</f>
        <v>-----</v>
      </c>
      <c r="R4956" s="80"/>
      <c r="S4956" s="80" t="str">
        <f>IFERROR(VLOOKUP(M4956,INSUMOS!$C$8:$K$928,6,0),"0")</f>
        <v>0</v>
      </c>
      <c r="T4956" s="529" t="str">
        <f>IFERROR(VLOOKUP(M4956,INSUMOS!$C$8:$K$928,7,0),"0")</f>
        <v>0</v>
      </c>
      <c r="U4956" s="529"/>
      <c r="V4956" s="82">
        <f>+T4956*S4956*R4956</f>
        <v>0</v>
      </c>
      <c r="Y4956" s="393">
        <f>+IFERROR((R4956*S4956)*Y4932,0)</f>
        <v>0</v>
      </c>
      <c r="Z4956" s="391">
        <f>Y4932*V4956</f>
        <v>0</v>
      </c>
      <c r="AA4956" s="86"/>
      <c r="AB4956" s="92">
        <f>+Y4956*T4956</f>
        <v>0</v>
      </c>
      <c r="AC4956" s="93">
        <f>+AB4956-Z4956</f>
        <v>0</v>
      </c>
      <c r="AD4956" s="94"/>
      <c r="AE4956" s="406" t="str">
        <f>+IF(V4956=0,"CERO","NO")</f>
        <v>CERO</v>
      </c>
    </row>
    <row r="4957" spans="3:31" s="260" customFormat="1" ht="15.75" thickBot="1" x14ac:dyDescent="0.3">
      <c r="C4957" s="84"/>
      <c r="D4957" s="89"/>
      <c r="E4957" s="90"/>
      <c r="F4957" s="90"/>
      <c r="G4957" s="90"/>
      <c r="H4957" s="90"/>
      <c r="I4957" s="90"/>
      <c r="J4957" s="91"/>
      <c r="K4957" s="88"/>
      <c r="M4957" s="102">
        <v>0</v>
      </c>
      <c r="N4957" s="533"/>
      <c r="O4957" s="533"/>
      <c r="P4957" s="533"/>
      <c r="Q4957" s="79"/>
      <c r="R4957" s="78"/>
      <c r="S4957" s="81"/>
      <c r="T4957" s="529"/>
      <c r="U4957" s="529"/>
      <c r="V4957" s="82"/>
      <c r="Y4957" s="393">
        <f>+IFERROR((R4957*S4957)*Y4932,0)</f>
        <v>0</v>
      </c>
      <c r="Z4957" s="391">
        <f>Y4932*V4957</f>
        <v>0</v>
      </c>
      <c r="AA4957" s="86"/>
      <c r="AB4957" s="92">
        <f>+Y4957*T4957</f>
        <v>0</v>
      </c>
      <c r="AC4957" s="93">
        <f>+AB4957-Z4957</f>
        <v>0</v>
      </c>
      <c r="AD4957" s="94"/>
      <c r="AE4957" s="406" t="str">
        <f>+IF(V4957=0,"CERO","NO")</f>
        <v>CERO</v>
      </c>
    </row>
    <row r="4958" spans="3:31" s="260" customFormat="1" ht="15.75" thickBot="1" x14ac:dyDescent="0.3">
      <c r="C4958" s="84"/>
      <c r="D4958" s="375" t="s">
        <v>128</v>
      </c>
      <c r="E4958" s="376" t="s">
        <v>129</v>
      </c>
      <c r="F4958" s="376" t="s">
        <v>130</v>
      </c>
      <c r="G4958" s="376" t="s">
        <v>131</v>
      </c>
      <c r="H4958" s="376" t="s">
        <v>132</v>
      </c>
      <c r="I4958" s="376" t="s">
        <v>133</v>
      </c>
      <c r="J4958" s="377" t="s">
        <v>134</v>
      </c>
      <c r="K4958" s="88"/>
      <c r="M4958" s="534"/>
      <c r="N4958" s="536" t="s">
        <v>113</v>
      </c>
      <c r="O4958" s="536"/>
      <c r="P4958" s="536"/>
      <c r="Q4958" s="536"/>
      <c r="R4958" s="536"/>
      <c r="S4958" s="536"/>
      <c r="T4958" s="536"/>
      <c r="U4958" s="536"/>
      <c r="V4958" s="411">
        <f>+SUM(V4954:V4957)</f>
        <v>347.2217399698057</v>
      </c>
      <c r="Y4958" s="398" t="s">
        <v>135</v>
      </c>
      <c r="Z4958" s="397">
        <f>+SUM(Z4954:Z4957)</f>
        <v>28944.404243883004</v>
      </c>
      <c r="AA4958" s="86"/>
      <c r="AB4958" s="384"/>
      <c r="AC4958" s="385"/>
      <c r="AD4958" s="94"/>
      <c r="AE4958" s="399"/>
    </row>
    <row r="4959" spans="3:31" s="260" customFormat="1" ht="15.75" thickBot="1" x14ac:dyDescent="0.3">
      <c r="C4959" s="84"/>
      <c r="D4959" s="355"/>
      <c r="E4959" s="367"/>
      <c r="F4959" s="412">
        <f>+E4951</f>
        <v>5.01</v>
      </c>
      <c r="G4959" s="367"/>
      <c r="H4959" s="367"/>
      <c r="I4959" s="367"/>
      <c r="J4959" s="368"/>
      <c r="K4959" s="88"/>
      <c r="M4959" s="535"/>
      <c r="N4959" s="537" t="s">
        <v>114</v>
      </c>
      <c r="O4959" s="537"/>
      <c r="P4959" s="537"/>
      <c r="Q4959" s="537"/>
      <c r="R4959" s="537"/>
      <c r="S4959" s="537"/>
      <c r="T4959" s="537"/>
      <c r="U4959" s="537"/>
      <c r="V4959" s="413">
        <f>+ROUND(V4958,$AA$5)</f>
        <v>347.22</v>
      </c>
      <c r="Y4959" s="401" t="s">
        <v>136</v>
      </c>
      <c r="Z4959" s="402">
        <f>+ROUND(Z4958,$AA$5)</f>
        <v>28944.400000000001</v>
      </c>
      <c r="AA4959" s="86"/>
      <c r="AB4959" s="403">
        <f>+V4959*Y4932</f>
        <v>28944.2592</v>
      </c>
      <c r="AC4959" s="414"/>
      <c r="AD4959" s="94"/>
      <c r="AE4959" s="405"/>
    </row>
    <row r="4960" spans="3:31" s="260" customFormat="1" ht="15.75" thickBot="1" x14ac:dyDescent="0.3">
      <c r="C4960" s="84"/>
      <c r="D4960" s="415"/>
      <c r="E4960" s="416"/>
      <c r="F4960" s="416"/>
      <c r="G4960" s="416"/>
      <c r="H4960" s="416"/>
      <c r="I4960" s="416"/>
      <c r="J4960" s="417"/>
      <c r="K4960" s="88"/>
      <c r="M4960" s="538" t="s">
        <v>115</v>
      </c>
      <c r="N4960" s="539"/>
      <c r="O4960" s="539"/>
      <c r="P4960" s="539"/>
      <c r="Q4960" s="539"/>
      <c r="R4960" s="539"/>
      <c r="S4960" s="539"/>
      <c r="T4960" s="539"/>
      <c r="U4960" s="539"/>
      <c r="V4960" s="540"/>
      <c r="Y4960" s="378"/>
      <c r="Z4960" s="121"/>
      <c r="AA4960" s="86"/>
      <c r="AB4960" s="409"/>
      <c r="AC4960" s="121"/>
      <c r="AD4960" s="94"/>
      <c r="AE4960" s="126"/>
    </row>
    <row r="4961" spans="3:31" s="260" customFormat="1" ht="15.75" thickBot="1" x14ac:dyDescent="0.3">
      <c r="C4961" s="84"/>
      <c r="D4961" s="375" t="s">
        <v>128</v>
      </c>
      <c r="E4961" s="376" t="s">
        <v>129</v>
      </c>
      <c r="F4961" s="376" t="s">
        <v>130</v>
      </c>
      <c r="G4961" s="376" t="s">
        <v>131</v>
      </c>
      <c r="H4961" s="376" t="s">
        <v>132</v>
      </c>
      <c r="I4961" s="376" t="s">
        <v>133</v>
      </c>
      <c r="J4961" s="377" t="s">
        <v>134</v>
      </c>
      <c r="K4961" s="88"/>
      <c r="M4961" s="99" t="s">
        <v>94</v>
      </c>
      <c r="N4961" s="98" t="s">
        <v>95</v>
      </c>
      <c r="O4961" s="95" t="s">
        <v>96</v>
      </c>
      <c r="P4961" s="359" t="s">
        <v>104</v>
      </c>
      <c r="Q4961" s="95" t="s">
        <v>116</v>
      </c>
      <c r="R4961" s="418" t="s">
        <v>117</v>
      </c>
      <c r="S4961" s="95" t="s">
        <v>347</v>
      </c>
      <c r="T4961" s="419" t="s">
        <v>118</v>
      </c>
      <c r="U4961" s="189" t="s">
        <v>119</v>
      </c>
      <c r="V4961" s="100" t="s">
        <v>98</v>
      </c>
      <c r="Y4961" s="383" t="s">
        <v>104</v>
      </c>
      <c r="Z4961" s="119" t="s">
        <v>9</v>
      </c>
      <c r="AA4961" s="86"/>
      <c r="AB4961" s="384"/>
      <c r="AC4961" s="385"/>
      <c r="AD4961" s="94"/>
      <c r="AE4961" s="410"/>
    </row>
    <row r="4962" spans="3:31" s="260" customFormat="1" ht="25.5" x14ac:dyDescent="0.25">
      <c r="C4962" s="84"/>
      <c r="D4962" s="354"/>
      <c r="E4962" s="96"/>
      <c r="F4962" s="96"/>
      <c r="G4962" s="96"/>
      <c r="H4962" s="96"/>
      <c r="I4962" s="96"/>
      <c r="J4962" s="420">
        <f>+F4959</f>
        <v>5.01</v>
      </c>
      <c r="K4962" s="88"/>
      <c r="M4962" s="102">
        <v>207</v>
      </c>
      <c r="N4962" s="347" t="str">
        <f>IFERROR(VLOOKUP(M4962,INSUMOS!$C$8:$K$928,2,0),"-----")</f>
        <v>Oficial Hidrosanitario</v>
      </c>
      <c r="O4962" s="78" t="str">
        <f>IFERROR(VLOOKUP(M4962,INSUMOS!$C$8:$K$928,3,0),"-----")</f>
        <v>JORNAL+PS</v>
      </c>
      <c r="P4962" s="80">
        <v>1</v>
      </c>
      <c r="Q4962" s="79">
        <v>20</v>
      </c>
      <c r="R4962" s="190">
        <f>IFERROR(VLOOKUP(M4962,INSUMOS!$C$8:$K$928,4,0),"-----")</f>
        <v>92983</v>
      </c>
      <c r="S4962" s="190">
        <f>IFERROR(VLOOKUP(M4962,INSUMOS!$C$8:$K$928,6,0),"-----")</f>
        <v>74386</v>
      </c>
      <c r="T4962" s="190">
        <f>IFERROR(VLOOKUP(M4962,INSUMOS!$C$8:$K$928,5,0),"-----")</f>
        <v>0</v>
      </c>
      <c r="U4962" s="388">
        <f>SUM(R4962:T4962)</f>
        <v>167369</v>
      </c>
      <c r="V4962" s="82">
        <f>+IFERROR((P4962/Q4962)*U4962,0)</f>
        <v>8368.4500000000007</v>
      </c>
      <c r="Y4962" s="393">
        <f>+IFERROR((Y4932/Q4962*P4962),0)</f>
        <v>4.1680000000000001</v>
      </c>
      <c r="Z4962" s="391">
        <f>Y4932*V4962</f>
        <v>697593.99200000009</v>
      </c>
      <c r="AA4962" s="86"/>
      <c r="AB4962" s="92">
        <f>+(U4962)*Y4962</f>
        <v>697593.99199999997</v>
      </c>
      <c r="AC4962" s="93">
        <f>+AB4962-Z4962</f>
        <v>0</v>
      </c>
      <c r="AD4962" s="421"/>
      <c r="AE4962" s="410" t="str">
        <f>+IF(V4962=0,"CERO","NO")</f>
        <v>NO</v>
      </c>
    </row>
    <row r="4963" spans="3:31" s="260" customFormat="1" ht="15.75" thickBot="1" x14ac:dyDescent="0.3">
      <c r="C4963" s="84"/>
      <c r="D4963" s="355"/>
      <c r="E4963" s="367"/>
      <c r="F4963" s="367"/>
      <c r="G4963" s="367"/>
      <c r="H4963" s="367"/>
      <c r="I4963" s="367"/>
      <c r="J4963" s="422">
        <f>+J4962</f>
        <v>5.01</v>
      </c>
      <c r="K4963" s="88"/>
      <c r="M4963" s="102"/>
      <c r="N4963" s="347" t="str">
        <f>IFERROR(VLOOKUP(M4963,INSUMOS!$C$8:$K$928,2,0),"-----")</f>
        <v>-----</v>
      </c>
      <c r="O4963" s="78" t="str">
        <f>IFERROR(VLOOKUP(M4963,INSUMOS!$C$8:$K$928,3,0),"-----")</f>
        <v>-----</v>
      </c>
      <c r="P4963" s="80"/>
      <c r="Q4963" s="79"/>
      <c r="R4963" s="190" t="str">
        <f>IFERROR(VLOOKUP(M4963,INSUMOS!$C$8:$K$928,4,0),"-----")</f>
        <v>-----</v>
      </c>
      <c r="S4963" s="190" t="str">
        <f>IFERROR(VLOOKUP(M4963,INSUMOS!$C$8:$K$928,6,0),"-----")</f>
        <v>-----</v>
      </c>
      <c r="T4963" s="190" t="str">
        <f>IFERROR(VLOOKUP(M4963,INSUMOS!$C$8:$K$928,5,0),"-----")</f>
        <v>-----</v>
      </c>
      <c r="U4963" s="388">
        <f>SUM(R4963:T4963)</f>
        <v>0</v>
      </c>
      <c r="V4963" s="82">
        <f>+IFERROR((P4963/Q4963)*U4963,0)</f>
        <v>0</v>
      </c>
      <c r="Y4963" s="393">
        <f>+IFERROR((Y4932/Q4963*P4963),0)</f>
        <v>0</v>
      </c>
      <c r="Z4963" s="391">
        <f>Y4932*V4963</f>
        <v>0</v>
      </c>
      <c r="AA4963" s="86"/>
      <c r="AB4963" s="92">
        <f>+U4963*Y4963</f>
        <v>0</v>
      </c>
      <c r="AC4963" s="93">
        <f>+AB4963-Z4963</f>
        <v>0</v>
      </c>
      <c r="AD4963" s="94"/>
      <c r="AE4963" s="410" t="str">
        <f>+IF(V4963=0,"CERO","NO")</f>
        <v>CERO</v>
      </c>
    </row>
    <row r="4964" spans="3:31" s="260" customFormat="1" ht="15.75" thickBot="1" x14ac:dyDescent="0.3">
      <c r="C4964" s="84"/>
      <c r="D4964" s="380"/>
      <c r="E4964" s="381"/>
      <c r="F4964" s="381"/>
      <c r="G4964" s="381"/>
      <c r="H4964" s="381"/>
      <c r="I4964" s="381"/>
      <c r="J4964" s="382"/>
      <c r="K4964" s="88"/>
      <c r="M4964" s="102">
        <v>0</v>
      </c>
      <c r="N4964" s="347"/>
      <c r="O4964" s="79"/>
      <c r="P4964" s="423"/>
      <c r="Q4964" s="81"/>
      <c r="R4964" s="111"/>
      <c r="S4964" s="357"/>
      <c r="T4964" s="111"/>
      <c r="U4964" s="388"/>
      <c r="V4964" s="426"/>
      <c r="Y4964" s="393">
        <f>+IFERROR((Y4932/Q4964*P4964),0)</f>
        <v>0</v>
      </c>
      <c r="Z4964" s="391">
        <f>Y4932*V4964</f>
        <v>0</v>
      </c>
      <c r="AA4964" s="86"/>
      <c r="AB4964" s="92">
        <f>+(U4964)*Y4964*P4964</f>
        <v>0</v>
      </c>
      <c r="AC4964" s="93">
        <f>+AB4964-Z4964</f>
        <v>0</v>
      </c>
      <c r="AD4964" s="94"/>
      <c r="AE4964" s="410" t="str">
        <f>+IF(V4964=0,"CERO","NO")</f>
        <v>CERO</v>
      </c>
    </row>
    <row r="4965" spans="3:31" s="260" customFormat="1" ht="15.75" thickBot="1" x14ac:dyDescent="0.3">
      <c r="C4965" s="84"/>
      <c r="D4965" s="375" t="s">
        <v>128</v>
      </c>
      <c r="E4965" s="376" t="s">
        <v>129</v>
      </c>
      <c r="F4965" s="376" t="s">
        <v>130</v>
      </c>
      <c r="G4965" s="376" t="s">
        <v>131</v>
      </c>
      <c r="H4965" s="376" t="s">
        <v>132</v>
      </c>
      <c r="I4965" s="376" t="s">
        <v>133</v>
      </c>
      <c r="J4965" s="377" t="s">
        <v>134</v>
      </c>
      <c r="K4965" s="88"/>
      <c r="M4965" s="534"/>
      <c r="N4965" s="536" t="s">
        <v>120</v>
      </c>
      <c r="O4965" s="536"/>
      <c r="P4965" s="536"/>
      <c r="Q4965" s="536"/>
      <c r="R4965" s="536"/>
      <c r="S4965" s="536"/>
      <c r="T4965" s="536"/>
      <c r="U4965" s="536"/>
      <c r="V4965" s="82">
        <f>+SUM(V4962:V4964)</f>
        <v>8368.4500000000007</v>
      </c>
      <c r="Y4965" s="398" t="s">
        <v>135</v>
      </c>
      <c r="Z4965" s="397">
        <f>+SUM(Z4962:Z4964)</f>
        <v>697593.99200000009</v>
      </c>
      <c r="AA4965" s="86"/>
      <c r="AB4965" s="384"/>
      <c r="AC4965" s="385"/>
      <c r="AD4965" s="94"/>
      <c r="AE4965" s="399"/>
    </row>
    <row r="4966" spans="3:31" s="260" customFormat="1" ht="15.75" thickBot="1" x14ac:dyDescent="0.3">
      <c r="C4966" s="84"/>
      <c r="D4966" s="354"/>
      <c r="E4966" s="96"/>
      <c r="F4966" s="96"/>
      <c r="G4966" s="107">
        <f>+F4959</f>
        <v>5.01</v>
      </c>
      <c r="H4966" s="96"/>
      <c r="I4966" s="96"/>
      <c r="J4966" s="427"/>
      <c r="K4966" s="88"/>
      <c r="M4966" s="535"/>
      <c r="N4966" s="537" t="s">
        <v>121</v>
      </c>
      <c r="O4966" s="537"/>
      <c r="P4966" s="537"/>
      <c r="Q4966" s="537"/>
      <c r="R4966" s="537"/>
      <c r="S4966" s="537"/>
      <c r="T4966" s="537"/>
      <c r="U4966" s="537"/>
      <c r="V4966" s="413">
        <f>+ROUND(V4965,$AA$5)</f>
        <v>8368.4500000000007</v>
      </c>
      <c r="Y4966" s="401" t="s">
        <v>136</v>
      </c>
      <c r="Z4966" s="402">
        <f>+ROUND(Z4965,$AA$5)</f>
        <v>697593.99</v>
      </c>
      <c r="AA4966" s="86"/>
      <c r="AB4966" s="403">
        <f>+V4966*Y4932</f>
        <v>697593.99200000009</v>
      </c>
      <c r="AC4966" s="404">
        <f>+AB4966-Z4966</f>
        <v>2.0000000949949026E-3</v>
      </c>
      <c r="AD4966" s="94"/>
      <c r="AE4966" s="405"/>
    </row>
    <row r="4967" spans="3:31" s="260" customFormat="1" ht="15.75" thickBot="1" x14ac:dyDescent="0.3">
      <c r="C4967" s="84"/>
      <c r="D4967" s="375" t="s">
        <v>128</v>
      </c>
      <c r="E4967" s="376" t="s">
        <v>129</v>
      </c>
      <c r="F4967" s="376" t="s">
        <v>130</v>
      </c>
      <c r="G4967" s="376" t="s">
        <v>131</v>
      </c>
      <c r="H4967" s="376" t="s">
        <v>132</v>
      </c>
      <c r="I4967" s="376" t="s">
        <v>133</v>
      </c>
      <c r="J4967" s="377" t="s">
        <v>134</v>
      </c>
      <c r="K4967" s="88"/>
      <c r="M4967" s="541"/>
      <c r="N4967" s="542"/>
      <c r="O4967" s="542"/>
      <c r="P4967" s="542"/>
      <c r="Q4967" s="542"/>
      <c r="R4967" s="542"/>
      <c r="S4967" s="542"/>
      <c r="T4967" s="542"/>
      <c r="U4967" s="542"/>
      <c r="V4967" s="543"/>
      <c r="Y4967" s="378"/>
      <c r="Z4967" s="121"/>
      <c r="AA4967" s="86"/>
      <c r="AB4967" s="409"/>
      <c r="AC4967" s="121"/>
      <c r="AD4967" s="94"/>
      <c r="AE4967" s="428"/>
    </row>
    <row r="4968" spans="3:31" s="260" customFormat="1" ht="15.75" thickBot="1" x14ac:dyDescent="0.3">
      <c r="C4968" s="84"/>
      <c r="D4968" s="355"/>
      <c r="E4968" s="367"/>
      <c r="F4968" s="367"/>
      <c r="G4968" s="367"/>
      <c r="H4968" s="412">
        <f>G4966</f>
        <v>5.01</v>
      </c>
      <c r="I4968" s="412"/>
      <c r="J4968" s="422"/>
      <c r="K4968" s="88"/>
      <c r="M4968" s="544" t="s">
        <v>122</v>
      </c>
      <c r="N4968" s="537"/>
      <c r="O4968" s="537"/>
      <c r="P4968" s="537"/>
      <c r="Q4968" s="537"/>
      <c r="R4968" s="537"/>
      <c r="S4968" s="537"/>
      <c r="T4968" s="537"/>
      <c r="U4968" s="545">
        <f>+V4966+V4959+V4951+V4942</f>
        <v>46941.57</v>
      </c>
      <c r="V4968" s="546"/>
      <c r="Y4968" s="429"/>
      <c r="Z4968" s="430">
        <f>+Z4966+Z4959+Z4951+Z4942</f>
        <v>3913049.3200000003</v>
      </c>
      <c r="AA4968" s="86"/>
      <c r="AB4968" s="431">
        <f>+AB4966+AB4959+AB4951+AB4942</f>
        <v>3913049.2752</v>
      </c>
      <c r="AC4968" s="404">
        <f>+AB4968-Z4968</f>
        <v>-4.4800000265240669E-2</v>
      </c>
      <c r="AD4968" s="94"/>
      <c r="AE4968" s="432"/>
    </row>
    <row r="4969" spans="3:31" s="260" customFormat="1" ht="15.75" thickBot="1" x14ac:dyDescent="0.3"/>
    <row r="4970" spans="3:31" s="260" customFormat="1" x14ac:dyDescent="0.25">
      <c r="M4970" s="547" t="s">
        <v>348</v>
      </c>
      <c r="N4970" s="548"/>
      <c r="O4970" s="548"/>
      <c r="P4970" s="548"/>
      <c r="Q4970" s="548"/>
      <c r="R4970" s="548"/>
      <c r="S4970" s="548"/>
      <c r="T4970" s="548"/>
      <c r="U4970" s="548"/>
      <c r="V4970" s="549"/>
      <c r="Y4970" s="378"/>
      <c r="Z4970" s="121"/>
      <c r="AA4970" s="86"/>
      <c r="AB4970" s="94"/>
      <c r="AC4970" s="94"/>
      <c r="AD4970" s="94"/>
      <c r="AE4970" s="126" t="s">
        <v>133</v>
      </c>
    </row>
    <row r="4971" spans="3:31" s="260" customFormat="1" x14ac:dyDescent="0.25">
      <c r="M4971" s="515" t="s">
        <v>138</v>
      </c>
      <c r="N4971" s="516"/>
      <c r="O4971" s="516"/>
      <c r="P4971" s="516"/>
      <c r="Q4971" s="516"/>
      <c r="R4971" s="516"/>
      <c r="S4971" s="516"/>
      <c r="T4971" s="437">
        <v>0</v>
      </c>
      <c r="U4971" s="517">
        <f>+ROUND(U4968*T4971,$AA$5)</f>
        <v>0</v>
      </c>
      <c r="V4971" s="518"/>
      <c r="Y4971" s="390"/>
      <c r="Z4971" s="438">
        <f>+Z4968*T4971</f>
        <v>0</v>
      </c>
      <c r="AA4971" s="86"/>
      <c r="AB4971" s="94"/>
      <c r="AC4971" s="94"/>
      <c r="AD4971" s="94"/>
      <c r="AE4971" s="386" t="s">
        <v>133</v>
      </c>
    </row>
    <row r="4972" spans="3:31" s="260" customFormat="1" x14ac:dyDescent="0.25">
      <c r="M4972" s="515" t="s">
        <v>19</v>
      </c>
      <c r="N4972" s="516"/>
      <c r="O4972" s="516"/>
      <c r="P4972" s="516"/>
      <c r="Q4972" s="516"/>
      <c r="R4972" s="516"/>
      <c r="S4972" s="516"/>
      <c r="T4972" s="437">
        <v>0.05</v>
      </c>
      <c r="U4972" s="517">
        <f>+ROUND(U4968*T4972,$AA$5)</f>
        <v>2347.08</v>
      </c>
      <c r="V4972" s="518"/>
      <c r="Y4972" s="390"/>
      <c r="Z4972" s="438">
        <f>+Z4968*T4972</f>
        <v>195652.46600000001</v>
      </c>
      <c r="AA4972" s="86"/>
      <c r="AB4972" s="94"/>
      <c r="AC4972" s="94"/>
      <c r="AD4972" s="94"/>
      <c r="AE4972" s="386" t="s">
        <v>133</v>
      </c>
    </row>
    <row r="4973" spans="3:31" s="260" customFormat="1" x14ac:dyDescent="0.25">
      <c r="M4973" s="515" t="s">
        <v>20</v>
      </c>
      <c r="N4973" s="516"/>
      <c r="O4973" s="516"/>
      <c r="P4973" s="516"/>
      <c r="Q4973" s="516"/>
      <c r="R4973" s="516"/>
      <c r="S4973" s="516"/>
      <c r="T4973" s="437">
        <v>0</v>
      </c>
      <c r="U4973" s="517">
        <f>+ROUND(U4968*T4973,$AA$5)</f>
        <v>0</v>
      </c>
      <c r="V4973" s="518"/>
      <c r="Y4973" s="390"/>
      <c r="Z4973" s="438">
        <f>+Z4968*T4973</f>
        <v>0</v>
      </c>
      <c r="AA4973" s="86"/>
      <c r="AB4973" s="94"/>
      <c r="AC4973" s="94"/>
      <c r="AD4973" s="94"/>
      <c r="AE4973" s="386" t="s">
        <v>133</v>
      </c>
    </row>
    <row r="4974" spans="3:31" s="260" customFormat="1" x14ac:dyDescent="0.25">
      <c r="M4974" s="515" t="s">
        <v>21</v>
      </c>
      <c r="N4974" s="516"/>
      <c r="O4974" s="516"/>
      <c r="P4974" s="516"/>
      <c r="Q4974" s="516"/>
      <c r="R4974" s="516"/>
      <c r="S4974" s="516"/>
      <c r="T4974" s="437">
        <f>$AA$9</f>
        <v>0</v>
      </c>
      <c r="U4974" s="517">
        <f>+ROUND(U4968*T4974,$AA$5)</f>
        <v>0</v>
      </c>
      <c r="V4974" s="518"/>
      <c r="Y4974" s="390"/>
      <c r="Z4974" s="438">
        <f>+Z4973*T4974</f>
        <v>0</v>
      </c>
      <c r="AA4974" s="86"/>
      <c r="AB4974" s="94"/>
      <c r="AC4974" s="94"/>
      <c r="AD4974" s="94"/>
      <c r="AE4974" s="386" t="s">
        <v>133</v>
      </c>
    </row>
    <row r="4975" spans="3:31" s="260" customFormat="1" ht="15.75" thickBot="1" x14ac:dyDescent="0.3">
      <c r="M4975" s="519" t="s">
        <v>349</v>
      </c>
      <c r="N4975" s="520"/>
      <c r="O4975" s="520"/>
      <c r="P4975" s="520"/>
      <c r="Q4975" s="520"/>
      <c r="R4975" s="520"/>
      <c r="S4975" s="520"/>
      <c r="T4975" s="520"/>
      <c r="U4975" s="521">
        <f>+SUM(U4971:V4974)</f>
        <v>2347.08</v>
      </c>
      <c r="V4975" s="522"/>
      <c r="Y4975" s="390"/>
      <c r="Z4975" s="439">
        <f>+SUM(Z4971:Z4974)</f>
        <v>195652.46600000001</v>
      </c>
      <c r="AA4975" s="86"/>
      <c r="AB4975" s="94"/>
      <c r="AC4975" s="94"/>
      <c r="AD4975" s="94"/>
      <c r="AE4975" s="386" t="s">
        <v>133</v>
      </c>
    </row>
    <row r="4976" spans="3:31" s="260" customFormat="1" ht="15.75" thickBot="1" x14ac:dyDescent="0.3">
      <c r="D4976" s="375" t="s">
        <v>128</v>
      </c>
      <c r="E4976" s="376" t="s">
        <v>129</v>
      </c>
      <c r="F4976" s="376" t="s">
        <v>130</v>
      </c>
      <c r="G4976" s="376" t="s">
        <v>131</v>
      </c>
      <c r="H4976" s="376" t="s">
        <v>132</v>
      </c>
      <c r="I4976" s="376" t="s">
        <v>133</v>
      </c>
      <c r="J4976" s="377" t="s">
        <v>134</v>
      </c>
      <c r="M4976" s="86"/>
      <c r="N4976" s="94"/>
      <c r="O4976" s="94"/>
      <c r="P4976" s="94"/>
      <c r="Q4976" s="86"/>
      <c r="R4976" s="86"/>
      <c r="S4976" s="86"/>
      <c r="T4976" s="440"/>
      <c r="U4976" s="523"/>
      <c r="V4976" s="523"/>
      <c r="Y4976" s="390"/>
      <c r="Z4976" s="385"/>
      <c r="AA4976" s="86"/>
      <c r="AB4976" s="94"/>
      <c r="AC4976" s="94"/>
      <c r="AD4976" s="94"/>
      <c r="AE4976" s="386" t="s">
        <v>133</v>
      </c>
    </row>
    <row r="4977" spans="3:31" s="260" customFormat="1" ht="15.75" thickBot="1" x14ac:dyDescent="0.3">
      <c r="D4977" s="355"/>
      <c r="E4977" s="367"/>
      <c r="F4977" s="367"/>
      <c r="G4977" s="367"/>
      <c r="H4977" s="412"/>
      <c r="I4977" s="412">
        <f>H4968</f>
        <v>5.01</v>
      </c>
      <c r="J4977" s="422"/>
      <c r="M4977" s="524" t="s">
        <v>11</v>
      </c>
      <c r="N4977" s="525"/>
      <c r="O4977" s="525"/>
      <c r="P4977" s="525"/>
      <c r="Q4977" s="525"/>
      <c r="R4977" s="525"/>
      <c r="S4977" s="525"/>
      <c r="T4977" s="526"/>
      <c r="U4977" s="527">
        <f>+U4975+U4968</f>
        <v>49288.65</v>
      </c>
      <c r="V4977" s="528"/>
      <c r="Y4977" s="429"/>
      <c r="Z4977" s="441">
        <f>+Z4975+Z4968</f>
        <v>4108701.7860000003</v>
      </c>
      <c r="AA4977" s="86"/>
      <c r="AB4977" s="94"/>
      <c r="AC4977" s="94"/>
      <c r="AD4977" s="94"/>
      <c r="AE4977" s="405" t="s">
        <v>133</v>
      </c>
    </row>
    <row r="4978" spans="3:31" s="260" customFormat="1" x14ac:dyDescent="0.25"/>
    <row r="4979" spans="3:31" s="260" customFormat="1" ht="15.75" thickBot="1" x14ac:dyDescent="0.3"/>
    <row r="4980" spans="3:31" s="260" customFormat="1" ht="15.75" thickBot="1" x14ac:dyDescent="0.3">
      <c r="M4980" s="363" t="s">
        <v>88</v>
      </c>
      <c r="N4980" s="436" t="str">
        <f>+N4931</f>
        <v>CAP.5</v>
      </c>
      <c r="O4980" s="550" t="str">
        <f>IFERROR(VLOOKUP(N4980,PPTO!C:H,2,0),"----")</f>
        <v>RED PLUVIAL</v>
      </c>
      <c r="P4980" s="551"/>
      <c r="Q4980" s="551"/>
      <c r="R4980" s="551"/>
      <c r="S4980" s="551"/>
      <c r="T4980" s="551"/>
      <c r="U4980" s="552"/>
      <c r="V4980" s="74" t="s">
        <v>91</v>
      </c>
      <c r="Y4980" s="365" t="s">
        <v>104</v>
      </c>
      <c r="Z4980" s="94"/>
      <c r="AA4980" s="188"/>
      <c r="AB4980" s="553"/>
      <c r="AC4980" s="553"/>
      <c r="AD4980" s="553"/>
      <c r="AE4980" s="94"/>
    </row>
    <row r="4981" spans="3:31" s="260" customFormat="1" ht="15.75" thickBot="1" x14ac:dyDescent="0.3">
      <c r="C4981" s="369">
        <f>+N4981</f>
        <v>5.0199999999999996</v>
      </c>
      <c r="D4981" s="86"/>
      <c r="E4981" s="86"/>
      <c r="F4981" s="86"/>
      <c r="G4981" s="86"/>
      <c r="H4981" s="86"/>
      <c r="I4981" s="86"/>
      <c r="J4981" s="86"/>
      <c r="K4981" s="370"/>
      <c r="M4981" s="75" t="s">
        <v>92</v>
      </c>
      <c r="N4981" s="371">
        <f>+ROUNDUP(N4932+0.01,2)</f>
        <v>5.0199999999999996</v>
      </c>
      <c r="O4981" s="554" t="str">
        <f>IFERROR(VLOOKUP(N4981,PPTO!C:H,2,0),"----")</f>
        <v>Tubería PVC Ø6"</v>
      </c>
      <c r="P4981" s="555"/>
      <c r="Q4981" s="555"/>
      <c r="R4981" s="555"/>
      <c r="S4981" s="555"/>
      <c r="T4981" s="555"/>
      <c r="U4981" s="556"/>
      <c r="V4981" s="76" t="str">
        <f>IFERROR(VLOOKUP(N4981,PPTO!C:H,3,0),"----")</f>
        <v>ML</v>
      </c>
      <c r="Y4981" s="373">
        <f>SUMIFS(PPTO!F:F,PPTO!C:C,APUS!N4981)</f>
        <v>112.26</v>
      </c>
      <c r="Z4981" s="94"/>
      <c r="AA4981" s="86"/>
      <c r="AB4981" s="94"/>
      <c r="AC4981" s="94"/>
      <c r="AD4981" s="94"/>
      <c r="AE4981" s="94"/>
    </row>
    <row r="4982" spans="3:31" s="260" customFormat="1" ht="15.75" thickBot="1" x14ac:dyDescent="0.3">
      <c r="C4982" s="84"/>
      <c r="D4982" s="86"/>
      <c r="E4982" s="86"/>
      <c r="F4982" s="86"/>
      <c r="G4982" s="86"/>
      <c r="H4982" s="86"/>
      <c r="I4982" s="86"/>
      <c r="J4982" s="86"/>
      <c r="K4982" s="88"/>
      <c r="M4982" s="557"/>
      <c r="N4982" s="557"/>
      <c r="O4982" s="557"/>
      <c r="P4982" s="557"/>
      <c r="Q4982" s="557"/>
      <c r="R4982" s="557"/>
      <c r="S4982" s="557"/>
      <c r="T4982" s="557"/>
      <c r="U4982" s="557"/>
      <c r="V4982" s="557"/>
      <c r="Y4982" s="374"/>
      <c r="Z4982" s="94"/>
      <c r="AA4982" s="86"/>
      <c r="AB4982" s="94"/>
      <c r="AC4982" s="94"/>
      <c r="AD4982" s="94"/>
      <c r="AE4982" s="94"/>
    </row>
    <row r="4983" spans="3:31" s="260" customFormat="1" ht="15.75" thickBot="1" x14ac:dyDescent="0.3">
      <c r="C4983" s="84"/>
      <c r="D4983" s="375" t="s">
        <v>128</v>
      </c>
      <c r="E4983" s="376" t="s">
        <v>129</v>
      </c>
      <c r="F4983" s="376" t="s">
        <v>130</v>
      </c>
      <c r="G4983" s="376" t="s">
        <v>131</v>
      </c>
      <c r="H4983" s="376" t="s">
        <v>132</v>
      </c>
      <c r="I4983" s="376" t="s">
        <v>133</v>
      </c>
      <c r="J4983" s="377" t="s">
        <v>134</v>
      </c>
      <c r="K4983" s="88"/>
      <c r="M4983" s="558" t="s">
        <v>93</v>
      </c>
      <c r="N4983" s="559"/>
      <c r="O4983" s="559"/>
      <c r="P4983" s="559"/>
      <c r="Q4983" s="559"/>
      <c r="R4983" s="559"/>
      <c r="S4983" s="559"/>
      <c r="T4983" s="559"/>
      <c r="U4983" s="559"/>
      <c r="V4983" s="560"/>
      <c r="Y4983" s="378"/>
      <c r="Z4983" s="121"/>
      <c r="AA4983" s="86"/>
      <c r="AB4983" s="513"/>
      <c r="AC4983" s="514"/>
      <c r="AD4983" s="94"/>
      <c r="AE4983" s="379"/>
    </row>
    <row r="4984" spans="3:31" s="260" customFormat="1" x14ac:dyDescent="0.25">
      <c r="C4984" s="84"/>
      <c r="D4984" s="380"/>
      <c r="E4984" s="381"/>
      <c r="F4984" s="381"/>
      <c r="G4984" s="381"/>
      <c r="H4984" s="381"/>
      <c r="I4984" s="381"/>
      <c r="J4984" s="382"/>
      <c r="K4984" s="88"/>
      <c r="M4984" s="99" t="s">
        <v>94</v>
      </c>
      <c r="N4984" s="561" t="s">
        <v>95</v>
      </c>
      <c r="O4984" s="561"/>
      <c r="P4984" s="561"/>
      <c r="Q4984" s="561"/>
      <c r="R4984" s="95" t="s">
        <v>96</v>
      </c>
      <c r="S4984" s="95" t="s">
        <v>97</v>
      </c>
      <c r="T4984" s="562" t="s">
        <v>8</v>
      </c>
      <c r="U4984" s="562"/>
      <c r="V4984" s="100" t="s">
        <v>98</v>
      </c>
      <c r="Y4984" s="383" t="s">
        <v>104</v>
      </c>
      <c r="Z4984" s="119" t="s">
        <v>9</v>
      </c>
      <c r="AA4984" s="86"/>
      <c r="AB4984" s="384"/>
      <c r="AC4984" s="385"/>
      <c r="AD4984" s="94"/>
      <c r="AE4984" s="386"/>
    </row>
    <row r="4985" spans="3:31" s="260" customFormat="1" x14ac:dyDescent="0.25">
      <c r="C4985" s="84"/>
      <c r="D4985" s="85"/>
      <c r="E4985" s="86"/>
      <c r="F4985" s="86"/>
      <c r="G4985" s="86"/>
      <c r="H4985" s="86"/>
      <c r="I4985" s="86"/>
      <c r="J4985" s="87"/>
      <c r="K4985" s="88"/>
      <c r="M4985" s="102"/>
      <c r="N4985" s="533" t="s">
        <v>99</v>
      </c>
      <c r="O4985" s="533"/>
      <c r="P4985" s="533"/>
      <c r="Q4985" s="533"/>
      <c r="R4985" s="78" t="s">
        <v>100</v>
      </c>
      <c r="S4985" s="387">
        <f>+$AA$10</f>
        <v>0.05</v>
      </c>
      <c r="T4985" s="563">
        <f>V5015</f>
        <v>8368.4500000000007</v>
      </c>
      <c r="U4985" s="563"/>
      <c r="V4985" s="389">
        <f>+IFERROR(T4985*S4985,0)</f>
        <v>418.42250000000007</v>
      </c>
      <c r="Y4985" s="390"/>
      <c r="Z4985" s="391">
        <f>Y4981*V4985</f>
        <v>46972.109850000008</v>
      </c>
      <c r="AA4985" s="86"/>
      <c r="AB4985" s="384"/>
      <c r="AC4985" s="385"/>
      <c r="AD4985" s="94"/>
      <c r="AE4985" s="386" t="str">
        <f>+IF(V4985=0,"CERO","NO")</f>
        <v>NO</v>
      </c>
    </row>
    <row r="4986" spans="3:31" s="260" customFormat="1" x14ac:dyDescent="0.25">
      <c r="C4986" s="84"/>
      <c r="D4986" s="85"/>
      <c r="E4986" s="86"/>
      <c r="F4986" s="86"/>
      <c r="G4986" s="86"/>
      <c r="H4986" s="86"/>
      <c r="I4986" s="86"/>
      <c r="J4986" s="87"/>
      <c r="K4986" s="88"/>
      <c r="M4986" s="106"/>
      <c r="N4986" s="533" t="str">
        <f>IFERROR(VLOOKUP(M4986,INSUMOS!$C$8:$K$928,2,0),"-----")</f>
        <v>-----</v>
      </c>
      <c r="O4986" s="533"/>
      <c r="P4986" s="533"/>
      <c r="Q4986" s="533"/>
      <c r="R4986" s="78" t="str">
        <f>IFERROR(VLOOKUP(M4986,INSUMOS!$C$8:$K$928,6,0),"-----")</f>
        <v>-----</v>
      </c>
      <c r="S4986" s="392"/>
      <c r="T4986" s="529" t="str">
        <f>IFERROR(VLOOKUP(M4986,INSUMOS!$C$8:$K$928,7,0),"0")</f>
        <v>0</v>
      </c>
      <c r="U4986" s="529"/>
      <c r="V4986" s="389">
        <f>+IFERROR(T4986*S4986,0)</f>
        <v>0</v>
      </c>
      <c r="Y4986" s="393">
        <f>+IFERROR(Y4981*S4986,0)</f>
        <v>0</v>
      </c>
      <c r="Z4986" s="391">
        <f>Y4981*V4986</f>
        <v>0</v>
      </c>
      <c r="AA4986" s="394"/>
      <c r="AB4986" s="395">
        <f>+Y4986*T4986</f>
        <v>0</v>
      </c>
      <c r="AC4986" s="93">
        <f>+AB4986-Z4986</f>
        <v>0</v>
      </c>
      <c r="AD4986" s="94"/>
      <c r="AE4986" s="386" t="str">
        <f>+IF(V4986=0,"CERO","NO")</f>
        <v>CERO</v>
      </c>
    </row>
    <row r="4987" spans="3:31" s="260" customFormat="1" x14ac:dyDescent="0.25">
      <c r="C4987" s="84"/>
      <c r="D4987" s="85"/>
      <c r="E4987" s="86"/>
      <c r="F4987" s="86"/>
      <c r="G4987" s="86"/>
      <c r="H4987" s="86"/>
      <c r="I4987" s="86"/>
      <c r="J4987" s="87"/>
      <c r="K4987" s="88"/>
      <c r="M4987" s="102">
        <v>0</v>
      </c>
      <c r="N4987" s="533"/>
      <c r="O4987" s="533"/>
      <c r="P4987" s="533"/>
      <c r="Q4987" s="533"/>
      <c r="R4987" s="78"/>
      <c r="S4987" s="396"/>
      <c r="T4987" s="529"/>
      <c r="U4987" s="529"/>
      <c r="V4987" s="397"/>
      <c r="Y4987" s="393">
        <f>+IFERROR(Y4981*S4987,0)</f>
        <v>0</v>
      </c>
      <c r="Z4987" s="391">
        <f>Y4981*V4987</f>
        <v>0</v>
      </c>
      <c r="AA4987" s="394"/>
      <c r="AB4987" s="395">
        <f>+Y4987*T4987</f>
        <v>0</v>
      </c>
      <c r="AC4987" s="93">
        <f>+AB4987-Z4987</f>
        <v>0</v>
      </c>
      <c r="AD4987" s="94"/>
      <c r="AE4987" s="386" t="str">
        <f>+IF(V4987=0,"CERO","NO")</f>
        <v>CERO</v>
      </c>
    </row>
    <row r="4988" spans="3:31" s="260" customFormat="1" x14ac:dyDescent="0.25">
      <c r="C4988" s="84"/>
      <c r="D4988" s="85"/>
      <c r="E4988" s="86"/>
      <c r="F4988" s="86"/>
      <c r="G4988" s="86"/>
      <c r="H4988" s="86"/>
      <c r="I4988" s="86"/>
      <c r="J4988" s="87"/>
      <c r="K4988" s="88"/>
      <c r="M4988" s="102">
        <v>0</v>
      </c>
      <c r="N4988" s="533"/>
      <c r="O4988" s="533"/>
      <c r="P4988" s="533"/>
      <c r="Q4988" s="533"/>
      <c r="R4988" s="78"/>
      <c r="S4988" s="396"/>
      <c r="T4988" s="529"/>
      <c r="U4988" s="529"/>
      <c r="V4988" s="397"/>
      <c r="Y4988" s="393">
        <f>+IFERROR(Y4981*S4988,0)</f>
        <v>0</v>
      </c>
      <c r="Z4988" s="391">
        <f>Y4981*V4988</f>
        <v>0</v>
      </c>
      <c r="AA4988" s="394"/>
      <c r="AB4988" s="395">
        <f>+Y4988*T4988</f>
        <v>0</v>
      </c>
      <c r="AC4988" s="93">
        <f>+AB4988-Z4988</f>
        <v>0</v>
      </c>
      <c r="AD4988" s="94"/>
      <c r="AE4988" s="386" t="str">
        <f>+IF(V4988=0,"CERO","NO")</f>
        <v>CERO</v>
      </c>
    </row>
    <row r="4989" spans="3:31" s="260" customFormat="1" ht="15.75" thickBot="1" x14ac:dyDescent="0.3">
      <c r="C4989" s="84"/>
      <c r="D4989" s="85"/>
      <c r="E4989" s="86"/>
      <c r="F4989" s="86"/>
      <c r="G4989" s="86"/>
      <c r="H4989" s="86"/>
      <c r="I4989" s="86"/>
      <c r="J4989" s="87"/>
      <c r="K4989" s="88"/>
      <c r="M4989" s="102">
        <v>0</v>
      </c>
      <c r="N4989" s="564"/>
      <c r="O4989" s="564"/>
      <c r="P4989" s="564"/>
      <c r="Q4989" s="564"/>
      <c r="R4989" s="96"/>
      <c r="S4989" s="96"/>
      <c r="T4989" s="565"/>
      <c r="U4989" s="565"/>
      <c r="V4989" s="101"/>
      <c r="Y4989" s="393">
        <f>+IFERROR(Y4981*S4989,0)</f>
        <v>0</v>
      </c>
      <c r="Z4989" s="391">
        <f>Y4981*V4989</f>
        <v>0</v>
      </c>
      <c r="AA4989" s="394"/>
      <c r="AB4989" s="395">
        <f>+Y4989*T4989</f>
        <v>0</v>
      </c>
      <c r="AC4989" s="93">
        <f>+AB4989-Z4989</f>
        <v>0</v>
      </c>
      <c r="AD4989" s="94"/>
      <c r="AE4989" s="386" t="str">
        <f>+IF(V4989=0,"CERO","NO")</f>
        <v>CERO</v>
      </c>
    </row>
    <row r="4990" spans="3:31" s="260" customFormat="1" ht="15.75" thickBot="1" x14ac:dyDescent="0.3">
      <c r="C4990" s="84"/>
      <c r="D4990" s="375" t="s">
        <v>128</v>
      </c>
      <c r="E4990" s="376" t="s">
        <v>129</v>
      </c>
      <c r="F4990" s="376" t="s">
        <v>130</v>
      </c>
      <c r="G4990" s="376" t="s">
        <v>131</v>
      </c>
      <c r="H4990" s="376" t="s">
        <v>132</v>
      </c>
      <c r="I4990" s="376" t="s">
        <v>133</v>
      </c>
      <c r="J4990" s="377" t="s">
        <v>134</v>
      </c>
      <c r="K4990" s="88"/>
      <c r="M4990" s="534"/>
      <c r="N4990" s="536" t="s">
        <v>101</v>
      </c>
      <c r="O4990" s="536"/>
      <c r="P4990" s="536"/>
      <c r="Q4990" s="536"/>
      <c r="R4990" s="536"/>
      <c r="S4990" s="536"/>
      <c r="T4990" s="536"/>
      <c r="U4990" s="536"/>
      <c r="V4990" s="389">
        <f>+SUM(V4985:V4989)</f>
        <v>418.42250000000007</v>
      </c>
      <c r="Y4990" s="398" t="s">
        <v>135</v>
      </c>
      <c r="Z4990" s="397">
        <f>+SUM(Z4985:Z4989)</f>
        <v>46972.109850000008</v>
      </c>
      <c r="AA4990" s="86"/>
      <c r="AB4990" s="384"/>
      <c r="AC4990" s="385"/>
      <c r="AD4990" s="94"/>
      <c r="AE4990" s="399"/>
    </row>
    <row r="4991" spans="3:31" s="260" customFormat="1" ht="15.75" thickBot="1" x14ac:dyDescent="0.3">
      <c r="C4991" s="84"/>
      <c r="D4991" s="375">
        <f>C4981</f>
        <v>5.0199999999999996</v>
      </c>
      <c r="E4991" s="376"/>
      <c r="F4991" s="376"/>
      <c r="G4991" s="376"/>
      <c r="H4991" s="376"/>
      <c r="I4991" s="376"/>
      <c r="J4991" s="377"/>
      <c r="K4991" s="88"/>
      <c r="M4991" s="566"/>
      <c r="N4991" s="567" t="s">
        <v>102</v>
      </c>
      <c r="O4991" s="567"/>
      <c r="P4991" s="567"/>
      <c r="Q4991" s="567"/>
      <c r="R4991" s="567"/>
      <c r="S4991" s="567"/>
      <c r="T4991" s="567"/>
      <c r="U4991" s="567"/>
      <c r="V4991" s="400">
        <f>+ROUND(V4990,$AA$5)</f>
        <v>418.42</v>
      </c>
      <c r="Y4991" s="401" t="s">
        <v>136</v>
      </c>
      <c r="Z4991" s="402">
        <f>+ROUND(Z4990,$AA$5)</f>
        <v>46972.11</v>
      </c>
      <c r="AA4991" s="86"/>
      <c r="AB4991" s="403">
        <f>+V4991*Y4981</f>
        <v>46971.829200000007</v>
      </c>
      <c r="AC4991" s="404">
        <f>+AB4991-Z4991</f>
        <v>-0.28079999999317806</v>
      </c>
      <c r="AD4991" s="94"/>
      <c r="AE4991" s="405"/>
    </row>
    <row r="4992" spans="3:31" s="260" customFormat="1" x14ac:dyDescent="0.25">
      <c r="C4992" s="84"/>
      <c r="D4992" s="380"/>
      <c r="E4992" s="381"/>
      <c r="F4992" s="381"/>
      <c r="G4992" s="381"/>
      <c r="H4992" s="381"/>
      <c r="I4992" s="381"/>
      <c r="J4992" s="382"/>
      <c r="K4992" s="88"/>
      <c r="M4992" s="510" t="s">
        <v>103</v>
      </c>
      <c r="N4992" s="511"/>
      <c r="O4992" s="511"/>
      <c r="P4992" s="511"/>
      <c r="Q4992" s="511"/>
      <c r="R4992" s="511"/>
      <c r="S4992" s="511"/>
      <c r="T4992" s="511"/>
      <c r="U4992" s="511"/>
      <c r="V4992" s="512"/>
      <c r="Y4992" s="378"/>
      <c r="Z4992" s="121"/>
      <c r="AA4992" s="86"/>
      <c r="AB4992" s="513"/>
      <c r="AC4992" s="514"/>
      <c r="AD4992" s="94"/>
      <c r="AE4992" s="126"/>
    </row>
    <row r="4993" spans="3:31" s="260" customFormat="1" x14ac:dyDescent="0.25">
      <c r="C4993" s="84"/>
      <c r="D4993" s="85"/>
      <c r="E4993" s="86"/>
      <c r="F4993" s="86"/>
      <c r="G4993" s="86"/>
      <c r="H4993" s="86"/>
      <c r="I4993" s="86"/>
      <c r="J4993" s="87"/>
      <c r="K4993" s="88"/>
      <c r="M4993" s="99" t="s">
        <v>94</v>
      </c>
      <c r="N4993" s="561" t="s">
        <v>95</v>
      </c>
      <c r="O4993" s="561"/>
      <c r="P4993" s="561"/>
      <c r="Q4993" s="561"/>
      <c r="R4993" s="95" t="s">
        <v>96</v>
      </c>
      <c r="S4993" s="95" t="s">
        <v>104</v>
      </c>
      <c r="T4993" s="356" t="s">
        <v>105</v>
      </c>
      <c r="U4993" s="356" t="s">
        <v>8</v>
      </c>
      <c r="V4993" s="100" t="s">
        <v>98</v>
      </c>
      <c r="Y4993" s="383" t="s">
        <v>104</v>
      </c>
      <c r="Z4993" s="119" t="s">
        <v>9</v>
      </c>
      <c r="AA4993" s="86"/>
      <c r="AB4993" s="384"/>
      <c r="AC4993" s="385"/>
      <c r="AD4993" s="94"/>
      <c r="AE4993" s="406"/>
    </row>
    <row r="4994" spans="3:31" s="260" customFormat="1" x14ac:dyDescent="0.25">
      <c r="C4994" s="84"/>
      <c r="D4994" s="85"/>
      <c r="E4994" s="86"/>
      <c r="F4994" s="86"/>
      <c r="G4994" s="86"/>
      <c r="H4994" s="86"/>
      <c r="I4994" s="86"/>
      <c r="J4994" s="87"/>
      <c r="K4994" s="88"/>
      <c r="M4994" s="102">
        <v>552</v>
      </c>
      <c r="N4994" s="533" t="str">
        <f>IFERROR(VLOOKUP(M4994,INSUMOS!$C$8:$K$928,2,0),"-----")</f>
        <v xml:space="preserve">TUBERIA PVC SANITARIO 6" </v>
      </c>
      <c r="O4994" s="533"/>
      <c r="P4994" s="533"/>
      <c r="Q4994" s="533"/>
      <c r="R4994" s="78" t="str">
        <f>IFERROR(VLOOKUP(M4994,INSUMOS!$C$8:$K$928,6,0),"-----")</f>
        <v>ml</v>
      </c>
      <c r="S4994" s="396">
        <v>1</v>
      </c>
      <c r="T4994" s="387">
        <v>0.02</v>
      </c>
      <c r="U4994" s="388">
        <f>IFERROR(VLOOKUP(M4994,INSUMOS!$C$8:$K$928,7,0),"0")</f>
        <v>73321</v>
      </c>
      <c r="V4994" s="389">
        <f>+IFERROR(U4994*(S4994*(1+T4994)),0)</f>
        <v>74787.42</v>
      </c>
      <c r="Y4994" s="393">
        <f>+IFERROR(Y4981*(S4994*(1+T4994)),0)</f>
        <v>114.5052</v>
      </c>
      <c r="Z4994" s="391">
        <f>Y4981*V4994</f>
        <v>8395635.7692000009</v>
      </c>
      <c r="AA4994" s="394"/>
      <c r="AB4994" s="395">
        <f>+Y4994*U4994</f>
        <v>8395635.7692000009</v>
      </c>
      <c r="AC4994" s="93">
        <f>+AB4994-Z4994</f>
        <v>0</v>
      </c>
      <c r="AD4994" s="94"/>
      <c r="AE4994" s="406" t="str">
        <f>+IF(V4994=0,"CERO","NO")</f>
        <v>NO</v>
      </c>
    </row>
    <row r="4995" spans="3:31" s="260" customFormat="1" x14ac:dyDescent="0.25">
      <c r="C4995" s="84"/>
      <c r="D4995" s="85"/>
      <c r="E4995" s="86"/>
      <c r="F4995" s="86"/>
      <c r="G4995" s="86"/>
      <c r="H4995" s="86"/>
      <c r="I4995" s="86"/>
      <c r="J4995" s="87"/>
      <c r="K4995" s="88"/>
      <c r="M4995" s="102">
        <v>699</v>
      </c>
      <c r="N4995" s="533" t="str">
        <f>IFERROR(VLOOKUP(M4995,INSUMOS!$C$8:$K$928,2,0),"-----")</f>
        <v>SOLDADURA PVC LIQUIDA 1/4"</v>
      </c>
      <c r="O4995" s="533"/>
      <c r="P4995" s="533"/>
      <c r="Q4995" s="533"/>
      <c r="R4995" s="78" t="str">
        <f>IFERROR(VLOOKUP(M4995,INSUMOS!$C$8:$K$928,6,0),"-----")</f>
        <v>und</v>
      </c>
      <c r="S4995" s="396">
        <v>0.01</v>
      </c>
      <c r="T4995" s="387">
        <v>0.02</v>
      </c>
      <c r="U4995" s="388">
        <f>IFERROR(VLOOKUP(M4995,INSUMOS!$C$8:$K$928,7,0),"0")</f>
        <v>146569</v>
      </c>
      <c r="V4995" s="389">
        <f>+IFERROR(U4995*(S4995*(1+T4995)),0)</f>
        <v>1495.0038000000002</v>
      </c>
      <c r="Y4995" s="393">
        <f>+IFERROR(Y4981*(S4995*(1+T4995)),0)</f>
        <v>1.1450520000000002</v>
      </c>
      <c r="Z4995" s="391">
        <f>Y4981*V4995</f>
        <v>167829.12658800001</v>
      </c>
      <c r="AA4995" s="394"/>
      <c r="AB4995" s="395">
        <f>+Y4995*U4995</f>
        <v>167829.12658800001</v>
      </c>
      <c r="AC4995" s="93">
        <f>+AB4995-Z4995</f>
        <v>0</v>
      </c>
      <c r="AD4995" s="94"/>
      <c r="AE4995" s="406" t="str">
        <f>+IF(V4995=0,"CERO","NO")</f>
        <v>NO</v>
      </c>
    </row>
    <row r="4996" spans="3:31" s="260" customFormat="1" x14ac:dyDescent="0.25">
      <c r="C4996" s="84"/>
      <c r="D4996" s="85"/>
      <c r="E4996" s="86"/>
      <c r="F4996" s="86"/>
      <c r="G4996" s="86"/>
      <c r="H4996" s="86"/>
      <c r="I4996" s="86"/>
      <c r="J4996" s="87"/>
      <c r="K4996" s="88"/>
      <c r="M4996" s="102">
        <v>700</v>
      </c>
      <c r="N4996" s="533" t="str">
        <f>IFERROR(VLOOKUP(M4996,INSUMOS!$C$8:$K$928,2,0),"-----")</f>
        <v>LIMPIADOR PVC 1/4</v>
      </c>
      <c r="O4996" s="533"/>
      <c r="P4996" s="533"/>
      <c r="Q4996" s="533"/>
      <c r="R4996" s="78" t="str">
        <f>IFERROR(VLOOKUP(M4996,INSUMOS!$C$8:$K$928,6,0),"-----")</f>
        <v>und</v>
      </c>
      <c r="S4996" s="396">
        <v>0.01</v>
      </c>
      <c r="T4996" s="387">
        <v>0.02</v>
      </c>
      <c r="U4996" s="388">
        <f>IFERROR(VLOOKUP(M4996,INSUMOS!$C$8:$K$928,7,0),"0")</f>
        <v>65913</v>
      </c>
      <c r="V4996" s="389">
        <f>+IFERROR(U4996*(S4996*(1+T4996)),0)</f>
        <v>672.31260000000009</v>
      </c>
      <c r="Y4996" s="393">
        <f>+IFERROR(Y4981*(S4996*(1+T4996)),0)</f>
        <v>1.1450520000000002</v>
      </c>
      <c r="Z4996" s="391">
        <f>Y4981*V4996</f>
        <v>75473.812476000006</v>
      </c>
      <c r="AA4996" s="394"/>
      <c r="AB4996" s="395">
        <f>+Y4996*U4996</f>
        <v>75473.812476000006</v>
      </c>
      <c r="AC4996" s="93">
        <f>+AB4996-Z4996</f>
        <v>0</v>
      </c>
      <c r="AD4996" s="94"/>
      <c r="AE4996" s="406" t="str">
        <f>+IF(V4996=0,"CERO","NO")</f>
        <v>NO</v>
      </c>
    </row>
    <row r="4997" spans="3:31" s="260" customFormat="1" x14ac:dyDescent="0.25">
      <c r="C4997" s="84"/>
      <c r="D4997" s="85"/>
      <c r="E4997" s="86"/>
      <c r="F4997" s="86"/>
      <c r="G4997" s="86"/>
      <c r="H4997" s="86"/>
      <c r="I4997" s="86"/>
      <c r="J4997" s="87"/>
      <c r="K4997" s="88"/>
      <c r="M4997" s="102">
        <v>0</v>
      </c>
      <c r="N4997" s="533" t="str">
        <f>IFERROR(VLOOKUP(M4997,INSUMOS!$C$8:$K$928,2,0),"-----")</f>
        <v>-----</v>
      </c>
      <c r="O4997" s="533"/>
      <c r="P4997" s="533"/>
      <c r="Q4997" s="533"/>
      <c r="R4997" s="78" t="str">
        <f>IFERROR(VLOOKUP(M4997,INSUMOS!$C$8:$K$928,6,0),"-----")</f>
        <v>-----</v>
      </c>
      <c r="S4997" s="396"/>
      <c r="T4997" s="387"/>
      <c r="U4997" s="388" t="str">
        <f>IFERROR(VLOOKUP(M4997,INSUMOS!$C$8:$K$928,7,0),"0")</f>
        <v>0</v>
      </c>
      <c r="V4997" s="389">
        <f>+IFERROR(U4997*(S4997*(1+T4997)),0)</f>
        <v>0</v>
      </c>
      <c r="Y4997" s="393">
        <f>+IFERROR(Y4981*(S4997*(1+T4997)),0)</f>
        <v>0</v>
      </c>
      <c r="Z4997" s="391">
        <f>Y4981*V4997</f>
        <v>0</v>
      </c>
      <c r="AA4997" s="394"/>
      <c r="AB4997" s="395">
        <f>+Y4997*U4997</f>
        <v>0</v>
      </c>
      <c r="AC4997" s="93">
        <f>+AB4997-Z4997</f>
        <v>0</v>
      </c>
      <c r="AD4997" s="94"/>
      <c r="AE4997" s="406" t="str">
        <f>+IF(V4997=0,"CERO","NO")</f>
        <v>CERO</v>
      </c>
    </row>
    <row r="4998" spans="3:31" s="260" customFormat="1" ht="15.75" thickBot="1" x14ac:dyDescent="0.3">
      <c r="C4998" s="84"/>
      <c r="D4998" s="85"/>
      <c r="E4998" s="86"/>
      <c r="F4998" s="86"/>
      <c r="G4998" s="86"/>
      <c r="H4998" s="86"/>
      <c r="I4998" s="86"/>
      <c r="J4998" s="87"/>
      <c r="K4998" s="88"/>
      <c r="M4998" s="102">
        <v>0</v>
      </c>
      <c r="N4998" s="564"/>
      <c r="O4998" s="564"/>
      <c r="P4998" s="564"/>
      <c r="Q4998" s="564"/>
      <c r="R4998" s="96"/>
      <c r="S4998" s="79"/>
      <c r="T4998" s="97"/>
      <c r="U4998" s="358"/>
      <c r="V4998" s="397"/>
      <c r="Y4998" s="393">
        <f>+IFERROR(Y4981*(S4998*(1+T4998)),0)</f>
        <v>0</v>
      </c>
      <c r="Z4998" s="391">
        <f>Y4981*V4998</f>
        <v>0</v>
      </c>
      <c r="AA4998" s="394"/>
      <c r="AB4998" s="395">
        <f>+Y4998*U4998</f>
        <v>0</v>
      </c>
      <c r="AC4998" s="93">
        <f>+AB4998-Z4998</f>
        <v>0</v>
      </c>
      <c r="AD4998" s="94"/>
      <c r="AE4998" s="406" t="str">
        <f>+IF(V4998=0,"CERO","NO")</f>
        <v>CERO</v>
      </c>
    </row>
    <row r="4999" spans="3:31" s="260" customFormat="1" ht="15.75" thickBot="1" x14ac:dyDescent="0.3">
      <c r="C4999" s="84"/>
      <c r="D4999" s="375" t="s">
        <v>128</v>
      </c>
      <c r="E4999" s="376" t="s">
        <v>129</v>
      </c>
      <c r="F4999" s="376" t="s">
        <v>130</v>
      </c>
      <c r="G4999" s="376" t="s">
        <v>131</v>
      </c>
      <c r="H4999" s="376" t="s">
        <v>132</v>
      </c>
      <c r="I4999" s="376" t="s">
        <v>133</v>
      </c>
      <c r="J4999" s="377" t="s">
        <v>134</v>
      </c>
      <c r="K4999" s="88"/>
      <c r="M4999" s="534"/>
      <c r="N4999" s="536" t="s">
        <v>106</v>
      </c>
      <c r="O4999" s="536"/>
      <c r="P4999" s="536"/>
      <c r="Q4999" s="536"/>
      <c r="R4999" s="536"/>
      <c r="S4999" s="536"/>
      <c r="T4999" s="536"/>
      <c r="U4999" s="536"/>
      <c r="V4999" s="389">
        <f>+SUM(V4994:V4998)</f>
        <v>76954.736400000009</v>
      </c>
      <c r="Y4999" s="398" t="s">
        <v>135</v>
      </c>
      <c r="Z4999" s="397">
        <f>+SUM(Z4994:Z4998)</f>
        <v>8638938.7082640007</v>
      </c>
      <c r="AA4999" s="86"/>
      <c r="AB4999" s="384"/>
      <c r="AC4999" s="385"/>
      <c r="AD4999" s="94"/>
      <c r="AE4999" s="399"/>
    </row>
    <row r="5000" spans="3:31" s="260" customFormat="1" ht="15.75" thickBot="1" x14ac:dyDescent="0.3">
      <c r="C5000" s="84"/>
      <c r="D5000" s="375"/>
      <c r="E5000" s="407">
        <f>+D4991</f>
        <v>5.0199999999999996</v>
      </c>
      <c r="F5000" s="376"/>
      <c r="G5000" s="376"/>
      <c r="H5000" s="376"/>
      <c r="I5000" s="376"/>
      <c r="J5000" s="377"/>
      <c r="K5000" s="88"/>
      <c r="M5000" s="535"/>
      <c r="N5000" s="537" t="s">
        <v>107</v>
      </c>
      <c r="O5000" s="537"/>
      <c r="P5000" s="537"/>
      <c r="Q5000" s="537"/>
      <c r="R5000" s="537"/>
      <c r="S5000" s="537"/>
      <c r="T5000" s="537"/>
      <c r="U5000" s="537"/>
      <c r="V5000" s="408">
        <f>+ROUND(V4999,$AA$5)</f>
        <v>76954.740000000005</v>
      </c>
      <c r="Y5000" s="401" t="s">
        <v>136</v>
      </c>
      <c r="Z5000" s="402">
        <f>+ROUND(Z4999,$AA$5)</f>
        <v>8638938.7100000009</v>
      </c>
      <c r="AA5000" s="86"/>
      <c r="AB5000" s="403">
        <f>+V5000*Y4981</f>
        <v>8638939.1124000009</v>
      </c>
      <c r="AC5000" s="404">
        <f>+AB5000-Z5000</f>
        <v>0.40240000002086163</v>
      </c>
      <c r="AD5000" s="94"/>
      <c r="AE5000" s="405"/>
    </row>
    <row r="5001" spans="3:31" s="260" customFormat="1" x14ac:dyDescent="0.25">
      <c r="C5001" s="84"/>
      <c r="D5001" s="380"/>
      <c r="E5001" s="381"/>
      <c r="F5001" s="381"/>
      <c r="G5001" s="381"/>
      <c r="H5001" s="381"/>
      <c r="I5001" s="381"/>
      <c r="J5001" s="382"/>
      <c r="K5001" s="88"/>
      <c r="M5001" s="568" t="s">
        <v>108</v>
      </c>
      <c r="N5001" s="569"/>
      <c r="O5001" s="569"/>
      <c r="P5001" s="569"/>
      <c r="Q5001" s="569"/>
      <c r="R5001" s="569"/>
      <c r="S5001" s="569"/>
      <c r="T5001" s="569"/>
      <c r="U5001" s="569"/>
      <c r="V5001" s="570"/>
      <c r="Y5001" s="378"/>
      <c r="Z5001" s="121"/>
      <c r="AA5001" s="86"/>
      <c r="AB5001" s="409"/>
      <c r="AC5001" s="121"/>
      <c r="AD5001" s="94"/>
      <c r="AE5001" s="126"/>
    </row>
    <row r="5002" spans="3:31" s="260" customFormat="1" ht="25.5" x14ac:dyDescent="0.25">
      <c r="C5002" s="84"/>
      <c r="D5002" s="85"/>
      <c r="E5002" s="86"/>
      <c r="F5002" s="86"/>
      <c r="G5002" s="86"/>
      <c r="H5002" s="86"/>
      <c r="I5002" s="86"/>
      <c r="J5002" s="87"/>
      <c r="K5002" s="88"/>
      <c r="M5002" s="99" t="s">
        <v>94</v>
      </c>
      <c r="N5002" s="561" t="s">
        <v>95</v>
      </c>
      <c r="O5002" s="561"/>
      <c r="P5002" s="561"/>
      <c r="Q5002" s="95" t="s">
        <v>109</v>
      </c>
      <c r="R5002" s="95" t="s">
        <v>110</v>
      </c>
      <c r="S5002" s="95" t="s">
        <v>111</v>
      </c>
      <c r="T5002" s="562" t="s">
        <v>112</v>
      </c>
      <c r="U5002" s="562"/>
      <c r="V5002" s="100" t="s">
        <v>98</v>
      </c>
      <c r="Y5002" s="383" t="s">
        <v>104</v>
      </c>
      <c r="Z5002" s="119" t="s">
        <v>9</v>
      </c>
      <c r="AA5002" s="86"/>
      <c r="AB5002" s="384"/>
      <c r="AC5002" s="385"/>
      <c r="AD5002" s="94"/>
      <c r="AE5002" s="410"/>
    </row>
    <row r="5003" spans="3:31" s="260" customFormat="1" x14ac:dyDescent="0.25">
      <c r="C5003" s="84"/>
      <c r="D5003" s="85"/>
      <c r="E5003" s="86"/>
      <c r="F5003" s="86"/>
      <c r="G5003" s="86"/>
      <c r="H5003" s="86"/>
      <c r="I5003" s="86"/>
      <c r="J5003" s="87"/>
      <c r="K5003" s="88"/>
      <c r="M5003" s="102">
        <v>129</v>
      </c>
      <c r="N5003" s="530" t="str">
        <f>IFERROR(VLOOKUP(M5003,INSUMOS!$C$8:$K$928,2,0),"-----")</f>
        <v>transporte materiales en general</v>
      </c>
      <c r="O5003" s="531"/>
      <c r="P5003" s="532"/>
      <c r="Q5003" s="78" t="str">
        <f>IFERROR(VLOOKUP(M5003,INSUMOS!$C$8:$K$928,5,0),"-----")</f>
        <v>Km</v>
      </c>
      <c r="R5003" s="80">
        <v>1</v>
      </c>
      <c r="S5003" s="80">
        <f>IFERROR(VLOOKUP(M5003,INSUMOS!$C$8:$K$928,6,0),"0")</f>
        <v>348</v>
      </c>
      <c r="T5003" s="529">
        <f>IFERROR(VLOOKUP(M5003,INSUMOS!$C$8:$K$928,7,0),"0")</f>
        <v>0.99776362060288992</v>
      </c>
      <c r="U5003" s="529"/>
      <c r="V5003" s="82">
        <f>+T5003*S5003*R5003</f>
        <v>347.2217399698057</v>
      </c>
      <c r="Y5003" s="393">
        <f>+IFERROR((R5003*S5003)*Y4981,0)</f>
        <v>39066.480000000003</v>
      </c>
      <c r="Z5003" s="391">
        <f>Y4981*V5003</f>
        <v>38979.112529010388</v>
      </c>
      <c r="AA5003" s="86"/>
      <c r="AB5003" s="92">
        <f>+Y5003*T5003</f>
        <v>38979.112529010388</v>
      </c>
      <c r="AC5003" s="93">
        <f>+AB5003-Z5003</f>
        <v>0</v>
      </c>
      <c r="AD5003" s="94"/>
      <c r="AE5003" s="406" t="str">
        <f>+IF(V5003=0,"CERO","NO")</f>
        <v>NO</v>
      </c>
    </row>
    <row r="5004" spans="3:31" s="260" customFormat="1" x14ac:dyDescent="0.25">
      <c r="C5004" s="84"/>
      <c r="D5004" s="85"/>
      <c r="E5004" s="86"/>
      <c r="F5004" s="86"/>
      <c r="G5004" s="86"/>
      <c r="H5004" s="86"/>
      <c r="I5004" s="86"/>
      <c r="J5004" s="87"/>
      <c r="K5004" s="88"/>
      <c r="M5004" s="102">
        <v>0</v>
      </c>
      <c r="N5004" s="530" t="str">
        <f>IFERROR(VLOOKUP(M5004,INSUMOS!$C$8:$K$928,2,0),"-----")</f>
        <v>-----</v>
      </c>
      <c r="O5004" s="531"/>
      <c r="P5004" s="532"/>
      <c r="Q5004" s="78" t="str">
        <f>IFERROR(VLOOKUP(M5004,INSUMOS!$C$8:$K$928,5,0),"-----")</f>
        <v>-----</v>
      </c>
      <c r="R5004" s="80"/>
      <c r="S5004" s="80" t="str">
        <f>IFERROR(VLOOKUP(M5004,INSUMOS!$C$8:$K$928,6,0),"0")</f>
        <v>0</v>
      </c>
      <c r="T5004" s="529" t="str">
        <f>IFERROR(VLOOKUP(M5004,INSUMOS!$C$8:$K$928,7,0),"0")</f>
        <v>0</v>
      </c>
      <c r="U5004" s="529"/>
      <c r="V5004" s="82">
        <f>+T5004*S5004*R5004</f>
        <v>0</v>
      </c>
      <c r="Y5004" s="393">
        <f>+IFERROR((R5004*S5004)*Y4981,0)</f>
        <v>0</v>
      </c>
      <c r="Z5004" s="391">
        <f>Y4981*V5004</f>
        <v>0</v>
      </c>
      <c r="AA5004" s="86"/>
      <c r="AB5004" s="92">
        <f>+Y5004*T5004</f>
        <v>0</v>
      </c>
      <c r="AC5004" s="93">
        <f>+AB5004-Z5004</f>
        <v>0</v>
      </c>
      <c r="AD5004" s="94"/>
      <c r="AE5004" s="406" t="str">
        <f>+IF(V5004=0,"CERO","NO")</f>
        <v>CERO</v>
      </c>
    </row>
    <row r="5005" spans="3:31" s="260" customFormat="1" x14ac:dyDescent="0.25">
      <c r="C5005" s="84"/>
      <c r="D5005" s="85"/>
      <c r="E5005" s="86"/>
      <c r="F5005" s="86"/>
      <c r="G5005" s="86"/>
      <c r="H5005" s="86"/>
      <c r="I5005" s="86"/>
      <c r="J5005" s="87"/>
      <c r="K5005" s="88"/>
      <c r="M5005" s="102">
        <v>0</v>
      </c>
      <c r="N5005" s="530" t="str">
        <f>IFERROR(VLOOKUP(M5005,INSUMOS!$C$8:$K$928,2,0),"-----")</f>
        <v>-----</v>
      </c>
      <c r="O5005" s="531"/>
      <c r="P5005" s="532"/>
      <c r="Q5005" s="78" t="str">
        <f>IFERROR(VLOOKUP(M5005,INSUMOS!$C$8:$K$928,5,0),"-----")</f>
        <v>-----</v>
      </c>
      <c r="R5005" s="80"/>
      <c r="S5005" s="80" t="str">
        <f>IFERROR(VLOOKUP(M5005,INSUMOS!$C$8:$K$928,6,0),"0")</f>
        <v>0</v>
      </c>
      <c r="T5005" s="529" t="str">
        <f>IFERROR(VLOOKUP(M5005,INSUMOS!$C$8:$K$928,7,0),"0")</f>
        <v>0</v>
      </c>
      <c r="U5005" s="529"/>
      <c r="V5005" s="82">
        <f>+T5005*S5005*R5005</f>
        <v>0</v>
      </c>
      <c r="Y5005" s="393">
        <f>+IFERROR((R5005*S5005)*Y4981,0)</f>
        <v>0</v>
      </c>
      <c r="Z5005" s="391">
        <f>Y4981*V5005</f>
        <v>0</v>
      </c>
      <c r="AA5005" s="86"/>
      <c r="AB5005" s="92">
        <f>+Y5005*T5005</f>
        <v>0</v>
      </c>
      <c r="AC5005" s="93">
        <f>+AB5005-Z5005</f>
        <v>0</v>
      </c>
      <c r="AD5005" s="94"/>
      <c r="AE5005" s="406" t="str">
        <f>+IF(V5005=0,"CERO","NO")</f>
        <v>CERO</v>
      </c>
    </row>
    <row r="5006" spans="3:31" s="260" customFormat="1" ht="15.75" thickBot="1" x14ac:dyDescent="0.3">
      <c r="C5006" s="84"/>
      <c r="D5006" s="89"/>
      <c r="E5006" s="90"/>
      <c r="F5006" s="90"/>
      <c r="G5006" s="90"/>
      <c r="H5006" s="90"/>
      <c r="I5006" s="90"/>
      <c r="J5006" s="91"/>
      <c r="K5006" s="88"/>
      <c r="M5006" s="102">
        <v>0</v>
      </c>
      <c r="N5006" s="533"/>
      <c r="O5006" s="533"/>
      <c r="P5006" s="533"/>
      <c r="Q5006" s="79"/>
      <c r="R5006" s="78"/>
      <c r="S5006" s="81"/>
      <c r="T5006" s="529"/>
      <c r="U5006" s="529"/>
      <c r="V5006" s="82"/>
      <c r="Y5006" s="393">
        <f>+IFERROR((R5006*S5006)*Y4981,0)</f>
        <v>0</v>
      </c>
      <c r="Z5006" s="391">
        <f>Y4981*V5006</f>
        <v>0</v>
      </c>
      <c r="AA5006" s="86"/>
      <c r="AB5006" s="92">
        <f>+Y5006*T5006</f>
        <v>0</v>
      </c>
      <c r="AC5006" s="93">
        <f>+AB5006-Z5006</f>
        <v>0</v>
      </c>
      <c r="AD5006" s="94"/>
      <c r="AE5006" s="406" t="str">
        <f>+IF(V5006=0,"CERO","NO")</f>
        <v>CERO</v>
      </c>
    </row>
    <row r="5007" spans="3:31" s="260" customFormat="1" ht="15.75" thickBot="1" x14ac:dyDescent="0.3">
      <c r="C5007" s="84"/>
      <c r="D5007" s="375" t="s">
        <v>128</v>
      </c>
      <c r="E5007" s="376" t="s">
        <v>129</v>
      </c>
      <c r="F5007" s="376" t="s">
        <v>130</v>
      </c>
      <c r="G5007" s="376" t="s">
        <v>131</v>
      </c>
      <c r="H5007" s="376" t="s">
        <v>132</v>
      </c>
      <c r="I5007" s="376" t="s">
        <v>133</v>
      </c>
      <c r="J5007" s="377" t="s">
        <v>134</v>
      </c>
      <c r="K5007" s="88"/>
      <c r="M5007" s="534"/>
      <c r="N5007" s="536" t="s">
        <v>113</v>
      </c>
      <c r="O5007" s="536"/>
      <c r="P5007" s="536"/>
      <c r="Q5007" s="536"/>
      <c r="R5007" s="536"/>
      <c r="S5007" s="536"/>
      <c r="T5007" s="536"/>
      <c r="U5007" s="536"/>
      <c r="V5007" s="411">
        <f>+SUM(V5003:V5006)</f>
        <v>347.2217399698057</v>
      </c>
      <c r="Y5007" s="398" t="s">
        <v>135</v>
      </c>
      <c r="Z5007" s="397">
        <f>+SUM(Z5003:Z5006)</f>
        <v>38979.112529010388</v>
      </c>
      <c r="AA5007" s="86"/>
      <c r="AB5007" s="384"/>
      <c r="AC5007" s="385"/>
      <c r="AD5007" s="94"/>
      <c r="AE5007" s="399"/>
    </row>
    <row r="5008" spans="3:31" s="260" customFormat="1" ht="15.75" thickBot="1" x14ac:dyDescent="0.3">
      <c r="C5008" s="84"/>
      <c r="D5008" s="355"/>
      <c r="E5008" s="367"/>
      <c r="F5008" s="412">
        <f>+E5000</f>
        <v>5.0199999999999996</v>
      </c>
      <c r="G5008" s="367"/>
      <c r="H5008" s="367"/>
      <c r="I5008" s="367"/>
      <c r="J5008" s="368"/>
      <c r="K5008" s="88"/>
      <c r="M5008" s="535"/>
      <c r="N5008" s="537" t="s">
        <v>114</v>
      </c>
      <c r="O5008" s="537"/>
      <c r="P5008" s="537"/>
      <c r="Q5008" s="537"/>
      <c r="R5008" s="537"/>
      <c r="S5008" s="537"/>
      <c r="T5008" s="537"/>
      <c r="U5008" s="537"/>
      <c r="V5008" s="413">
        <f>+ROUND(V5007,$AA$5)</f>
        <v>347.22</v>
      </c>
      <c r="Y5008" s="401" t="s">
        <v>136</v>
      </c>
      <c r="Z5008" s="402">
        <f>+ROUND(Z5007,$AA$5)</f>
        <v>38979.11</v>
      </c>
      <c r="AA5008" s="86"/>
      <c r="AB5008" s="403">
        <f>+V5008*Y4981</f>
        <v>38978.917200000004</v>
      </c>
      <c r="AC5008" s="414"/>
      <c r="AD5008" s="94"/>
      <c r="AE5008" s="405"/>
    </row>
    <row r="5009" spans="3:31" s="260" customFormat="1" ht="15.75" thickBot="1" x14ac:dyDescent="0.3">
      <c r="C5009" s="84"/>
      <c r="D5009" s="415"/>
      <c r="E5009" s="416"/>
      <c r="F5009" s="416"/>
      <c r="G5009" s="416"/>
      <c r="H5009" s="416"/>
      <c r="I5009" s="416"/>
      <c r="J5009" s="417"/>
      <c r="K5009" s="88"/>
      <c r="M5009" s="538" t="s">
        <v>115</v>
      </c>
      <c r="N5009" s="539"/>
      <c r="O5009" s="539"/>
      <c r="P5009" s="539"/>
      <c r="Q5009" s="539"/>
      <c r="R5009" s="539"/>
      <c r="S5009" s="539"/>
      <c r="T5009" s="539"/>
      <c r="U5009" s="539"/>
      <c r="V5009" s="540"/>
      <c r="Y5009" s="378"/>
      <c r="Z5009" s="121"/>
      <c r="AA5009" s="86"/>
      <c r="AB5009" s="409"/>
      <c r="AC5009" s="121"/>
      <c r="AD5009" s="94"/>
      <c r="AE5009" s="126"/>
    </row>
    <row r="5010" spans="3:31" s="260" customFormat="1" ht="15.75" thickBot="1" x14ac:dyDescent="0.3">
      <c r="C5010" s="84"/>
      <c r="D5010" s="375" t="s">
        <v>128</v>
      </c>
      <c r="E5010" s="376" t="s">
        <v>129</v>
      </c>
      <c r="F5010" s="376" t="s">
        <v>130</v>
      </c>
      <c r="G5010" s="376" t="s">
        <v>131</v>
      </c>
      <c r="H5010" s="376" t="s">
        <v>132</v>
      </c>
      <c r="I5010" s="376" t="s">
        <v>133</v>
      </c>
      <c r="J5010" s="377" t="s">
        <v>134</v>
      </c>
      <c r="K5010" s="88"/>
      <c r="M5010" s="99" t="s">
        <v>94</v>
      </c>
      <c r="N5010" s="98" t="s">
        <v>95</v>
      </c>
      <c r="O5010" s="95" t="s">
        <v>96</v>
      </c>
      <c r="P5010" s="359" t="s">
        <v>104</v>
      </c>
      <c r="Q5010" s="95" t="s">
        <v>116</v>
      </c>
      <c r="R5010" s="418" t="s">
        <v>117</v>
      </c>
      <c r="S5010" s="95" t="s">
        <v>347</v>
      </c>
      <c r="T5010" s="419" t="s">
        <v>118</v>
      </c>
      <c r="U5010" s="189" t="s">
        <v>119</v>
      </c>
      <c r="V5010" s="100" t="s">
        <v>98</v>
      </c>
      <c r="Y5010" s="383" t="s">
        <v>104</v>
      </c>
      <c r="Z5010" s="119" t="s">
        <v>9</v>
      </c>
      <c r="AA5010" s="86"/>
      <c r="AB5010" s="384"/>
      <c r="AC5010" s="385"/>
      <c r="AD5010" s="94"/>
      <c r="AE5010" s="410"/>
    </row>
    <row r="5011" spans="3:31" s="260" customFormat="1" ht="25.5" x14ac:dyDescent="0.25">
      <c r="C5011" s="84"/>
      <c r="D5011" s="354"/>
      <c r="E5011" s="96"/>
      <c r="F5011" s="96"/>
      <c r="G5011" s="96"/>
      <c r="H5011" s="96"/>
      <c r="I5011" s="96"/>
      <c r="J5011" s="420">
        <f>+F5008</f>
        <v>5.0199999999999996</v>
      </c>
      <c r="K5011" s="88"/>
      <c r="M5011" s="102">
        <v>207</v>
      </c>
      <c r="N5011" s="347" t="str">
        <f>IFERROR(VLOOKUP(M5011,INSUMOS!$C$8:$K$928,2,0),"-----")</f>
        <v>Oficial Hidrosanitario</v>
      </c>
      <c r="O5011" s="78" t="str">
        <f>IFERROR(VLOOKUP(M5011,INSUMOS!$C$8:$K$928,3,0),"-----")</f>
        <v>JORNAL+PS</v>
      </c>
      <c r="P5011" s="80">
        <v>1</v>
      </c>
      <c r="Q5011" s="79">
        <v>20</v>
      </c>
      <c r="R5011" s="190">
        <f>IFERROR(VLOOKUP(M5011,INSUMOS!$C$8:$K$928,4,0),"-----")</f>
        <v>92983</v>
      </c>
      <c r="S5011" s="190">
        <f>IFERROR(VLOOKUP(M5011,INSUMOS!$C$8:$K$928,6,0),"-----")</f>
        <v>74386</v>
      </c>
      <c r="T5011" s="190">
        <f>IFERROR(VLOOKUP(M5011,INSUMOS!$C$8:$K$928,5,0),"-----")</f>
        <v>0</v>
      </c>
      <c r="U5011" s="388">
        <f>SUM(R5011:T5011)</f>
        <v>167369</v>
      </c>
      <c r="V5011" s="82">
        <f>+IFERROR((P5011/Q5011)*U5011,0)</f>
        <v>8368.4500000000007</v>
      </c>
      <c r="Y5011" s="393">
        <f>+IFERROR((Y4981/Q5011*P5011),0)</f>
        <v>5.6130000000000004</v>
      </c>
      <c r="Z5011" s="391">
        <f>Y4981*V5011</f>
        <v>939442.19700000016</v>
      </c>
      <c r="AA5011" s="86"/>
      <c r="AB5011" s="92">
        <f>+(U5011)*Y5011</f>
        <v>939442.19700000004</v>
      </c>
      <c r="AC5011" s="93">
        <f>+AB5011-Z5011</f>
        <v>0</v>
      </c>
      <c r="AD5011" s="421"/>
      <c r="AE5011" s="410" t="str">
        <f>+IF(V5011=0,"CERO","NO")</f>
        <v>NO</v>
      </c>
    </row>
    <row r="5012" spans="3:31" s="260" customFormat="1" ht="15.75" thickBot="1" x14ac:dyDescent="0.3">
      <c r="C5012" s="84"/>
      <c r="D5012" s="355"/>
      <c r="E5012" s="367"/>
      <c r="F5012" s="367"/>
      <c r="G5012" s="367"/>
      <c r="H5012" s="367"/>
      <c r="I5012" s="367"/>
      <c r="J5012" s="422">
        <f>+J5011</f>
        <v>5.0199999999999996</v>
      </c>
      <c r="K5012" s="88"/>
      <c r="M5012" s="102"/>
      <c r="N5012" s="347" t="str">
        <f>IFERROR(VLOOKUP(M5012,INSUMOS!$C$8:$K$928,2,0),"-----")</f>
        <v>-----</v>
      </c>
      <c r="O5012" s="78" t="str">
        <f>IFERROR(VLOOKUP(M5012,INSUMOS!$C$8:$K$928,3,0),"-----")</f>
        <v>-----</v>
      </c>
      <c r="P5012" s="80"/>
      <c r="Q5012" s="79"/>
      <c r="R5012" s="190" t="str">
        <f>IFERROR(VLOOKUP(M5012,INSUMOS!$C$8:$K$928,4,0),"-----")</f>
        <v>-----</v>
      </c>
      <c r="S5012" s="190" t="str">
        <f>IFERROR(VLOOKUP(M5012,INSUMOS!$C$8:$K$928,6,0),"-----")</f>
        <v>-----</v>
      </c>
      <c r="T5012" s="190" t="str">
        <f>IFERROR(VLOOKUP(M5012,INSUMOS!$C$8:$K$928,5,0),"-----")</f>
        <v>-----</v>
      </c>
      <c r="U5012" s="388">
        <f>SUM(R5012:T5012)</f>
        <v>0</v>
      </c>
      <c r="V5012" s="82">
        <f>+IFERROR((P5012/Q5012)*U5012,0)</f>
        <v>0</v>
      </c>
      <c r="Y5012" s="393">
        <f>+IFERROR((Y4981/Q5012*P5012),0)</f>
        <v>0</v>
      </c>
      <c r="Z5012" s="391">
        <f>Y4981*V5012</f>
        <v>0</v>
      </c>
      <c r="AA5012" s="86"/>
      <c r="AB5012" s="92">
        <f>+U5012*Y5012</f>
        <v>0</v>
      </c>
      <c r="AC5012" s="93">
        <f>+AB5012-Z5012</f>
        <v>0</v>
      </c>
      <c r="AD5012" s="94"/>
      <c r="AE5012" s="410" t="str">
        <f>+IF(V5012=0,"CERO","NO")</f>
        <v>CERO</v>
      </c>
    </row>
    <row r="5013" spans="3:31" s="260" customFormat="1" ht="15.75" thickBot="1" x14ac:dyDescent="0.3">
      <c r="C5013" s="84"/>
      <c r="D5013" s="380"/>
      <c r="E5013" s="381"/>
      <c r="F5013" s="381"/>
      <c r="G5013" s="381"/>
      <c r="H5013" s="381"/>
      <c r="I5013" s="381"/>
      <c r="J5013" s="382"/>
      <c r="K5013" s="88"/>
      <c r="M5013" s="102">
        <v>0</v>
      </c>
      <c r="N5013" s="347"/>
      <c r="O5013" s="79"/>
      <c r="P5013" s="423"/>
      <c r="Q5013" s="81"/>
      <c r="R5013" s="111"/>
      <c r="S5013" s="357"/>
      <c r="T5013" s="111"/>
      <c r="U5013" s="388"/>
      <c r="V5013" s="426"/>
      <c r="Y5013" s="393">
        <f>+IFERROR((Y4981/Q5013*P5013),0)</f>
        <v>0</v>
      </c>
      <c r="Z5013" s="391">
        <f>Y4981*V5013</f>
        <v>0</v>
      </c>
      <c r="AA5013" s="86"/>
      <c r="AB5013" s="92">
        <f>+(U5013)*Y5013*P5013</f>
        <v>0</v>
      </c>
      <c r="AC5013" s="93">
        <f>+AB5013-Z5013</f>
        <v>0</v>
      </c>
      <c r="AD5013" s="94"/>
      <c r="AE5013" s="410" t="str">
        <f>+IF(V5013=0,"CERO","NO")</f>
        <v>CERO</v>
      </c>
    </row>
    <row r="5014" spans="3:31" s="260" customFormat="1" ht="15.75" thickBot="1" x14ac:dyDescent="0.3">
      <c r="C5014" s="84"/>
      <c r="D5014" s="375" t="s">
        <v>128</v>
      </c>
      <c r="E5014" s="376" t="s">
        <v>129</v>
      </c>
      <c r="F5014" s="376" t="s">
        <v>130</v>
      </c>
      <c r="G5014" s="376" t="s">
        <v>131</v>
      </c>
      <c r="H5014" s="376" t="s">
        <v>132</v>
      </c>
      <c r="I5014" s="376" t="s">
        <v>133</v>
      </c>
      <c r="J5014" s="377" t="s">
        <v>134</v>
      </c>
      <c r="K5014" s="88"/>
      <c r="M5014" s="534"/>
      <c r="N5014" s="536" t="s">
        <v>120</v>
      </c>
      <c r="O5014" s="536"/>
      <c r="P5014" s="536"/>
      <c r="Q5014" s="536"/>
      <c r="R5014" s="536"/>
      <c r="S5014" s="536"/>
      <c r="T5014" s="536"/>
      <c r="U5014" s="536"/>
      <c r="V5014" s="82">
        <f>+SUM(V5011:V5013)</f>
        <v>8368.4500000000007</v>
      </c>
      <c r="Y5014" s="398" t="s">
        <v>135</v>
      </c>
      <c r="Z5014" s="397">
        <f>+SUM(Z5011:Z5013)</f>
        <v>939442.19700000016</v>
      </c>
      <c r="AA5014" s="86"/>
      <c r="AB5014" s="384"/>
      <c r="AC5014" s="385"/>
      <c r="AD5014" s="94"/>
      <c r="AE5014" s="399"/>
    </row>
    <row r="5015" spans="3:31" s="260" customFormat="1" ht="15.75" thickBot="1" x14ac:dyDescent="0.3">
      <c r="C5015" s="84"/>
      <c r="D5015" s="354"/>
      <c r="E5015" s="96"/>
      <c r="F5015" s="96"/>
      <c r="G5015" s="107">
        <f>+F5008</f>
        <v>5.0199999999999996</v>
      </c>
      <c r="H5015" s="96"/>
      <c r="I5015" s="96"/>
      <c r="J5015" s="427"/>
      <c r="K5015" s="88"/>
      <c r="M5015" s="535"/>
      <c r="N5015" s="537" t="s">
        <v>121</v>
      </c>
      <c r="O5015" s="537"/>
      <c r="P5015" s="537"/>
      <c r="Q5015" s="537"/>
      <c r="R5015" s="537"/>
      <c r="S5015" s="537"/>
      <c r="T5015" s="537"/>
      <c r="U5015" s="537"/>
      <c r="V5015" s="413">
        <f>+ROUND(V5014,$AA$5)</f>
        <v>8368.4500000000007</v>
      </c>
      <c r="Y5015" s="401" t="s">
        <v>136</v>
      </c>
      <c r="Z5015" s="402">
        <f>+ROUND(Z5014,$AA$5)</f>
        <v>939442.2</v>
      </c>
      <c r="AA5015" s="86"/>
      <c r="AB5015" s="403">
        <f>+V5015*Y4981</f>
        <v>939442.19700000016</v>
      </c>
      <c r="AC5015" s="404">
        <f>+AB5015-Z5015</f>
        <v>-2.9999997932463884E-3</v>
      </c>
      <c r="AD5015" s="94"/>
      <c r="AE5015" s="405"/>
    </row>
    <row r="5016" spans="3:31" s="260" customFormat="1" ht="15.75" thickBot="1" x14ac:dyDescent="0.3">
      <c r="C5016" s="84"/>
      <c r="D5016" s="375" t="s">
        <v>128</v>
      </c>
      <c r="E5016" s="376" t="s">
        <v>129</v>
      </c>
      <c r="F5016" s="376" t="s">
        <v>130</v>
      </c>
      <c r="G5016" s="376" t="s">
        <v>131</v>
      </c>
      <c r="H5016" s="376" t="s">
        <v>132</v>
      </c>
      <c r="I5016" s="376" t="s">
        <v>133</v>
      </c>
      <c r="J5016" s="377" t="s">
        <v>134</v>
      </c>
      <c r="K5016" s="88"/>
      <c r="M5016" s="541"/>
      <c r="N5016" s="542"/>
      <c r="O5016" s="542"/>
      <c r="P5016" s="542"/>
      <c r="Q5016" s="542"/>
      <c r="R5016" s="542"/>
      <c r="S5016" s="542"/>
      <c r="T5016" s="542"/>
      <c r="U5016" s="542"/>
      <c r="V5016" s="543"/>
      <c r="Y5016" s="378"/>
      <c r="Z5016" s="121"/>
      <c r="AA5016" s="86"/>
      <c r="AB5016" s="409"/>
      <c r="AC5016" s="121"/>
      <c r="AD5016" s="94"/>
      <c r="AE5016" s="428"/>
    </row>
    <row r="5017" spans="3:31" s="260" customFormat="1" ht="15.75" thickBot="1" x14ac:dyDescent="0.3">
      <c r="C5017" s="84"/>
      <c r="D5017" s="355"/>
      <c r="E5017" s="367"/>
      <c r="F5017" s="367"/>
      <c r="G5017" s="367"/>
      <c r="H5017" s="412">
        <f>G5015</f>
        <v>5.0199999999999996</v>
      </c>
      <c r="I5017" s="412"/>
      <c r="J5017" s="422"/>
      <c r="K5017" s="88"/>
      <c r="M5017" s="544" t="s">
        <v>122</v>
      </c>
      <c r="N5017" s="537"/>
      <c r="O5017" s="537"/>
      <c r="P5017" s="537"/>
      <c r="Q5017" s="537"/>
      <c r="R5017" s="537"/>
      <c r="S5017" s="537"/>
      <c r="T5017" s="537"/>
      <c r="U5017" s="545">
        <f>+V5015+V5008+V5000+V4991</f>
        <v>86088.83</v>
      </c>
      <c r="V5017" s="546"/>
      <c r="Y5017" s="429"/>
      <c r="Z5017" s="430">
        <f>+Z5015+Z5008+Z5000+Z4991</f>
        <v>9664332.1300000008</v>
      </c>
      <c r="AA5017" s="86"/>
      <c r="AB5017" s="431">
        <f>+AB5015+AB5008+AB5000+AB4991</f>
        <v>9664332.0558000002</v>
      </c>
      <c r="AC5017" s="404">
        <f>+AB5017-Z5017</f>
        <v>-7.4200000613927841E-2</v>
      </c>
      <c r="AD5017" s="94"/>
      <c r="AE5017" s="432"/>
    </row>
    <row r="5018" spans="3:31" s="260" customFormat="1" ht="15.75" thickBot="1" x14ac:dyDescent="0.3"/>
    <row r="5019" spans="3:31" s="260" customFormat="1" x14ac:dyDescent="0.25">
      <c r="M5019" s="547" t="s">
        <v>348</v>
      </c>
      <c r="N5019" s="548"/>
      <c r="O5019" s="548"/>
      <c r="P5019" s="548"/>
      <c r="Q5019" s="548"/>
      <c r="R5019" s="548"/>
      <c r="S5019" s="548"/>
      <c r="T5019" s="548"/>
      <c r="U5019" s="548"/>
      <c r="V5019" s="549"/>
      <c r="Y5019" s="378"/>
      <c r="Z5019" s="121"/>
      <c r="AA5019" s="86"/>
      <c r="AB5019" s="94"/>
      <c r="AC5019" s="94"/>
      <c r="AD5019" s="94"/>
      <c r="AE5019" s="126" t="s">
        <v>133</v>
      </c>
    </row>
    <row r="5020" spans="3:31" s="260" customFormat="1" x14ac:dyDescent="0.25">
      <c r="M5020" s="515" t="s">
        <v>138</v>
      </c>
      <c r="N5020" s="516"/>
      <c r="O5020" s="516"/>
      <c r="P5020" s="516"/>
      <c r="Q5020" s="516"/>
      <c r="R5020" s="516"/>
      <c r="S5020" s="516"/>
      <c r="T5020" s="437">
        <v>0</v>
      </c>
      <c r="U5020" s="517">
        <f>+ROUND(U5017*T5020,$AA$5)</f>
        <v>0</v>
      </c>
      <c r="V5020" s="518"/>
      <c r="Y5020" s="390"/>
      <c r="Z5020" s="438">
        <f>+Z5017*T5020</f>
        <v>0</v>
      </c>
      <c r="AA5020" s="86"/>
      <c r="AB5020" s="94"/>
      <c r="AC5020" s="94"/>
      <c r="AD5020" s="94"/>
      <c r="AE5020" s="386" t="s">
        <v>133</v>
      </c>
    </row>
    <row r="5021" spans="3:31" s="260" customFormat="1" x14ac:dyDescent="0.25">
      <c r="M5021" s="515" t="s">
        <v>19</v>
      </c>
      <c r="N5021" s="516"/>
      <c r="O5021" s="516"/>
      <c r="P5021" s="516"/>
      <c r="Q5021" s="516"/>
      <c r="R5021" s="516"/>
      <c r="S5021" s="516"/>
      <c r="T5021" s="437">
        <v>0.05</v>
      </c>
      <c r="U5021" s="517">
        <f>+ROUND(U5017*T5021,$AA$5)</f>
        <v>4304.4399999999996</v>
      </c>
      <c r="V5021" s="518"/>
      <c r="Y5021" s="390"/>
      <c r="Z5021" s="438">
        <f>+Z5017*T5021</f>
        <v>483216.60650000005</v>
      </c>
      <c r="AA5021" s="86"/>
      <c r="AB5021" s="94"/>
      <c r="AC5021" s="94"/>
      <c r="AD5021" s="94"/>
      <c r="AE5021" s="386" t="s">
        <v>133</v>
      </c>
    </row>
    <row r="5022" spans="3:31" s="260" customFormat="1" x14ac:dyDescent="0.25">
      <c r="M5022" s="515" t="s">
        <v>20</v>
      </c>
      <c r="N5022" s="516"/>
      <c r="O5022" s="516"/>
      <c r="P5022" s="516"/>
      <c r="Q5022" s="516"/>
      <c r="R5022" s="516"/>
      <c r="S5022" s="516"/>
      <c r="T5022" s="437">
        <v>0</v>
      </c>
      <c r="U5022" s="517">
        <f>+ROUND(U5017*T5022,$AA$5)</f>
        <v>0</v>
      </c>
      <c r="V5022" s="518"/>
      <c r="Y5022" s="390"/>
      <c r="Z5022" s="438">
        <f>+Z5017*T5022</f>
        <v>0</v>
      </c>
      <c r="AA5022" s="86"/>
      <c r="AB5022" s="94"/>
      <c r="AC5022" s="94"/>
      <c r="AD5022" s="94"/>
      <c r="AE5022" s="386" t="s">
        <v>133</v>
      </c>
    </row>
    <row r="5023" spans="3:31" s="260" customFormat="1" x14ac:dyDescent="0.25">
      <c r="M5023" s="515" t="s">
        <v>21</v>
      </c>
      <c r="N5023" s="516"/>
      <c r="O5023" s="516"/>
      <c r="P5023" s="516"/>
      <c r="Q5023" s="516"/>
      <c r="R5023" s="516"/>
      <c r="S5023" s="516"/>
      <c r="T5023" s="437">
        <f>$AA$9</f>
        <v>0</v>
      </c>
      <c r="U5023" s="517">
        <f>+ROUND(U5017*T5023,$AA$5)</f>
        <v>0</v>
      </c>
      <c r="V5023" s="518"/>
      <c r="Y5023" s="390"/>
      <c r="Z5023" s="438">
        <f>+Z5022*T5023</f>
        <v>0</v>
      </c>
      <c r="AA5023" s="86"/>
      <c r="AB5023" s="94"/>
      <c r="AC5023" s="94"/>
      <c r="AD5023" s="94"/>
      <c r="AE5023" s="386" t="s">
        <v>133</v>
      </c>
    </row>
    <row r="5024" spans="3:31" s="260" customFormat="1" ht="15.75" thickBot="1" x14ac:dyDescent="0.3">
      <c r="M5024" s="519" t="s">
        <v>349</v>
      </c>
      <c r="N5024" s="520"/>
      <c r="O5024" s="520"/>
      <c r="P5024" s="520"/>
      <c r="Q5024" s="520"/>
      <c r="R5024" s="520"/>
      <c r="S5024" s="520"/>
      <c r="T5024" s="520"/>
      <c r="U5024" s="521">
        <f>+SUM(U5020:V5023)</f>
        <v>4304.4399999999996</v>
      </c>
      <c r="V5024" s="522"/>
      <c r="Y5024" s="390"/>
      <c r="Z5024" s="439">
        <f>+SUM(Z5020:Z5023)</f>
        <v>483216.60650000005</v>
      </c>
      <c r="AA5024" s="86"/>
      <c r="AB5024" s="94"/>
      <c r="AC5024" s="94"/>
      <c r="AD5024" s="94"/>
      <c r="AE5024" s="386" t="s">
        <v>133</v>
      </c>
    </row>
    <row r="5025" spans="3:31" s="260" customFormat="1" ht="15.75" thickBot="1" x14ac:dyDescent="0.3">
      <c r="D5025" s="375" t="s">
        <v>128</v>
      </c>
      <c r="E5025" s="376" t="s">
        <v>129</v>
      </c>
      <c r="F5025" s="376" t="s">
        <v>130</v>
      </c>
      <c r="G5025" s="376" t="s">
        <v>131</v>
      </c>
      <c r="H5025" s="376" t="s">
        <v>132</v>
      </c>
      <c r="I5025" s="376" t="s">
        <v>133</v>
      </c>
      <c r="J5025" s="377" t="s">
        <v>134</v>
      </c>
      <c r="M5025" s="86"/>
      <c r="N5025" s="94"/>
      <c r="O5025" s="94"/>
      <c r="P5025" s="94"/>
      <c r="Q5025" s="86"/>
      <c r="R5025" s="86"/>
      <c r="S5025" s="86"/>
      <c r="T5025" s="440"/>
      <c r="U5025" s="523"/>
      <c r="V5025" s="523"/>
      <c r="Y5025" s="390"/>
      <c r="Z5025" s="385"/>
      <c r="AA5025" s="86"/>
      <c r="AB5025" s="94"/>
      <c r="AC5025" s="94"/>
      <c r="AD5025" s="94"/>
      <c r="AE5025" s="386" t="s">
        <v>133</v>
      </c>
    </row>
    <row r="5026" spans="3:31" s="260" customFormat="1" ht="15.75" thickBot="1" x14ac:dyDescent="0.3">
      <c r="D5026" s="355"/>
      <c r="E5026" s="367"/>
      <c r="F5026" s="367"/>
      <c r="G5026" s="367"/>
      <c r="H5026" s="412"/>
      <c r="I5026" s="412">
        <f>H5017</f>
        <v>5.0199999999999996</v>
      </c>
      <c r="J5026" s="422"/>
      <c r="M5026" s="524" t="s">
        <v>11</v>
      </c>
      <c r="N5026" s="525"/>
      <c r="O5026" s="525"/>
      <c r="P5026" s="525"/>
      <c r="Q5026" s="525"/>
      <c r="R5026" s="525"/>
      <c r="S5026" s="525"/>
      <c r="T5026" s="526"/>
      <c r="U5026" s="527">
        <f>+U5024+U5017</f>
        <v>90393.27</v>
      </c>
      <c r="V5026" s="528"/>
      <c r="Y5026" s="429"/>
      <c r="Z5026" s="441">
        <f>+Z5024+Z5017</f>
        <v>10147548.736500001</v>
      </c>
      <c r="AA5026" s="86"/>
      <c r="AB5026" s="94"/>
      <c r="AC5026" s="94"/>
      <c r="AD5026" s="94"/>
      <c r="AE5026" s="405" t="s">
        <v>133</v>
      </c>
    </row>
    <row r="5027" spans="3:31" s="260" customFormat="1" x14ac:dyDescent="0.25"/>
    <row r="5028" spans="3:31" s="260" customFormat="1" ht="15.75" thickBot="1" x14ac:dyDescent="0.3"/>
    <row r="5029" spans="3:31" s="260" customFormat="1" ht="15.75" thickBot="1" x14ac:dyDescent="0.3">
      <c r="M5029" s="363" t="s">
        <v>88</v>
      </c>
      <c r="N5029" s="436" t="str">
        <f>+N4980</f>
        <v>CAP.5</v>
      </c>
      <c r="O5029" s="550" t="str">
        <f>IFERROR(VLOOKUP(N5029,PPTO!C:H,2,0),"----")</f>
        <v>RED PLUVIAL</v>
      </c>
      <c r="P5029" s="551"/>
      <c r="Q5029" s="551"/>
      <c r="R5029" s="551"/>
      <c r="S5029" s="551"/>
      <c r="T5029" s="551"/>
      <c r="U5029" s="552"/>
      <c r="V5029" s="74" t="s">
        <v>91</v>
      </c>
      <c r="Y5029" s="365" t="s">
        <v>104</v>
      </c>
      <c r="Z5029" s="94"/>
      <c r="AA5029" s="188"/>
      <c r="AB5029" s="553"/>
      <c r="AC5029" s="553"/>
      <c r="AD5029" s="553"/>
      <c r="AE5029" s="94"/>
    </row>
    <row r="5030" spans="3:31" s="260" customFormat="1" ht="15.75" thickBot="1" x14ac:dyDescent="0.3">
      <c r="C5030" s="369">
        <f>+N5030</f>
        <v>5.03</v>
      </c>
      <c r="D5030" s="86"/>
      <c r="E5030" s="86"/>
      <c r="F5030" s="86"/>
      <c r="G5030" s="86"/>
      <c r="H5030" s="86"/>
      <c r="I5030" s="86"/>
      <c r="J5030" s="86"/>
      <c r="K5030" s="370"/>
      <c r="M5030" s="75" t="s">
        <v>92</v>
      </c>
      <c r="N5030" s="371">
        <f>+ROUNDUP(N4981+0.01,2)</f>
        <v>5.03</v>
      </c>
      <c r="O5030" s="554" t="str">
        <f>IFERROR(VLOOKUP(N5030,PPTO!C:H,2,0),"----")</f>
        <v>Tragantes de aguas lluvias</v>
      </c>
      <c r="P5030" s="555"/>
      <c r="Q5030" s="555"/>
      <c r="R5030" s="555"/>
      <c r="S5030" s="555"/>
      <c r="T5030" s="555"/>
      <c r="U5030" s="556"/>
      <c r="V5030" s="76" t="str">
        <f>IFERROR(VLOOKUP(N5030,PPTO!C:H,3,0),"----")</f>
        <v>UND</v>
      </c>
      <c r="Y5030" s="373">
        <f>SUMIFS(PPTO!F:F,PPTO!C:C,APUS!N5030)</f>
        <v>24</v>
      </c>
      <c r="Z5030" s="94"/>
      <c r="AA5030" s="86"/>
      <c r="AB5030" s="94"/>
      <c r="AC5030" s="94"/>
      <c r="AD5030" s="94"/>
      <c r="AE5030" s="94"/>
    </row>
    <row r="5031" spans="3:31" s="260" customFormat="1" ht="15.75" thickBot="1" x14ac:dyDescent="0.3">
      <c r="C5031" s="84"/>
      <c r="D5031" s="86"/>
      <c r="E5031" s="86"/>
      <c r="F5031" s="86"/>
      <c r="G5031" s="86"/>
      <c r="H5031" s="86"/>
      <c r="I5031" s="86"/>
      <c r="J5031" s="86"/>
      <c r="K5031" s="88"/>
      <c r="M5031" s="557"/>
      <c r="N5031" s="557"/>
      <c r="O5031" s="557"/>
      <c r="P5031" s="557"/>
      <c r="Q5031" s="557"/>
      <c r="R5031" s="557"/>
      <c r="S5031" s="557"/>
      <c r="T5031" s="557"/>
      <c r="U5031" s="557"/>
      <c r="V5031" s="557"/>
      <c r="Y5031" s="374"/>
      <c r="Z5031" s="94"/>
      <c r="AA5031" s="86"/>
      <c r="AB5031" s="94"/>
      <c r="AC5031" s="94"/>
      <c r="AD5031" s="94"/>
      <c r="AE5031" s="94"/>
    </row>
    <row r="5032" spans="3:31" s="260" customFormat="1" ht="15.75" thickBot="1" x14ac:dyDescent="0.3">
      <c r="C5032" s="84"/>
      <c r="D5032" s="375" t="s">
        <v>128</v>
      </c>
      <c r="E5032" s="376" t="s">
        <v>129</v>
      </c>
      <c r="F5032" s="376" t="s">
        <v>130</v>
      </c>
      <c r="G5032" s="376" t="s">
        <v>131</v>
      </c>
      <c r="H5032" s="376" t="s">
        <v>132</v>
      </c>
      <c r="I5032" s="376" t="s">
        <v>133</v>
      </c>
      <c r="J5032" s="377" t="s">
        <v>134</v>
      </c>
      <c r="K5032" s="88"/>
      <c r="M5032" s="558" t="s">
        <v>93</v>
      </c>
      <c r="N5032" s="559"/>
      <c r="O5032" s="559"/>
      <c r="P5032" s="559"/>
      <c r="Q5032" s="559"/>
      <c r="R5032" s="559"/>
      <c r="S5032" s="559"/>
      <c r="T5032" s="559"/>
      <c r="U5032" s="559"/>
      <c r="V5032" s="560"/>
      <c r="Y5032" s="378"/>
      <c r="Z5032" s="121"/>
      <c r="AA5032" s="86"/>
      <c r="AB5032" s="513"/>
      <c r="AC5032" s="514"/>
      <c r="AD5032" s="94"/>
      <c r="AE5032" s="379"/>
    </row>
    <row r="5033" spans="3:31" s="260" customFormat="1" x14ac:dyDescent="0.25">
      <c r="C5033" s="84"/>
      <c r="D5033" s="380"/>
      <c r="E5033" s="381"/>
      <c r="F5033" s="381"/>
      <c r="G5033" s="381"/>
      <c r="H5033" s="381"/>
      <c r="I5033" s="381"/>
      <c r="J5033" s="382"/>
      <c r="K5033" s="88"/>
      <c r="M5033" s="99" t="s">
        <v>94</v>
      </c>
      <c r="N5033" s="561" t="s">
        <v>95</v>
      </c>
      <c r="O5033" s="561"/>
      <c r="P5033" s="561"/>
      <c r="Q5033" s="561"/>
      <c r="R5033" s="95" t="s">
        <v>96</v>
      </c>
      <c r="S5033" s="95" t="s">
        <v>97</v>
      </c>
      <c r="T5033" s="562" t="s">
        <v>8</v>
      </c>
      <c r="U5033" s="562"/>
      <c r="V5033" s="100" t="s">
        <v>98</v>
      </c>
      <c r="Y5033" s="383" t="s">
        <v>104</v>
      </c>
      <c r="Z5033" s="119" t="s">
        <v>9</v>
      </c>
      <c r="AA5033" s="86"/>
      <c r="AB5033" s="384"/>
      <c r="AC5033" s="385"/>
      <c r="AD5033" s="94"/>
      <c r="AE5033" s="386"/>
    </row>
    <row r="5034" spans="3:31" s="260" customFormat="1" x14ac:dyDescent="0.25">
      <c r="C5034" s="84"/>
      <c r="D5034" s="85"/>
      <c r="E5034" s="86"/>
      <c r="F5034" s="86"/>
      <c r="G5034" s="86"/>
      <c r="H5034" s="86"/>
      <c r="I5034" s="86"/>
      <c r="J5034" s="87"/>
      <c r="K5034" s="88"/>
      <c r="M5034" s="102"/>
      <c r="N5034" s="533" t="s">
        <v>99</v>
      </c>
      <c r="O5034" s="533"/>
      <c r="P5034" s="533"/>
      <c r="Q5034" s="533"/>
      <c r="R5034" s="78" t="s">
        <v>100</v>
      </c>
      <c r="S5034" s="387">
        <f>+$AA$10</f>
        <v>0.05</v>
      </c>
      <c r="T5034" s="563">
        <f>V5064</f>
        <v>5578.97</v>
      </c>
      <c r="U5034" s="563"/>
      <c r="V5034" s="389">
        <f>+IFERROR(T5034*S5034,0)</f>
        <v>278.94850000000002</v>
      </c>
      <c r="Y5034" s="390"/>
      <c r="Z5034" s="391">
        <f>Y5030*V5034</f>
        <v>6694.764000000001</v>
      </c>
      <c r="AA5034" s="86"/>
      <c r="AB5034" s="384"/>
      <c r="AC5034" s="385"/>
      <c r="AD5034" s="94"/>
      <c r="AE5034" s="386" t="str">
        <f>+IF(V5034=0,"CERO","NO")</f>
        <v>NO</v>
      </c>
    </row>
    <row r="5035" spans="3:31" s="260" customFormat="1" x14ac:dyDescent="0.25">
      <c r="C5035" s="84"/>
      <c r="D5035" s="85"/>
      <c r="E5035" s="86"/>
      <c r="F5035" s="86"/>
      <c r="G5035" s="86"/>
      <c r="H5035" s="86"/>
      <c r="I5035" s="86"/>
      <c r="J5035" s="87"/>
      <c r="K5035" s="88"/>
      <c r="M5035" s="106"/>
      <c r="N5035" s="533" t="str">
        <f>IFERROR(VLOOKUP(M5035,INSUMOS!$C$8:$K$928,2,0),"-----")</f>
        <v>-----</v>
      </c>
      <c r="O5035" s="533"/>
      <c r="P5035" s="533"/>
      <c r="Q5035" s="533"/>
      <c r="R5035" s="78" t="str">
        <f>IFERROR(VLOOKUP(M5035,INSUMOS!$C$8:$K$928,6,0),"-----")</f>
        <v>-----</v>
      </c>
      <c r="S5035" s="392"/>
      <c r="T5035" s="529" t="str">
        <f>IFERROR(VLOOKUP(M5035,INSUMOS!$C$8:$K$928,7,0),"0")</f>
        <v>0</v>
      </c>
      <c r="U5035" s="529"/>
      <c r="V5035" s="389">
        <f>+IFERROR(T5035*S5035,0)</f>
        <v>0</v>
      </c>
      <c r="Y5035" s="393">
        <f>+IFERROR(Y5030*S5035,0)</f>
        <v>0</v>
      </c>
      <c r="Z5035" s="391">
        <f>Y5030*V5035</f>
        <v>0</v>
      </c>
      <c r="AA5035" s="394"/>
      <c r="AB5035" s="395">
        <f>+Y5035*T5035</f>
        <v>0</v>
      </c>
      <c r="AC5035" s="93">
        <f>+AB5035-Z5035</f>
        <v>0</v>
      </c>
      <c r="AD5035" s="94"/>
      <c r="AE5035" s="386" t="str">
        <f>+IF(V5035=0,"CERO","NO")</f>
        <v>CERO</v>
      </c>
    </row>
    <row r="5036" spans="3:31" s="260" customFormat="1" x14ac:dyDescent="0.25">
      <c r="C5036" s="84"/>
      <c r="D5036" s="85"/>
      <c r="E5036" s="86"/>
      <c r="F5036" s="86"/>
      <c r="G5036" s="86"/>
      <c r="H5036" s="86"/>
      <c r="I5036" s="86"/>
      <c r="J5036" s="87"/>
      <c r="K5036" s="88"/>
      <c r="M5036" s="102">
        <v>0</v>
      </c>
      <c r="N5036" s="533"/>
      <c r="O5036" s="533"/>
      <c r="P5036" s="533"/>
      <c r="Q5036" s="533"/>
      <c r="R5036" s="78"/>
      <c r="S5036" s="396"/>
      <c r="T5036" s="529"/>
      <c r="U5036" s="529"/>
      <c r="V5036" s="397"/>
      <c r="Y5036" s="393">
        <f>+IFERROR(Y5030*S5036,0)</f>
        <v>0</v>
      </c>
      <c r="Z5036" s="391">
        <f>Y5030*V5036</f>
        <v>0</v>
      </c>
      <c r="AA5036" s="394"/>
      <c r="AB5036" s="395">
        <f>+Y5036*T5036</f>
        <v>0</v>
      </c>
      <c r="AC5036" s="93">
        <f>+AB5036-Z5036</f>
        <v>0</v>
      </c>
      <c r="AD5036" s="94"/>
      <c r="AE5036" s="386" t="str">
        <f>+IF(V5036=0,"CERO","NO")</f>
        <v>CERO</v>
      </c>
    </row>
    <row r="5037" spans="3:31" s="260" customFormat="1" x14ac:dyDescent="0.25">
      <c r="C5037" s="84"/>
      <c r="D5037" s="85"/>
      <c r="E5037" s="86"/>
      <c r="F5037" s="86"/>
      <c r="G5037" s="86"/>
      <c r="H5037" s="86"/>
      <c r="I5037" s="86"/>
      <c r="J5037" s="87"/>
      <c r="K5037" s="88"/>
      <c r="M5037" s="102">
        <v>0</v>
      </c>
      <c r="N5037" s="533"/>
      <c r="O5037" s="533"/>
      <c r="P5037" s="533"/>
      <c r="Q5037" s="533"/>
      <c r="R5037" s="78"/>
      <c r="S5037" s="396"/>
      <c r="T5037" s="529"/>
      <c r="U5037" s="529"/>
      <c r="V5037" s="397"/>
      <c r="Y5037" s="393">
        <f>+IFERROR(Y5030*S5037,0)</f>
        <v>0</v>
      </c>
      <c r="Z5037" s="391">
        <f>Y5030*V5037</f>
        <v>0</v>
      </c>
      <c r="AA5037" s="394"/>
      <c r="AB5037" s="395">
        <f>+Y5037*T5037</f>
        <v>0</v>
      </c>
      <c r="AC5037" s="93">
        <f>+AB5037-Z5037</f>
        <v>0</v>
      </c>
      <c r="AD5037" s="94"/>
      <c r="AE5037" s="386" t="str">
        <f>+IF(V5037=0,"CERO","NO")</f>
        <v>CERO</v>
      </c>
    </row>
    <row r="5038" spans="3:31" s="260" customFormat="1" ht="15.75" thickBot="1" x14ac:dyDescent="0.3">
      <c r="C5038" s="84"/>
      <c r="D5038" s="85"/>
      <c r="E5038" s="86"/>
      <c r="F5038" s="86"/>
      <c r="G5038" s="86"/>
      <c r="H5038" s="86"/>
      <c r="I5038" s="86"/>
      <c r="J5038" s="87"/>
      <c r="K5038" s="88"/>
      <c r="M5038" s="102">
        <v>0</v>
      </c>
      <c r="N5038" s="564"/>
      <c r="O5038" s="564"/>
      <c r="P5038" s="564"/>
      <c r="Q5038" s="564"/>
      <c r="R5038" s="96"/>
      <c r="S5038" s="96"/>
      <c r="T5038" s="565"/>
      <c r="U5038" s="565"/>
      <c r="V5038" s="101"/>
      <c r="Y5038" s="393">
        <f>+IFERROR(Y5030*S5038,0)</f>
        <v>0</v>
      </c>
      <c r="Z5038" s="391">
        <f>Y5030*V5038</f>
        <v>0</v>
      </c>
      <c r="AA5038" s="394"/>
      <c r="AB5038" s="395">
        <f>+Y5038*T5038</f>
        <v>0</v>
      </c>
      <c r="AC5038" s="93">
        <f>+AB5038-Z5038</f>
        <v>0</v>
      </c>
      <c r="AD5038" s="94"/>
      <c r="AE5038" s="386" t="str">
        <f>+IF(V5038=0,"CERO","NO")</f>
        <v>CERO</v>
      </c>
    </row>
    <row r="5039" spans="3:31" s="260" customFormat="1" ht="15.75" thickBot="1" x14ac:dyDescent="0.3">
      <c r="C5039" s="84"/>
      <c r="D5039" s="375" t="s">
        <v>128</v>
      </c>
      <c r="E5039" s="376" t="s">
        <v>129</v>
      </c>
      <c r="F5039" s="376" t="s">
        <v>130</v>
      </c>
      <c r="G5039" s="376" t="s">
        <v>131</v>
      </c>
      <c r="H5039" s="376" t="s">
        <v>132</v>
      </c>
      <c r="I5039" s="376" t="s">
        <v>133</v>
      </c>
      <c r="J5039" s="377" t="s">
        <v>134</v>
      </c>
      <c r="K5039" s="88"/>
      <c r="M5039" s="534"/>
      <c r="N5039" s="536" t="s">
        <v>101</v>
      </c>
      <c r="O5039" s="536"/>
      <c r="P5039" s="536"/>
      <c r="Q5039" s="536"/>
      <c r="R5039" s="536"/>
      <c r="S5039" s="536"/>
      <c r="T5039" s="536"/>
      <c r="U5039" s="536"/>
      <c r="V5039" s="389">
        <f>+SUM(V5034:V5038)</f>
        <v>278.94850000000002</v>
      </c>
      <c r="Y5039" s="398" t="s">
        <v>135</v>
      </c>
      <c r="Z5039" s="397">
        <f>+SUM(Z5034:Z5038)</f>
        <v>6694.764000000001</v>
      </c>
      <c r="AA5039" s="86"/>
      <c r="AB5039" s="384"/>
      <c r="AC5039" s="385"/>
      <c r="AD5039" s="94"/>
      <c r="AE5039" s="399"/>
    </row>
    <row r="5040" spans="3:31" s="260" customFormat="1" ht="15.75" thickBot="1" x14ac:dyDescent="0.3">
      <c r="C5040" s="84"/>
      <c r="D5040" s="375">
        <f>C5030</f>
        <v>5.03</v>
      </c>
      <c r="E5040" s="376"/>
      <c r="F5040" s="376"/>
      <c r="G5040" s="376"/>
      <c r="H5040" s="376"/>
      <c r="I5040" s="376"/>
      <c r="J5040" s="377"/>
      <c r="K5040" s="88"/>
      <c r="M5040" s="566"/>
      <c r="N5040" s="567" t="s">
        <v>102</v>
      </c>
      <c r="O5040" s="567"/>
      <c r="P5040" s="567"/>
      <c r="Q5040" s="567"/>
      <c r="R5040" s="567"/>
      <c r="S5040" s="567"/>
      <c r="T5040" s="567"/>
      <c r="U5040" s="567"/>
      <c r="V5040" s="400">
        <f>+ROUND(V5039,$AA$5)</f>
        <v>278.95</v>
      </c>
      <c r="Y5040" s="401" t="s">
        <v>136</v>
      </c>
      <c r="Z5040" s="402">
        <f>+ROUND(Z5039,$AA$5)</f>
        <v>6694.76</v>
      </c>
      <c r="AA5040" s="86"/>
      <c r="AB5040" s="403">
        <f>+V5040*Y5030</f>
        <v>6694.7999999999993</v>
      </c>
      <c r="AC5040" s="404">
        <f>+AB5040-Z5040</f>
        <v>3.9999999999054126E-2</v>
      </c>
      <c r="AD5040" s="94"/>
      <c r="AE5040" s="405"/>
    </row>
    <row r="5041" spans="3:31" s="260" customFormat="1" x14ac:dyDescent="0.25">
      <c r="C5041" s="84"/>
      <c r="D5041" s="380"/>
      <c r="E5041" s="381"/>
      <c r="F5041" s="381"/>
      <c r="G5041" s="381"/>
      <c r="H5041" s="381"/>
      <c r="I5041" s="381"/>
      <c r="J5041" s="382"/>
      <c r="K5041" s="88"/>
      <c r="M5041" s="510" t="s">
        <v>103</v>
      </c>
      <c r="N5041" s="511"/>
      <c r="O5041" s="511"/>
      <c r="P5041" s="511"/>
      <c r="Q5041" s="511"/>
      <c r="R5041" s="511"/>
      <c r="S5041" s="511"/>
      <c r="T5041" s="511"/>
      <c r="U5041" s="511"/>
      <c r="V5041" s="512"/>
      <c r="Y5041" s="378"/>
      <c r="Z5041" s="121"/>
      <c r="AA5041" s="86"/>
      <c r="AB5041" s="513"/>
      <c r="AC5041" s="514"/>
      <c r="AD5041" s="94"/>
      <c r="AE5041" s="126"/>
    </row>
    <row r="5042" spans="3:31" s="260" customFormat="1" x14ac:dyDescent="0.25">
      <c r="C5042" s="84"/>
      <c r="D5042" s="85"/>
      <c r="E5042" s="86"/>
      <c r="F5042" s="86"/>
      <c r="G5042" s="86"/>
      <c r="H5042" s="86"/>
      <c r="I5042" s="86"/>
      <c r="J5042" s="87"/>
      <c r="K5042" s="88"/>
      <c r="M5042" s="99" t="s">
        <v>94</v>
      </c>
      <c r="N5042" s="561" t="s">
        <v>95</v>
      </c>
      <c r="O5042" s="561"/>
      <c r="P5042" s="561"/>
      <c r="Q5042" s="561"/>
      <c r="R5042" s="95" t="s">
        <v>96</v>
      </c>
      <c r="S5042" s="95" t="s">
        <v>104</v>
      </c>
      <c r="T5042" s="356" t="s">
        <v>105</v>
      </c>
      <c r="U5042" s="356" t="s">
        <v>8</v>
      </c>
      <c r="V5042" s="100" t="s">
        <v>98</v>
      </c>
      <c r="Y5042" s="383" t="s">
        <v>104</v>
      </c>
      <c r="Z5042" s="119" t="s">
        <v>9</v>
      </c>
      <c r="AA5042" s="86"/>
      <c r="AB5042" s="384"/>
      <c r="AC5042" s="385"/>
      <c r="AD5042" s="94"/>
      <c r="AE5042" s="406"/>
    </row>
    <row r="5043" spans="3:31" s="260" customFormat="1" x14ac:dyDescent="0.25">
      <c r="C5043" s="84"/>
      <c r="D5043" s="85"/>
      <c r="E5043" s="86"/>
      <c r="F5043" s="86"/>
      <c r="G5043" s="86"/>
      <c r="H5043" s="86"/>
      <c r="I5043" s="86"/>
      <c r="J5043" s="87"/>
      <c r="K5043" s="88"/>
      <c r="M5043" s="102">
        <v>560</v>
      </c>
      <c r="N5043" s="533" t="str">
        <f>IFERROR(VLOOKUP(M5043,INSUMOS!$C$8:$K$928,2,0),"-----")</f>
        <v>TRAGANTE DE CUPULA 4"</v>
      </c>
      <c r="O5043" s="533"/>
      <c r="P5043" s="533"/>
      <c r="Q5043" s="533"/>
      <c r="R5043" s="78" t="str">
        <f>IFERROR(VLOOKUP(M5043,INSUMOS!$C$8:$K$928,6,0),"-----")</f>
        <v>und</v>
      </c>
      <c r="S5043" s="396">
        <v>1</v>
      </c>
      <c r="T5043" s="387">
        <v>0</v>
      </c>
      <c r="U5043" s="388">
        <f>IFERROR(VLOOKUP(M5043,INSUMOS!$C$8:$K$928,7,0),"0")</f>
        <v>20900</v>
      </c>
      <c r="V5043" s="389">
        <f>+IFERROR(U5043*(S5043*(1+T5043)),0)</f>
        <v>20900</v>
      </c>
      <c r="Y5043" s="393">
        <f>+IFERROR(Y5030*(S5043*(1+T5043)),0)</f>
        <v>24</v>
      </c>
      <c r="Z5043" s="391">
        <f>Y5030*V5043</f>
        <v>501600</v>
      </c>
      <c r="AA5043" s="394"/>
      <c r="AB5043" s="395">
        <f>+Y5043*U5043</f>
        <v>501600</v>
      </c>
      <c r="AC5043" s="93">
        <f>+AB5043-Z5043</f>
        <v>0</v>
      </c>
      <c r="AD5043" s="94"/>
      <c r="AE5043" s="406" t="str">
        <f>+IF(V5043=0,"CERO","NO")</f>
        <v>NO</v>
      </c>
    </row>
    <row r="5044" spans="3:31" s="260" customFormat="1" x14ac:dyDescent="0.25">
      <c r="C5044" s="84"/>
      <c r="D5044" s="85"/>
      <c r="E5044" s="86"/>
      <c r="F5044" s="86"/>
      <c r="G5044" s="86"/>
      <c r="H5044" s="86"/>
      <c r="I5044" s="86"/>
      <c r="J5044" s="87"/>
      <c r="K5044" s="88"/>
      <c r="M5044" s="102">
        <v>699</v>
      </c>
      <c r="N5044" s="533" t="str">
        <f>IFERROR(VLOOKUP(M5044,INSUMOS!$C$8:$K$928,2,0),"-----")</f>
        <v>SOLDADURA PVC LIQUIDA 1/4"</v>
      </c>
      <c r="O5044" s="533"/>
      <c r="P5044" s="533"/>
      <c r="Q5044" s="533"/>
      <c r="R5044" s="78" t="str">
        <f>IFERROR(VLOOKUP(M5044,INSUMOS!$C$8:$K$928,6,0),"-----")</f>
        <v>und</v>
      </c>
      <c r="S5044" s="396">
        <v>0.01</v>
      </c>
      <c r="T5044" s="387">
        <v>0.02</v>
      </c>
      <c r="U5044" s="388">
        <f>IFERROR(VLOOKUP(M5044,INSUMOS!$C$8:$K$928,7,0),"0")</f>
        <v>146569</v>
      </c>
      <c r="V5044" s="389">
        <f>+IFERROR(U5044*(S5044*(1+T5044)),0)</f>
        <v>1495.0038000000002</v>
      </c>
      <c r="Y5044" s="393">
        <f>+IFERROR(Y5030*(S5044*(1+T5044)),0)</f>
        <v>0.24480000000000002</v>
      </c>
      <c r="Z5044" s="391">
        <f>Y5030*V5044</f>
        <v>35880.091200000003</v>
      </c>
      <c r="AA5044" s="394"/>
      <c r="AB5044" s="395">
        <f>+Y5044*U5044</f>
        <v>35880.091200000003</v>
      </c>
      <c r="AC5044" s="93">
        <f>+AB5044-Z5044</f>
        <v>0</v>
      </c>
      <c r="AD5044" s="94"/>
      <c r="AE5044" s="406" t="str">
        <f>+IF(V5044=0,"CERO","NO")</f>
        <v>NO</v>
      </c>
    </row>
    <row r="5045" spans="3:31" s="260" customFormat="1" x14ac:dyDescent="0.25">
      <c r="C5045" s="84"/>
      <c r="D5045" s="85"/>
      <c r="E5045" s="86"/>
      <c r="F5045" s="86"/>
      <c r="G5045" s="86"/>
      <c r="H5045" s="86"/>
      <c r="I5045" s="86"/>
      <c r="J5045" s="87"/>
      <c r="K5045" s="88"/>
      <c r="M5045" s="102">
        <v>700</v>
      </c>
      <c r="N5045" s="533" t="str">
        <f>IFERROR(VLOOKUP(M5045,INSUMOS!$C$8:$K$928,2,0),"-----")</f>
        <v>LIMPIADOR PVC 1/4</v>
      </c>
      <c r="O5045" s="533"/>
      <c r="P5045" s="533"/>
      <c r="Q5045" s="533"/>
      <c r="R5045" s="78" t="str">
        <f>IFERROR(VLOOKUP(M5045,INSUMOS!$C$8:$K$928,6,0),"-----")</f>
        <v>und</v>
      </c>
      <c r="S5045" s="396">
        <v>0.01</v>
      </c>
      <c r="T5045" s="387">
        <v>0.02</v>
      </c>
      <c r="U5045" s="388">
        <f>IFERROR(VLOOKUP(M5045,INSUMOS!$C$8:$K$928,7,0),"0")</f>
        <v>65913</v>
      </c>
      <c r="V5045" s="389">
        <f>+IFERROR(U5045*(S5045*(1+T5045)),0)</f>
        <v>672.31260000000009</v>
      </c>
      <c r="Y5045" s="393">
        <f>+IFERROR(Y5030*(S5045*(1+T5045)),0)</f>
        <v>0.24480000000000002</v>
      </c>
      <c r="Z5045" s="391">
        <f>Y5030*V5045</f>
        <v>16135.502400000001</v>
      </c>
      <c r="AA5045" s="394"/>
      <c r="AB5045" s="395">
        <f>+Y5045*U5045</f>
        <v>16135.502400000001</v>
      </c>
      <c r="AC5045" s="93">
        <f>+AB5045-Z5045</f>
        <v>0</v>
      </c>
      <c r="AD5045" s="94"/>
      <c r="AE5045" s="406" t="str">
        <f>+IF(V5045=0,"CERO","NO")</f>
        <v>NO</v>
      </c>
    </row>
    <row r="5046" spans="3:31" s="260" customFormat="1" x14ac:dyDescent="0.25">
      <c r="C5046" s="84"/>
      <c r="D5046" s="85"/>
      <c r="E5046" s="86"/>
      <c r="F5046" s="86"/>
      <c r="G5046" s="86"/>
      <c r="H5046" s="86"/>
      <c r="I5046" s="86"/>
      <c r="J5046" s="87"/>
      <c r="K5046" s="88"/>
      <c r="M5046" s="102">
        <v>0</v>
      </c>
      <c r="N5046" s="533" t="str">
        <f>IFERROR(VLOOKUP(M5046,INSUMOS!$C$8:$K$928,2,0),"-----")</f>
        <v>-----</v>
      </c>
      <c r="O5046" s="533"/>
      <c r="P5046" s="533"/>
      <c r="Q5046" s="533"/>
      <c r="R5046" s="78" t="str">
        <f>IFERROR(VLOOKUP(M5046,INSUMOS!$C$8:$K$928,6,0),"-----")</f>
        <v>-----</v>
      </c>
      <c r="S5046" s="396"/>
      <c r="T5046" s="387"/>
      <c r="U5046" s="388" t="str">
        <f>IFERROR(VLOOKUP(M5046,INSUMOS!$C$8:$K$928,7,0),"0")</f>
        <v>0</v>
      </c>
      <c r="V5046" s="389">
        <f>+IFERROR(U5046*(S5046*(1+T5046)),0)</f>
        <v>0</v>
      </c>
      <c r="Y5046" s="393">
        <f>+IFERROR(Y5030*(S5046*(1+T5046)),0)</f>
        <v>0</v>
      </c>
      <c r="Z5046" s="391">
        <f>Y5030*V5046</f>
        <v>0</v>
      </c>
      <c r="AA5046" s="394"/>
      <c r="AB5046" s="395">
        <f>+Y5046*U5046</f>
        <v>0</v>
      </c>
      <c r="AC5046" s="93">
        <f>+AB5046-Z5046</f>
        <v>0</v>
      </c>
      <c r="AD5046" s="94"/>
      <c r="AE5046" s="406" t="str">
        <f>+IF(V5046=0,"CERO","NO")</f>
        <v>CERO</v>
      </c>
    </row>
    <row r="5047" spans="3:31" s="260" customFormat="1" ht="15.75" thickBot="1" x14ac:dyDescent="0.3">
      <c r="C5047" s="84"/>
      <c r="D5047" s="85"/>
      <c r="E5047" s="86"/>
      <c r="F5047" s="86"/>
      <c r="G5047" s="86"/>
      <c r="H5047" s="86"/>
      <c r="I5047" s="86"/>
      <c r="J5047" s="87"/>
      <c r="K5047" s="88"/>
      <c r="M5047" s="102">
        <v>0</v>
      </c>
      <c r="N5047" s="564"/>
      <c r="O5047" s="564"/>
      <c r="P5047" s="564"/>
      <c r="Q5047" s="564"/>
      <c r="R5047" s="96"/>
      <c r="S5047" s="79"/>
      <c r="T5047" s="97"/>
      <c r="U5047" s="358"/>
      <c r="V5047" s="397"/>
      <c r="Y5047" s="393">
        <f>+IFERROR(Y5030*(S5047*(1+T5047)),0)</f>
        <v>0</v>
      </c>
      <c r="Z5047" s="391">
        <f>Y5030*V5047</f>
        <v>0</v>
      </c>
      <c r="AA5047" s="394"/>
      <c r="AB5047" s="395">
        <f>+Y5047*U5047</f>
        <v>0</v>
      </c>
      <c r="AC5047" s="93">
        <f>+AB5047-Z5047</f>
        <v>0</v>
      </c>
      <c r="AD5047" s="94"/>
      <c r="AE5047" s="406" t="str">
        <f>+IF(V5047=0,"CERO","NO")</f>
        <v>CERO</v>
      </c>
    </row>
    <row r="5048" spans="3:31" s="260" customFormat="1" ht="15.75" thickBot="1" x14ac:dyDescent="0.3">
      <c r="C5048" s="84"/>
      <c r="D5048" s="375" t="s">
        <v>128</v>
      </c>
      <c r="E5048" s="376" t="s">
        <v>129</v>
      </c>
      <c r="F5048" s="376" t="s">
        <v>130</v>
      </c>
      <c r="G5048" s="376" t="s">
        <v>131</v>
      </c>
      <c r="H5048" s="376" t="s">
        <v>132</v>
      </c>
      <c r="I5048" s="376" t="s">
        <v>133</v>
      </c>
      <c r="J5048" s="377" t="s">
        <v>134</v>
      </c>
      <c r="K5048" s="88"/>
      <c r="M5048" s="534"/>
      <c r="N5048" s="536" t="s">
        <v>106</v>
      </c>
      <c r="O5048" s="536"/>
      <c r="P5048" s="536"/>
      <c r="Q5048" s="536"/>
      <c r="R5048" s="536"/>
      <c r="S5048" s="536"/>
      <c r="T5048" s="536"/>
      <c r="U5048" s="536"/>
      <c r="V5048" s="389">
        <f>+SUM(V5043:V5047)</f>
        <v>23067.3164</v>
      </c>
      <c r="Y5048" s="398" t="s">
        <v>135</v>
      </c>
      <c r="Z5048" s="397">
        <f>+SUM(Z5043:Z5047)</f>
        <v>553615.59360000002</v>
      </c>
      <c r="AA5048" s="86"/>
      <c r="AB5048" s="384"/>
      <c r="AC5048" s="385"/>
      <c r="AD5048" s="94"/>
      <c r="AE5048" s="399"/>
    </row>
    <row r="5049" spans="3:31" s="260" customFormat="1" ht="15.75" thickBot="1" x14ac:dyDescent="0.3">
      <c r="C5049" s="84"/>
      <c r="D5049" s="375"/>
      <c r="E5049" s="407">
        <f>+D5040</f>
        <v>5.03</v>
      </c>
      <c r="F5049" s="376"/>
      <c r="G5049" s="376"/>
      <c r="H5049" s="376"/>
      <c r="I5049" s="376"/>
      <c r="J5049" s="377"/>
      <c r="K5049" s="88"/>
      <c r="M5049" s="535"/>
      <c r="N5049" s="537" t="s">
        <v>107</v>
      </c>
      <c r="O5049" s="537"/>
      <c r="P5049" s="537"/>
      <c r="Q5049" s="537"/>
      <c r="R5049" s="537"/>
      <c r="S5049" s="537"/>
      <c r="T5049" s="537"/>
      <c r="U5049" s="537"/>
      <c r="V5049" s="408">
        <f>+ROUND(V5048,$AA$5)</f>
        <v>23067.32</v>
      </c>
      <c r="Y5049" s="401" t="s">
        <v>136</v>
      </c>
      <c r="Z5049" s="402">
        <f>+ROUND(Z5048,$AA$5)</f>
        <v>553615.59</v>
      </c>
      <c r="AA5049" s="86"/>
      <c r="AB5049" s="403">
        <f>+V5049*Y5030</f>
        <v>553615.67999999993</v>
      </c>
      <c r="AC5049" s="404">
        <f>+AB5049-Z5049</f>
        <v>8.999999996740371E-2</v>
      </c>
      <c r="AD5049" s="94"/>
      <c r="AE5049" s="405"/>
    </row>
    <row r="5050" spans="3:31" s="260" customFormat="1" x14ac:dyDescent="0.25">
      <c r="C5050" s="84"/>
      <c r="D5050" s="380"/>
      <c r="E5050" s="381"/>
      <c r="F5050" s="381"/>
      <c r="G5050" s="381"/>
      <c r="H5050" s="381"/>
      <c r="I5050" s="381"/>
      <c r="J5050" s="382"/>
      <c r="K5050" s="88"/>
      <c r="M5050" s="568" t="s">
        <v>108</v>
      </c>
      <c r="N5050" s="569"/>
      <c r="O5050" s="569"/>
      <c r="P5050" s="569"/>
      <c r="Q5050" s="569"/>
      <c r="R5050" s="569"/>
      <c r="S5050" s="569"/>
      <c r="T5050" s="569"/>
      <c r="U5050" s="569"/>
      <c r="V5050" s="570"/>
      <c r="Y5050" s="378"/>
      <c r="Z5050" s="121"/>
      <c r="AA5050" s="86"/>
      <c r="AB5050" s="409"/>
      <c r="AC5050" s="121"/>
      <c r="AD5050" s="94"/>
      <c r="AE5050" s="126"/>
    </row>
    <row r="5051" spans="3:31" s="260" customFormat="1" ht="25.5" x14ac:dyDescent="0.25">
      <c r="C5051" s="84"/>
      <c r="D5051" s="85"/>
      <c r="E5051" s="86"/>
      <c r="F5051" s="86"/>
      <c r="G5051" s="86"/>
      <c r="H5051" s="86"/>
      <c r="I5051" s="86"/>
      <c r="J5051" s="87"/>
      <c r="K5051" s="88"/>
      <c r="M5051" s="99" t="s">
        <v>94</v>
      </c>
      <c r="N5051" s="561" t="s">
        <v>95</v>
      </c>
      <c r="O5051" s="561"/>
      <c r="P5051" s="561"/>
      <c r="Q5051" s="95" t="s">
        <v>109</v>
      </c>
      <c r="R5051" s="95" t="s">
        <v>110</v>
      </c>
      <c r="S5051" s="95" t="s">
        <v>111</v>
      </c>
      <c r="T5051" s="562" t="s">
        <v>112</v>
      </c>
      <c r="U5051" s="562"/>
      <c r="V5051" s="100" t="s">
        <v>98</v>
      </c>
      <c r="Y5051" s="383" t="s">
        <v>104</v>
      </c>
      <c r="Z5051" s="119" t="s">
        <v>9</v>
      </c>
      <c r="AA5051" s="86"/>
      <c r="AB5051" s="384"/>
      <c r="AC5051" s="385"/>
      <c r="AD5051" s="94"/>
      <c r="AE5051" s="410"/>
    </row>
    <row r="5052" spans="3:31" s="260" customFormat="1" x14ac:dyDescent="0.25">
      <c r="C5052" s="84"/>
      <c r="D5052" s="85"/>
      <c r="E5052" s="86"/>
      <c r="F5052" s="86"/>
      <c r="G5052" s="86"/>
      <c r="H5052" s="86"/>
      <c r="I5052" s="86"/>
      <c r="J5052" s="87"/>
      <c r="K5052" s="88"/>
      <c r="M5052" s="102">
        <v>129</v>
      </c>
      <c r="N5052" s="530" t="str">
        <f>IFERROR(VLOOKUP(M5052,INSUMOS!$C$8:$K$928,2,0),"-----")</f>
        <v>transporte materiales en general</v>
      </c>
      <c r="O5052" s="531"/>
      <c r="P5052" s="532"/>
      <c r="Q5052" s="78" t="str">
        <f>IFERROR(VLOOKUP(M5052,INSUMOS!$C$8:$K$928,5,0),"-----")</f>
        <v>Km</v>
      </c>
      <c r="R5052" s="80">
        <v>1</v>
      </c>
      <c r="S5052" s="80">
        <f>IFERROR(VLOOKUP(M5052,INSUMOS!$C$8:$K$928,6,0),"0")</f>
        <v>348</v>
      </c>
      <c r="T5052" s="529">
        <f>IFERROR(VLOOKUP(M5052,INSUMOS!$C$8:$K$928,7,0),"0")</f>
        <v>0.99776362060288992</v>
      </c>
      <c r="U5052" s="529"/>
      <c r="V5052" s="82">
        <f>+T5052*S5052*R5052</f>
        <v>347.2217399698057</v>
      </c>
      <c r="Y5052" s="393">
        <f>+IFERROR((R5052*S5052)*Y5030,0)</f>
        <v>8352</v>
      </c>
      <c r="Z5052" s="391">
        <f>Y5030*V5052</f>
        <v>8333.3217592753372</v>
      </c>
      <c r="AA5052" s="86"/>
      <c r="AB5052" s="92">
        <f>+Y5052*T5052</f>
        <v>8333.3217592753372</v>
      </c>
      <c r="AC5052" s="93">
        <f>+AB5052-Z5052</f>
        <v>0</v>
      </c>
      <c r="AD5052" s="94"/>
      <c r="AE5052" s="406" t="str">
        <f>+IF(V5052=0,"CERO","NO")</f>
        <v>NO</v>
      </c>
    </row>
    <row r="5053" spans="3:31" s="260" customFormat="1" x14ac:dyDescent="0.25">
      <c r="C5053" s="84"/>
      <c r="D5053" s="85"/>
      <c r="E5053" s="86"/>
      <c r="F5053" s="86"/>
      <c r="G5053" s="86"/>
      <c r="H5053" s="86"/>
      <c r="I5053" s="86"/>
      <c r="J5053" s="87"/>
      <c r="K5053" s="88"/>
      <c r="M5053" s="102">
        <v>0</v>
      </c>
      <c r="N5053" s="530" t="str">
        <f>IFERROR(VLOOKUP(M5053,INSUMOS!$C$8:$K$928,2,0),"-----")</f>
        <v>-----</v>
      </c>
      <c r="O5053" s="531"/>
      <c r="P5053" s="532"/>
      <c r="Q5053" s="78" t="str">
        <f>IFERROR(VLOOKUP(M5053,INSUMOS!$C$8:$K$928,5,0),"-----")</f>
        <v>-----</v>
      </c>
      <c r="R5053" s="80"/>
      <c r="S5053" s="80" t="str">
        <f>IFERROR(VLOOKUP(M5053,INSUMOS!$C$8:$K$928,6,0),"0")</f>
        <v>0</v>
      </c>
      <c r="T5053" s="529" t="str">
        <f>IFERROR(VLOOKUP(M5053,INSUMOS!$C$8:$K$928,7,0),"0")</f>
        <v>0</v>
      </c>
      <c r="U5053" s="529"/>
      <c r="V5053" s="82">
        <f>+T5053*S5053*R5053</f>
        <v>0</v>
      </c>
      <c r="Y5053" s="393">
        <f>+IFERROR((R5053*S5053)*Y5030,0)</f>
        <v>0</v>
      </c>
      <c r="Z5053" s="391">
        <f>Y5030*V5053</f>
        <v>0</v>
      </c>
      <c r="AA5053" s="86"/>
      <c r="AB5053" s="92">
        <f>+Y5053*T5053</f>
        <v>0</v>
      </c>
      <c r="AC5053" s="93">
        <f>+AB5053-Z5053</f>
        <v>0</v>
      </c>
      <c r="AD5053" s="94"/>
      <c r="AE5053" s="406" t="str">
        <f>+IF(V5053=0,"CERO","NO")</f>
        <v>CERO</v>
      </c>
    </row>
    <row r="5054" spans="3:31" s="260" customFormat="1" x14ac:dyDescent="0.25">
      <c r="C5054" s="84"/>
      <c r="D5054" s="85"/>
      <c r="E5054" s="86"/>
      <c r="F5054" s="86"/>
      <c r="G5054" s="86"/>
      <c r="H5054" s="86"/>
      <c r="I5054" s="86"/>
      <c r="J5054" s="87"/>
      <c r="K5054" s="88"/>
      <c r="M5054" s="102">
        <v>0</v>
      </c>
      <c r="N5054" s="530" t="str">
        <f>IFERROR(VLOOKUP(M5054,INSUMOS!$C$8:$K$928,2,0),"-----")</f>
        <v>-----</v>
      </c>
      <c r="O5054" s="531"/>
      <c r="P5054" s="532"/>
      <c r="Q5054" s="78" t="str">
        <f>IFERROR(VLOOKUP(M5054,INSUMOS!$C$8:$K$928,5,0),"-----")</f>
        <v>-----</v>
      </c>
      <c r="R5054" s="80"/>
      <c r="S5054" s="80" t="str">
        <f>IFERROR(VLOOKUP(M5054,INSUMOS!$C$8:$K$928,6,0),"0")</f>
        <v>0</v>
      </c>
      <c r="T5054" s="529" t="str">
        <f>IFERROR(VLOOKUP(M5054,INSUMOS!$C$8:$K$928,7,0),"0")</f>
        <v>0</v>
      </c>
      <c r="U5054" s="529"/>
      <c r="V5054" s="82">
        <f>+T5054*S5054*R5054</f>
        <v>0</v>
      </c>
      <c r="Y5054" s="393">
        <f>+IFERROR((R5054*S5054)*Y5030,0)</f>
        <v>0</v>
      </c>
      <c r="Z5054" s="391">
        <f>Y5030*V5054</f>
        <v>0</v>
      </c>
      <c r="AA5054" s="86"/>
      <c r="AB5054" s="92">
        <f>+Y5054*T5054</f>
        <v>0</v>
      </c>
      <c r="AC5054" s="93">
        <f>+AB5054-Z5054</f>
        <v>0</v>
      </c>
      <c r="AD5054" s="94"/>
      <c r="AE5054" s="406" t="str">
        <f>+IF(V5054=0,"CERO","NO")</f>
        <v>CERO</v>
      </c>
    </row>
    <row r="5055" spans="3:31" s="260" customFormat="1" ht="15.75" thickBot="1" x14ac:dyDescent="0.3">
      <c r="C5055" s="84"/>
      <c r="D5055" s="89"/>
      <c r="E5055" s="90"/>
      <c r="F5055" s="90"/>
      <c r="G5055" s="90"/>
      <c r="H5055" s="90"/>
      <c r="I5055" s="90"/>
      <c r="J5055" s="91"/>
      <c r="K5055" s="88"/>
      <c r="M5055" s="102">
        <v>0</v>
      </c>
      <c r="N5055" s="533"/>
      <c r="O5055" s="533"/>
      <c r="P5055" s="533"/>
      <c r="Q5055" s="79"/>
      <c r="R5055" s="78"/>
      <c r="S5055" s="81"/>
      <c r="T5055" s="529"/>
      <c r="U5055" s="529"/>
      <c r="V5055" s="82"/>
      <c r="Y5055" s="393">
        <f>+IFERROR((R5055*S5055)*Y5030,0)</f>
        <v>0</v>
      </c>
      <c r="Z5055" s="391">
        <f>Y5030*V5055</f>
        <v>0</v>
      </c>
      <c r="AA5055" s="86"/>
      <c r="AB5055" s="92">
        <f>+Y5055*T5055</f>
        <v>0</v>
      </c>
      <c r="AC5055" s="93">
        <f>+AB5055-Z5055</f>
        <v>0</v>
      </c>
      <c r="AD5055" s="94"/>
      <c r="AE5055" s="406" t="str">
        <f>+IF(V5055=0,"CERO","NO")</f>
        <v>CERO</v>
      </c>
    </row>
    <row r="5056" spans="3:31" s="260" customFormat="1" ht="15.75" thickBot="1" x14ac:dyDescent="0.3">
      <c r="C5056" s="84"/>
      <c r="D5056" s="375" t="s">
        <v>128</v>
      </c>
      <c r="E5056" s="376" t="s">
        <v>129</v>
      </c>
      <c r="F5056" s="376" t="s">
        <v>130</v>
      </c>
      <c r="G5056" s="376" t="s">
        <v>131</v>
      </c>
      <c r="H5056" s="376" t="s">
        <v>132</v>
      </c>
      <c r="I5056" s="376" t="s">
        <v>133</v>
      </c>
      <c r="J5056" s="377" t="s">
        <v>134</v>
      </c>
      <c r="K5056" s="88"/>
      <c r="M5056" s="534"/>
      <c r="N5056" s="536" t="s">
        <v>113</v>
      </c>
      <c r="O5056" s="536"/>
      <c r="P5056" s="536"/>
      <c r="Q5056" s="536"/>
      <c r="R5056" s="536"/>
      <c r="S5056" s="536"/>
      <c r="T5056" s="536"/>
      <c r="U5056" s="536"/>
      <c r="V5056" s="411">
        <f>+SUM(V5052:V5055)</f>
        <v>347.2217399698057</v>
      </c>
      <c r="Y5056" s="398" t="s">
        <v>135</v>
      </c>
      <c r="Z5056" s="397">
        <f>+SUM(Z5052:Z5055)</f>
        <v>8333.3217592753372</v>
      </c>
      <c r="AA5056" s="86"/>
      <c r="AB5056" s="384"/>
      <c r="AC5056" s="385"/>
      <c r="AD5056" s="94"/>
      <c r="AE5056" s="399"/>
    </row>
    <row r="5057" spans="3:31" s="260" customFormat="1" ht="15.75" thickBot="1" x14ac:dyDescent="0.3">
      <c r="C5057" s="84"/>
      <c r="D5057" s="355"/>
      <c r="E5057" s="367"/>
      <c r="F5057" s="412">
        <f>+E5049</f>
        <v>5.03</v>
      </c>
      <c r="G5057" s="367"/>
      <c r="H5057" s="367"/>
      <c r="I5057" s="367"/>
      <c r="J5057" s="368"/>
      <c r="K5057" s="88"/>
      <c r="M5057" s="535"/>
      <c r="N5057" s="537" t="s">
        <v>114</v>
      </c>
      <c r="O5057" s="537"/>
      <c r="P5057" s="537"/>
      <c r="Q5057" s="537"/>
      <c r="R5057" s="537"/>
      <c r="S5057" s="537"/>
      <c r="T5057" s="537"/>
      <c r="U5057" s="537"/>
      <c r="V5057" s="413">
        <f>+ROUND(V5056,$AA$5)</f>
        <v>347.22</v>
      </c>
      <c r="Y5057" s="401" t="s">
        <v>136</v>
      </c>
      <c r="Z5057" s="402">
        <f>+ROUND(Z5056,$AA$5)</f>
        <v>8333.32</v>
      </c>
      <c r="AA5057" s="86"/>
      <c r="AB5057" s="403">
        <f>+V5057*Y5030</f>
        <v>8333.2800000000007</v>
      </c>
      <c r="AC5057" s="414"/>
      <c r="AD5057" s="94"/>
      <c r="AE5057" s="405"/>
    </row>
    <row r="5058" spans="3:31" s="260" customFormat="1" ht="15.75" thickBot="1" x14ac:dyDescent="0.3">
      <c r="C5058" s="84"/>
      <c r="D5058" s="415"/>
      <c r="E5058" s="416"/>
      <c r="F5058" s="416"/>
      <c r="G5058" s="416"/>
      <c r="H5058" s="416"/>
      <c r="I5058" s="416"/>
      <c r="J5058" s="417"/>
      <c r="K5058" s="88"/>
      <c r="M5058" s="538" t="s">
        <v>115</v>
      </c>
      <c r="N5058" s="539"/>
      <c r="O5058" s="539"/>
      <c r="P5058" s="539"/>
      <c r="Q5058" s="539"/>
      <c r="R5058" s="539"/>
      <c r="S5058" s="539"/>
      <c r="T5058" s="539"/>
      <c r="U5058" s="539"/>
      <c r="V5058" s="540"/>
      <c r="Y5058" s="378"/>
      <c r="Z5058" s="121"/>
      <c r="AA5058" s="86"/>
      <c r="AB5058" s="409"/>
      <c r="AC5058" s="121"/>
      <c r="AD5058" s="94"/>
      <c r="AE5058" s="126"/>
    </row>
    <row r="5059" spans="3:31" s="260" customFormat="1" ht="15.75" thickBot="1" x14ac:dyDescent="0.3">
      <c r="C5059" s="84"/>
      <c r="D5059" s="375" t="s">
        <v>128</v>
      </c>
      <c r="E5059" s="376" t="s">
        <v>129</v>
      </c>
      <c r="F5059" s="376" t="s">
        <v>130</v>
      </c>
      <c r="G5059" s="376" t="s">
        <v>131</v>
      </c>
      <c r="H5059" s="376" t="s">
        <v>132</v>
      </c>
      <c r="I5059" s="376" t="s">
        <v>133</v>
      </c>
      <c r="J5059" s="377" t="s">
        <v>134</v>
      </c>
      <c r="K5059" s="88"/>
      <c r="M5059" s="99" t="s">
        <v>94</v>
      </c>
      <c r="N5059" s="98" t="s">
        <v>95</v>
      </c>
      <c r="O5059" s="95" t="s">
        <v>96</v>
      </c>
      <c r="P5059" s="359" t="s">
        <v>104</v>
      </c>
      <c r="Q5059" s="95" t="s">
        <v>116</v>
      </c>
      <c r="R5059" s="418" t="s">
        <v>117</v>
      </c>
      <c r="S5059" s="95" t="s">
        <v>347</v>
      </c>
      <c r="T5059" s="419" t="s">
        <v>118</v>
      </c>
      <c r="U5059" s="189" t="s">
        <v>119</v>
      </c>
      <c r="V5059" s="100" t="s">
        <v>98</v>
      </c>
      <c r="Y5059" s="383" t="s">
        <v>104</v>
      </c>
      <c r="Z5059" s="119" t="s">
        <v>9</v>
      </c>
      <c r="AA5059" s="86"/>
      <c r="AB5059" s="384"/>
      <c r="AC5059" s="385"/>
      <c r="AD5059" s="94"/>
      <c r="AE5059" s="410"/>
    </row>
    <row r="5060" spans="3:31" s="260" customFormat="1" ht="25.5" x14ac:dyDescent="0.25">
      <c r="C5060" s="84"/>
      <c r="D5060" s="354"/>
      <c r="E5060" s="96"/>
      <c r="F5060" s="96"/>
      <c r="G5060" s="96"/>
      <c r="H5060" s="96"/>
      <c r="I5060" s="96"/>
      <c r="J5060" s="420">
        <f>+F5057</f>
        <v>5.03</v>
      </c>
      <c r="K5060" s="88"/>
      <c r="M5060" s="102">
        <v>207</v>
      </c>
      <c r="N5060" s="347" t="str">
        <f>IFERROR(VLOOKUP(M5060,INSUMOS!$C$8:$K$928,2,0),"-----")</f>
        <v>Oficial Hidrosanitario</v>
      </c>
      <c r="O5060" s="78" t="str">
        <f>IFERROR(VLOOKUP(M5060,INSUMOS!$C$8:$K$928,3,0),"-----")</f>
        <v>JORNAL+PS</v>
      </c>
      <c r="P5060" s="80">
        <v>1</v>
      </c>
      <c r="Q5060" s="79">
        <v>30</v>
      </c>
      <c r="R5060" s="190">
        <f>IFERROR(VLOOKUP(M5060,INSUMOS!$C$8:$K$928,4,0),"-----")</f>
        <v>92983</v>
      </c>
      <c r="S5060" s="190">
        <f>IFERROR(VLOOKUP(M5060,INSUMOS!$C$8:$K$928,6,0),"-----")</f>
        <v>74386</v>
      </c>
      <c r="T5060" s="190">
        <f>IFERROR(VLOOKUP(M5060,INSUMOS!$C$8:$K$928,5,0),"-----")</f>
        <v>0</v>
      </c>
      <c r="U5060" s="388">
        <f>SUM(R5060:T5060)</f>
        <v>167369</v>
      </c>
      <c r="V5060" s="82">
        <f>+IFERROR((P5060/Q5060)*U5060,0)</f>
        <v>5578.9666666666662</v>
      </c>
      <c r="Y5060" s="393">
        <f>+IFERROR((Y5030/Q5060*P5060),0)</f>
        <v>0.8</v>
      </c>
      <c r="Z5060" s="391">
        <f>Y5030*V5060</f>
        <v>133895.19999999998</v>
      </c>
      <c r="AA5060" s="86"/>
      <c r="AB5060" s="92">
        <f>+(U5060)*Y5060</f>
        <v>133895.20000000001</v>
      </c>
      <c r="AC5060" s="93">
        <f>+AB5060-Z5060</f>
        <v>0</v>
      </c>
      <c r="AD5060" s="421"/>
      <c r="AE5060" s="410" t="str">
        <f>+IF(V5060=0,"CERO","NO")</f>
        <v>NO</v>
      </c>
    </row>
    <row r="5061" spans="3:31" s="260" customFormat="1" ht="15.75" thickBot="1" x14ac:dyDescent="0.3">
      <c r="C5061" s="84"/>
      <c r="D5061" s="355"/>
      <c r="E5061" s="367"/>
      <c r="F5061" s="367"/>
      <c r="G5061" s="367"/>
      <c r="H5061" s="367"/>
      <c r="I5061" s="367"/>
      <c r="J5061" s="422">
        <f>+J5060</f>
        <v>5.03</v>
      </c>
      <c r="K5061" s="88"/>
      <c r="M5061" s="102"/>
      <c r="N5061" s="347" t="str">
        <f>IFERROR(VLOOKUP(M5061,INSUMOS!$C$8:$K$928,2,0),"-----")</f>
        <v>-----</v>
      </c>
      <c r="O5061" s="78" t="str">
        <f>IFERROR(VLOOKUP(M5061,INSUMOS!$C$8:$K$928,3,0),"-----")</f>
        <v>-----</v>
      </c>
      <c r="P5061" s="80"/>
      <c r="Q5061" s="79"/>
      <c r="R5061" s="190" t="str">
        <f>IFERROR(VLOOKUP(M5061,INSUMOS!$C$8:$K$928,4,0),"-----")</f>
        <v>-----</v>
      </c>
      <c r="S5061" s="190" t="str">
        <f>IFERROR(VLOOKUP(M5061,INSUMOS!$C$8:$K$928,6,0),"-----")</f>
        <v>-----</v>
      </c>
      <c r="T5061" s="190" t="str">
        <f>IFERROR(VLOOKUP(M5061,INSUMOS!$C$8:$K$928,5,0),"-----")</f>
        <v>-----</v>
      </c>
      <c r="U5061" s="388">
        <f>SUM(R5061:T5061)</f>
        <v>0</v>
      </c>
      <c r="V5061" s="82">
        <f>+IFERROR((P5061/Q5061)*U5061,0)</f>
        <v>0</v>
      </c>
      <c r="Y5061" s="393">
        <f>+IFERROR((Y5030/Q5061*P5061),0)</f>
        <v>0</v>
      </c>
      <c r="Z5061" s="391">
        <f>Y5030*V5061</f>
        <v>0</v>
      </c>
      <c r="AA5061" s="86"/>
      <c r="AB5061" s="92">
        <f>+U5061*Y5061</f>
        <v>0</v>
      </c>
      <c r="AC5061" s="93">
        <f>+AB5061-Z5061</f>
        <v>0</v>
      </c>
      <c r="AD5061" s="94"/>
      <c r="AE5061" s="410" t="str">
        <f>+IF(V5061=0,"CERO","NO")</f>
        <v>CERO</v>
      </c>
    </row>
    <row r="5062" spans="3:31" s="260" customFormat="1" ht="15.75" thickBot="1" x14ac:dyDescent="0.3">
      <c r="C5062" s="84"/>
      <c r="D5062" s="380"/>
      <c r="E5062" s="381"/>
      <c r="F5062" s="381"/>
      <c r="G5062" s="381"/>
      <c r="H5062" s="381"/>
      <c r="I5062" s="381"/>
      <c r="J5062" s="382"/>
      <c r="K5062" s="88"/>
      <c r="M5062" s="102">
        <v>0</v>
      </c>
      <c r="N5062" s="347"/>
      <c r="O5062" s="79"/>
      <c r="P5062" s="423"/>
      <c r="Q5062" s="81"/>
      <c r="R5062" s="111"/>
      <c r="S5062" s="357"/>
      <c r="T5062" s="111"/>
      <c r="U5062" s="388"/>
      <c r="V5062" s="426"/>
      <c r="Y5062" s="393">
        <f>+IFERROR((Y5030/Q5062*P5062),0)</f>
        <v>0</v>
      </c>
      <c r="Z5062" s="391">
        <f>Y5030*V5062</f>
        <v>0</v>
      </c>
      <c r="AA5062" s="86"/>
      <c r="AB5062" s="92">
        <f>+(U5062)*Y5062*P5062</f>
        <v>0</v>
      </c>
      <c r="AC5062" s="93">
        <f>+AB5062-Z5062</f>
        <v>0</v>
      </c>
      <c r="AD5062" s="94"/>
      <c r="AE5062" s="410" t="str">
        <f>+IF(V5062=0,"CERO","NO")</f>
        <v>CERO</v>
      </c>
    </row>
    <row r="5063" spans="3:31" s="260" customFormat="1" ht="15.75" thickBot="1" x14ac:dyDescent="0.3">
      <c r="C5063" s="84"/>
      <c r="D5063" s="375" t="s">
        <v>128</v>
      </c>
      <c r="E5063" s="376" t="s">
        <v>129</v>
      </c>
      <c r="F5063" s="376" t="s">
        <v>130</v>
      </c>
      <c r="G5063" s="376" t="s">
        <v>131</v>
      </c>
      <c r="H5063" s="376" t="s">
        <v>132</v>
      </c>
      <c r="I5063" s="376" t="s">
        <v>133</v>
      </c>
      <c r="J5063" s="377" t="s">
        <v>134</v>
      </c>
      <c r="K5063" s="88"/>
      <c r="M5063" s="534"/>
      <c r="N5063" s="536" t="s">
        <v>120</v>
      </c>
      <c r="O5063" s="536"/>
      <c r="P5063" s="536"/>
      <c r="Q5063" s="536"/>
      <c r="R5063" s="536"/>
      <c r="S5063" s="536"/>
      <c r="T5063" s="536"/>
      <c r="U5063" s="536"/>
      <c r="V5063" s="82">
        <f>+SUM(V5060:V5062)</f>
        <v>5578.9666666666662</v>
      </c>
      <c r="Y5063" s="398" t="s">
        <v>135</v>
      </c>
      <c r="Z5063" s="397">
        <f>+SUM(Z5060:Z5062)</f>
        <v>133895.19999999998</v>
      </c>
      <c r="AA5063" s="86"/>
      <c r="AB5063" s="384"/>
      <c r="AC5063" s="385"/>
      <c r="AD5063" s="94"/>
      <c r="AE5063" s="399"/>
    </row>
    <row r="5064" spans="3:31" s="260" customFormat="1" ht="15.75" thickBot="1" x14ac:dyDescent="0.3">
      <c r="C5064" s="84"/>
      <c r="D5064" s="354"/>
      <c r="E5064" s="96"/>
      <c r="F5064" s="96"/>
      <c r="G5064" s="107">
        <f>+F5057</f>
        <v>5.03</v>
      </c>
      <c r="H5064" s="96"/>
      <c r="I5064" s="96"/>
      <c r="J5064" s="427"/>
      <c r="K5064" s="88"/>
      <c r="M5064" s="535"/>
      <c r="N5064" s="537" t="s">
        <v>121</v>
      </c>
      <c r="O5064" s="537"/>
      <c r="P5064" s="537"/>
      <c r="Q5064" s="537"/>
      <c r="R5064" s="537"/>
      <c r="S5064" s="537"/>
      <c r="T5064" s="537"/>
      <c r="U5064" s="537"/>
      <c r="V5064" s="413">
        <f>+ROUND(V5063,$AA$5)</f>
        <v>5578.97</v>
      </c>
      <c r="Y5064" s="401" t="s">
        <v>136</v>
      </c>
      <c r="Z5064" s="402">
        <f>+ROUND(Z5063,$AA$5)</f>
        <v>133895.20000000001</v>
      </c>
      <c r="AA5064" s="86"/>
      <c r="AB5064" s="403">
        <f>+V5064*Y5030</f>
        <v>133895.28</v>
      </c>
      <c r="AC5064" s="404">
        <f>+AB5064-Z5064</f>
        <v>7.9999999987194315E-2</v>
      </c>
      <c r="AD5064" s="94"/>
      <c r="AE5064" s="405"/>
    </row>
    <row r="5065" spans="3:31" s="260" customFormat="1" ht="15.75" thickBot="1" x14ac:dyDescent="0.3">
      <c r="C5065" s="84"/>
      <c r="D5065" s="375" t="s">
        <v>128</v>
      </c>
      <c r="E5065" s="376" t="s">
        <v>129</v>
      </c>
      <c r="F5065" s="376" t="s">
        <v>130</v>
      </c>
      <c r="G5065" s="376" t="s">
        <v>131</v>
      </c>
      <c r="H5065" s="376" t="s">
        <v>132</v>
      </c>
      <c r="I5065" s="376" t="s">
        <v>133</v>
      </c>
      <c r="J5065" s="377" t="s">
        <v>134</v>
      </c>
      <c r="K5065" s="88"/>
      <c r="M5065" s="541"/>
      <c r="N5065" s="542"/>
      <c r="O5065" s="542"/>
      <c r="P5065" s="542"/>
      <c r="Q5065" s="542"/>
      <c r="R5065" s="542"/>
      <c r="S5065" s="542"/>
      <c r="T5065" s="542"/>
      <c r="U5065" s="542"/>
      <c r="V5065" s="543"/>
      <c r="Y5065" s="378"/>
      <c r="Z5065" s="121"/>
      <c r="AA5065" s="86"/>
      <c r="AB5065" s="409"/>
      <c r="AC5065" s="121"/>
      <c r="AD5065" s="94"/>
      <c r="AE5065" s="428"/>
    </row>
    <row r="5066" spans="3:31" s="260" customFormat="1" ht="15.75" thickBot="1" x14ac:dyDescent="0.3">
      <c r="C5066" s="84"/>
      <c r="D5066" s="355"/>
      <c r="E5066" s="367"/>
      <c r="F5066" s="367"/>
      <c r="G5066" s="367"/>
      <c r="H5066" s="412">
        <f>G5064</f>
        <v>5.03</v>
      </c>
      <c r="I5066" s="412"/>
      <c r="J5066" s="422"/>
      <c r="K5066" s="88"/>
      <c r="M5066" s="544" t="s">
        <v>122</v>
      </c>
      <c r="N5066" s="537"/>
      <c r="O5066" s="537"/>
      <c r="P5066" s="537"/>
      <c r="Q5066" s="537"/>
      <c r="R5066" s="537"/>
      <c r="S5066" s="537"/>
      <c r="T5066" s="537"/>
      <c r="U5066" s="545">
        <f>+V5064+V5057+V5049+V5040</f>
        <v>29272.460000000003</v>
      </c>
      <c r="V5066" s="546"/>
      <c r="Y5066" s="429"/>
      <c r="Z5066" s="430">
        <f>+Z5064+Z5057+Z5049+Z5040</f>
        <v>702538.87</v>
      </c>
      <c r="AA5066" s="86"/>
      <c r="AB5066" s="431">
        <f>+AB5064+AB5057+AB5049+AB5040</f>
        <v>702539.04</v>
      </c>
      <c r="AC5066" s="404">
        <f>+AB5066-Z5066</f>
        <v>0.17000000004190952</v>
      </c>
      <c r="AD5066" s="94"/>
      <c r="AE5066" s="432"/>
    </row>
    <row r="5067" spans="3:31" s="260" customFormat="1" ht="15.75" thickBot="1" x14ac:dyDescent="0.3"/>
    <row r="5068" spans="3:31" s="260" customFormat="1" x14ac:dyDescent="0.25">
      <c r="M5068" s="547" t="s">
        <v>348</v>
      </c>
      <c r="N5068" s="548"/>
      <c r="O5068" s="548"/>
      <c r="P5068" s="548"/>
      <c r="Q5068" s="548"/>
      <c r="R5068" s="548"/>
      <c r="S5068" s="548"/>
      <c r="T5068" s="548"/>
      <c r="U5068" s="548"/>
      <c r="V5068" s="549"/>
      <c r="Y5068" s="378"/>
      <c r="Z5068" s="121"/>
      <c r="AA5068" s="86"/>
      <c r="AB5068" s="94"/>
      <c r="AC5068" s="94"/>
      <c r="AD5068" s="94"/>
      <c r="AE5068" s="126" t="s">
        <v>133</v>
      </c>
    </row>
    <row r="5069" spans="3:31" s="260" customFormat="1" x14ac:dyDescent="0.25">
      <c r="M5069" s="515" t="s">
        <v>138</v>
      </c>
      <c r="N5069" s="516"/>
      <c r="O5069" s="516"/>
      <c r="P5069" s="516"/>
      <c r="Q5069" s="516"/>
      <c r="R5069" s="516"/>
      <c r="S5069" s="516"/>
      <c r="T5069" s="437">
        <v>0</v>
      </c>
      <c r="U5069" s="517">
        <f>+ROUND(U5066*T5069,$AA$5)</f>
        <v>0</v>
      </c>
      <c r="V5069" s="518"/>
      <c r="Y5069" s="390"/>
      <c r="Z5069" s="438">
        <f>+Z5066*T5069</f>
        <v>0</v>
      </c>
      <c r="AA5069" s="86"/>
      <c r="AB5069" s="94"/>
      <c r="AC5069" s="94"/>
      <c r="AD5069" s="94"/>
      <c r="AE5069" s="386" t="s">
        <v>133</v>
      </c>
    </row>
    <row r="5070" spans="3:31" s="260" customFormat="1" x14ac:dyDescent="0.25">
      <c r="M5070" s="515" t="s">
        <v>19</v>
      </c>
      <c r="N5070" s="516"/>
      <c r="O5070" s="516"/>
      <c r="P5070" s="516"/>
      <c r="Q5070" s="516"/>
      <c r="R5070" s="516"/>
      <c r="S5070" s="516"/>
      <c r="T5070" s="437">
        <v>0.05</v>
      </c>
      <c r="U5070" s="517">
        <f>+ROUND(U5066*T5070,$AA$5)</f>
        <v>1463.62</v>
      </c>
      <c r="V5070" s="518"/>
      <c r="Y5070" s="390"/>
      <c r="Z5070" s="438">
        <f>+Z5066*T5070</f>
        <v>35126.943500000001</v>
      </c>
      <c r="AA5070" s="86"/>
      <c r="AB5070" s="94"/>
      <c r="AC5070" s="94"/>
      <c r="AD5070" s="94"/>
      <c r="AE5070" s="386" t="s">
        <v>133</v>
      </c>
    </row>
    <row r="5071" spans="3:31" s="260" customFormat="1" x14ac:dyDescent="0.25">
      <c r="M5071" s="515" t="s">
        <v>20</v>
      </c>
      <c r="N5071" s="516"/>
      <c r="O5071" s="516"/>
      <c r="P5071" s="516"/>
      <c r="Q5071" s="516"/>
      <c r="R5071" s="516"/>
      <c r="S5071" s="516"/>
      <c r="T5071" s="437">
        <v>0</v>
      </c>
      <c r="U5071" s="517">
        <f>+ROUND(U5066*T5071,$AA$5)</f>
        <v>0</v>
      </c>
      <c r="V5071" s="518"/>
      <c r="Y5071" s="390"/>
      <c r="Z5071" s="438">
        <f>+Z5066*T5071</f>
        <v>0</v>
      </c>
      <c r="AA5071" s="86"/>
      <c r="AB5071" s="94"/>
      <c r="AC5071" s="94"/>
      <c r="AD5071" s="94"/>
      <c r="AE5071" s="386" t="s">
        <v>133</v>
      </c>
    </row>
    <row r="5072" spans="3:31" s="260" customFormat="1" x14ac:dyDescent="0.25">
      <c r="M5072" s="515" t="s">
        <v>21</v>
      </c>
      <c r="N5072" s="516"/>
      <c r="O5072" s="516"/>
      <c r="P5072" s="516"/>
      <c r="Q5072" s="516"/>
      <c r="R5072" s="516"/>
      <c r="S5072" s="516"/>
      <c r="T5072" s="437">
        <f>$AA$9</f>
        <v>0</v>
      </c>
      <c r="U5072" s="517">
        <f>+ROUND(U5066*T5072,$AA$5)</f>
        <v>0</v>
      </c>
      <c r="V5072" s="518"/>
      <c r="Y5072" s="390"/>
      <c r="Z5072" s="438">
        <f>+Z5071*T5072</f>
        <v>0</v>
      </c>
      <c r="AA5072" s="86"/>
      <c r="AB5072" s="94"/>
      <c r="AC5072" s="94"/>
      <c r="AD5072" s="94"/>
      <c r="AE5072" s="386" t="s">
        <v>133</v>
      </c>
    </row>
    <row r="5073" spans="3:31" s="260" customFormat="1" ht="15.75" thickBot="1" x14ac:dyDescent="0.3">
      <c r="M5073" s="519" t="s">
        <v>349</v>
      </c>
      <c r="N5073" s="520"/>
      <c r="O5073" s="520"/>
      <c r="P5073" s="520"/>
      <c r="Q5073" s="520"/>
      <c r="R5073" s="520"/>
      <c r="S5073" s="520"/>
      <c r="T5073" s="520"/>
      <c r="U5073" s="521">
        <f>+SUM(U5069:V5072)</f>
        <v>1463.62</v>
      </c>
      <c r="V5073" s="522"/>
      <c r="Y5073" s="390"/>
      <c r="Z5073" s="439">
        <f>+SUM(Z5069:Z5072)</f>
        <v>35126.943500000001</v>
      </c>
      <c r="AA5073" s="86"/>
      <c r="AB5073" s="94"/>
      <c r="AC5073" s="94"/>
      <c r="AD5073" s="94"/>
      <c r="AE5073" s="386" t="s">
        <v>133</v>
      </c>
    </row>
    <row r="5074" spans="3:31" s="260" customFormat="1" ht="15.75" thickBot="1" x14ac:dyDescent="0.3">
      <c r="D5074" s="375" t="s">
        <v>128</v>
      </c>
      <c r="E5074" s="376" t="s">
        <v>129</v>
      </c>
      <c r="F5074" s="376" t="s">
        <v>130</v>
      </c>
      <c r="G5074" s="376" t="s">
        <v>131</v>
      </c>
      <c r="H5074" s="376" t="s">
        <v>132</v>
      </c>
      <c r="I5074" s="376" t="s">
        <v>133</v>
      </c>
      <c r="J5074" s="377" t="s">
        <v>134</v>
      </c>
      <c r="M5074" s="86"/>
      <c r="N5074" s="94"/>
      <c r="O5074" s="94"/>
      <c r="P5074" s="94"/>
      <c r="Q5074" s="86"/>
      <c r="R5074" s="86"/>
      <c r="S5074" s="86"/>
      <c r="T5074" s="440"/>
      <c r="U5074" s="523"/>
      <c r="V5074" s="523"/>
      <c r="Y5074" s="390"/>
      <c r="Z5074" s="385"/>
      <c r="AA5074" s="86"/>
      <c r="AB5074" s="94"/>
      <c r="AC5074" s="94"/>
      <c r="AD5074" s="94"/>
      <c r="AE5074" s="386" t="s">
        <v>133</v>
      </c>
    </row>
    <row r="5075" spans="3:31" s="260" customFormat="1" ht="15.75" thickBot="1" x14ac:dyDescent="0.3">
      <c r="D5075" s="355"/>
      <c r="E5075" s="367"/>
      <c r="F5075" s="367"/>
      <c r="G5075" s="367"/>
      <c r="H5075" s="412"/>
      <c r="I5075" s="412">
        <f>H5066</f>
        <v>5.03</v>
      </c>
      <c r="J5075" s="422"/>
      <c r="M5075" s="524" t="s">
        <v>11</v>
      </c>
      <c r="N5075" s="525"/>
      <c r="O5075" s="525"/>
      <c r="P5075" s="525"/>
      <c r="Q5075" s="525"/>
      <c r="R5075" s="525"/>
      <c r="S5075" s="525"/>
      <c r="T5075" s="526"/>
      <c r="U5075" s="527">
        <f>+U5073+U5066</f>
        <v>30736.080000000002</v>
      </c>
      <c r="V5075" s="528"/>
      <c r="Y5075" s="429"/>
      <c r="Z5075" s="441">
        <f>+Z5073+Z5066</f>
        <v>737665.81350000005</v>
      </c>
      <c r="AA5075" s="86"/>
      <c r="AB5075" s="94"/>
      <c r="AC5075" s="94"/>
      <c r="AD5075" s="94"/>
      <c r="AE5075" s="405" t="s">
        <v>133</v>
      </c>
    </row>
    <row r="5076" spans="3:31" s="260" customFormat="1" x14ac:dyDescent="0.25"/>
    <row r="5077" spans="3:31" s="260" customFormat="1" ht="15.75" thickBot="1" x14ac:dyDescent="0.3"/>
    <row r="5078" spans="3:31" s="260" customFormat="1" ht="15.75" thickBot="1" x14ac:dyDescent="0.3">
      <c r="M5078" s="363" t="s">
        <v>88</v>
      </c>
      <c r="N5078" s="436" t="str">
        <f>+N5029</f>
        <v>CAP.5</v>
      </c>
      <c r="O5078" s="550" t="str">
        <f>IFERROR(VLOOKUP(N5078,PPTO!C:H,2,0),"----")</f>
        <v>RED PLUVIAL</v>
      </c>
      <c r="P5078" s="551"/>
      <c r="Q5078" s="551"/>
      <c r="R5078" s="551"/>
      <c r="S5078" s="551"/>
      <c r="T5078" s="551"/>
      <c r="U5078" s="552"/>
      <c r="V5078" s="74" t="s">
        <v>91</v>
      </c>
      <c r="Y5078" s="365" t="s">
        <v>104</v>
      </c>
      <c r="Z5078" s="94"/>
      <c r="AA5078" s="188"/>
      <c r="AB5078" s="553"/>
      <c r="AC5078" s="553"/>
      <c r="AD5078" s="553"/>
      <c r="AE5078" s="94"/>
    </row>
    <row r="5079" spans="3:31" s="260" customFormat="1" ht="15.75" thickBot="1" x14ac:dyDescent="0.3">
      <c r="C5079" s="369">
        <f>+N5079</f>
        <v>5.04</v>
      </c>
      <c r="D5079" s="86"/>
      <c r="E5079" s="86"/>
      <c r="F5079" s="86"/>
      <c r="G5079" s="86"/>
      <c r="H5079" s="86"/>
      <c r="I5079" s="86"/>
      <c r="J5079" s="86"/>
      <c r="K5079" s="370"/>
      <c r="M5079" s="75" t="s">
        <v>92</v>
      </c>
      <c r="N5079" s="371">
        <f>+ROUNDUP(N5030+0.01,2)</f>
        <v>5.04</v>
      </c>
      <c r="O5079" s="554" t="str">
        <f>IFERROR(VLOOKUP(N5079,PPTO!C:H,2,0),"----")</f>
        <v>Codo 45° PVC Ø4"</v>
      </c>
      <c r="P5079" s="555"/>
      <c r="Q5079" s="555"/>
      <c r="R5079" s="555"/>
      <c r="S5079" s="555"/>
      <c r="T5079" s="555"/>
      <c r="U5079" s="556"/>
      <c r="V5079" s="76" t="str">
        <f>IFERROR(VLOOKUP(N5079,PPTO!C:H,3,0),"----")</f>
        <v>UND</v>
      </c>
      <c r="Y5079" s="373">
        <f>SUMIFS(PPTO!F:F,PPTO!C:C,APUS!N5079)</f>
        <v>18</v>
      </c>
      <c r="Z5079" s="94"/>
      <c r="AA5079" s="86"/>
      <c r="AB5079" s="94"/>
      <c r="AC5079" s="94"/>
      <c r="AD5079" s="94"/>
      <c r="AE5079" s="94"/>
    </row>
    <row r="5080" spans="3:31" s="260" customFormat="1" ht="15.75" thickBot="1" x14ac:dyDescent="0.3">
      <c r="C5080" s="84"/>
      <c r="D5080" s="86"/>
      <c r="E5080" s="86"/>
      <c r="F5080" s="86"/>
      <c r="G5080" s="86"/>
      <c r="H5080" s="86"/>
      <c r="I5080" s="86"/>
      <c r="J5080" s="86"/>
      <c r="K5080" s="88"/>
      <c r="M5080" s="557"/>
      <c r="N5080" s="557"/>
      <c r="O5080" s="557"/>
      <c r="P5080" s="557"/>
      <c r="Q5080" s="557"/>
      <c r="R5080" s="557"/>
      <c r="S5080" s="557"/>
      <c r="T5080" s="557"/>
      <c r="U5080" s="557"/>
      <c r="V5080" s="557"/>
      <c r="Y5080" s="374"/>
      <c r="Z5080" s="94"/>
      <c r="AA5080" s="86"/>
      <c r="AB5080" s="94"/>
      <c r="AC5080" s="94"/>
      <c r="AD5080" s="94"/>
      <c r="AE5080" s="94"/>
    </row>
    <row r="5081" spans="3:31" s="260" customFormat="1" ht="15.75" thickBot="1" x14ac:dyDescent="0.3">
      <c r="C5081" s="84"/>
      <c r="D5081" s="375" t="s">
        <v>128</v>
      </c>
      <c r="E5081" s="376" t="s">
        <v>129</v>
      </c>
      <c r="F5081" s="376" t="s">
        <v>130</v>
      </c>
      <c r="G5081" s="376" t="s">
        <v>131</v>
      </c>
      <c r="H5081" s="376" t="s">
        <v>132</v>
      </c>
      <c r="I5081" s="376" t="s">
        <v>133</v>
      </c>
      <c r="J5081" s="377" t="s">
        <v>134</v>
      </c>
      <c r="K5081" s="88"/>
      <c r="M5081" s="558" t="s">
        <v>93</v>
      </c>
      <c r="N5081" s="559"/>
      <c r="O5081" s="559"/>
      <c r="P5081" s="559"/>
      <c r="Q5081" s="559"/>
      <c r="R5081" s="559"/>
      <c r="S5081" s="559"/>
      <c r="T5081" s="559"/>
      <c r="U5081" s="559"/>
      <c r="V5081" s="560"/>
      <c r="Y5081" s="378"/>
      <c r="Z5081" s="121"/>
      <c r="AA5081" s="86"/>
      <c r="AB5081" s="513"/>
      <c r="AC5081" s="514"/>
      <c r="AD5081" s="94"/>
      <c r="AE5081" s="379"/>
    </row>
    <row r="5082" spans="3:31" s="260" customFormat="1" x14ac:dyDescent="0.25">
      <c r="C5082" s="84"/>
      <c r="D5082" s="380"/>
      <c r="E5082" s="381"/>
      <c r="F5082" s="381"/>
      <c r="G5082" s="381"/>
      <c r="H5082" s="381"/>
      <c r="I5082" s="381"/>
      <c r="J5082" s="382"/>
      <c r="K5082" s="88"/>
      <c r="M5082" s="99" t="s">
        <v>94</v>
      </c>
      <c r="N5082" s="561" t="s">
        <v>95</v>
      </c>
      <c r="O5082" s="561"/>
      <c r="P5082" s="561"/>
      <c r="Q5082" s="561"/>
      <c r="R5082" s="95" t="s">
        <v>96</v>
      </c>
      <c r="S5082" s="95" t="s">
        <v>97</v>
      </c>
      <c r="T5082" s="562" t="s">
        <v>8</v>
      </c>
      <c r="U5082" s="562"/>
      <c r="V5082" s="100" t="s">
        <v>98</v>
      </c>
      <c r="Y5082" s="383" t="s">
        <v>104</v>
      </c>
      <c r="Z5082" s="119" t="s">
        <v>9</v>
      </c>
      <c r="AA5082" s="86"/>
      <c r="AB5082" s="384"/>
      <c r="AC5082" s="385"/>
      <c r="AD5082" s="94"/>
      <c r="AE5082" s="386"/>
    </row>
    <row r="5083" spans="3:31" s="260" customFormat="1" x14ac:dyDescent="0.25">
      <c r="C5083" s="84"/>
      <c r="D5083" s="85"/>
      <c r="E5083" s="86"/>
      <c r="F5083" s="86"/>
      <c r="G5083" s="86"/>
      <c r="H5083" s="86"/>
      <c r="I5083" s="86"/>
      <c r="J5083" s="87"/>
      <c r="K5083" s="88"/>
      <c r="M5083" s="102"/>
      <c r="N5083" s="533" t="s">
        <v>99</v>
      </c>
      <c r="O5083" s="533"/>
      <c r="P5083" s="533"/>
      <c r="Q5083" s="533"/>
      <c r="R5083" s="78" t="s">
        <v>100</v>
      </c>
      <c r="S5083" s="387">
        <f>+$AA$10</f>
        <v>0.05</v>
      </c>
      <c r="T5083" s="563">
        <f>V5113</f>
        <v>5578.97</v>
      </c>
      <c r="U5083" s="563"/>
      <c r="V5083" s="389">
        <f>+IFERROR(T5083*S5083,0)</f>
        <v>278.94850000000002</v>
      </c>
      <c r="Y5083" s="390"/>
      <c r="Z5083" s="391">
        <f>Y5079*V5083</f>
        <v>5021.0730000000003</v>
      </c>
      <c r="AA5083" s="86"/>
      <c r="AB5083" s="384"/>
      <c r="AC5083" s="385"/>
      <c r="AD5083" s="94"/>
      <c r="AE5083" s="386" t="str">
        <f>+IF(V5083=0,"CERO","NO")</f>
        <v>NO</v>
      </c>
    </row>
    <row r="5084" spans="3:31" s="260" customFormat="1" x14ac:dyDescent="0.25">
      <c r="C5084" s="84"/>
      <c r="D5084" s="85"/>
      <c r="E5084" s="86"/>
      <c r="F5084" s="86"/>
      <c r="G5084" s="86"/>
      <c r="H5084" s="86"/>
      <c r="I5084" s="86"/>
      <c r="J5084" s="87"/>
      <c r="K5084" s="88"/>
      <c r="M5084" s="106"/>
      <c r="N5084" s="533" t="str">
        <f>IFERROR(VLOOKUP(M5084,INSUMOS!$C$8:$K$928,2,0),"-----")</f>
        <v>-----</v>
      </c>
      <c r="O5084" s="533"/>
      <c r="P5084" s="533"/>
      <c r="Q5084" s="533"/>
      <c r="R5084" s="78" t="str">
        <f>IFERROR(VLOOKUP(M5084,INSUMOS!$C$8:$K$928,6,0),"-----")</f>
        <v>-----</v>
      </c>
      <c r="S5084" s="392"/>
      <c r="T5084" s="529" t="str">
        <f>IFERROR(VLOOKUP(M5084,INSUMOS!$C$8:$K$928,7,0),"0")</f>
        <v>0</v>
      </c>
      <c r="U5084" s="529"/>
      <c r="V5084" s="389">
        <f>+IFERROR(T5084*S5084,0)</f>
        <v>0</v>
      </c>
      <c r="Y5084" s="393">
        <f>+IFERROR(Y5079*S5084,0)</f>
        <v>0</v>
      </c>
      <c r="Z5084" s="391">
        <f>Y5079*V5084</f>
        <v>0</v>
      </c>
      <c r="AA5084" s="394"/>
      <c r="AB5084" s="395">
        <f>+Y5084*T5084</f>
        <v>0</v>
      </c>
      <c r="AC5084" s="93">
        <f>+AB5084-Z5084</f>
        <v>0</v>
      </c>
      <c r="AD5084" s="94"/>
      <c r="AE5084" s="386" t="str">
        <f>+IF(V5084=0,"CERO","NO")</f>
        <v>CERO</v>
      </c>
    </row>
    <row r="5085" spans="3:31" s="260" customFormat="1" x14ac:dyDescent="0.25">
      <c r="C5085" s="84"/>
      <c r="D5085" s="85"/>
      <c r="E5085" s="86"/>
      <c r="F5085" s="86"/>
      <c r="G5085" s="86"/>
      <c r="H5085" s="86"/>
      <c r="I5085" s="86"/>
      <c r="J5085" s="87"/>
      <c r="K5085" s="88"/>
      <c r="M5085" s="102">
        <v>0</v>
      </c>
      <c r="N5085" s="533"/>
      <c r="O5085" s="533"/>
      <c r="P5085" s="533"/>
      <c r="Q5085" s="533"/>
      <c r="R5085" s="78"/>
      <c r="S5085" s="396"/>
      <c r="T5085" s="529"/>
      <c r="U5085" s="529"/>
      <c r="V5085" s="397"/>
      <c r="Y5085" s="393">
        <f>+IFERROR(Y5079*S5085,0)</f>
        <v>0</v>
      </c>
      <c r="Z5085" s="391">
        <f>Y5079*V5085</f>
        <v>0</v>
      </c>
      <c r="AA5085" s="394"/>
      <c r="AB5085" s="395">
        <f>+Y5085*T5085</f>
        <v>0</v>
      </c>
      <c r="AC5085" s="93">
        <f>+AB5085-Z5085</f>
        <v>0</v>
      </c>
      <c r="AD5085" s="94"/>
      <c r="AE5085" s="386" t="str">
        <f>+IF(V5085=0,"CERO","NO")</f>
        <v>CERO</v>
      </c>
    </row>
    <row r="5086" spans="3:31" s="260" customFormat="1" x14ac:dyDescent="0.25">
      <c r="C5086" s="84"/>
      <c r="D5086" s="85"/>
      <c r="E5086" s="86"/>
      <c r="F5086" s="86"/>
      <c r="G5086" s="86"/>
      <c r="H5086" s="86"/>
      <c r="I5086" s="86"/>
      <c r="J5086" s="87"/>
      <c r="K5086" s="88"/>
      <c r="M5086" s="102">
        <v>0</v>
      </c>
      <c r="N5086" s="533"/>
      <c r="O5086" s="533"/>
      <c r="P5086" s="533"/>
      <c r="Q5086" s="533"/>
      <c r="R5086" s="78"/>
      <c r="S5086" s="396"/>
      <c r="T5086" s="529"/>
      <c r="U5086" s="529"/>
      <c r="V5086" s="397"/>
      <c r="Y5086" s="393">
        <f>+IFERROR(Y5079*S5086,0)</f>
        <v>0</v>
      </c>
      <c r="Z5086" s="391">
        <f>Y5079*V5086</f>
        <v>0</v>
      </c>
      <c r="AA5086" s="394"/>
      <c r="AB5086" s="395">
        <f>+Y5086*T5086</f>
        <v>0</v>
      </c>
      <c r="AC5086" s="93">
        <f>+AB5086-Z5086</f>
        <v>0</v>
      </c>
      <c r="AD5086" s="94"/>
      <c r="AE5086" s="386" t="str">
        <f>+IF(V5086=0,"CERO","NO")</f>
        <v>CERO</v>
      </c>
    </row>
    <row r="5087" spans="3:31" s="260" customFormat="1" ht="15.75" thickBot="1" x14ac:dyDescent="0.3">
      <c r="C5087" s="84"/>
      <c r="D5087" s="85"/>
      <c r="E5087" s="86"/>
      <c r="F5087" s="86"/>
      <c r="G5087" s="86"/>
      <c r="H5087" s="86"/>
      <c r="I5087" s="86"/>
      <c r="J5087" s="87"/>
      <c r="K5087" s="88"/>
      <c r="M5087" s="102">
        <v>0</v>
      </c>
      <c r="N5087" s="564"/>
      <c r="O5087" s="564"/>
      <c r="P5087" s="564"/>
      <c r="Q5087" s="564"/>
      <c r="R5087" s="96"/>
      <c r="S5087" s="96"/>
      <c r="T5087" s="565"/>
      <c r="U5087" s="565"/>
      <c r="V5087" s="101"/>
      <c r="Y5087" s="393">
        <f>+IFERROR(Y5079*S5087,0)</f>
        <v>0</v>
      </c>
      <c r="Z5087" s="391">
        <f>Y5079*V5087</f>
        <v>0</v>
      </c>
      <c r="AA5087" s="394"/>
      <c r="AB5087" s="395">
        <f>+Y5087*T5087</f>
        <v>0</v>
      </c>
      <c r="AC5087" s="93">
        <f>+AB5087-Z5087</f>
        <v>0</v>
      </c>
      <c r="AD5087" s="94"/>
      <c r="AE5087" s="386" t="str">
        <f>+IF(V5087=0,"CERO","NO")</f>
        <v>CERO</v>
      </c>
    </row>
    <row r="5088" spans="3:31" s="260" customFormat="1" ht="15.75" thickBot="1" x14ac:dyDescent="0.3">
      <c r="C5088" s="84"/>
      <c r="D5088" s="375" t="s">
        <v>128</v>
      </c>
      <c r="E5088" s="376" t="s">
        <v>129</v>
      </c>
      <c r="F5088" s="376" t="s">
        <v>130</v>
      </c>
      <c r="G5088" s="376" t="s">
        <v>131</v>
      </c>
      <c r="H5088" s="376" t="s">
        <v>132</v>
      </c>
      <c r="I5088" s="376" t="s">
        <v>133</v>
      </c>
      <c r="J5088" s="377" t="s">
        <v>134</v>
      </c>
      <c r="K5088" s="88"/>
      <c r="M5088" s="534"/>
      <c r="N5088" s="536" t="s">
        <v>101</v>
      </c>
      <c r="O5088" s="536"/>
      <c r="P5088" s="536"/>
      <c r="Q5088" s="536"/>
      <c r="R5088" s="536"/>
      <c r="S5088" s="536"/>
      <c r="T5088" s="536"/>
      <c r="U5088" s="536"/>
      <c r="V5088" s="389">
        <f>+SUM(V5083:V5087)</f>
        <v>278.94850000000002</v>
      </c>
      <c r="Y5088" s="398" t="s">
        <v>135</v>
      </c>
      <c r="Z5088" s="397">
        <f>+SUM(Z5083:Z5087)</f>
        <v>5021.0730000000003</v>
      </c>
      <c r="AA5088" s="86"/>
      <c r="AB5088" s="384"/>
      <c r="AC5088" s="385"/>
      <c r="AD5088" s="94"/>
      <c r="AE5088" s="399"/>
    </row>
    <row r="5089" spans="3:31" s="260" customFormat="1" ht="15.75" thickBot="1" x14ac:dyDescent="0.3">
      <c r="C5089" s="84"/>
      <c r="D5089" s="375">
        <f>C5079</f>
        <v>5.04</v>
      </c>
      <c r="E5089" s="376"/>
      <c r="F5089" s="376"/>
      <c r="G5089" s="376"/>
      <c r="H5089" s="376"/>
      <c r="I5089" s="376"/>
      <c r="J5089" s="377"/>
      <c r="K5089" s="88"/>
      <c r="M5089" s="566"/>
      <c r="N5089" s="567" t="s">
        <v>102</v>
      </c>
      <c r="O5089" s="567"/>
      <c r="P5089" s="567"/>
      <c r="Q5089" s="567"/>
      <c r="R5089" s="567"/>
      <c r="S5089" s="567"/>
      <c r="T5089" s="567"/>
      <c r="U5089" s="567"/>
      <c r="V5089" s="400">
        <f>+ROUND(V5088,$AA$5)</f>
        <v>278.95</v>
      </c>
      <c r="Y5089" s="401" t="s">
        <v>136</v>
      </c>
      <c r="Z5089" s="402">
        <f>+ROUND(Z5088,$AA$5)</f>
        <v>5021.07</v>
      </c>
      <c r="AA5089" s="86"/>
      <c r="AB5089" s="403">
        <f>+V5089*Y5079</f>
        <v>5021.0999999999995</v>
      </c>
      <c r="AC5089" s="404">
        <f>+AB5089-Z5089</f>
        <v>2.9999999999745341E-2</v>
      </c>
      <c r="AD5089" s="94"/>
      <c r="AE5089" s="405"/>
    </row>
    <row r="5090" spans="3:31" s="260" customFormat="1" x14ac:dyDescent="0.25">
      <c r="C5090" s="84"/>
      <c r="D5090" s="380"/>
      <c r="E5090" s="381"/>
      <c r="F5090" s="381"/>
      <c r="G5090" s="381"/>
      <c r="H5090" s="381"/>
      <c r="I5090" s="381"/>
      <c r="J5090" s="382"/>
      <c r="K5090" s="88"/>
      <c r="M5090" s="510" t="s">
        <v>103</v>
      </c>
      <c r="N5090" s="511"/>
      <c r="O5090" s="511"/>
      <c r="P5090" s="511"/>
      <c r="Q5090" s="511"/>
      <c r="R5090" s="511"/>
      <c r="S5090" s="511"/>
      <c r="T5090" s="511"/>
      <c r="U5090" s="511"/>
      <c r="V5090" s="512"/>
      <c r="Y5090" s="378"/>
      <c r="Z5090" s="121"/>
      <c r="AA5090" s="86"/>
      <c r="AB5090" s="513"/>
      <c r="AC5090" s="514"/>
      <c r="AD5090" s="94"/>
      <c r="AE5090" s="126"/>
    </row>
    <row r="5091" spans="3:31" s="260" customFormat="1" x14ac:dyDescent="0.25">
      <c r="C5091" s="84"/>
      <c r="D5091" s="85"/>
      <c r="E5091" s="86"/>
      <c r="F5091" s="86"/>
      <c r="G5091" s="86"/>
      <c r="H5091" s="86"/>
      <c r="I5091" s="86"/>
      <c r="J5091" s="87"/>
      <c r="K5091" s="88"/>
      <c r="M5091" s="99" t="s">
        <v>94</v>
      </c>
      <c r="N5091" s="561" t="s">
        <v>95</v>
      </c>
      <c r="O5091" s="561"/>
      <c r="P5091" s="561"/>
      <c r="Q5091" s="561"/>
      <c r="R5091" s="95" t="s">
        <v>96</v>
      </c>
      <c r="S5091" s="95" t="s">
        <v>104</v>
      </c>
      <c r="T5091" s="356" t="s">
        <v>105</v>
      </c>
      <c r="U5091" s="356" t="s">
        <v>8</v>
      </c>
      <c r="V5091" s="100" t="s">
        <v>98</v>
      </c>
      <c r="Y5091" s="383" t="s">
        <v>104</v>
      </c>
      <c r="Z5091" s="119" t="s">
        <v>9</v>
      </c>
      <c r="AA5091" s="86"/>
      <c r="AB5091" s="384"/>
      <c r="AC5091" s="385"/>
      <c r="AD5091" s="94"/>
      <c r="AE5091" s="406"/>
    </row>
    <row r="5092" spans="3:31" s="260" customFormat="1" x14ac:dyDescent="0.25">
      <c r="C5092" s="84"/>
      <c r="D5092" s="85"/>
      <c r="E5092" s="86"/>
      <c r="F5092" s="86"/>
      <c r="G5092" s="86"/>
      <c r="H5092" s="86"/>
      <c r="I5092" s="86"/>
      <c r="J5092" s="87"/>
      <c r="K5092" s="88"/>
      <c r="M5092" s="102">
        <v>537</v>
      </c>
      <c r="N5092" s="533" t="str">
        <f>IFERROR(VLOOKUP(M5092,INSUMOS!$C$8:$K$928,2,0),"-----")</f>
        <v>CODO 4" 45° SANITARIO</v>
      </c>
      <c r="O5092" s="533"/>
      <c r="P5092" s="533"/>
      <c r="Q5092" s="533"/>
      <c r="R5092" s="78" t="str">
        <f>IFERROR(VLOOKUP(M5092,INSUMOS!$C$8:$K$928,6,0),"-----")</f>
        <v>und</v>
      </c>
      <c r="S5092" s="396">
        <v>1</v>
      </c>
      <c r="T5092" s="387">
        <v>0</v>
      </c>
      <c r="U5092" s="388">
        <f>IFERROR(VLOOKUP(M5092,INSUMOS!$C$8:$K$928,7,0),"0")</f>
        <v>20092</v>
      </c>
      <c r="V5092" s="389">
        <f>+IFERROR(U5092*(S5092*(1+T5092)),0)</f>
        <v>20092</v>
      </c>
      <c r="Y5092" s="393">
        <f>+IFERROR(Y5079*(S5092*(1+T5092)),0)</f>
        <v>18</v>
      </c>
      <c r="Z5092" s="391">
        <f>Y5079*V5092</f>
        <v>361656</v>
      </c>
      <c r="AA5092" s="394"/>
      <c r="AB5092" s="395">
        <f>+Y5092*U5092</f>
        <v>361656</v>
      </c>
      <c r="AC5092" s="93">
        <f>+AB5092-Z5092</f>
        <v>0</v>
      </c>
      <c r="AD5092" s="94"/>
      <c r="AE5092" s="406" t="str">
        <f>+IF(V5092=0,"CERO","NO")</f>
        <v>NO</v>
      </c>
    </row>
    <row r="5093" spans="3:31" s="260" customFormat="1" x14ac:dyDescent="0.25">
      <c r="C5093" s="84"/>
      <c r="D5093" s="85"/>
      <c r="E5093" s="86"/>
      <c r="F5093" s="86"/>
      <c r="G5093" s="86"/>
      <c r="H5093" s="86"/>
      <c r="I5093" s="86"/>
      <c r="J5093" s="87"/>
      <c r="K5093" s="88"/>
      <c r="M5093" s="102">
        <v>699</v>
      </c>
      <c r="N5093" s="533" t="str">
        <f>IFERROR(VLOOKUP(M5093,INSUMOS!$C$8:$K$928,2,0),"-----")</f>
        <v>SOLDADURA PVC LIQUIDA 1/4"</v>
      </c>
      <c r="O5093" s="533"/>
      <c r="P5093" s="533"/>
      <c r="Q5093" s="533"/>
      <c r="R5093" s="78" t="str">
        <f>IFERROR(VLOOKUP(M5093,INSUMOS!$C$8:$K$928,6,0),"-----")</f>
        <v>und</v>
      </c>
      <c r="S5093" s="396">
        <v>0.01</v>
      </c>
      <c r="T5093" s="387">
        <v>0.02</v>
      </c>
      <c r="U5093" s="388">
        <f>IFERROR(VLOOKUP(M5093,INSUMOS!$C$8:$K$928,7,0),"0")</f>
        <v>146569</v>
      </c>
      <c r="V5093" s="389">
        <f>+IFERROR(U5093*(S5093*(1+T5093)),0)</f>
        <v>1495.0038000000002</v>
      </c>
      <c r="Y5093" s="393">
        <f>+IFERROR(Y5079*(S5093*(1+T5093)),0)</f>
        <v>0.18360000000000001</v>
      </c>
      <c r="Z5093" s="391">
        <f>Y5079*V5093</f>
        <v>26910.068400000004</v>
      </c>
      <c r="AA5093" s="394"/>
      <c r="AB5093" s="395">
        <f>+Y5093*U5093</f>
        <v>26910.068400000004</v>
      </c>
      <c r="AC5093" s="93">
        <f>+AB5093-Z5093</f>
        <v>0</v>
      </c>
      <c r="AD5093" s="94"/>
      <c r="AE5093" s="406" t="str">
        <f>+IF(V5093=0,"CERO","NO")</f>
        <v>NO</v>
      </c>
    </row>
    <row r="5094" spans="3:31" s="260" customFormat="1" x14ac:dyDescent="0.25">
      <c r="C5094" s="84"/>
      <c r="D5094" s="85"/>
      <c r="E5094" s="86"/>
      <c r="F5094" s="86"/>
      <c r="G5094" s="86"/>
      <c r="H5094" s="86"/>
      <c r="I5094" s="86"/>
      <c r="J5094" s="87"/>
      <c r="K5094" s="88"/>
      <c r="M5094" s="102">
        <v>700</v>
      </c>
      <c r="N5094" s="533" t="str">
        <f>IFERROR(VLOOKUP(M5094,INSUMOS!$C$8:$K$928,2,0),"-----")</f>
        <v>LIMPIADOR PVC 1/4</v>
      </c>
      <c r="O5094" s="533"/>
      <c r="P5094" s="533"/>
      <c r="Q5094" s="533"/>
      <c r="R5094" s="78" t="str">
        <f>IFERROR(VLOOKUP(M5094,INSUMOS!$C$8:$K$928,6,0),"-----")</f>
        <v>und</v>
      </c>
      <c r="S5094" s="396">
        <v>0.01</v>
      </c>
      <c r="T5094" s="387">
        <v>0.02</v>
      </c>
      <c r="U5094" s="388">
        <f>IFERROR(VLOOKUP(M5094,INSUMOS!$C$8:$K$928,7,0),"0")</f>
        <v>65913</v>
      </c>
      <c r="V5094" s="389">
        <f>+IFERROR(U5094*(S5094*(1+T5094)),0)</f>
        <v>672.31260000000009</v>
      </c>
      <c r="Y5094" s="393">
        <f>+IFERROR(Y5079*(S5094*(1+T5094)),0)</f>
        <v>0.18360000000000001</v>
      </c>
      <c r="Z5094" s="391">
        <f>Y5079*V5094</f>
        <v>12101.626800000002</v>
      </c>
      <c r="AA5094" s="394"/>
      <c r="AB5094" s="395">
        <f>+Y5094*U5094</f>
        <v>12101.6268</v>
      </c>
      <c r="AC5094" s="93">
        <f>+AB5094-Z5094</f>
        <v>0</v>
      </c>
      <c r="AD5094" s="94"/>
      <c r="AE5094" s="406" t="str">
        <f>+IF(V5094=0,"CERO","NO")</f>
        <v>NO</v>
      </c>
    </row>
    <row r="5095" spans="3:31" s="260" customFormat="1" x14ac:dyDescent="0.25">
      <c r="C5095" s="84"/>
      <c r="D5095" s="85"/>
      <c r="E5095" s="86"/>
      <c r="F5095" s="86"/>
      <c r="G5095" s="86"/>
      <c r="H5095" s="86"/>
      <c r="I5095" s="86"/>
      <c r="J5095" s="87"/>
      <c r="K5095" s="88"/>
      <c r="M5095" s="102">
        <v>0</v>
      </c>
      <c r="N5095" s="533" t="str">
        <f>IFERROR(VLOOKUP(M5095,INSUMOS!$C$8:$K$928,2,0),"-----")</f>
        <v>-----</v>
      </c>
      <c r="O5095" s="533"/>
      <c r="P5095" s="533"/>
      <c r="Q5095" s="533"/>
      <c r="R5095" s="78" t="str">
        <f>IFERROR(VLOOKUP(M5095,INSUMOS!$C$8:$K$928,6,0),"-----")</f>
        <v>-----</v>
      </c>
      <c r="S5095" s="396"/>
      <c r="T5095" s="387"/>
      <c r="U5095" s="388" t="str">
        <f>IFERROR(VLOOKUP(M5095,INSUMOS!$C$8:$K$928,7,0),"0")</f>
        <v>0</v>
      </c>
      <c r="V5095" s="389">
        <f>+IFERROR(U5095*(S5095*(1+T5095)),0)</f>
        <v>0</v>
      </c>
      <c r="Y5095" s="393">
        <f>+IFERROR(Y5079*(S5095*(1+T5095)),0)</f>
        <v>0</v>
      </c>
      <c r="Z5095" s="391">
        <f>Y5079*V5095</f>
        <v>0</v>
      </c>
      <c r="AA5095" s="394"/>
      <c r="AB5095" s="395">
        <f>+Y5095*U5095</f>
        <v>0</v>
      </c>
      <c r="AC5095" s="93">
        <f>+AB5095-Z5095</f>
        <v>0</v>
      </c>
      <c r="AD5095" s="94"/>
      <c r="AE5095" s="406" t="str">
        <f>+IF(V5095=0,"CERO","NO")</f>
        <v>CERO</v>
      </c>
    </row>
    <row r="5096" spans="3:31" s="260" customFormat="1" ht="15.75" thickBot="1" x14ac:dyDescent="0.3">
      <c r="C5096" s="84"/>
      <c r="D5096" s="85"/>
      <c r="E5096" s="86"/>
      <c r="F5096" s="86"/>
      <c r="G5096" s="86"/>
      <c r="H5096" s="86"/>
      <c r="I5096" s="86"/>
      <c r="J5096" s="87"/>
      <c r="K5096" s="88"/>
      <c r="M5096" s="102">
        <v>0</v>
      </c>
      <c r="N5096" s="564"/>
      <c r="O5096" s="564"/>
      <c r="P5096" s="564"/>
      <c r="Q5096" s="564"/>
      <c r="R5096" s="96"/>
      <c r="S5096" s="79"/>
      <c r="T5096" s="97"/>
      <c r="U5096" s="358"/>
      <c r="V5096" s="397"/>
      <c r="Y5096" s="393">
        <f>+IFERROR(Y5079*(S5096*(1+T5096)),0)</f>
        <v>0</v>
      </c>
      <c r="Z5096" s="391">
        <f>Y5079*V5096</f>
        <v>0</v>
      </c>
      <c r="AA5096" s="394"/>
      <c r="AB5096" s="395">
        <f>+Y5096*U5096</f>
        <v>0</v>
      </c>
      <c r="AC5096" s="93">
        <f>+AB5096-Z5096</f>
        <v>0</v>
      </c>
      <c r="AD5096" s="94"/>
      <c r="AE5096" s="406" t="str">
        <f>+IF(V5096=0,"CERO","NO")</f>
        <v>CERO</v>
      </c>
    </row>
    <row r="5097" spans="3:31" s="260" customFormat="1" ht="15.75" thickBot="1" x14ac:dyDescent="0.3">
      <c r="C5097" s="84"/>
      <c r="D5097" s="375" t="s">
        <v>128</v>
      </c>
      <c r="E5097" s="376" t="s">
        <v>129</v>
      </c>
      <c r="F5097" s="376" t="s">
        <v>130</v>
      </c>
      <c r="G5097" s="376" t="s">
        <v>131</v>
      </c>
      <c r="H5097" s="376" t="s">
        <v>132</v>
      </c>
      <c r="I5097" s="376" t="s">
        <v>133</v>
      </c>
      <c r="J5097" s="377" t="s">
        <v>134</v>
      </c>
      <c r="K5097" s="88"/>
      <c r="M5097" s="534"/>
      <c r="N5097" s="536" t="s">
        <v>106</v>
      </c>
      <c r="O5097" s="536"/>
      <c r="P5097" s="536"/>
      <c r="Q5097" s="536"/>
      <c r="R5097" s="536"/>
      <c r="S5097" s="536"/>
      <c r="T5097" s="536"/>
      <c r="U5097" s="536"/>
      <c r="V5097" s="389">
        <f>+SUM(V5092:V5096)</f>
        <v>22259.3164</v>
      </c>
      <c r="Y5097" s="398" t="s">
        <v>135</v>
      </c>
      <c r="Z5097" s="397">
        <f>+SUM(Z5092:Z5096)</f>
        <v>400667.69520000002</v>
      </c>
      <c r="AA5097" s="86"/>
      <c r="AB5097" s="384"/>
      <c r="AC5097" s="385"/>
      <c r="AD5097" s="94"/>
      <c r="AE5097" s="399"/>
    </row>
    <row r="5098" spans="3:31" s="260" customFormat="1" ht="15.75" thickBot="1" x14ac:dyDescent="0.3">
      <c r="C5098" s="84"/>
      <c r="D5098" s="375"/>
      <c r="E5098" s="407">
        <f>+D5089</f>
        <v>5.04</v>
      </c>
      <c r="F5098" s="376"/>
      <c r="G5098" s="376"/>
      <c r="H5098" s="376"/>
      <c r="I5098" s="376"/>
      <c r="J5098" s="377"/>
      <c r="K5098" s="88"/>
      <c r="M5098" s="535"/>
      <c r="N5098" s="537" t="s">
        <v>107</v>
      </c>
      <c r="O5098" s="537"/>
      <c r="P5098" s="537"/>
      <c r="Q5098" s="537"/>
      <c r="R5098" s="537"/>
      <c r="S5098" s="537"/>
      <c r="T5098" s="537"/>
      <c r="U5098" s="537"/>
      <c r="V5098" s="408">
        <f>+ROUND(V5097,$AA$5)</f>
        <v>22259.32</v>
      </c>
      <c r="Y5098" s="401" t="s">
        <v>136</v>
      </c>
      <c r="Z5098" s="402">
        <f>+ROUND(Z5097,$AA$5)</f>
        <v>400667.7</v>
      </c>
      <c r="AA5098" s="86"/>
      <c r="AB5098" s="403">
        <f>+V5098*Y5079</f>
        <v>400667.76</v>
      </c>
      <c r="AC5098" s="404">
        <f>+AB5098-Z5098</f>
        <v>5.9999999997671694E-2</v>
      </c>
      <c r="AD5098" s="94"/>
      <c r="AE5098" s="405"/>
    </row>
    <row r="5099" spans="3:31" s="260" customFormat="1" x14ac:dyDescent="0.25">
      <c r="C5099" s="84"/>
      <c r="D5099" s="380"/>
      <c r="E5099" s="381"/>
      <c r="F5099" s="381"/>
      <c r="G5099" s="381"/>
      <c r="H5099" s="381"/>
      <c r="I5099" s="381"/>
      <c r="J5099" s="382"/>
      <c r="K5099" s="88"/>
      <c r="M5099" s="568" t="s">
        <v>108</v>
      </c>
      <c r="N5099" s="569"/>
      <c r="O5099" s="569"/>
      <c r="P5099" s="569"/>
      <c r="Q5099" s="569"/>
      <c r="R5099" s="569"/>
      <c r="S5099" s="569"/>
      <c r="T5099" s="569"/>
      <c r="U5099" s="569"/>
      <c r="V5099" s="570"/>
      <c r="Y5099" s="378"/>
      <c r="Z5099" s="121"/>
      <c r="AA5099" s="86"/>
      <c r="AB5099" s="409"/>
      <c r="AC5099" s="121"/>
      <c r="AD5099" s="94"/>
      <c r="AE5099" s="126"/>
    </row>
    <row r="5100" spans="3:31" s="260" customFormat="1" ht="25.5" x14ac:dyDescent="0.25">
      <c r="C5100" s="84"/>
      <c r="D5100" s="85"/>
      <c r="E5100" s="86"/>
      <c r="F5100" s="86"/>
      <c r="G5100" s="86"/>
      <c r="H5100" s="86"/>
      <c r="I5100" s="86"/>
      <c r="J5100" s="87"/>
      <c r="K5100" s="88"/>
      <c r="M5100" s="99" t="s">
        <v>94</v>
      </c>
      <c r="N5100" s="561" t="s">
        <v>95</v>
      </c>
      <c r="O5100" s="561"/>
      <c r="P5100" s="561"/>
      <c r="Q5100" s="95" t="s">
        <v>109</v>
      </c>
      <c r="R5100" s="95" t="s">
        <v>110</v>
      </c>
      <c r="S5100" s="95" t="s">
        <v>111</v>
      </c>
      <c r="T5100" s="562" t="s">
        <v>112</v>
      </c>
      <c r="U5100" s="562"/>
      <c r="V5100" s="100" t="s">
        <v>98</v>
      </c>
      <c r="Y5100" s="383" t="s">
        <v>104</v>
      </c>
      <c r="Z5100" s="119" t="s">
        <v>9</v>
      </c>
      <c r="AA5100" s="86"/>
      <c r="AB5100" s="384"/>
      <c r="AC5100" s="385"/>
      <c r="AD5100" s="94"/>
      <c r="AE5100" s="410"/>
    </row>
    <row r="5101" spans="3:31" s="260" customFormat="1" x14ac:dyDescent="0.25">
      <c r="C5101" s="84"/>
      <c r="D5101" s="85"/>
      <c r="E5101" s="86"/>
      <c r="F5101" s="86"/>
      <c r="G5101" s="86"/>
      <c r="H5101" s="86"/>
      <c r="I5101" s="86"/>
      <c r="J5101" s="87"/>
      <c r="K5101" s="88"/>
      <c r="M5101" s="102">
        <v>129</v>
      </c>
      <c r="N5101" s="530" t="str">
        <f>IFERROR(VLOOKUP(M5101,INSUMOS!$C$8:$K$928,2,0),"-----")</f>
        <v>transporte materiales en general</v>
      </c>
      <c r="O5101" s="531"/>
      <c r="P5101" s="532"/>
      <c r="Q5101" s="78" t="str">
        <f>IFERROR(VLOOKUP(M5101,INSUMOS!$C$8:$K$928,5,0),"-----")</f>
        <v>Km</v>
      </c>
      <c r="R5101" s="80">
        <v>1</v>
      </c>
      <c r="S5101" s="80">
        <f>IFERROR(VLOOKUP(M5101,INSUMOS!$C$8:$K$928,6,0),"0")</f>
        <v>348</v>
      </c>
      <c r="T5101" s="529">
        <f>IFERROR(VLOOKUP(M5101,INSUMOS!$C$8:$K$928,7,0),"0")</f>
        <v>0.99776362060288992</v>
      </c>
      <c r="U5101" s="529"/>
      <c r="V5101" s="82">
        <f>+T5101*S5101*R5101</f>
        <v>347.2217399698057</v>
      </c>
      <c r="Y5101" s="393">
        <f>+IFERROR((R5101*S5101)*Y5079,0)</f>
        <v>6264</v>
      </c>
      <c r="Z5101" s="391">
        <f>Y5079*V5101</f>
        <v>6249.9913194565024</v>
      </c>
      <c r="AA5101" s="86"/>
      <c r="AB5101" s="92">
        <f>+Y5101*T5101</f>
        <v>6249.9913194565024</v>
      </c>
      <c r="AC5101" s="93">
        <f>+AB5101-Z5101</f>
        <v>0</v>
      </c>
      <c r="AD5101" s="94"/>
      <c r="AE5101" s="406" t="str">
        <f>+IF(V5101=0,"CERO","NO")</f>
        <v>NO</v>
      </c>
    </row>
    <row r="5102" spans="3:31" s="260" customFormat="1" x14ac:dyDescent="0.25">
      <c r="C5102" s="84"/>
      <c r="D5102" s="85"/>
      <c r="E5102" s="86"/>
      <c r="F5102" s="86"/>
      <c r="G5102" s="86"/>
      <c r="H5102" s="86"/>
      <c r="I5102" s="86"/>
      <c r="J5102" s="87"/>
      <c r="K5102" s="88"/>
      <c r="M5102" s="102">
        <v>0</v>
      </c>
      <c r="N5102" s="530" t="str">
        <f>IFERROR(VLOOKUP(M5102,INSUMOS!$C$8:$K$928,2,0),"-----")</f>
        <v>-----</v>
      </c>
      <c r="O5102" s="531"/>
      <c r="P5102" s="532"/>
      <c r="Q5102" s="78" t="str">
        <f>IFERROR(VLOOKUP(M5102,INSUMOS!$C$8:$K$928,5,0),"-----")</f>
        <v>-----</v>
      </c>
      <c r="R5102" s="80"/>
      <c r="S5102" s="80" t="str">
        <f>IFERROR(VLOOKUP(M5102,INSUMOS!$C$8:$K$928,6,0),"0")</f>
        <v>0</v>
      </c>
      <c r="T5102" s="529" t="str">
        <f>IFERROR(VLOOKUP(M5102,INSUMOS!$C$8:$K$928,7,0),"0")</f>
        <v>0</v>
      </c>
      <c r="U5102" s="529"/>
      <c r="V5102" s="82">
        <f>+T5102*S5102*R5102</f>
        <v>0</v>
      </c>
      <c r="Y5102" s="393">
        <f>+IFERROR((R5102*S5102)*Y5079,0)</f>
        <v>0</v>
      </c>
      <c r="Z5102" s="391">
        <f>Y5079*V5102</f>
        <v>0</v>
      </c>
      <c r="AA5102" s="86"/>
      <c r="AB5102" s="92">
        <f>+Y5102*T5102</f>
        <v>0</v>
      </c>
      <c r="AC5102" s="93">
        <f>+AB5102-Z5102</f>
        <v>0</v>
      </c>
      <c r="AD5102" s="94"/>
      <c r="AE5102" s="406" t="str">
        <f>+IF(V5102=0,"CERO","NO")</f>
        <v>CERO</v>
      </c>
    </row>
    <row r="5103" spans="3:31" s="260" customFormat="1" x14ac:dyDescent="0.25">
      <c r="C5103" s="84"/>
      <c r="D5103" s="85"/>
      <c r="E5103" s="86"/>
      <c r="F5103" s="86"/>
      <c r="G5103" s="86"/>
      <c r="H5103" s="86"/>
      <c r="I5103" s="86"/>
      <c r="J5103" s="87"/>
      <c r="K5103" s="88"/>
      <c r="M5103" s="102">
        <v>0</v>
      </c>
      <c r="N5103" s="530" t="str">
        <f>IFERROR(VLOOKUP(M5103,INSUMOS!$C$8:$K$928,2,0),"-----")</f>
        <v>-----</v>
      </c>
      <c r="O5103" s="531"/>
      <c r="P5103" s="532"/>
      <c r="Q5103" s="78" t="str">
        <f>IFERROR(VLOOKUP(M5103,INSUMOS!$C$8:$K$928,5,0),"-----")</f>
        <v>-----</v>
      </c>
      <c r="R5103" s="80"/>
      <c r="S5103" s="80" t="str">
        <f>IFERROR(VLOOKUP(M5103,INSUMOS!$C$8:$K$928,6,0),"0")</f>
        <v>0</v>
      </c>
      <c r="T5103" s="529" t="str">
        <f>IFERROR(VLOOKUP(M5103,INSUMOS!$C$8:$K$928,7,0),"0")</f>
        <v>0</v>
      </c>
      <c r="U5103" s="529"/>
      <c r="V5103" s="82">
        <f>+T5103*S5103*R5103</f>
        <v>0</v>
      </c>
      <c r="Y5103" s="393">
        <f>+IFERROR((R5103*S5103)*Y5079,0)</f>
        <v>0</v>
      </c>
      <c r="Z5103" s="391">
        <f>Y5079*V5103</f>
        <v>0</v>
      </c>
      <c r="AA5103" s="86"/>
      <c r="AB5103" s="92">
        <f>+Y5103*T5103</f>
        <v>0</v>
      </c>
      <c r="AC5103" s="93">
        <f>+AB5103-Z5103</f>
        <v>0</v>
      </c>
      <c r="AD5103" s="94"/>
      <c r="AE5103" s="406" t="str">
        <f>+IF(V5103=0,"CERO","NO")</f>
        <v>CERO</v>
      </c>
    </row>
    <row r="5104" spans="3:31" s="260" customFormat="1" ht="15.75" thickBot="1" x14ac:dyDescent="0.3">
      <c r="C5104" s="84"/>
      <c r="D5104" s="89"/>
      <c r="E5104" s="90"/>
      <c r="F5104" s="90"/>
      <c r="G5104" s="90"/>
      <c r="H5104" s="90"/>
      <c r="I5104" s="90"/>
      <c r="J5104" s="91"/>
      <c r="K5104" s="88"/>
      <c r="M5104" s="102">
        <v>0</v>
      </c>
      <c r="N5104" s="533"/>
      <c r="O5104" s="533"/>
      <c r="P5104" s="533"/>
      <c r="Q5104" s="79"/>
      <c r="R5104" s="78"/>
      <c r="S5104" s="81"/>
      <c r="T5104" s="529"/>
      <c r="U5104" s="529"/>
      <c r="V5104" s="82"/>
      <c r="Y5104" s="393">
        <f>+IFERROR((R5104*S5104)*Y5079,0)</f>
        <v>0</v>
      </c>
      <c r="Z5104" s="391">
        <f>Y5079*V5104</f>
        <v>0</v>
      </c>
      <c r="AA5104" s="86"/>
      <c r="AB5104" s="92">
        <f>+Y5104*T5104</f>
        <v>0</v>
      </c>
      <c r="AC5104" s="93">
        <f>+AB5104-Z5104</f>
        <v>0</v>
      </c>
      <c r="AD5104" s="94"/>
      <c r="AE5104" s="406" t="str">
        <f>+IF(V5104=0,"CERO","NO")</f>
        <v>CERO</v>
      </c>
    </row>
    <row r="5105" spans="3:31" s="260" customFormat="1" ht="15.75" thickBot="1" x14ac:dyDescent="0.3">
      <c r="C5105" s="84"/>
      <c r="D5105" s="375" t="s">
        <v>128</v>
      </c>
      <c r="E5105" s="376" t="s">
        <v>129</v>
      </c>
      <c r="F5105" s="376" t="s">
        <v>130</v>
      </c>
      <c r="G5105" s="376" t="s">
        <v>131</v>
      </c>
      <c r="H5105" s="376" t="s">
        <v>132</v>
      </c>
      <c r="I5105" s="376" t="s">
        <v>133</v>
      </c>
      <c r="J5105" s="377" t="s">
        <v>134</v>
      </c>
      <c r="K5105" s="88"/>
      <c r="M5105" s="534"/>
      <c r="N5105" s="536" t="s">
        <v>113</v>
      </c>
      <c r="O5105" s="536"/>
      <c r="P5105" s="536"/>
      <c r="Q5105" s="536"/>
      <c r="R5105" s="536"/>
      <c r="S5105" s="536"/>
      <c r="T5105" s="536"/>
      <c r="U5105" s="536"/>
      <c r="V5105" s="411">
        <f>+SUM(V5101:V5104)</f>
        <v>347.2217399698057</v>
      </c>
      <c r="Y5105" s="398" t="s">
        <v>135</v>
      </c>
      <c r="Z5105" s="397">
        <f>+SUM(Z5101:Z5104)</f>
        <v>6249.9913194565024</v>
      </c>
      <c r="AA5105" s="86"/>
      <c r="AB5105" s="384"/>
      <c r="AC5105" s="385"/>
      <c r="AD5105" s="94"/>
      <c r="AE5105" s="399"/>
    </row>
    <row r="5106" spans="3:31" s="260" customFormat="1" ht="15.75" thickBot="1" x14ac:dyDescent="0.3">
      <c r="C5106" s="84"/>
      <c r="D5106" s="355"/>
      <c r="E5106" s="367"/>
      <c r="F5106" s="412">
        <f>+E5098</f>
        <v>5.04</v>
      </c>
      <c r="G5106" s="367"/>
      <c r="H5106" s="367"/>
      <c r="I5106" s="367"/>
      <c r="J5106" s="368"/>
      <c r="K5106" s="88"/>
      <c r="M5106" s="535"/>
      <c r="N5106" s="537" t="s">
        <v>114</v>
      </c>
      <c r="O5106" s="537"/>
      <c r="P5106" s="537"/>
      <c r="Q5106" s="537"/>
      <c r="R5106" s="537"/>
      <c r="S5106" s="537"/>
      <c r="T5106" s="537"/>
      <c r="U5106" s="537"/>
      <c r="V5106" s="413">
        <f>+ROUND(V5105,$AA$5)</f>
        <v>347.22</v>
      </c>
      <c r="Y5106" s="401" t="s">
        <v>136</v>
      </c>
      <c r="Z5106" s="402">
        <f>+ROUND(Z5105,$AA$5)</f>
        <v>6249.99</v>
      </c>
      <c r="AA5106" s="86"/>
      <c r="AB5106" s="403">
        <f>+V5106*Y5079</f>
        <v>6249.9600000000009</v>
      </c>
      <c r="AC5106" s="414"/>
      <c r="AD5106" s="94"/>
      <c r="AE5106" s="405"/>
    </row>
    <row r="5107" spans="3:31" s="260" customFormat="1" ht="15.75" thickBot="1" x14ac:dyDescent="0.3">
      <c r="C5107" s="84"/>
      <c r="D5107" s="415"/>
      <c r="E5107" s="416"/>
      <c r="F5107" s="416"/>
      <c r="G5107" s="416"/>
      <c r="H5107" s="416"/>
      <c r="I5107" s="416"/>
      <c r="J5107" s="417"/>
      <c r="K5107" s="88"/>
      <c r="M5107" s="538" t="s">
        <v>115</v>
      </c>
      <c r="N5107" s="539"/>
      <c r="O5107" s="539"/>
      <c r="P5107" s="539"/>
      <c r="Q5107" s="539"/>
      <c r="R5107" s="539"/>
      <c r="S5107" s="539"/>
      <c r="T5107" s="539"/>
      <c r="U5107" s="539"/>
      <c r="V5107" s="540"/>
      <c r="Y5107" s="378"/>
      <c r="Z5107" s="121"/>
      <c r="AA5107" s="86"/>
      <c r="AB5107" s="409"/>
      <c r="AC5107" s="121"/>
      <c r="AD5107" s="94"/>
      <c r="AE5107" s="126"/>
    </row>
    <row r="5108" spans="3:31" s="260" customFormat="1" ht="15.75" thickBot="1" x14ac:dyDescent="0.3">
      <c r="C5108" s="84"/>
      <c r="D5108" s="375" t="s">
        <v>128</v>
      </c>
      <c r="E5108" s="376" t="s">
        <v>129</v>
      </c>
      <c r="F5108" s="376" t="s">
        <v>130</v>
      </c>
      <c r="G5108" s="376" t="s">
        <v>131</v>
      </c>
      <c r="H5108" s="376" t="s">
        <v>132</v>
      </c>
      <c r="I5108" s="376" t="s">
        <v>133</v>
      </c>
      <c r="J5108" s="377" t="s">
        <v>134</v>
      </c>
      <c r="K5108" s="88"/>
      <c r="M5108" s="99" t="s">
        <v>94</v>
      </c>
      <c r="N5108" s="98" t="s">
        <v>95</v>
      </c>
      <c r="O5108" s="95" t="s">
        <v>96</v>
      </c>
      <c r="P5108" s="359" t="s">
        <v>104</v>
      </c>
      <c r="Q5108" s="95" t="s">
        <v>116</v>
      </c>
      <c r="R5108" s="418" t="s">
        <v>117</v>
      </c>
      <c r="S5108" s="95" t="s">
        <v>347</v>
      </c>
      <c r="T5108" s="419" t="s">
        <v>118</v>
      </c>
      <c r="U5108" s="189" t="s">
        <v>119</v>
      </c>
      <c r="V5108" s="100" t="s">
        <v>98</v>
      </c>
      <c r="Y5108" s="383" t="s">
        <v>104</v>
      </c>
      <c r="Z5108" s="119" t="s">
        <v>9</v>
      </c>
      <c r="AA5108" s="86"/>
      <c r="AB5108" s="384"/>
      <c r="AC5108" s="385"/>
      <c r="AD5108" s="94"/>
      <c r="AE5108" s="410"/>
    </row>
    <row r="5109" spans="3:31" s="260" customFormat="1" ht="25.5" x14ac:dyDescent="0.25">
      <c r="C5109" s="84"/>
      <c r="D5109" s="354"/>
      <c r="E5109" s="96"/>
      <c r="F5109" s="96"/>
      <c r="G5109" s="96"/>
      <c r="H5109" s="96"/>
      <c r="I5109" s="96"/>
      <c r="J5109" s="420">
        <f>+F5106</f>
        <v>5.04</v>
      </c>
      <c r="K5109" s="88"/>
      <c r="M5109" s="102">
        <v>207</v>
      </c>
      <c r="N5109" s="347" t="str">
        <f>IFERROR(VLOOKUP(M5109,INSUMOS!$C$8:$K$928,2,0),"-----")</f>
        <v>Oficial Hidrosanitario</v>
      </c>
      <c r="O5109" s="78" t="str">
        <f>IFERROR(VLOOKUP(M5109,INSUMOS!$C$8:$K$928,3,0),"-----")</f>
        <v>JORNAL+PS</v>
      </c>
      <c r="P5109" s="80">
        <v>1</v>
      </c>
      <c r="Q5109" s="79">
        <v>30</v>
      </c>
      <c r="R5109" s="190">
        <f>IFERROR(VLOOKUP(M5109,INSUMOS!$C$8:$K$928,4,0),"-----")</f>
        <v>92983</v>
      </c>
      <c r="S5109" s="190">
        <f>IFERROR(VLOOKUP(M5109,INSUMOS!$C$8:$K$928,6,0),"-----")</f>
        <v>74386</v>
      </c>
      <c r="T5109" s="190">
        <f>IFERROR(VLOOKUP(M5109,INSUMOS!$C$8:$K$928,5,0),"-----")</f>
        <v>0</v>
      </c>
      <c r="U5109" s="388">
        <f>SUM(R5109:T5109)</f>
        <v>167369</v>
      </c>
      <c r="V5109" s="82">
        <f>+IFERROR((P5109/Q5109)*U5109,0)</f>
        <v>5578.9666666666662</v>
      </c>
      <c r="Y5109" s="393">
        <f>+IFERROR((Y5079/Q5109*P5109),0)</f>
        <v>0.6</v>
      </c>
      <c r="Z5109" s="391">
        <f>Y5079*V5109</f>
        <v>100421.4</v>
      </c>
      <c r="AA5109" s="86"/>
      <c r="AB5109" s="92">
        <f>+(U5109)*Y5109</f>
        <v>100421.4</v>
      </c>
      <c r="AC5109" s="93">
        <f>+AB5109-Z5109</f>
        <v>0</v>
      </c>
      <c r="AD5109" s="421"/>
      <c r="AE5109" s="410" t="str">
        <f>+IF(V5109=0,"CERO","NO")</f>
        <v>NO</v>
      </c>
    </row>
    <row r="5110" spans="3:31" s="260" customFormat="1" ht="15.75" thickBot="1" x14ac:dyDescent="0.3">
      <c r="C5110" s="84"/>
      <c r="D5110" s="355"/>
      <c r="E5110" s="367"/>
      <c r="F5110" s="367"/>
      <c r="G5110" s="367"/>
      <c r="H5110" s="367"/>
      <c r="I5110" s="367"/>
      <c r="J5110" s="422">
        <f>+J5109</f>
        <v>5.04</v>
      </c>
      <c r="K5110" s="88"/>
      <c r="M5110" s="102"/>
      <c r="N5110" s="347" t="str">
        <f>IFERROR(VLOOKUP(M5110,INSUMOS!$C$8:$K$928,2,0),"-----")</f>
        <v>-----</v>
      </c>
      <c r="O5110" s="78" t="str">
        <f>IFERROR(VLOOKUP(M5110,INSUMOS!$C$8:$K$928,3,0),"-----")</f>
        <v>-----</v>
      </c>
      <c r="P5110" s="80"/>
      <c r="Q5110" s="79"/>
      <c r="R5110" s="190" t="str">
        <f>IFERROR(VLOOKUP(M5110,INSUMOS!$C$8:$K$928,4,0),"-----")</f>
        <v>-----</v>
      </c>
      <c r="S5110" s="190" t="str">
        <f>IFERROR(VLOOKUP(M5110,INSUMOS!$C$8:$K$928,6,0),"-----")</f>
        <v>-----</v>
      </c>
      <c r="T5110" s="190" t="str">
        <f>IFERROR(VLOOKUP(M5110,INSUMOS!$C$8:$K$928,5,0),"-----")</f>
        <v>-----</v>
      </c>
      <c r="U5110" s="388">
        <f>SUM(R5110:T5110)</f>
        <v>0</v>
      </c>
      <c r="V5110" s="82">
        <f>+IFERROR((P5110/Q5110)*U5110,0)</f>
        <v>0</v>
      </c>
      <c r="Y5110" s="393">
        <f>+IFERROR((Y5079/Q5110*P5110),0)</f>
        <v>0</v>
      </c>
      <c r="Z5110" s="391">
        <f>Y5079*V5110</f>
        <v>0</v>
      </c>
      <c r="AA5110" s="86"/>
      <c r="AB5110" s="92">
        <f>+U5110*Y5110</f>
        <v>0</v>
      </c>
      <c r="AC5110" s="93">
        <f>+AB5110-Z5110</f>
        <v>0</v>
      </c>
      <c r="AD5110" s="94"/>
      <c r="AE5110" s="410" t="str">
        <f>+IF(V5110=0,"CERO","NO")</f>
        <v>CERO</v>
      </c>
    </row>
    <row r="5111" spans="3:31" s="260" customFormat="1" ht="15.75" thickBot="1" x14ac:dyDescent="0.3">
      <c r="C5111" s="84"/>
      <c r="D5111" s="380"/>
      <c r="E5111" s="381"/>
      <c r="F5111" s="381"/>
      <c r="G5111" s="381"/>
      <c r="H5111" s="381"/>
      <c r="I5111" s="381"/>
      <c r="J5111" s="382"/>
      <c r="K5111" s="88"/>
      <c r="M5111" s="102">
        <v>0</v>
      </c>
      <c r="N5111" s="347"/>
      <c r="O5111" s="79"/>
      <c r="P5111" s="423"/>
      <c r="Q5111" s="81"/>
      <c r="R5111" s="111"/>
      <c r="S5111" s="357"/>
      <c r="T5111" s="111"/>
      <c r="U5111" s="388"/>
      <c r="V5111" s="426"/>
      <c r="Y5111" s="393">
        <f>+IFERROR((Y5079/Q5111*P5111),0)</f>
        <v>0</v>
      </c>
      <c r="Z5111" s="391">
        <f>Y5079*V5111</f>
        <v>0</v>
      </c>
      <c r="AA5111" s="86"/>
      <c r="AB5111" s="92">
        <f>+(U5111)*Y5111*P5111</f>
        <v>0</v>
      </c>
      <c r="AC5111" s="93">
        <f>+AB5111-Z5111</f>
        <v>0</v>
      </c>
      <c r="AD5111" s="94"/>
      <c r="AE5111" s="410" t="str">
        <f>+IF(V5111=0,"CERO","NO")</f>
        <v>CERO</v>
      </c>
    </row>
    <row r="5112" spans="3:31" s="260" customFormat="1" ht="15.75" thickBot="1" x14ac:dyDescent="0.3">
      <c r="C5112" s="84"/>
      <c r="D5112" s="375" t="s">
        <v>128</v>
      </c>
      <c r="E5112" s="376" t="s">
        <v>129</v>
      </c>
      <c r="F5112" s="376" t="s">
        <v>130</v>
      </c>
      <c r="G5112" s="376" t="s">
        <v>131</v>
      </c>
      <c r="H5112" s="376" t="s">
        <v>132</v>
      </c>
      <c r="I5112" s="376" t="s">
        <v>133</v>
      </c>
      <c r="J5112" s="377" t="s">
        <v>134</v>
      </c>
      <c r="K5112" s="88"/>
      <c r="M5112" s="534"/>
      <c r="N5112" s="536" t="s">
        <v>120</v>
      </c>
      <c r="O5112" s="536"/>
      <c r="P5112" s="536"/>
      <c r="Q5112" s="536"/>
      <c r="R5112" s="536"/>
      <c r="S5112" s="536"/>
      <c r="T5112" s="536"/>
      <c r="U5112" s="536"/>
      <c r="V5112" s="82">
        <f>+SUM(V5109:V5111)</f>
        <v>5578.9666666666662</v>
      </c>
      <c r="Y5112" s="398" t="s">
        <v>135</v>
      </c>
      <c r="Z5112" s="397">
        <f>+SUM(Z5109:Z5111)</f>
        <v>100421.4</v>
      </c>
      <c r="AA5112" s="86"/>
      <c r="AB5112" s="384"/>
      <c r="AC5112" s="385"/>
      <c r="AD5112" s="94"/>
      <c r="AE5112" s="399"/>
    </row>
    <row r="5113" spans="3:31" s="260" customFormat="1" ht="15.75" thickBot="1" x14ac:dyDescent="0.3">
      <c r="C5113" s="84"/>
      <c r="D5113" s="354"/>
      <c r="E5113" s="96"/>
      <c r="F5113" s="96"/>
      <c r="G5113" s="107">
        <f>+F5106</f>
        <v>5.04</v>
      </c>
      <c r="H5113" s="96"/>
      <c r="I5113" s="96"/>
      <c r="J5113" s="427"/>
      <c r="K5113" s="88"/>
      <c r="M5113" s="535"/>
      <c r="N5113" s="537" t="s">
        <v>121</v>
      </c>
      <c r="O5113" s="537"/>
      <c r="P5113" s="537"/>
      <c r="Q5113" s="537"/>
      <c r="R5113" s="537"/>
      <c r="S5113" s="537"/>
      <c r="T5113" s="537"/>
      <c r="U5113" s="537"/>
      <c r="V5113" s="413">
        <f>+ROUND(V5112,$AA$5)</f>
        <v>5578.97</v>
      </c>
      <c r="Y5113" s="401" t="s">
        <v>136</v>
      </c>
      <c r="Z5113" s="402">
        <f>+ROUND(Z5112,$AA$5)</f>
        <v>100421.4</v>
      </c>
      <c r="AA5113" s="86"/>
      <c r="AB5113" s="403">
        <f>+V5113*Y5079</f>
        <v>100421.46</v>
      </c>
      <c r="AC5113" s="404">
        <f>+AB5113-Z5113</f>
        <v>6.0000000012223609E-2</v>
      </c>
      <c r="AD5113" s="94"/>
      <c r="AE5113" s="405"/>
    </row>
    <row r="5114" spans="3:31" s="260" customFormat="1" ht="15.75" thickBot="1" x14ac:dyDescent="0.3">
      <c r="C5114" s="84"/>
      <c r="D5114" s="375" t="s">
        <v>128</v>
      </c>
      <c r="E5114" s="376" t="s">
        <v>129</v>
      </c>
      <c r="F5114" s="376" t="s">
        <v>130</v>
      </c>
      <c r="G5114" s="376" t="s">
        <v>131</v>
      </c>
      <c r="H5114" s="376" t="s">
        <v>132</v>
      </c>
      <c r="I5114" s="376" t="s">
        <v>133</v>
      </c>
      <c r="J5114" s="377" t="s">
        <v>134</v>
      </c>
      <c r="K5114" s="88"/>
      <c r="M5114" s="541"/>
      <c r="N5114" s="542"/>
      <c r="O5114" s="542"/>
      <c r="P5114" s="542"/>
      <c r="Q5114" s="542"/>
      <c r="R5114" s="542"/>
      <c r="S5114" s="542"/>
      <c r="T5114" s="542"/>
      <c r="U5114" s="542"/>
      <c r="V5114" s="543"/>
      <c r="Y5114" s="378"/>
      <c r="Z5114" s="121"/>
      <c r="AA5114" s="86"/>
      <c r="AB5114" s="409"/>
      <c r="AC5114" s="121"/>
      <c r="AD5114" s="94"/>
      <c r="AE5114" s="428"/>
    </row>
    <row r="5115" spans="3:31" s="260" customFormat="1" ht="15.75" thickBot="1" x14ac:dyDescent="0.3">
      <c r="C5115" s="84"/>
      <c r="D5115" s="355"/>
      <c r="E5115" s="367"/>
      <c r="F5115" s="367"/>
      <c r="G5115" s="367"/>
      <c r="H5115" s="412">
        <f>G5113</f>
        <v>5.04</v>
      </c>
      <c r="I5115" s="412"/>
      <c r="J5115" s="422"/>
      <c r="K5115" s="88"/>
      <c r="M5115" s="544" t="s">
        <v>122</v>
      </c>
      <c r="N5115" s="537"/>
      <c r="O5115" s="537"/>
      <c r="P5115" s="537"/>
      <c r="Q5115" s="537"/>
      <c r="R5115" s="537"/>
      <c r="S5115" s="537"/>
      <c r="T5115" s="537"/>
      <c r="U5115" s="545">
        <f>+V5113+V5106+V5098+V5089</f>
        <v>28464.460000000003</v>
      </c>
      <c r="V5115" s="546"/>
      <c r="Y5115" s="429"/>
      <c r="Z5115" s="430">
        <f>+Z5113+Z5106+Z5098+Z5089</f>
        <v>512360.16000000003</v>
      </c>
      <c r="AA5115" s="86"/>
      <c r="AB5115" s="431">
        <f>+AB5113+AB5106+AB5098+AB5089</f>
        <v>512360.28</v>
      </c>
      <c r="AC5115" s="404">
        <f>+AB5115-Z5115</f>
        <v>0.11999999999534339</v>
      </c>
      <c r="AD5115" s="94"/>
      <c r="AE5115" s="432"/>
    </row>
    <row r="5116" spans="3:31" s="260" customFormat="1" ht="15.75" thickBot="1" x14ac:dyDescent="0.3"/>
    <row r="5117" spans="3:31" s="260" customFormat="1" x14ac:dyDescent="0.25">
      <c r="M5117" s="547" t="s">
        <v>348</v>
      </c>
      <c r="N5117" s="548"/>
      <c r="O5117" s="548"/>
      <c r="P5117" s="548"/>
      <c r="Q5117" s="548"/>
      <c r="R5117" s="548"/>
      <c r="S5117" s="548"/>
      <c r="T5117" s="548"/>
      <c r="U5117" s="548"/>
      <c r="V5117" s="549"/>
      <c r="Y5117" s="378"/>
      <c r="Z5117" s="121"/>
      <c r="AA5117" s="86"/>
      <c r="AB5117" s="94"/>
      <c r="AC5117" s="94"/>
      <c r="AD5117" s="94"/>
      <c r="AE5117" s="126" t="s">
        <v>133</v>
      </c>
    </row>
    <row r="5118" spans="3:31" s="260" customFormat="1" x14ac:dyDescent="0.25">
      <c r="M5118" s="515" t="s">
        <v>138</v>
      </c>
      <c r="N5118" s="516"/>
      <c r="O5118" s="516"/>
      <c r="P5118" s="516"/>
      <c r="Q5118" s="516"/>
      <c r="R5118" s="516"/>
      <c r="S5118" s="516"/>
      <c r="T5118" s="437">
        <v>0</v>
      </c>
      <c r="U5118" s="517">
        <f>+ROUND(U5115*T5118,$AA$5)</f>
        <v>0</v>
      </c>
      <c r="V5118" s="518"/>
      <c r="Y5118" s="390"/>
      <c r="Z5118" s="438">
        <f>+Z5115*T5118</f>
        <v>0</v>
      </c>
      <c r="AA5118" s="86"/>
      <c r="AB5118" s="94"/>
      <c r="AC5118" s="94"/>
      <c r="AD5118" s="94"/>
      <c r="AE5118" s="386" t="s">
        <v>133</v>
      </c>
    </row>
    <row r="5119" spans="3:31" s="260" customFormat="1" x14ac:dyDescent="0.25">
      <c r="M5119" s="515" t="s">
        <v>19</v>
      </c>
      <c r="N5119" s="516"/>
      <c r="O5119" s="516"/>
      <c r="P5119" s="516"/>
      <c r="Q5119" s="516"/>
      <c r="R5119" s="516"/>
      <c r="S5119" s="516"/>
      <c r="T5119" s="437">
        <v>0.05</v>
      </c>
      <c r="U5119" s="517">
        <f>+ROUND(U5115*T5119,$AA$5)</f>
        <v>1423.22</v>
      </c>
      <c r="V5119" s="518"/>
      <c r="Y5119" s="390"/>
      <c r="Z5119" s="438">
        <f>+Z5115*T5119</f>
        <v>25618.008000000002</v>
      </c>
      <c r="AA5119" s="86"/>
      <c r="AB5119" s="94"/>
      <c r="AC5119" s="94"/>
      <c r="AD5119" s="94"/>
      <c r="AE5119" s="386" t="s">
        <v>133</v>
      </c>
    </row>
    <row r="5120" spans="3:31" s="260" customFormat="1" x14ac:dyDescent="0.25">
      <c r="M5120" s="515" t="s">
        <v>20</v>
      </c>
      <c r="N5120" s="516"/>
      <c r="O5120" s="516"/>
      <c r="P5120" s="516"/>
      <c r="Q5120" s="516"/>
      <c r="R5120" s="516"/>
      <c r="S5120" s="516"/>
      <c r="T5120" s="437">
        <v>0</v>
      </c>
      <c r="U5120" s="517">
        <f>+ROUND(U5115*T5120,$AA$5)</f>
        <v>0</v>
      </c>
      <c r="V5120" s="518"/>
      <c r="Y5120" s="390"/>
      <c r="Z5120" s="438">
        <f>+Z5115*T5120</f>
        <v>0</v>
      </c>
      <c r="AA5120" s="86"/>
      <c r="AB5120" s="94"/>
      <c r="AC5120" s="94"/>
      <c r="AD5120" s="94"/>
      <c r="AE5120" s="386" t="s">
        <v>133</v>
      </c>
    </row>
    <row r="5121" spans="3:31" s="260" customFormat="1" x14ac:dyDescent="0.25">
      <c r="M5121" s="515" t="s">
        <v>21</v>
      </c>
      <c r="N5121" s="516"/>
      <c r="O5121" s="516"/>
      <c r="P5121" s="516"/>
      <c r="Q5121" s="516"/>
      <c r="R5121" s="516"/>
      <c r="S5121" s="516"/>
      <c r="T5121" s="437">
        <f>$AA$9</f>
        <v>0</v>
      </c>
      <c r="U5121" s="517">
        <f>+ROUND(U5115*T5121,$AA$5)</f>
        <v>0</v>
      </c>
      <c r="V5121" s="518"/>
      <c r="Y5121" s="390"/>
      <c r="Z5121" s="438">
        <f>+Z5120*T5121</f>
        <v>0</v>
      </c>
      <c r="AA5121" s="86"/>
      <c r="AB5121" s="94"/>
      <c r="AC5121" s="94"/>
      <c r="AD5121" s="94"/>
      <c r="AE5121" s="386" t="s">
        <v>133</v>
      </c>
    </row>
    <row r="5122" spans="3:31" s="260" customFormat="1" ht="15.75" thickBot="1" x14ac:dyDescent="0.3">
      <c r="M5122" s="519" t="s">
        <v>349</v>
      </c>
      <c r="N5122" s="520"/>
      <c r="O5122" s="520"/>
      <c r="P5122" s="520"/>
      <c r="Q5122" s="520"/>
      <c r="R5122" s="520"/>
      <c r="S5122" s="520"/>
      <c r="T5122" s="520"/>
      <c r="U5122" s="521">
        <f>+SUM(U5118:V5121)</f>
        <v>1423.22</v>
      </c>
      <c r="V5122" s="522"/>
      <c r="Y5122" s="390"/>
      <c r="Z5122" s="439">
        <f>+SUM(Z5118:Z5121)</f>
        <v>25618.008000000002</v>
      </c>
      <c r="AA5122" s="86"/>
      <c r="AB5122" s="94"/>
      <c r="AC5122" s="94"/>
      <c r="AD5122" s="94"/>
      <c r="AE5122" s="386" t="s">
        <v>133</v>
      </c>
    </row>
    <row r="5123" spans="3:31" s="260" customFormat="1" ht="15.75" thickBot="1" x14ac:dyDescent="0.3">
      <c r="D5123" s="375" t="s">
        <v>128</v>
      </c>
      <c r="E5123" s="376" t="s">
        <v>129</v>
      </c>
      <c r="F5123" s="376" t="s">
        <v>130</v>
      </c>
      <c r="G5123" s="376" t="s">
        <v>131</v>
      </c>
      <c r="H5123" s="376" t="s">
        <v>132</v>
      </c>
      <c r="I5123" s="376" t="s">
        <v>133</v>
      </c>
      <c r="J5123" s="377" t="s">
        <v>134</v>
      </c>
      <c r="M5123" s="86"/>
      <c r="N5123" s="94"/>
      <c r="O5123" s="94"/>
      <c r="P5123" s="94"/>
      <c r="Q5123" s="86"/>
      <c r="R5123" s="86"/>
      <c r="S5123" s="86"/>
      <c r="T5123" s="440"/>
      <c r="U5123" s="523"/>
      <c r="V5123" s="523"/>
      <c r="Y5123" s="390"/>
      <c r="Z5123" s="385"/>
      <c r="AA5123" s="86"/>
      <c r="AB5123" s="94"/>
      <c r="AC5123" s="94"/>
      <c r="AD5123" s="94"/>
      <c r="AE5123" s="386" t="s">
        <v>133</v>
      </c>
    </row>
    <row r="5124" spans="3:31" s="260" customFormat="1" ht="15.75" thickBot="1" x14ac:dyDescent="0.3">
      <c r="D5124" s="355"/>
      <c r="E5124" s="367"/>
      <c r="F5124" s="367"/>
      <c r="G5124" s="367"/>
      <c r="H5124" s="412"/>
      <c r="I5124" s="412">
        <f>H5115</f>
        <v>5.04</v>
      </c>
      <c r="J5124" s="422"/>
      <c r="M5124" s="524" t="s">
        <v>11</v>
      </c>
      <c r="N5124" s="525"/>
      <c r="O5124" s="525"/>
      <c r="P5124" s="525"/>
      <c r="Q5124" s="525"/>
      <c r="R5124" s="525"/>
      <c r="S5124" s="525"/>
      <c r="T5124" s="526"/>
      <c r="U5124" s="527">
        <f>+U5122+U5115</f>
        <v>29887.680000000004</v>
      </c>
      <c r="V5124" s="528"/>
      <c r="Y5124" s="429"/>
      <c r="Z5124" s="441">
        <f>+Z5122+Z5115</f>
        <v>537978.16800000006</v>
      </c>
      <c r="AA5124" s="86"/>
      <c r="AB5124" s="94"/>
      <c r="AC5124" s="94"/>
      <c r="AD5124" s="94"/>
      <c r="AE5124" s="405" t="s">
        <v>133</v>
      </c>
    </row>
    <row r="5125" spans="3:31" s="260" customFormat="1" x14ac:dyDescent="0.25"/>
    <row r="5126" spans="3:31" s="260" customFormat="1" ht="15.75" thickBot="1" x14ac:dyDescent="0.3"/>
    <row r="5127" spans="3:31" s="260" customFormat="1" ht="15.75" thickBot="1" x14ac:dyDescent="0.3">
      <c r="M5127" s="363" t="s">
        <v>88</v>
      </c>
      <c r="N5127" s="436" t="str">
        <f>+N5078</f>
        <v>CAP.5</v>
      </c>
      <c r="O5127" s="550" t="str">
        <f>IFERROR(VLOOKUP(N5127,PPTO!C:H,2,0),"----")</f>
        <v>RED PLUVIAL</v>
      </c>
      <c r="P5127" s="551"/>
      <c r="Q5127" s="551"/>
      <c r="R5127" s="551"/>
      <c r="S5127" s="551"/>
      <c r="T5127" s="551"/>
      <c r="U5127" s="552"/>
      <c r="V5127" s="74" t="s">
        <v>91</v>
      </c>
      <c r="Y5127" s="365" t="s">
        <v>104</v>
      </c>
      <c r="Z5127" s="94"/>
      <c r="AA5127" s="188"/>
      <c r="AB5127" s="553"/>
      <c r="AC5127" s="553"/>
      <c r="AD5127" s="553"/>
      <c r="AE5127" s="94"/>
    </row>
    <row r="5128" spans="3:31" s="260" customFormat="1" ht="15.75" thickBot="1" x14ac:dyDescent="0.3">
      <c r="C5128" s="369">
        <f>+N5128</f>
        <v>5.05</v>
      </c>
      <c r="D5128" s="86"/>
      <c r="E5128" s="86"/>
      <c r="F5128" s="86"/>
      <c r="G5128" s="86"/>
      <c r="H5128" s="86"/>
      <c r="I5128" s="86"/>
      <c r="J5128" s="86"/>
      <c r="K5128" s="370"/>
      <c r="M5128" s="75" t="s">
        <v>92</v>
      </c>
      <c r="N5128" s="371">
        <f>+ROUNDUP(N5079+0.01,2)</f>
        <v>5.05</v>
      </c>
      <c r="O5128" s="554" t="str">
        <f>IFERROR(VLOOKUP(N5128,PPTO!C:H,2,0),"----")</f>
        <v>Codo 90° PVC Ø4"</v>
      </c>
      <c r="P5128" s="555"/>
      <c r="Q5128" s="555"/>
      <c r="R5128" s="555"/>
      <c r="S5128" s="555"/>
      <c r="T5128" s="555"/>
      <c r="U5128" s="556"/>
      <c r="V5128" s="76" t="str">
        <f>IFERROR(VLOOKUP(N5128,PPTO!C:H,3,0),"----")</f>
        <v>UND</v>
      </c>
      <c r="Y5128" s="373">
        <f>SUMIFS(PPTO!F:F,PPTO!C:C,APUS!N5128)</f>
        <v>4</v>
      </c>
      <c r="Z5128" s="94"/>
      <c r="AA5128" s="86"/>
      <c r="AB5128" s="94"/>
      <c r="AC5128" s="94"/>
      <c r="AD5128" s="94"/>
      <c r="AE5128" s="94"/>
    </row>
    <row r="5129" spans="3:31" s="260" customFormat="1" ht="15.75" thickBot="1" x14ac:dyDescent="0.3">
      <c r="C5129" s="84"/>
      <c r="D5129" s="86"/>
      <c r="E5129" s="86"/>
      <c r="F5129" s="86"/>
      <c r="G5129" s="86"/>
      <c r="H5129" s="86"/>
      <c r="I5129" s="86"/>
      <c r="J5129" s="86"/>
      <c r="K5129" s="88"/>
      <c r="M5129" s="557"/>
      <c r="N5129" s="557"/>
      <c r="O5129" s="557"/>
      <c r="P5129" s="557"/>
      <c r="Q5129" s="557"/>
      <c r="R5129" s="557"/>
      <c r="S5129" s="557"/>
      <c r="T5129" s="557"/>
      <c r="U5129" s="557"/>
      <c r="V5129" s="557"/>
      <c r="Y5129" s="374"/>
      <c r="Z5129" s="94"/>
      <c r="AA5129" s="86"/>
      <c r="AB5129" s="94"/>
      <c r="AC5129" s="94"/>
      <c r="AD5129" s="94"/>
      <c r="AE5129" s="94"/>
    </row>
    <row r="5130" spans="3:31" s="260" customFormat="1" ht="15.75" thickBot="1" x14ac:dyDescent="0.3">
      <c r="C5130" s="84"/>
      <c r="D5130" s="375" t="s">
        <v>128</v>
      </c>
      <c r="E5130" s="376" t="s">
        <v>129</v>
      </c>
      <c r="F5130" s="376" t="s">
        <v>130</v>
      </c>
      <c r="G5130" s="376" t="s">
        <v>131</v>
      </c>
      <c r="H5130" s="376" t="s">
        <v>132</v>
      </c>
      <c r="I5130" s="376" t="s">
        <v>133</v>
      </c>
      <c r="J5130" s="377" t="s">
        <v>134</v>
      </c>
      <c r="K5130" s="88"/>
      <c r="M5130" s="558" t="s">
        <v>93</v>
      </c>
      <c r="N5130" s="559"/>
      <c r="O5130" s="559"/>
      <c r="P5130" s="559"/>
      <c r="Q5130" s="559"/>
      <c r="R5130" s="559"/>
      <c r="S5130" s="559"/>
      <c r="T5130" s="559"/>
      <c r="U5130" s="559"/>
      <c r="V5130" s="560"/>
      <c r="Y5130" s="378"/>
      <c r="Z5130" s="121"/>
      <c r="AA5130" s="86"/>
      <c r="AB5130" s="513"/>
      <c r="AC5130" s="514"/>
      <c r="AD5130" s="94"/>
      <c r="AE5130" s="379"/>
    </row>
    <row r="5131" spans="3:31" s="260" customFormat="1" x14ac:dyDescent="0.25">
      <c r="C5131" s="84"/>
      <c r="D5131" s="380"/>
      <c r="E5131" s="381"/>
      <c r="F5131" s="381"/>
      <c r="G5131" s="381"/>
      <c r="H5131" s="381"/>
      <c r="I5131" s="381"/>
      <c r="J5131" s="382"/>
      <c r="K5131" s="88"/>
      <c r="M5131" s="99" t="s">
        <v>94</v>
      </c>
      <c r="N5131" s="561" t="s">
        <v>95</v>
      </c>
      <c r="O5131" s="561"/>
      <c r="P5131" s="561"/>
      <c r="Q5131" s="561"/>
      <c r="R5131" s="95" t="s">
        <v>96</v>
      </c>
      <c r="S5131" s="95" t="s">
        <v>97</v>
      </c>
      <c r="T5131" s="562" t="s">
        <v>8</v>
      </c>
      <c r="U5131" s="562"/>
      <c r="V5131" s="100" t="s">
        <v>98</v>
      </c>
      <c r="Y5131" s="383" t="s">
        <v>104</v>
      </c>
      <c r="Z5131" s="119" t="s">
        <v>9</v>
      </c>
      <c r="AA5131" s="86"/>
      <c r="AB5131" s="384"/>
      <c r="AC5131" s="385"/>
      <c r="AD5131" s="94"/>
      <c r="AE5131" s="386"/>
    </row>
    <row r="5132" spans="3:31" s="260" customFormat="1" x14ac:dyDescent="0.25">
      <c r="C5132" s="84"/>
      <c r="D5132" s="85"/>
      <c r="E5132" s="86"/>
      <c r="F5132" s="86"/>
      <c r="G5132" s="86"/>
      <c r="H5132" s="86"/>
      <c r="I5132" s="86"/>
      <c r="J5132" s="87"/>
      <c r="K5132" s="88"/>
      <c r="M5132" s="102"/>
      <c r="N5132" s="533" t="s">
        <v>99</v>
      </c>
      <c r="O5132" s="533"/>
      <c r="P5132" s="533"/>
      <c r="Q5132" s="533"/>
      <c r="R5132" s="78" t="s">
        <v>100</v>
      </c>
      <c r="S5132" s="387">
        <f>+$AA$10</f>
        <v>0.05</v>
      </c>
      <c r="T5132" s="563">
        <f>V5162</f>
        <v>5578.97</v>
      </c>
      <c r="U5132" s="563"/>
      <c r="V5132" s="389">
        <f>+IFERROR(T5132*S5132,0)</f>
        <v>278.94850000000002</v>
      </c>
      <c r="Y5132" s="390"/>
      <c r="Z5132" s="391">
        <f>Y5128*V5132</f>
        <v>1115.7940000000001</v>
      </c>
      <c r="AA5132" s="86"/>
      <c r="AB5132" s="384"/>
      <c r="AC5132" s="385"/>
      <c r="AD5132" s="94"/>
      <c r="AE5132" s="386" t="str">
        <f>+IF(V5132=0,"CERO","NO")</f>
        <v>NO</v>
      </c>
    </row>
    <row r="5133" spans="3:31" s="260" customFormat="1" x14ac:dyDescent="0.25">
      <c r="C5133" s="84"/>
      <c r="D5133" s="85"/>
      <c r="E5133" s="86"/>
      <c r="F5133" s="86"/>
      <c r="G5133" s="86"/>
      <c r="H5133" s="86"/>
      <c r="I5133" s="86"/>
      <c r="J5133" s="87"/>
      <c r="K5133" s="88"/>
      <c r="M5133" s="106"/>
      <c r="N5133" s="533" t="str">
        <f>IFERROR(VLOOKUP(M5133,INSUMOS!$C$8:$K$928,2,0),"-----")</f>
        <v>-----</v>
      </c>
      <c r="O5133" s="533"/>
      <c r="P5133" s="533"/>
      <c r="Q5133" s="533"/>
      <c r="R5133" s="78" t="str">
        <f>IFERROR(VLOOKUP(M5133,INSUMOS!$C$8:$K$928,6,0),"-----")</f>
        <v>-----</v>
      </c>
      <c r="S5133" s="392"/>
      <c r="T5133" s="529" t="str">
        <f>IFERROR(VLOOKUP(M5133,INSUMOS!$C$8:$K$928,7,0),"0")</f>
        <v>0</v>
      </c>
      <c r="U5133" s="529"/>
      <c r="V5133" s="389">
        <f>+IFERROR(T5133*S5133,0)</f>
        <v>0</v>
      </c>
      <c r="Y5133" s="393">
        <f>+IFERROR(Y5128*S5133,0)</f>
        <v>0</v>
      </c>
      <c r="Z5133" s="391">
        <f>Y5128*V5133</f>
        <v>0</v>
      </c>
      <c r="AA5133" s="394"/>
      <c r="AB5133" s="395">
        <f>+Y5133*T5133</f>
        <v>0</v>
      </c>
      <c r="AC5133" s="93">
        <f>+AB5133-Z5133</f>
        <v>0</v>
      </c>
      <c r="AD5133" s="94"/>
      <c r="AE5133" s="386" t="str">
        <f>+IF(V5133=0,"CERO","NO")</f>
        <v>CERO</v>
      </c>
    </row>
    <row r="5134" spans="3:31" s="260" customFormat="1" x14ac:dyDescent="0.25">
      <c r="C5134" s="84"/>
      <c r="D5134" s="85"/>
      <c r="E5134" s="86"/>
      <c r="F5134" s="86"/>
      <c r="G5134" s="86"/>
      <c r="H5134" s="86"/>
      <c r="I5134" s="86"/>
      <c r="J5134" s="87"/>
      <c r="K5134" s="88"/>
      <c r="M5134" s="102">
        <v>0</v>
      </c>
      <c r="N5134" s="533"/>
      <c r="O5134" s="533"/>
      <c r="P5134" s="533"/>
      <c r="Q5134" s="533"/>
      <c r="R5134" s="78"/>
      <c r="S5134" s="396"/>
      <c r="T5134" s="529"/>
      <c r="U5134" s="529"/>
      <c r="V5134" s="397"/>
      <c r="Y5134" s="393">
        <f>+IFERROR(Y5128*S5134,0)</f>
        <v>0</v>
      </c>
      <c r="Z5134" s="391">
        <f>Y5128*V5134</f>
        <v>0</v>
      </c>
      <c r="AA5134" s="394"/>
      <c r="AB5134" s="395">
        <f>+Y5134*T5134</f>
        <v>0</v>
      </c>
      <c r="AC5134" s="93">
        <f>+AB5134-Z5134</f>
        <v>0</v>
      </c>
      <c r="AD5134" s="94"/>
      <c r="AE5134" s="386" t="str">
        <f>+IF(V5134=0,"CERO","NO")</f>
        <v>CERO</v>
      </c>
    </row>
    <row r="5135" spans="3:31" s="260" customFormat="1" x14ac:dyDescent="0.25">
      <c r="C5135" s="84"/>
      <c r="D5135" s="85"/>
      <c r="E5135" s="86"/>
      <c r="F5135" s="86"/>
      <c r="G5135" s="86"/>
      <c r="H5135" s="86"/>
      <c r="I5135" s="86"/>
      <c r="J5135" s="87"/>
      <c r="K5135" s="88"/>
      <c r="M5135" s="102">
        <v>0</v>
      </c>
      <c r="N5135" s="533"/>
      <c r="O5135" s="533"/>
      <c r="P5135" s="533"/>
      <c r="Q5135" s="533"/>
      <c r="R5135" s="78"/>
      <c r="S5135" s="396"/>
      <c r="T5135" s="529"/>
      <c r="U5135" s="529"/>
      <c r="V5135" s="397"/>
      <c r="Y5135" s="393">
        <f>+IFERROR(Y5128*S5135,0)</f>
        <v>0</v>
      </c>
      <c r="Z5135" s="391">
        <f>Y5128*V5135</f>
        <v>0</v>
      </c>
      <c r="AA5135" s="394"/>
      <c r="AB5135" s="395">
        <f>+Y5135*T5135</f>
        <v>0</v>
      </c>
      <c r="AC5135" s="93">
        <f>+AB5135-Z5135</f>
        <v>0</v>
      </c>
      <c r="AD5135" s="94"/>
      <c r="AE5135" s="386" t="str">
        <f>+IF(V5135=0,"CERO","NO")</f>
        <v>CERO</v>
      </c>
    </row>
    <row r="5136" spans="3:31" s="260" customFormat="1" ht="15.75" thickBot="1" x14ac:dyDescent="0.3">
      <c r="C5136" s="84"/>
      <c r="D5136" s="85"/>
      <c r="E5136" s="86"/>
      <c r="F5136" s="86"/>
      <c r="G5136" s="86"/>
      <c r="H5136" s="86"/>
      <c r="I5136" s="86"/>
      <c r="J5136" s="87"/>
      <c r="K5136" s="88"/>
      <c r="M5136" s="102">
        <v>0</v>
      </c>
      <c r="N5136" s="564"/>
      <c r="O5136" s="564"/>
      <c r="P5136" s="564"/>
      <c r="Q5136" s="564"/>
      <c r="R5136" s="96"/>
      <c r="S5136" s="96"/>
      <c r="T5136" s="565"/>
      <c r="U5136" s="565"/>
      <c r="V5136" s="101"/>
      <c r="Y5136" s="393">
        <f>+IFERROR(Y5128*S5136,0)</f>
        <v>0</v>
      </c>
      <c r="Z5136" s="391">
        <f>Y5128*V5136</f>
        <v>0</v>
      </c>
      <c r="AA5136" s="394"/>
      <c r="AB5136" s="395">
        <f>+Y5136*T5136</f>
        <v>0</v>
      </c>
      <c r="AC5136" s="93">
        <f>+AB5136-Z5136</f>
        <v>0</v>
      </c>
      <c r="AD5136" s="94"/>
      <c r="AE5136" s="386" t="str">
        <f>+IF(V5136=0,"CERO","NO")</f>
        <v>CERO</v>
      </c>
    </row>
    <row r="5137" spans="3:31" s="260" customFormat="1" ht="15.75" thickBot="1" x14ac:dyDescent="0.3">
      <c r="C5137" s="84"/>
      <c r="D5137" s="375" t="s">
        <v>128</v>
      </c>
      <c r="E5137" s="376" t="s">
        <v>129</v>
      </c>
      <c r="F5137" s="376" t="s">
        <v>130</v>
      </c>
      <c r="G5137" s="376" t="s">
        <v>131</v>
      </c>
      <c r="H5137" s="376" t="s">
        <v>132</v>
      </c>
      <c r="I5137" s="376" t="s">
        <v>133</v>
      </c>
      <c r="J5137" s="377" t="s">
        <v>134</v>
      </c>
      <c r="K5137" s="88"/>
      <c r="M5137" s="534"/>
      <c r="N5137" s="536" t="s">
        <v>101</v>
      </c>
      <c r="O5137" s="536"/>
      <c r="P5137" s="536"/>
      <c r="Q5137" s="536"/>
      <c r="R5137" s="536"/>
      <c r="S5137" s="536"/>
      <c r="T5137" s="536"/>
      <c r="U5137" s="536"/>
      <c r="V5137" s="389">
        <f>+SUM(V5132:V5136)</f>
        <v>278.94850000000002</v>
      </c>
      <c r="Y5137" s="398" t="s">
        <v>135</v>
      </c>
      <c r="Z5137" s="397">
        <f>+SUM(Z5132:Z5136)</f>
        <v>1115.7940000000001</v>
      </c>
      <c r="AA5137" s="86"/>
      <c r="AB5137" s="384"/>
      <c r="AC5137" s="385"/>
      <c r="AD5137" s="94"/>
      <c r="AE5137" s="399"/>
    </row>
    <row r="5138" spans="3:31" s="260" customFormat="1" ht="15.75" thickBot="1" x14ac:dyDescent="0.3">
      <c r="C5138" s="84"/>
      <c r="D5138" s="375">
        <f>C5128</f>
        <v>5.05</v>
      </c>
      <c r="E5138" s="376"/>
      <c r="F5138" s="376"/>
      <c r="G5138" s="376"/>
      <c r="H5138" s="376"/>
      <c r="I5138" s="376"/>
      <c r="J5138" s="377"/>
      <c r="K5138" s="88"/>
      <c r="M5138" s="566"/>
      <c r="N5138" s="567" t="s">
        <v>102</v>
      </c>
      <c r="O5138" s="567"/>
      <c r="P5138" s="567"/>
      <c r="Q5138" s="567"/>
      <c r="R5138" s="567"/>
      <c r="S5138" s="567"/>
      <c r="T5138" s="567"/>
      <c r="U5138" s="567"/>
      <c r="V5138" s="400">
        <f>+ROUND(V5137,$AA$5)</f>
        <v>278.95</v>
      </c>
      <c r="Y5138" s="401" t="s">
        <v>136</v>
      </c>
      <c r="Z5138" s="402">
        <f>+ROUND(Z5137,$AA$5)</f>
        <v>1115.79</v>
      </c>
      <c r="AA5138" s="86"/>
      <c r="AB5138" s="403">
        <f>+V5138*Y5128</f>
        <v>1115.8</v>
      </c>
      <c r="AC5138" s="404">
        <f>+AB5138-Z5138</f>
        <v>9.9999999999909051E-3</v>
      </c>
      <c r="AD5138" s="94"/>
      <c r="AE5138" s="405"/>
    </row>
    <row r="5139" spans="3:31" s="260" customFormat="1" x14ac:dyDescent="0.25">
      <c r="C5139" s="84"/>
      <c r="D5139" s="380"/>
      <c r="E5139" s="381"/>
      <c r="F5139" s="381"/>
      <c r="G5139" s="381"/>
      <c r="H5139" s="381"/>
      <c r="I5139" s="381"/>
      <c r="J5139" s="382"/>
      <c r="K5139" s="88"/>
      <c r="M5139" s="510" t="s">
        <v>103</v>
      </c>
      <c r="N5139" s="511"/>
      <c r="O5139" s="511"/>
      <c r="P5139" s="511"/>
      <c r="Q5139" s="511"/>
      <c r="R5139" s="511"/>
      <c r="S5139" s="511"/>
      <c r="T5139" s="511"/>
      <c r="U5139" s="511"/>
      <c r="V5139" s="512"/>
      <c r="Y5139" s="378"/>
      <c r="Z5139" s="121"/>
      <c r="AA5139" s="86"/>
      <c r="AB5139" s="513"/>
      <c r="AC5139" s="514"/>
      <c r="AD5139" s="94"/>
      <c r="AE5139" s="126"/>
    </row>
    <row r="5140" spans="3:31" s="260" customFormat="1" x14ac:dyDescent="0.25">
      <c r="C5140" s="84"/>
      <c r="D5140" s="85"/>
      <c r="E5140" s="86"/>
      <c r="F5140" s="86"/>
      <c r="G5140" s="86"/>
      <c r="H5140" s="86"/>
      <c r="I5140" s="86"/>
      <c r="J5140" s="87"/>
      <c r="K5140" s="88"/>
      <c r="M5140" s="99" t="s">
        <v>94</v>
      </c>
      <c r="N5140" s="561" t="s">
        <v>95</v>
      </c>
      <c r="O5140" s="561"/>
      <c r="P5140" s="561"/>
      <c r="Q5140" s="561"/>
      <c r="R5140" s="95" t="s">
        <v>96</v>
      </c>
      <c r="S5140" s="95" t="s">
        <v>104</v>
      </c>
      <c r="T5140" s="356" t="s">
        <v>105</v>
      </c>
      <c r="U5140" s="356" t="s">
        <v>8</v>
      </c>
      <c r="V5140" s="100" t="s">
        <v>98</v>
      </c>
      <c r="Y5140" s="383" t="s">
        <v>104</v>
      </c>
      <c r="Z5140" s="119" t="s">
        <v>9</v>
      </c>
      <c r="AA5140" s="86"/>
      <c r="AB5140" s="384"/>
      <c r="AC5140" s="385"/>
      <c r="AD5140" s="94"/>
      <c r="AE5140" s="406"/>
    </row>
    <row r="5141" spans="3:31" s="260" customFormat="1" x14ac:dyDescent="0.25">
      <c r="C5141" s="84"/>
      <c r="D5141" s="85"/>
      <c r="E5141" s="86"/>
      <c r="F5141" s="86"/>
      <c r="G5141" s="86"/>
      <c r="H5141" s="86"/>
      <c r="I5141" s="86"/>
      <c r="J5141" s="87"/>
      <c r="K5141" s="88"/>
      <c r="M5141" s="102">
        <v>536</v>
      </c>
      <c r="N5141" s="533" t="str">
        <f>IFERROR(VLOOKUP(M5141,INSUMOS!$C$8:$K$928,2,0),"-----")</f>
        <v>CODO 4" 90° SANITARIO</v>
      </c>
      <c r="O5141" s="533"/>
      <c r="P5141" s="533"/>
      <c r="Q5141" s="533"/>
      <c r="R5141" s="78" t="str">
        <f>IFERROR(VLOOKUP(M5141,INSUMOS!$C$8:$K$928,6,0),"-----")</f>
        <v>und</v>
      </c>
      <c r="S5141" s="396">
        <v>1</v>
      </c>
      <c r="T5141" s="387">
        <v>0</v>
      </c>
      <c r="U5141" s="388">
        <f>IFERROR(VLOOKUP(M5141,INSUMOS!$C$8:$K$928,7,0),"0")</f>
        <v>17859</v>
      </c>
      <c r="V5141" s="389">
        <f>+IFERROR(U5141*(S5141*(1+T5141)),0)</f>
        <v>17859</v>
      </c>
      <c r="Y5141" s="393">
        <f>+IFERROR(Y5128*(S5141*(1+T5141)),0)</f>
        <v>4</v>
      </c>
      <c r="Z5141" s="391">
        <f>Y5128*V5141</f>
        <v>71436</v>
      </c>
      <c r="AA5141" s="394"/>
      <c r="AB5141" s="395">
        <f>+Y5141*U5141</f>
        <v>71436</v>
      </c>
      <c r="AC5141" s="93">
        <f>+AB5141-Z5141</f>
        <v>0</v>
      </c>
      <c r="AD5141" s="94"/>
      <c r="AE5141" s="406" t="str">
        <f>+IF(V5141=0,"CERO","NO")</f>
        <v>NO</v>
      </c>
    </row>
    <row r="5142" spans="3:31" s="260" customFormat="1" x14ac:dyDescent="0.25">
      <c r="C5142" s="84"/>
      <c r="D5142" s="85"/>
      <c r="E5142" s="86"/>
      <c r="F5142" s="86"/>
      <c r="G5142" s="86"/>
      <c r="H5142" s="86"/>
      <c r="I5142" s="86"/>
      <c r="J5142" s="87"/>
      <c r="K5142" s="88"/>
      <c r="M5142" s="102">
        <v>699</v>
      </c>
      <c r="N5142" s="533" t="str">
        <f>IFERROR(VLOOKUP(M5142,INSUMOS!$C$8:$K$928,2,0),"-----")</f>
        <v>SOLDADURA PVC LIQUIDA 1/4"</v>
      </c>
      <c r="O5142" s="533"/>
      <c r="P5142" s="533"/>
      <c r="Q5142" s="533"/>
      <c r="R5142" s="78" t="str">
        <f>IFERROR(VLOOKUP(M5142,INSUMOS!$C$8:$K$928,6,0),"-----")</f>
        <v>und</v>
      </c>
      <c r="S5142" s="396">
        <v>0.01</v>
      </c>
      <c r="T5142" s="387">
        <v>0.02</v>
      </c>
      <c r="U5142" s="388">
        <f>IFERROR(VLOOKUP(M5142,INSUMOS!$C$8:$K$928,7,0),"0")</f>
        <v>146569</v>
      </c>
      <c r="V5142" s="389">
        <f>+IFERROR(U5142*(S5142*(1+T5142)),0)</f>
        <v>1495.0038000000002</v>
      </c>
      <c r="Y5142" s="393">
        <f>+IFERROR(Y5128*(S5142*(1+T5142)),0)</f>
        <v>4.0800000000000003E-2</v>
      </c>
      <c r="Z5142" s="391">
        <f>Y5128*V5142</f>
        <v>5980.0152000000007</v>
      </c>
      <c r="AA5142" s="394"/>
      <c r="AB5142" s="395">
        <f>+Y5142*U5142</f>
        <v>5980.0152000000007</v>
      </c>
      <c r="AC5142" s="93">
        <f>+AB5142-Z5142</f>
        <v>0</v>
      </c>
      <c r="AD5142" s="94"/>
      <c r="AE5142" s="406" t="str">
        <f>+IF(V5142=0,"CERO","NO")</f>
        <v>NO</v>
      </c>
    </row>
    <row r="5143" spans="3:31" s="260" customFormat="1" x14ac:dyDescent="0.25">
      <c r="C5143" s="84"/>
      <c r="D5143" s="85"/>
      <c r="E5143" s="86"/>
      <c r="F5143" s="86"/>
      <c r="G5143" s="86"/>
      <c r="H5143" s="86"/>
      <c r="I5143" s="86"/>
      <c r="J5143" s="87"/>
      <c r="K5143" s="88"/>
      <c r="M5143" s="102">
        <v>700</v>
      </c>
      <c r="N5143" s="533" t="str">
        <f>IFERROR(VLOOKUP(M5143,INSUMOS!$C$8:$K$928,2,0),"-----")</f>
        <v>LIMPIADOR PVC 1/4</v>
      </c>
      <c r="O5143" s="533"/>
      <c r="P5143" s="533"/>
      <c r="Q5143" s="533"/>
      <c r="R5143" s="78" t="str">
        <f>IFERROR(VLOOKUP(M5143,INSUMOS!$C$8:$K$928,6,0),"-----")</f>
        <v>und</v>
      </c>
      <c r="S5143" s="396">
        <v>0.01</v>
      </c>
      <c r="T5143" s="387">
        <v>0.02</v>
      </c>
      <c r="U5143" s="388">
        <f>IFERROR(VLOOKUP(M5143,INSUMOS!$C$8:$K$928,7,0),"0")</f>
        <v>65913</v>
      </c>
      <c r="V5143" s="389">
        <f>+IFERROR(U5143*(S5143*(1+T5143)),0)</f>
        <v>672.31260000000009</v>
      </c>
      <c r="Y5143" s="393">
        <f>+IFERROR(Y5128*(S5143*(1+T5143)),0)</f>
        <v>4.0800000000000003E-2</v>
      </c>
      <c r="Z5143" s="391">
        <f>Y5128*V5143</f>
        <v>2689.2504000000004</v>
      </c>
      <c r="AA5143" s="394"/>
      <c r="AB5143" s="395">
        <f>+Y5143*U5143</f>
        <v>2689.2504000000004</v>
      </c>
      <c r="AC5143" s="93">
        <f>+AB5143-Z5143</f>
        <v>0</v>
      </c>
      <c r="AD5143" s="94"/>
      <c r="AE5143" s="406" t="str">
        <f>+IF(V5143=0,"CERO","NO")</f>
        <v>NO</v>
      </c>
    </row>
    <row r="5144" spans="3:31" s="260" customFormat="1" x14ac:dyDescent="0.25">
      <c r="C5144" s="84"/>
      <c r="D5144" s="85"/>
      <c r="E5144" s="86"/>
      <c r="F5144" s="86"/>
      <c r="G5144" s="86"/>
      <c r="H5144" s="86"/>
      <c r="I5144" s="86"/>
      <c r="J5144" s="87"/>
      <c r="K5144" s="88"/>
      <c r="M5144" s="102">
        <v>0</v>
      </c>
      <c r="N5144" s="533" t="str">
        <f>IFERROR(VLOOKUP(M5144,INSUMOS!$C$8:$K$928,2,0),"-----")</f>
        <v>-----</v>
      </c>
      <c r="O5144" s="533"/>
      <c r="P5144" s="533"/>
      <c r="Q5144" s="533"/>
      <c r="R5144" s="78" t="str">
        <f>IFERROR(VLOOKUP(M5144,INSUMOS!$C$8:$K$928,6,0),"-----")</f>
        <v>-----</v>
      </c>
      <c r="S5144" s="396"/>
      <c r="T5144" s="387"/>
      <c r="U5144" s="388" t="str">
        <f>IFERROR(VLOOKUP(M5144,INSUMOS!$C$8:$K$928,7,0),"0")</f>
        <v>0</v>
      </c>
      <c r="V5144" s="389">
        <f>+IFERROR(U5144*(S5144*(1+T5144)),0)</f>
        <v>0</v>
      </c>
      <c r="Y5144" s="393">
        <f>+IFERROR(Y5128*(S5144*(1+T5144)),0)</f>
        <v>0</v>
      </c>
      <c r="Z5144" s="391">
        <f>Y5128*V5144</f>
        <v>0</v>
      </c>
      <c r="AA5144" s="394"/>
      <c r="AB5144" s="395">
        <f>+Y5144*U5144</f>
        <v>0</v>
      </c>
      <c r="AC5144" s="93">
        <f>+AB5144-Z5144</f>
        <v>0</v>
      </c>
      <c r="AD5144" s="94"/>
      <c r="AE5144" s="406" t="str">
        <f>+IF(V5144=0,"CERO","NO")</f>
        <v>CERO</v>
      </c>
    </row>
    <row r="5145" spans="3:31" s="260" customFormat="1" ht="15.75" thickBot="1" x14ac:dyDescent="0.3">
      <c r="C5145" s="84"/>
      <c r="D5145" s="85"/>
      <c r="E5145" s="86"/>
      <c r="F5145" s="86"/>
      <c r="G5145" s="86"/>
      <c r="H5145" s="86"/>
      <c r="I5145" s="86"/>
      <c r="J5145" s="87"/>
      <c r="K5145" s="88"/>
      <c r="M5145" s="102">
        <v>0</v>
      </c>
      <c r="N5145" s="564"/>
      <c r="O5145" s="564"/>
      <c r="P5145" s="564"/>
      <c r="Q5145" s="564"/>
      <c r="R5145" s="96"/>
      <c r="S5145" s="79"/>
      <c r="T5145" s="97"/>
      <c r="U5145" s="358"/>
      <c r="V5145" s="397"/>
      <c r="Y5145" s="393">
        <f>+IFERROR(Y5128*(S5145*(1+T5145)),0)</f>
        <v>0</v>
      </c>
      <c r="Z5145" s="391">
        <f>Y5128*V5145</f>
        <v>0</v>
      </c>
      <c r="AA5145" s="394"/>
      <c r="AB5145" s="395">
        <f>+Y5145*U5145</f>
        <v>0</v>
      </c>
      <c r="AC5145" s="93">
        <f>+AB5145-Z5145</f>
        <v>0</v>
      </c>
      <c r="AD5145" s="94"/>
      <c r="AE5145" s="406" t="str">
        <f>+IF(V5145=0,"CERO","NO")</f>
        <v>CERO</v>
      </c>
    </row>
    <row r="5146" spans="3:31" s="260" customFormat="1" ht="15.75" thickBot="1" x14ac:dyDescent="0.3">
      <c r="C5146" s="84"/>
      <c r="D5146" s="375" t="s">
        <v>128</v>
      </c>
      <c r="E5146" s="376" t="s">
        <v>129</v>
      </c>
      <c r="F5146" s="376" t="s">
        <v>130</v>
      </c>
      <c r="G5146" s="376" t="s">
        <v>131</v>
      </c>
      <c r="H5146" s="376" t="s">
        <v>132</v>
      </c>
      <c r="I5146" s="376" t="s">
        <v>133</v>
      </c>
      <c r="J5146" s="377" t="s">
        <v>134</v>
      </c>
      <c r="K5146" s="88"/>
      <c r="M5146" s="534"/>
      <c r="N5146" s="536" t="s">
        <v>106</v>
      </c>
      <c r="O5146" s="536"/>
      <c r="P5146" s="536"/>
      <c r="Q5146" s="536"/>
      <c r="R5146" s="536"/>
      <c r="S5146" s="536"/>
      <c r="T5146" s="536"/>
      <c r="U5146" s="536"/>
      <c r="V5146" s="389">
        <f>+SUM(V5141:V5145)</f>
        <v>20026.3164</v>
      </c>
      <c r="Y5146" s="398" t="s">
        <v>135</v>
      </c>
      <c r="Z5146" s="397">
        <f>+SUM(Z5141:Z5145)</f>
        <v>80105.265599999999</v>
      </c>
      <c r="AA5146" s="86"/>
      <c r="AB5146" s="384"/>
      <c r="AC5146" s="385"/>
      <c r="AD5146" s="94"/>
      <c r="AE5146" s="399"/>
    </row>
    <row r="5147" spans="3:31" s="260" customFormat="1" ht="15.75" thickBot="1" x14ac:dyDescent="0.3">
      <c r="C5147" s="84"/>
      <c r="D5147" s="375"/>
      <c r="E5147" s="407">
        <f>+D5138</f>
        <v>5.05</v>
      </c>
      <c r="F5147" s="376"/>
      <c r="G5147" s="376"/>
      <c r="H5147" s="376"/>
      <c r="I5147" s="376"/>
      <c r="J5147" s="377"/>
      <c r="K5147" s="88"/>
      <c r="M5147" s="535"/>
      <c r="N5147" s="537" t="s">
        <v>107</v>
      </c>
      <c r="O5147" s="537"/>
      <c r="P5147" s="537"/>
      <c r="Q5147" s="537"/>
      <c r="R5147" s="537"/>
      <c r="S5147" s="537"/>
      <c r="T5147" s="537"/>
      <c r="U5147" s="537"/>
      <c r="V5147" s="408">
        <f>+ROUND(V5146,$AA$5)</f>
        <v>20026.32</v>
      </c>
      <c r="Y5147" s="401" t="s">
        <v>136</v>
      </c>
      <c r="Z5147" s="402">
        <f>+ROUND(Z5146,$AA$5)</f>
        <v>80105.27</v>
      </c>
      <c r="AA5147" s="86"/>
      <c r="AB5147" s="403">
        <f>+V5147*Y5128</f>
        <v>80105.279999999999</v>
      </c>
      <c r="AC5147" s="404">
        <f>+AB5147-Z5147</f>
        <v>9.9999999947613105E-3</v>
      </c>
      <c r="AD5147" s="94"/>
      <c r="AE5147" s="405"/>
    </row>
    <row r="5148" spans="3:31" s="260" customFormat="1" x14ac:dyDescent="0.25">
      <c r="C5148" s="84"/>
      <c r="D5148" s="380"/>
      <c r="E5148" s="381"/>
      <c r="F5148" s="381"/>
      <c r="G5148" s="381"/>
      <c r="H5148" s="381"/>
      <c r="I5148" s="381"/>
      <c r="J5148" s="382"/>
      <c r="K5148" s="88"/>
      <c r="M5148" s="568" t="s">
        <v>108</v>
      </c>
      <c r="N5148" s="569"/>
      <c r="O5148" s="569"/>
      <c r="P5148" s="569"/>
      <c r="Q5148" s="569"/>
      <c r="R5148" s="569"/>
      <c r="S5148" s="569"/>
      <c r="T5148" s="569"/>
      <c r="U5148" s="569"/>
      <c r="V5148" s="570"/>
      <c r="Y5148" s="378"/>
      <c r="Z5148" s="121"/>
      <c r="AA5148" s="86"/>
      <c r="AB5148" s="409"/>
      <c r="AC5148" s="121"/>
      <c r="AD5148" s="94"/>
      <c r="AE5148" s="126"/>
    </row>
    <row r="5149" spans="3:31" s="260" customFormat="1" ht="25.5" x14ac:dyDescent="0.25">
      <c r="C5149" s="84"/>
      <c r="D5149" s="85"/>
      <c r="E5149" s="86"/>
      <c r="F5149" s="86"/>
      <c r="G5149" s="86"/>
      <c r="H5149" s="86"/>
      <c r="I5149" s="86"/>
      <c r="J5149" s="87"/>
      <c r="K5149" s="88"/>
      <c r="M5149" s="99" t="s">
        <v>94</v>
      </c>
      <c r="N5149" s="561" t="s">
        <v>95</v>
      </c>
      <c r="O5149" s="561"/>
      <c r="P5149" s="561"/>
      <c r="Q5149" s="95" t="s">
        <v>109</v>
      </c>
      <c r="R5149" s="95" t="s">
        <v>110</v>
      </c>
      <c r="S5149" s="95" t="s">
        <v>111</v>
      </c>
      <c r="T5149" s="562" t="s">
        <v>112</v>
      </c>
      <c r="U5149" s="562"/>
      <c r="V5149" s="100" t="s">
        <v>98</v>
      </c>
      <c r="Y5149" s="383" t="s">
        <v>104</v>
      </c>
      <c r="Z5149" s="119" t="s">
        <v>9</v>
      </c>
      <c r="AA5149" s="86"/>
      <c r="AB5149" s="384"/>
      <c r="AC5149" s="385"/>
      <c r="AD5149" s="94"/>
      <c r="AE5149" s="410"/>
    </row>
    <row r="5150" spans="3:31" s="260" customFormat="1" x14ac:dyDescent="0.25">
      <c r="C5150" s="84"/>
      <c r="D5150" s="85"/>
      <c r="E5150" s="86"/>
      <c r="F5150" s="86"/>
      <c r="G5150" s="86"/>
      <c r="H5150" s="86"/>
      <c r="I5150" s="86"/>
      <c r="J5150" s="87"/>
      <c r="K5150" s="88"/>
      <c r="M5150" s="102">
        <v>129</v>
      </c>
      <c r="N5150" s="530" t="str">
        <f>IFERROR(VLOOKUP(M5150,INSUMOS!$C$8:$K$928,2,0),"-----")</f>
        <v>transporte materiales en general</v>
      </c>
      <c r="O5150" s="531"/>
      <c r="P5150" s="532"/>
      <c r="Q5150" s="78" t="str">
        <f>IFERROR(VLOOKUP(M5150,INSUMOS!$C$8:$K$928,5,0),"-----")</f>
        <v>Km</v>
      </c>
      <c r="R5150" s="80">
        <v>1</v>
      </c>
      <c r="S5150" s="80">
        <f>IFERROR(VLOOKUP(M5150,INSUMOS!$C$8:$K$928,6,0),"0")</f>
        <v>348</v>
      </c>
      <c r="T5150" s="529">
        <f>IFERROR(VLOOKUP(M5150,INSUMOS!$C$8:$K$928,7,0),"0")</f>
        <v>0.99776362060288992</v>
      </c>
      <c r="U5150" s="529"/>
      <c r="V5150" s="82">
        <f>+T5150*S5150*R5150</f>
        <v>347.2217399698057</v>
      </c>
      <c r="Y5150" s="393">
        <f>+IFERROR((R5150*S5150)*Y5128,0)</f>
        <v>1392</v>
      </c>
      <c r="Z5150" s="391">
        <f>Y5128*V5150</f>
        <v>1388.8869598792228</v>
      </c>
      <c r="AA5150" s="86"/>
      <c r="AB5150" s="92">
        <f>+Y5150*T5150</f>
        <v>1388.8869598792228</v>
      </c>
      <c r="AC5150" s="93">
        <f>+AB5150-Z5150</f>
        <v>0</v>
      </c>
      <c r="AD5150" s="94"/>
      <c r="AE5150" s="406" t="str">
        <f>+IF(V5150=0,"CERO","NO")</f>
        <v>NO</v>
      </c>
    </row>
    <row r="5151" spans="3:31" s="260" customFormat="1" x14ac:dyDescent="0.25">
      <c r="C5151" s="84"/>
      <c r="D5151" s="85"/>
      <c r="E5151" s="86"/>
      <c r="F5151" s="86"/>
      <c r="G5151" s="86"/>
      <c r="H5151" s="86"/>
      <c r="I5151" s="86"/>
      <c r="J5151" s="87"/>
      <c r="K5151" s="88"/>
      <c r="M5151" s="102">
        <v>0</v>
      </c>
      <c r="N5151" s="530" t="str">
        <f>IFERROR(VLOOKUP(M5151,INSUMOS!$C$8:$K$928,2,0),"-----")</f>
        <v>-----</v>
      </c>
      <c r="O5151" s="531"/>
      <c r="P5151" s="532"/>
      <c r="Q5151" s="78" t="str">
        <f>IFERROR(VLOOKUP(M5151,INSUMOS!$C$8:$K$928,5,0),"-----")</f>
        <v>-----</v>
      </c>
      <c r="R5151" s="80"/>
      <c r="S5151" s="80" t="str">
        <f>IFERROR(VLOOKUP(M5151,INSUMOS!$C$8:$K$928,6,0),"0")</f>
        <v>0</v>
      </c>
      <c r="T5151" s="529" t="str">
        <f>IFERROR(VLOOKUP(M5151,INSUMOS!$C$8:$K$928,7,0),"0")</f>
        <v>0</v>
      </c>
      <c r="U5151" s="529"/>
      <c r="V5151" s="82">
        <f>+T5151*S5151*R5151</f>
        <v>0</v>
      </c>
      <c r="Y5151" s="393">
        <f>+IFERROR((R5151*S5151)*Y5128,0)</f>
        <v>0</v>
      </c>
      <c r="Z5151" s="391">
        <f>Y5128*V5151</f>
        <v>0</v>
      </c>
      <c r="AA5151" s="86"/>
      <c r="AB5151" s="92">
        <f>+Y5151*T5151</f>
        <v>0</v>
      </c>
      <c r="AC5151" s="93">
        <f>+AB5151-Z5151</f>
        <v>0</v>
      </c>
      <c r="AD5151" s="94"/>
      <c r="AE5151" s="406" t="str">
        <f>+IF(V5151=0,"CERO","NO")</f>
        <v>CERO</v>
      </c>
    </row>
    <row r="5152" spans="3:31" s="260" customFormat="1" x14ac:dyDescent="0.25">
      <c r="C5152" s="84"/>
      <c r="D5152" s="85"/>
      <c r="E5152" s="86"/>
      <c r="F5152" s="86"/>
      <c r="G5152" s="86"/>
      <c r="H5152" s="86"/>
      <c r="I5152" s="86"/>
      <c r="J5152" s="87"/>
      <c r="K5152" s="88"/>
      <c r="M5152" s="102">
        <v>0</v>
      </c>
      <c r="N5152" s="530" t="str">
        <f>IFERROR(VLOOKUP(M5152,INSUMOS!$C$8:$K$928,2,0),"-----")</f>
        <v>-----</v>
      </c>
      <c r="O5152" s="531"/>
      <c r="P5152" s="532"/>
      <c r="Q5152" s="78" t="str">
        <f>IFERROR(VLOOKUP(M5152,INSUMOS!$C$8:$K$928,5,0),"-----")</f>
        <v>-----</v>
      </c>
      <c r="R5152" s="80"/>
      <c r="S5152" s="80" t="str">
        <f>IFERROR(VLOOKUP(M5152,INSUMOS!$C$8:$K$928,6,0),"0")</f>
        <v>0</v>
      </c>
      <c r="T5152" s="529" t="str">
        <f>IFERROR(VLOOKUP(M5152,INSUMOS!$C$8:$K$928,7,0),"0")</f>
        <v>0</v>
      </c>
      <c r="U5152" s="529"/>
      <c r="V5152" s="82">
        <f>+T5152*S5152*R5152</f>
        <v>0</v>
      </c>
      <c r="Y5152" s="393">
        <f>+IFERROR((R5152*S5152)*Y5128,0)</f>
        <v>0</v>
      </c>
      <c r="Z5152" s="391">
        <f>Y5128*V5152</f>
        <v>0</v>
      </c>
      <c r="AA5152" s="86"/>
      <c r="AB5152" s="92">
        <f>+Y5152*T5152</f>
        <v>0</v>
      </c>
      <c r="AC5152" s="93">
        <f>+AB5152-Z5152</f>
        <v>0</v>
      </c>
      <c r="AD5152" s="94"/>
      <c r="AE5152" s="406" t="str">
        <f>+IF(V5152=0,"CERO","NO")</f>
        <v>CERO</v>
      </c>
    </row>
    <row r="5153" spans="3:31" s="260" customFormat="1" ht="15.75" thickBot="1" x14ac:dyDescent="0.3">
      <c r="C5153" s="84"/>
      <c r="D5153" s="89"/>
      <c r="E5153" s="90"/>
      <c r="F5153" s="90"/>
      <c r="G5153" s="90"/>
      <c r="H5153" s="90"/>
      <c r="I5153" s="90"/>
      <c r="J5153" s="91"/>
      <c r="K5153" s="88"/>
      <c r="M5153" s="102">
        <v>0</v>
      </c>
      <c r="N5153" s="533"/>
      <c r="O5153" s="533"/>
      <c r="P5153" s="533"/>
      <c r="Q5153" s="79"/>
      <c r="R5153" s="78"/>
      <c r="S5153" s="81"/>
      <c r="T5153" s="529"/>
      <c r="U5153" s="529"/>
      <c r="V5153" s="82"/>
      <c r="Y5153" s="393">
        <f>+IFERROR((R5153*S5153)*Y5128,0)</f>
        <v>0</v>
      </c>
      <c r="Z5153" s="391">
        <f>Y5128*V5153</f>
        <v>0</v>
      </c>
      <c r="AA5153" s="86"/>
      <c r="AB5153" s="92">
        <f>+Y5153*T5153</f>
        <v>0</v>
      </c>
      <c r="AC5153" s="93">
        <f>+AB5153-Z5153</f>
        <v>0</v>
      </c>
      <c r="AD5153" s="94"/>
      <c r="AE5153" s="406" t="str">
        <f>+IF(V5153=0,"CERO","NO")</f>
        <v>CERO</v>
      </c>
    </row>
    <row r="5154" spans="3:31" s="260" customFormat="1" ht="15.75" thickBot="1" x14ac:dyDescent="0.3">
      <c r="C5154" s="84"/>
      <c r="D5154" s="375" t="s">
        <v>128</v>
      </c>
      <c r="E5154" s="376" t="s">
        <v>129</v>
      </c>
      <c r="F5154" s="376" t="s">
        <v>130</v>
      </c>
      <c r="G5154" s="376" t="s">
        <v>131</v>
      </c>
      <c r="H5154" s="376" t="s">
        <v>132</v>
      </c>
      <c r="I5154" s="376" t="s">
        <v>133</v>
      </c>
      <c r="J5154" s="377" t="s">
        <v>134</v>
      </c>
      <c r="K5154" s="88"/>
      <c r="M5154" s="534"/>
      <c r="N5154" s="536" t="s">
        <v>113</v>
      </c>
      <c r="O5154" s="536"/>
      <c r="P5154" s="536"/>
      <c r="Q5154" s="536"/>
      <c r="R5154" s="536"/>
      <c r="S5154" s="536"/>
      <c r="T5154" s="536"/>
      <c r="U5154" s="536"/>
      <c r="V5154" s="411">
        <f>+SUM(V5150:V5153)</f>
        <v>347.2217399698057</v>
      </c>
      <c r="Y5154" s="398" t="s">
        <v>135</v>
      </c>
      <c r="Z5154" s="397">
        <f>+SUM(Z5150:Z5153)</f>
        <v>1388.8869598792228</v>
      </c>
      <c r="AA5154" s="86"/>
      <c r="AB5154" s="384"/>
      <c r="AC5154" s="385"/>
      <c r="AD5154" s="94"/>
      <c r="AE5154" s="399"/>
    </row>
    <row r="5155" spans="3:31" s="260" customFormat="1" ht="15.75" thickBot="1" x14ac:dyDescent="0.3">
      <c r="C5155" s="84"/>
      <c r="D5155" s="355"/>
      <c r="E5155" s="367"/>
      <c r="F5155" s="412">
        <f>+E5147</f>
        <v>5.05</v>
      </c>
      <c r="G5155" s="367"/>
      <c r="H5155" s="367"/>
      <c r="I5155" s="367"/>
      <c r="J5155" s="368"/>
      <c r="K5155" s="88"/>
      <c r="M5155" s="535"/>
      <c r="N5155" s="537" t="s">
        <v>114</v>
      </c>
      <c r="O5155" s="537"/>
      <c r="P5155" s="537"/>
      <c r="Q5155" s="537"/>
      <c r="R5155" s="537"/>
      <c r="S5155" s="537"/>
      <c r="T5155" s="537"/>
      <c r="U5155" s="537"/>
      <c r="V5155" s="413">
        <f>+ROUND(V5154,$AA$5)</f>
        <v>347.22</v>
      </c>
      <c r="Y5155" s="401" t="s">
        <v>136</v>
      </c>
      <c r="Z5155" s="402">
        <f>+ROUND(Z5154,$AA$5)</f>
        <v>1388.89</v>
      </c>
      <c r="AA5155" s="86"/>
      <c r="AB5155" s="403">
        <f>+V5155*Y5128</f>
        <v>1388.88</v>
      </c>
      <c r="AC5155" s="414"/>
      <c r="AD5155" s="94"/>
      <c r="AE5155" s="405"/>
    </row>
    <row r="5156" spans="3:31" s="260" customFormat="1" ht="15.75" thickBot="1" x14ac:dyDescent="0.3">
      <c r="C5156" s="84"/>
      <c r="D5156" s="415"/>
      <c r="E5156" s="416"/>
      <c r="F5156" s="416"/>
      <c r="G5156" s="416"/>
      <c r="H5156" s="416"/>
      <c r="I5156" s="416"/>
      <c r="J5156" s="417"/>
      <c r="K5156" s="88"/>
      <c r="M5156" s="538" t="s">
        <v>115</v>
      </c>
      <c r="N5156" s="539"/>
      <c r="O5156" s="539"/>
      <c r="P5156" s="539"/>
      <c r="Q5156" s="539"/>
      <c r="R5156" s="539"/>
      <c r="S5156" s="539"/>
      <c r="T5156" s="539"/>
      <c r="U5156" s="539"/>
      <c r="V5156" s="540"/>
      <c r="Y5156" s="378"/>
      <c r="Z5156" s="121"/>
      <c r="AA5156" s="86"/>
      <c r="AB5156" s="409"/>
      <c r="AC5156" s="121"/>
      <c r="AD5156" s="94"/>
      <c r="AE5156" s="126"/>
    </row>
    <row r="5157" spans="3:31" s="260" customFormat="1" ht="15.75" thickBot="1" x14ac:dyDescent="0.3">
      <c r="C5157" s="84"/>
      <c r="D5157" s="375" t="s">
        <v>128</v>
      </c>
      <c r="E5157" s="376" t="s">
        <v>129</v>
      </c>
      <c r="F5157" s="376" t="s">
        <v>130</v>
      </c>
      <c r="G5157" s="376" t="s">
        <v>131</v>
      </c>
      <c r="H5157" s="376" t="s">
        <v>132</v>
      </c>
      <c r="I5157" s="376" t="s">
        <v>133</v>
      </c>
      <c r="J5157" s="377" t="s">
        <v>134</v>
      </c>
      <c r="K5157" s="88"/>
      <c r="M5157" s="99" t="s">
        <v>94</v>
      </c>
      <c r="N5157" s="98" t="s">
        <v>95</v>
      </c>
      <c r="O5157" s="95" t="s">
        <v>96</v>
      </c>
      <c r="P5157" s="359" t="s">
        <v>104</v>
      </c>
      <c r="Q5157" s="95" t="s">
        <v>116</v>
      </c>
      <c r="R5157" s="418" t="s">
        <v>117</v>
      </c>
      <c r="S5157" s="95" t="s">
        <v>347</v>
      </c>
      <c r="T5157" s="419" t="s">
        <v>118</v>
      </c>
      <c r="U5157" s="189" t="s">
        <v>119</v>
      </c>
      <c r="V5157" s="100" t="s">
        <v>98</v>
      </c>
      <c r="Y5157" s="383" t="s">
        <v>104</v>
      </c>
      <c r="Z5157" s="119" t="s">
        <v>9</v>
      </c>
      <c r="AA5157" s="86"/>
      <c r="AB5157" s="384"/>
      <c r="AC5157" s="385"/>
      <c r="AD5157" s="94"/>
      <c r="AE5157" s="410"/>
    </row>
    <row r="5158" spans="3:31" s="260" customFormat="1" ht="25.5" x14ac:dyDescent="0.25">
      <c r="C5158" s="84"/>
      <c r="D5158" s="354"/>
      <c r="E5158" s="96"/>
      <c r="F5158" s="96"/>
      <c r="G5158" s="96"/>
      <c r="H5158" s="96"/>
      <c r="I5158" s="96"/>
      <c r="J5158" s="420">
        <f>+F5155</f>
        <v>5.05</v>
      </c>
      <c r="K5158" s="88"/>
      <c r="M5158" s="102">
        <v>207</v>
      </c>
      <c r="N5158" s="347" t="str">
        <f>IFERROR(VLOOKUP(M5158,INSUMOS!$C$8:$K$928,2,0),"-----")</f>
        <v>Oficial Hidrosanitario</v>
      </c>
      <c r="O5158" s="78" t="str">
        <f>IFERROR(VLOOKUP(M5158,INSUMOS!$C$8:$K$928,3,0),"-----")</f>
        <v>JORNAL+PS</v>
      </c>
      <c r="P5158" s="80">
        <v>1</v>
      </c>
      <c r="Q5158" s="79">
        <v>30</v>
      </c>
      <c r="R5158" s="190">
        <f>IFERROR(VLOOKUP(M5158,INSUMOS!$C$8:$K$928,4,0),"-----")</f>
        <v>92983</v>
      </c>
      <c r="S5158" s="190">
        <f>IFERROR(VLOOKUP(M5158,INSUMOS!$C$8:$K$928,6,0),"-----")</f>
        <v>74386</v>
      </c>
      <c r="T5158" s="190">
        <f>IFERROR(VLOOKUP(M5158,INSUMOS!$C$8:$K$928,5,0),"-----")</f>
        <v>0</v>
      </c>
      <c r="U5158" s="388">
        <f>SUM(R5158:T5158)</f>
        <v>167369</v>
      </c>
      <c r="V5158" s="82">
        <f>+IFERROR((P5158/Q5158)*U5158,0)</f>
        <v>5578.9666666666662</v>
      </c>
      <c r="Y5158" s="393">
        <f>+IFERROR((Y5128/Q5158*P5158),0)</f>
        <v>0.13333333333333333</v>
      </c>
      <c r="Z5158" s="391">
        <f>Y5128*V5158</f>
        <v>22315.866666666665</v>
      </c>
      <c r="AA5158" s="86"/>
      <c r="AB5158" s="92">
        <f>+(U5158)*Y5158</f>
        <v>22315.866666666665</v>
      </c>
      <c r="AC5158" s="93">
        <f>+AB5158-Z5158</f>
        <v>0</v>
      </c>
      <c r="AD5158" s="421"/>
      <c r="AE5158" s="410" t="str">
        <f>+IF(V5158=0,"CERO","NO")</f>
        <v>NO</v>
      </c>
    </row>
    <row r="5159" spans="3:31" s="260" customFormat="1" ht="15.75" thickBot="1" x14ac:dyDescent="0.3">
      <c r="C5159" s="84"/>
      <c r="D5159" s="355"/>
      <c r="E5159" s="367"/>
      <c r="F5159" s="367"/>
      <c r="G5159" s="367"/>
      <c r="H5159" s="367"/>
      <c r="I5159" s="367"/>
      <c r="J5159" s="422">
        <f>+J5158</f>
        <v>5.05</v>
      </c>
      <c r="K5159" s="88"/>
      <c r="M5159" s="102"/>
      <c r="N5159" s="347" t="str">
        <f>IFERROR(VLOOKUP(M5159,INSUMOS!$C$8:$K$928,2,0),"-----")</f>
        <v>-----</v>
      </c>
      <c r="O5159" s="78" t="str">
        <f>IFERROR(VLOOKUP(M5159,INSUMOS!$C$8:$K$928,3,0),"-----")</f>
        <v>-----</v>
      </c>
      <c r="P5159" s="80"/>
      <c r="Q5159" s="79"/>
      <c r="R5159" s="190" t="str">
        <f>IFERROR(VLOOKUP(M5159,INSUMOS!$C$8:$K$928,4,0),"-----")</f>
        <v>-----</v>
      </c>
      <c r="S5159" s="190" t="str">
        <f>IFERROR(VLOOKUP(M5159,INSUMOS!$C$8:$K$928,6,0),"-----")</f>
        <v>-----</v>
      </c>
      <c r="T5159" s="190" t="str">
        <f>IFERROR(VLOOKUP(M5159,INSUMOS!$C$8:$K$928,5,0),"-----")</f>
        <v>-----</v>
      </c>
      <c r="U5159" s="388">
        <f>SUM(R5159:T5159)</f>
        <v>0</v>
      </c>
      <c r="V5159" s="82">
        <f>+IFERROR((P5159/Q5159)*U5159,0)</f>
        <v>0</v>
      </c>
      <c r="Y5159" s="393">
        <f>+IFERROR((Y5128/Q5159*P5159),0)</f>
        <v>0</v>
      </c>
      <c r="Z5159" s="391">
        <f>Y5128*V5159</f>
        <v>0</v>
      </c>
      <c r="AA5159" s="86"/>
      <c r="AB5159" s="92">
        <f>+U5159*Y5159</f>
        <v>0</v>
      </c>
      <c r="AC5159" s="93">
        <f>+AB5159-Z5159</f>
        <v>0</v>
      </c>
      <c r="AD5159" s="94"/>
      <c r="AE5159" s="410" t="str">
        <f>+IF(V5159=0,"CERO","NO")</f>
        <v>CERO</v>
      </c>
    </row>
    <row r="5160" spans="3:31" s="260" customFormat="1" ht="15.75" thickBot="1" x14ac:dyDescent="0.3">
      <c r="C5160" s="84"/>
      <c r="D5160" s="380"/>
      <c r="E5160" s="381"/>
      <c r="F5160" s="381"/>
      <c r="G5160" s="381"/>
      <c r="H5160" s="381"/>
      <c r="I5160" s="381"/>
      <c r="J5160" s="382"/>
      <c r="K5160" s="88"/>
      <c r="M5160" s="102">
        <v>0</v>
      </c>
      <c r="N5160" s="347"/>
      <c r="O5160" s="79"/>
      <c r="P5160" s="423"/>
      <c r="Q5160" s="81"/>
      <c r="R5160" s="111"/>
      <c r="S5160" s="357"/>
      <c r="T5160" s="111"/>
      <c r="U5160" s="388"/>
      <c r="V5160" s="426"/>
      <c r="Y5160" s="393">
        <f>+IFERROR((Y5128/Q5160*P5160),0)</f>
        <v>0</v>
      </c>
      <c r="Z5160" s="391">
        <f>Y5128*V5160</f>
        <v>0</v>
      </c>
      <c r="AA5160" s="86"/>
      <c r="AB5160" s="92">
        <f>+(U5160)*Y5160*P5160</f>
        <v>0</v>
      </c>
      <c r="AC5160" s="93">
        <f>+AB5160-Z5160</f>
        <v>0</v>
      </c>
      <c r="AD5160" s="94"/>
      <c r="AE5160" s="410" t="str">
        <f>+IF(V5160=0,"CERO","NO")</f>
        <v>CERO</v>
      </c>
    </row>
    <row r="5161" spans="3:31" s="260" customFormat="1" ht="15.75" thickBot="1" x14ac:dyDescent="0.3">
      <c r="C5161" s="84"/>
      <c r="D5161" s="375" t="s">
        <v>128</v>
      </c>
      <c r="E5161" s="376" t="s">
        <v>129</v>
      </c>
      <c r="F5161" s="376" t="s">
        <v>130</v>
      </c>
      <c r="G5161" s="376" t="s">
        <v>131</v>
      </c>
      <c r="H5161" s="376" t="s">
        <v>132</v>
      </c>
      <c r="I5161" s="376" t="s">
        <v>133</v>
      </c>
      <c r="J5161" s="377" t="s">
        <v>134</v>
      </c>
      <c r="K5161" s="88"/>
      <c r="M5161" s="534"/>
      <c r="N5161" s="536" t="s">
        <v>120</v>
      </c>
      <c r="O5161" s="536"/>
      <c r="P5161" s="536"/>
      <c r="Q5161" s="536"/>
      <c r="R5161" s="536"/>
      <c r="S5161" s="536"/>
      <c r="T5161" s="536"/>
      <c r="U5161" s="536"/>
      <c r="V5161" s="82">
        <f>+SUM(V5158:V5160)</f>
        <v>5578.9666666666662</v>
      </c>
      <c r="Y5161" s="398" t="s">
        <v>135</v>
      </c>
      <c r="Z5161" s="397">
        <f>+SUM(Z5158:Z5160)</f>
        <v>22315.866666666665</v>
      </c>
      <c r="AA5161" s="86"/>
      <c r="AB5161" s="384"/>
      <c r="AC5161" s="385"/>
      <c r="AD5161" s="94"/>
      <c r="AE5161" s="399"/>
    </row>
    <row r="5162" spans="3:31" s="260" customFormat="1" ht="15.75" thickBot="1" x14ac:dyDescent="0.3">
      <c r="C5162" s="84"/>
      <c r="D5162" s="354"/>
      <c r="E5162" s="96"/>
      <c r="F5162" s="96"/>
      <c r="G5162" s="107">
        <f>+F5155</f>
        <v>5.05</v>
      </c>
      <c r="H5162" s="96"/>
      <c r="I5162" s="96"/>
      <c r="J5162" s="427"/>
      <c r="K5162" s="88"/>
      <c r="M5162" s="535"/>
      <c r="N5162" s="537" t="s">
        <v>121</v>
      </c>
      <c r="O5162" s="537"/>
      <c r="P5162" s="537"/>
      <c r="Q5162" s="537"/>
      <c r="R5162" s="537"/>
      <c r="S5162" s="537"/>
      <c r="T5162" s="537"/>
      <c r="U5162" s="537"/>
      <c r="V5162" s="413">
        <f>+ROUND(V5161,$AA$5)</f>
        <v>5578.97</v>
      </c>
      <c r="Y5162" s="401" t="s">
        <v>136</v>
      </c>
      <c r="Z5162" s="402">
        <f>+ROUND(Z5161,$AA$5)</f>
        <v>22315.87</v>
      </c>
      <c r="AA5162" s="86"/>
      <c r="AB5162" s="403">
        <f>+V5162*Y5128</f>
        <v>22315.88</v>
      </c>
      <c r="AC5162" s="404">
        <f>+AB5162-Z5162</f>
        <v>1.0000000002037268E-2</v>
      </c>
      <c r="AD5162" s="94"/>
      <c r="AE5162" s="405"/>
    </row>
    <row r="5163" spans="3:31" s="260" customFormat="1" ht="15.75" thickBot="1" x14ac:dyDescent="0.3">
      <c r="C5163" s="84"/>
      <c r="D5163" s="375" t="s">
        <v>128</v>
      </c>
      <c r="E5163" s="376" t="s">
        <v>129</v>
      </c>
      <c r="F5163" s="376" t="s">
        <v>130</v>
      </c>
      <c r="G5163" s="376" t="s">
        <v>131</v>
      </c>
      <c r="H5163" s="376" t="s">
        <v>132</v>
      </c>
      <c r="I5163" s="376" t="s">
        <v>133</v>
      </c>
      <c r="J5163" s="377" t="s">
        <v>134</v>
      </c>
      <c r="K5163" s="88"/>
      <c r="M5163" s="541"/>
      <c r="N5163" s="542"/>
      <c r="O5163" s="542"/>
      <c r="P5163" s="542"/>
      <c r="Q5163" s="542"/>
      <c r="R5163" s="542"/>
      <c r="S5163" s="542"/>
      <c r="T5163" s="542"/>
      <c r="U5163" s="542"/>
      <c r="V5163" s="543"/>
      <c r="Y5163" s="378"/>
      <c r="Z5163" s="121"/>
      <c r="AA5163" s="86"/>
      <c r="AB5163" s="409"/>
      <c r="AC5163" s="121"/>
      <c r="AD5163" s="94"/>
      <c r="AE5163" s="428"/>
    </row>
    <row r="5164" spans="3:31" s="260" customFormat="1" ht="15.75" thickBot="1" x14ac:dyDescent="0.3">
      <c r="C5164" s="84"/>
      <c r="D5164" s="355"/>
      <c r="E5164" s="367"/>
      <c r="F5164" s="367"/>
      <c r="G5164" s="367"/>
      <c r="H5164" s="412">
        <f>G5162</f>
        <v>5.05</v>
      </c>
      <c r="I5164" s="412"/>
      <c r="J5164" s="422"/>
      <c r="K5164" s="88"/>
      <c r="M5164" s="544" t="s">
        <v>122</v>
      </c>
      <c r="N5164" s="537"/>
      <c r="O5164" s="537"/>
      <c r="P5164" s="537"/>
      <c r="Q5164" s="537"/>
      <c r="R5164" s="537"/>
      <c r="S5164" s="537"/>
      <c r="T5164" s="537"/>
      <c r="U5164" s="545">
        <f>+V5162+V5155+V5147+V5138</f>
        <v>26231.460000000003</v>
      </c>
      <c r="V5164" s="546"/>
      <c r="Y5164" s="429"/>
      <c r="Z5164" s="430">
        <f>+Z5162+Z5155+Z5147+Z5138</f>
        <v>104925.81999999999</v>
      </c>
      <c r="AA5164" s="86"/>
      <c r="AB5164" s="431">
        <f>+AB5162+AB5155+AB5147+AB5138</f>
        <v>104925.84000000001</v>
      </c>
      <c r="AC5164" s="404">
        <f>+AB5164-Z5164</f>
        <v>2.0000000018626451E-2</v>
      </c>
      <c r="AD5164" s="94"/>
      <c r="AE5164" s="432"/>
    </row>
    <row r="5165" spans="3:31" s="260" customFormat="1" ht="15.75" thickBot="1" x14ac:dyDescent="0.3"/>
    <row r="5166" spans="3:31" s="260" customFormat="1" x14ac:dyDescent="0.25">
      <c r="M5166" s="547" t="s">
        <v>348</v>
      </c>
      <c r="N5166" s="548"/>
      <c r="O5166" s="548"/>
      <c r="P5166" s="548"/>
      <c r="Q5166" s="548"/>
      <c r="R5166" s="548"/>
      <c r="S5166" s="548"/>
      <c r="T5166" s="548"/>
      <c r="U5166" s="548"/>
      <c r="V5166" s="549"/>
      <c r="Y5166" s="378"/>
      <c r="Z5166" s="121"/>
      <c r="AA5166" s="86"/>
      <c r="AB5166" s="94"/>
      <c r="AC5166" s="94"/>
      <c r="AD5166" s="94"/>
      <c r="AE5166" s="126" t="s">
        <v>133</v>
      </c>
    </row>
    <row r="5167" spans="3:31" s="260" customFormat="1" x14ac:dyDescent="0.25">
      <c r="M5167" s="515" t="s">
        <v>138</v>
      </c>
      <c r="N5167" s="516"/>
      <c r="O5167" s="516"/>
      <c r="P5167" s="516"/>
      <c r="Q5167" s="516"/>
      <c r="R5167" s="516"/>
      <c r="S5167" s="516"/>
      <c r="T5167" s="437">
        <v>0</v>
      </c>
      <c r="U5167" s="517">
        <f>+ROUND(U5164*T5167,$AA$5)</f>
        <v>0</v>
      </c>
      <c r="V5167" s="518"/>
      <c r="Y5167" s="390"/>
      <c r="Z5167" s="438">
        <f>+Z5164*T5167</f>
        <v>0</v>
      </c>
      <c r="AA5167" s="86"/>
      <c r="AB5167" s="94"/>
      <c r="AC5167" s="94"/>
      <c r="AD5167" s="94"/>
      <c r="AE5167" s="386" t="s">
        <v>133</v>
      </c>
    </row>
    <row r="5168" spans="3:31" s="260" customFormat="1" x14ac:dyDescent="0.25">
      <c r="M5168" s="515" t="s">
        <v>19</v>
      </c>
      <c r="N5168" s="516"/>
      <c r="O5168" s="516"/>
      <c r="P5168" s="516"/>
      <c r="Q5168" s="516"/>
      <c r="R5168" s="516"/>
      <c r="S5168" s="516"/>
      <c r="T5168" s="437">
        <v>0.05</v>
      </c>
      <c r="U5168" s="517">
        <f>+ROUND(U5164*T5168,$AA$5)</f>
        <v>1311.57</v>
      </c>
      <c r="V5168" s="518"/>
      <c r="Y5168" s="390"/>
      <c r="Z5168" s="438">
        <f>+Z5164*T5168</f>
        <v>5246.2910000000002</v>
      </c>
      <c r="AA5168" s="86"/>
      <c r="AB5168" s="94"/>
      <c r="AC5168" s="94"/>
      <c r="AD5168" s="94"/>
      <c r="AE5168" s="386" t="s">
        <v>133</v>
      </c>
    </row>
    <row r="5169" spans="3:31" s="260" customFormat="1" x14ac:dyDescent="0.25">
      <c r="M5169" s="515" t="s">
        <v>20</v>
      </c>
      <c r="N5169" s="516"/>
      <c r="O5169" s="516"/>
      <c r="P5169" s="516"/>
      <c r="Q5169" s="516"/>
      <c r="R5169" s="516"/>
      <c r="S5169" s="516"/>
      <c r="T5169" s="437">
        <v>0</v>
      </c>
      <c r="U5169" s="517">
        <f>+ROUND(U5164*T5169,$AA$5)</f>
        <v>0</v>
      </c>
      <c r="V5169" s="518"/>
      <c r="Y5169" s="390"/>
      <c r="Z5169" s="438">
        <f>+Z5164*T5169</f>
        <v>0</v>
      </c>
      <c r="AA5169" s="86"/>
      <c r="AB5169" s="94"/>
      <c r="AC5169" s="94"/>
      <c r="AD5169" s="94"/>
      <c r="AE5169" s="386" t="s">
        <v>133</v>
      </c>
    </row>
    <row r="5170" spans="3:31" s="260" customFormat="1" x14ac:dyDescent="0.25">
      <c r="M5170" s="515" t="s">
        <v>21</v>
      </c>
      <c r="N5170" s="516"/>
      <c r="O5170" s="516"/>
      <c r="P5170" s="516"/>
      <c r="Q5170" s="516"/>
      <c r="R5170" s="516"/>
      <c r="S5170" s="516"/>
      <c r="T5170" s="437">
        <f>$AA$9</f>
        <v>0</v>
      </c>
      <c r="U5170" s="517">
        <f>+ROUND(U5164*T5170,$AA$5)</f>
        <v>0</v>
      </c>
      <c r="V5170" s="518"/>
      <c r="Y5170" s="390"/>
      <c r="Z5170" s="438">
        <f>+Z5169*T5170</f>
        <v>0</v>
      </c>
      <c r="AA5170" s="86"/>
      <c r="AB5170" s="94"/>
      <c r="AC5170" s="94"/>
      <c r="AD5170" s="94"/>
      <c r="AE5170" s="386" t="s">
        <v>133</v>
      </c>
    </row>
    <row r="5171" spans="3:31" s="260" customFormat="1" ht="15.75" thickBot="1" x14ac:dyDescent="0.3">
      <c r="M5171" s="519" t="s">
        <v>349</v>
      </c>
      <c r="N5171" s="520"/>
      <c r="O5171" s="520"/>
      <c r="P5171" s="520"/>
      <c r="Q5171" s="520"/>
      <c r="R5171" s="520"/>
      <c r="S5171" s="520"/>
      <c r="T5171" s="520"/>
      <c r="U5171" s="521">
        <f>+SUM(U5167:V5170)</f>
        <v>1311.57</v>
      </c>
      <c r="V5171" s="522"/>
      <c r="Y5171" s="390"/>
      <c r="Z5171" s="439">
        <f>+SUM(Z5167:Z5170)</f>
        <v>5246.2910000000002</v>
      </c>
      <c r="AA5171" s="86"/>
      <c r="AB5171" s="94"/>
      <c r="AC5171" s="94"/>
      <c r="AD5171" s="94"/>
      <c r="AE5171" s="386" t="s">
        <v>133</v>
      </c>
    </row>
    <row r="5172" spans="3:31" s="260" customFormat="1" ht="15.75" thickBot="1" x14ac:dyDescent="0.3">
      <c r="D5172" s="375" t="s">
        <v>128</v>
      </c>
      <c r="E5172" s="376" t="s">
        <v>129</v>
      </c>
      <c r="F5172" s="376" t="s">
        <v>130</v>
      </c>
      <c r="G5172" s="376" t="s">
        <v>131</v>
      </c>
      <c r="H5172" s="376" t="s">
        <v>132</v>
      </c>
      <c r="I5172" s="376" t="s">
        <v>133</v>
      </c>
      <c r="J5172" s="377" t="s">
        <v>134</v>
      </c>
      <c r="M5172" s="86"/>
      <c r="N5172" s="94"/>
      <c r="O5172" s="94"/>
      <c r="P5172" s="94"/>
      <c r="Q5172" s="86"/>
      <c r="R5172" s="86"/>
      <c r="S5172" s="86"/>
      <c r="T5172" s="440"/>
      <c r="U5172" s="523"/>
      <c r="V5172" s="523"/>
      <c r="Y5172" s="390"/>
      <c r="Z5172" s="385"/>
      <c r="AA5172" s="86"/>
      <c r="AB5172" s="94"/>
      <c r="AC5172" s="94"/>
      <c r="AD5172" s="94"/>
      <c r="AE5172" s="386" t="s">
        <v>133</v>
      </c>
    </row>
    <row r="5173" spans="3:31" s="260" customFormat="1" ht="15.75" thickBot="1" x14ac:dyDescent="0.3">
      <c r="D5173" s="355"/>
      <c r="E5173" s="367"/>
      <c r="F5173" s="367"/>
      <c r="G5173" s="367"/>
      <c r="H5173" s="412"/>
      <c r="I5173" s="412">
        <f>H5164</f>
        <v>5.05</v>
      </c>
      <c r="J5173" s="422"/>
      <c r="M5173" s="524" t="s">
        <v>11</v>
      </c>
      <c r="N5173" s="525"/>
      <c r="O5173" s="525"/>
      <c r="P5173" s="525"/>
      <c r="Q5173" s="525"/>
      <c r="R5173" s="525"/>
      <c r="S5173" s="525"/>
      <c r="T5173" s="526"/>
      <c r="U5173" s="527">
        <f>+U5171+U5164</f>
        <v>27543.030000000002</v>
      </c>
      <c r="V5173" s="528"/>
      <c r="Y5173" s="429"/>
      <c r="Z5173" s="441">
        <f>+Z5171+Z5164</f>
        <v>110172.11099999999</v>
      </c>
      <c r="AA5173" s="86"/>
      <c r="AB5173" s="94"/>
      <c r="AC5173" s="94"/>
      <c r="AD5173" s="94"/>
      <c r="AE5173" s="405" t="s">
        <v>133</v>
      </c>
    </row>
    <row r="5174" spans="3:31" s="260" customFormat="1" x14ac:dyDescent="0.25"/>
    <row r="5175" spans="3:31" s="260" customFormat="1" ht="15.75" thickBot="1" x14ac:dyDescent="0.3"/>
    <row r="5176" spans="3:31" s="260" customFormat="1" ht="15.75" thickBot="1" x14ac:dyDescent="0.3">
      <c r="M5176" s="363" t="s">
        <v>88</v>
      </c>
      <c r="N5176" s="436" t="str">
        <f>+N5127</f>
        <v>CAP.5</v>
      </c>
      <c r="O5176" s="550" t="str">
        <f>IFERROR(VLOOKUP(N5176,PPTO!C:H,2,0),"----")</f>
        <v>RED PLUVIAL</v>
      </c>
      <c r="P5176" s="551"/>
      <c r="Q5176" s="551"/>
      <c r="R5176" s="551"/>
      <c r="S5176" s="551"/>
      <c r="T5176" s="551"/>
      <c r="U5176" s="552"/>
      <c r="V5176" s="74" t="s">
        <v>91</v>
      </c>
      <c r="Y5176" s="365" t="s">
        <v>104</v>
      </c>
      <c r="Z5176" s="94"/>
      <c r="AA5176" s="188"/>
      <c r="AB5176" s="553"/>
      <c r="AC5176" s="553"/>
      <c r="AD5176" s="553"/>
      <c r="AE5176" s="94"/>
    </row>
    <row r="5177" spans="3:31" s="260" customFormat="1" ht="15.75" thickBot="1" x14ac:dyDescent="0.3">
      <c r="C5177" s="369">
        <f>+N5177</f>
        <v>5.0599999999999996</v>
      </c>
      <c r="D5177" s="86"/>
      <c r="E5177" s="86"/>
      <c r="F5177" s="86"/>
      <c r="G5177" s="86"/>
      <c r="H5177" s="86"/>
      <c r="I5177" s="86"/>
      <c r="J5177" s="86"/>
      <c r="K5177" s="370"/>
      <c r="M5177" s="75" t="s">
        <v>92</v>
      </c>
      <c r="N5177" s="371">
        <f>+ROUNDUP(N5128+0.01,2)</f>
        <v>5.0599999999999996</v>
      </c>
      <c r="O5177" s="554" t="str">
        <f>IFERROR(VLOOKUP(N5177,PPTO!C:H,2,0),"----")</f>
        <v>Yee PVC Ø4"</v>
      </c>
      <c r="P5177" s="555"/>
      <c r="Q5177" s="555"/>
      <c r="R5177" s="555"/>
      <c r="S5177" s="555"/>
      <c r="T5177" s="555"/>
      <c r="U5177" s="556"/>
      <c r="V5177" s="76" t="str">
        <f>IFERROR(VLOOKUP(N5177,PPTO!C:H,3,0),"----")</f>
        <v>UND</v>
      </c>
      <c r="Y5177" s="373">
        <f>SUMIFS(PPTO!F:F,PPTO!C:C,APUS!N5177)</f>
        <v>12</v>
      </c>
      <c r="Z5177" s="94"/>
      <c r="AA5177" s="86"/>
      <c r="AB5177" s="94"/>
      <c r="AC5177" s="94"/>
      <c r="AD5177" s="94"/>
      <c r="AE5177" s="94"/>
    </row>
    <row r="5178" spans="3:31" s="260" customFormat="1" ht="15.75" thickBot="1" x14ac:dyDescent="0.3">
      <c r="C5178" s="84"/>
      <c r="D5178" s="86"/>
      <c r="E5178" s="86"/>
      <c r="F5178" s="86"/>
      <c r="G5178" s="86"/>
      <c r="H5178" s="86"/>
      <c r="I5178" s="86"/>
      <c r="J5178" s="86"/>
      <c r="K5178" s="88"/>
      <c r="M5178" s="557"/>
      <c r="N5178" s="557"/>
      <c r="O5178" s="557"/>
      <c r="P5178" s="557"/>
      <c r="Q5178" s="557"/>
      <c r="R5178" s="557"/>
      <c r="S5178" s="557"/>
      <c r="T5178" s="557"/>
      <c r="U5178" s="557"/>
      <c r="V5178" s="557"/>
      <c r="Y5178" s="374"/>
      <c r="Z5178" s="94"/>
      <c r="AA5178" s="86"/>
      <c r="AB5178" s="94"/>
      <c r="AC5178" s="94"/>
      <c r="AD5178" s="94"/>
      <c r="AE5178" s="94"/>
    </row>
    <row r="5179" spans="3:31" s="260" customFormat="1" ht="15.75" thickBot="1" x14ac:dyDescent="0.3">
      <c r="C5179" s="84"/>
      <c r="D5179" s="375" t="s">
        <v>128</v>
      </c>
      <c r="E5179" s="376" t="s">
        <v>129</v>
      </c>
      <c r="F5179" s="376" t="s">
        <v>130</v>
      </c>
      <c r="G5179" s="376" t="s">
        <v>131</v>
      </c>
      <c r="H5179" s="376" t="s">
        <v>132</v>
      </c>
      <c r="I5179" s="376" t="s">
        <v>133</v>
      </c>
      <c r="J5179" s="377" t="s">
        <v>134</v>
      </c>
      <c r="K5179" s="88"/>
      <c r="M5179" s="558" t="s">
        <v>93</v>
      </c>
      <c r="N5179" s="559"/>
      <c r="O5179" s="559"/>
      <c r="P5179" s="559"/>
      <c r="Q5179" s="559"/>
      <c r="R5179" s="559"/>
      <c r="S5179" s="559"/>
      <c r="T5179" s="559"/>
      <c r="U5179" s="559"/>
      <c r="V5179" s="560"/>
      <c r="Y5179" s="378"/>
      <c r="Z5179" s="121"/>
      <c r="AA5179" s="86"/>
      <c r="AB5179" s="513"/>
      <c r="AC5179" s="514"/>
      <c r="AD5179" s="94"/>
      <c r="AE5179" s="379"/>
    </row>
    <row r="5180" spans="3:31" s="260" customFormat="1" x14ac:dyDescent="0.25">
      <c r="C5180" s="84"/>
      <c r="D5180" s="380"/>
      <c r="E5180" s="381"/>
      <c r="F5180" s="381"/>
      <c r="G5180" s="381"/>
      <c r="H5180" s="381"/>
      <c r="I5180" s="381"/>
      <c r="J5180" s="382"/>
      <c r="K5180" s="88"/>
      <c r="M5180" s="99" t="s">
        <v>94</v>
      </c>
      <c r="N5180" s="561" t="s">
        <v>95</v>
      </c>
      <c r="O5180" s="561"/>
      <c r="P5180" s="561"/>
      <c r="Q5180" s="561"/>
      <c r="R5180" s="95" t="s">
        <v>96</v>
      </c>
      <c r="S5180" s="95" t="s">
        <v>97</v>
      </c>
      <c r="T5180" s="562" t="s">
        <v>8</v>
      </c>
      <c r="U5180" s="562"/>
      <c r="V5180" s="100" t="s">
        <v>98</v>
      </c>
      <c r="Y5180" s="383" t="s">
        <v>104</v>
      </c>
      <c r="Z5180" s="119" t="s">
        <v>9</v>
      </c>
      <c r="AA5180" s="86"/>
      <c r="AB5180" s="384"/>
      <c r="AC5180" s="385"/>
      <c r="AD5180" s="94"/>
      <c r="AE5180" s="386"/>
    </row>
    <row r="5181" spans="3:31" s="260" customFormat="1" x14ac:dyDescent="0.25">
      <c r="C5181" s="84"/>
      <c r="D5181" s="85"/>
      <c r="E5181" s="86"/>
      <c r="F5181" s="86"/>
      <c r="G5181" s="86"/>
      <c r="H5181" s="86"/>
      <c r="I5181" s="86"/>
      <c r="J5181" s="87"/>
      <c r="K5181" s="88"/>
      <c r="M5181" s="102"/>
      <c r="N5181" s="533" t="s">
        <v>99</v>
      </c>
      <c r="O5181" s="533"/>
      <c r="P5181" s="533"/>
      <c r="Q5181" s="533"/>
      <c r="R5181" s="78" t="s">
        <v>100</v>
      </c>
      <c r="S5181" s="387">
        <f>+$AA$10</f>
        <v>0.05</v>
      </c>
      <c r="T5181" s="563">
        <f>V5211</f>
        <v>5578.97</v>
      </c>
      <c r="U5181" s="563"/>
      <c r="V5181" s="389">
        <f>+IFERROR(T5181*S5181,0)</f>
        <v>278.94850000000002</v>
      </c>
      <c r="Y5181" s="390"/>
      <c r="Z5181" s="391">
        <f>Y5177*V5181</f>
        <v>3347.3820000000005</v>
      </c>
      <c r="AA5181" s="86"/>
      <c r="AB5181" s="384"/>
      <c r="AC5181" s="385"/>
      <c r="AD5181" s="94"/>
      <c r="AE5181" s="386" t="str">
        <f>+IF(V5181=0,"CERO","NO")</f>
        <v>NO</v>
      </c>
    </row>
    <row r="5182" spans="3:31" s="260" customFormat="1" x14ac:dyDescent="0.25">
      <c r="C5182" s="84"/>
      <c r="D5182" s="85"/>
      <c r="E5182" s="86"/>
      <c r="F5182" s="86"/>
      <c r="G5182" s="86"/>
      <c r="H5182" s="86"/>
      <c r="I5182" s="86"/>
      <c r="J5182" s="87"/>
      <c r="K5182" s="88"/>
      <c r="M5182" s="106"/>
      <c r="N5182" s="533" t="str">
        <f>IFERROR(VLOOKUP(M5182,INSUMOS!$C$8:$K$928,2,0),"-----")</f>
        <v>-----</v>
      </c>
      <c r="O5182" s="533"/>
      <c r="P5182" s="533"/>
      <c r="Q5182" s="533"/>
      <c r="R5182" s="78" t="str">
        <f>IFERROR(VLOOKUP(M5182,INSUMOS!$C$8:$K$928,6,0),"-----")</f>
        <v>-----</v>
      </c>
      <c r="S5182" s="392"/>
      <c r="T5182" s="529" t="str">
        <f>IFERROR(VLOOKUP(M5182,INSUMOS!$C$8:$K$928,7,0),"0")</f>
        <v>0</v>
      </c>
      <c r="U5182" s="529"/>
      <c r="V5182" s="389">
        <f>+IFERROR(T5182*S5182,0)</f>
        <v>0</v>
      </c>
      <c r="Y5182" s="393">
        <f>+IFERROR(Y5177*S5182,0)</f>
        <v>0</v>
      </c>
      <c r="Z5182" s="391">
        <f>Y5177*V5182</f>
        <v>0</v>
      </c>
      <c r="AA5182" s="394"/>
      <c r="AB5182" s="395">
        <f>+Y5182*T5182</f>
        <v>0</v>
      </c>
      <c r="AC5182" s="93">
        <f>+AB5182-Z5182</f>
        <v>0</v>
      </c>
      <c r="AD5182" s="94"/>
      <c r="AE5182" s="386" t="str">
        <f>+IF(V5182=0,"CERO","NO")</f>
        <v>CERO</v>
      </c>
    </row>
    <row r="5183" spans="3:31" s="260" customFormat="1" x14ac:dyDescent="0.25">
      <c r="C5183" s="84"/>
      <c r="D5183" s="85"/>
      <c r="E5183" s="86"/>
      <c r="F5183" s="86"/>
      <c r="G5183" s="86"/>
      <c r="H5183" s="86"/>
      <c r="I5183" s="86"/>
      <c r="J5183" s="87"/>
      <c r="K5183" s="88"/>
      <c r="M5183" s="102">
        <v>0</v>
      </c>
      <c r="N5183" s="533"/>
      <c r="O5183" s="533"/>
      <c r="P5183" s="533"/>
      <c r="Q5183" s="533"/>
      <c r="R5183" s="78"/>
      <c r="S5183" s="396"/>
      <c r="T5183" s="529"/>
      <c r="U5183" s="529"/>
      <c r="V5183" s="397"/>
      <c r="Y5183" s="393">
        <f>+IFERROR(Y5177*S5183,0)</f>
        <v>0</v>
      </c>
      <c r="Z5183" s="391">
        <f>Y5177*V5183</f>
        <v>0</v>
      </c>
      <c r="AA5183" s="394"/>
      <c r="AB5183" s="395">
        <f>+Y5183*T5183</f>
        <v>0</v>
      </c>
      <c r="AC5183" s="93">
        <f>+AB5183-Z5183</f>
        <v>0</v>
      </c>
      <c r="AD5183" s="94"/>
      <c r="AE5183" s="386" t="str">
        <f>+IF(V5183=0,"CERO","NO")</f>
        <v>CERO</v>
      </c>
    </row>
    <row r="5184" spans="3:31" s="260" customFormat="1" x14ac:dyDescent="0.25">
      <c r="C5184" s="84"/>
      <c r="D5184" s="85"/>
      <c r="E5184" s="86"/>
      <c r="F5184" s="86"/>
      <c r="G5184" s="86"/>
      <c r="H5184" s="86"/>
      <c r="I5184" s="86"/>
      <c r="J5184" s="87"/>
      <c r="K5184" s="88"/>
      <c r="M5184" s="102">
        <v>0</v>
      </c>
      <c r="N5184" s="533"/>
      <c r="O5184" s="533"/>
      <c r="P5184" s="533"/>
      <c r="Q5184" s="533"/>
      <c r="R5184" s="78"/>
      <c r="S5184" s="396"/>
      <c r="T5184" s="529"/>
      <c r="U5184" s="529"/>
      <c r="V5184" s="397"/>
      <c r="Y5184" s="393">
        <f>+IFERROR(Y5177*S5184,0)</f>
        <v>0</v>
      </c>
      <c r="Z5184" s="391">
        <f>Y5177*V5184</f>
        <v>0</v>
      </c>
      <c r="AA5184" s="394"/>
      <c r="AB5184" s="395">
        <f>+Y5184*T5184</f>
        <v>0</v>
      </c>
      <c r="AC5184" s="93">
        <f>+AB5184-Z5184</f>
        <v>0</v>
      </c>
      <c r="AD5184" s="94"/>
      <c r="AE5184" s="386" t="str">
        <f>+IF(V5184=0,"CERO","NO")</f>
        <v>CERO</v>
      </c>
    </row>
    <row r="5185" spans="3:31" s="260" customFormat="1" ht="15.75" thickBot="1" x14ac:dyDescent="0.3">
      <c r="C5185" s="84"/>
      <c r="D5185" s="85"/>
      <c r="E5185" s="86"/>
      <c r="F5185" s="86"/>
      <c r="G5185" s="86"/>
      <c r="H5185" s="86"/>
      <c r="I5185" s="86"/>
      <c r="J5185" s="87"/>
      <c r="K5185" s="88"/>
      <c r="M5185" s="102">
        <v>0</v>
      </c>
      <c r="N5185" s="564"/>
      <c r="O5185" s="564"/>
      <c r="P5185" s="564"/>
      <c r="Q5185" s="564"/>
      <c r="R5185" s="96"/>
      <c r="S5185" s="96"/>
      <c r="T5185" s="565"/>
      <c r="U5185" s="565"/>
      <c r="V5185" s="101"/>
      <c r="Y5185" s="393">
        <f>+IFERROR(Y5177*S5185,0)</f>
        <v>0</v>
      </c>
      <c r="Z5185" s="391">
        <f>Y5177*V5185</f>
        <v>0</v>
      </c>
      <c r="AA5185" s="394"/>
      <c r="AB5185" s="395">
        <f>+Y5185*T5185</f>
        <v>0</v>
      </c>
      <c r="AC5185" s="93">
        <f>+AB5185-Z5185</f>
        <v>0</v>
      </c>
      <c r="AD5185" s="94"/>
      <c r="AE5185" s="386" t="str">
        <f>+IF(V5185=0,"CERO","NO")</f>
        <v>CERO</v>
      </c>
    </row>
    <row r="5186" spans="3:31" s="260" customFormat="1" ht="15.75" thickBot="1" x14ac:dyDescent="0.3">
      <c r="C5186" s="84"/>
      <c r="D5186" s="375" t="s">
        <v>128</v>
      </c>
      <c r="E5186" s="376" t="s">
        <v>129</v>
      </c>
      <c r="F5186" s="376" t="s">
        <v>130</v>
      </c>
      <c r="G5186" s="376" t="s">
        <v>131</v>
      </c>
      <c r="H5186" s="376" t="s">
        <v>132</v>
      </c>
      <c r="I5186" s="376" t="s">
        <v>133</v>
      </c>
      <c r="J5186" s="377" t="s">
        <v>134</v>
      </c>
      <c r="K5186" s="88"/>
      <c r="M5186" s="534"/>
      <c r="N5186" s="536" t="s">
        <v>101</v>
      </c>
      <c r="O5186" s="536"/>
      <c r="P5186" s="536"/>
      <c r="Q5186" s="536"/>
      <c r="R5186" s="536"/>
      <c r="S5186" s="536"/>
      <c r="T5186" s="536"/>
      <c r="U5186" s="536"/>
      <c r="V5186" s="389">
        <f>+SUM(V5181:V5185)</f>
        <v>278.94850000000002</v>
      </c>
      <c r="Y5186" s="398" t="s">
        <v>135</v>
      </c>
      <c r="Z5186" s="397">
        <f>+SUM(Z5181:Z5185)</f>
        <v>3347.3820000000005</v>
      </c>
      <c r="AA5186" s="86"/>
      <c r="AB5186" s="384"/>
      <c r="AC5186" s="385"/>
      <c r="AD5186" s="94"/>
      <c r="AE5186" s="399"/>
    </row>
    <row r="5187" spans="3:31" s="260" customFormat="1" ht="15.75" thickBot="1" x14ac:dyDescent="0.3">
      <c r="C5187" s="84"/>
      <c r="D5187" s="375">
        <f>C5177</f>
        <v>5.0599999999999996</v>
      </c>
      <c r="E5187" s="376"/>
      <c r="F5187" s="376"/>
      <c r="G5187" s="376"/>
      <c r="H5187" s="376"/>
      <c r="I5187" s="376"/>
      <c r="J5187" s="377"/>
      <c r="K5187" s="88"/>
      <c r="M5187" s="566"/>
      <c r="N5187" s="567" t="s">
        <v>102</v>
      </c>
      <c r="O5187" s="567"/>
      <c r="P5187" s="567"/>
      <c r="Q5187" s="567"/>
      <c r="R5187" s="567"/>
      <c r="S5187" s="567"/>
      <c r="T5187" s="567"/>
      <c r="U5187" s="567"/>
      <c r="V5187" s="400">
        <f>+ROUND(V5186,$AA$5)</f>
        <v>278.95</v>
      </c>
      <c r="Y5187" s="401" t="s">
        <v>136</v>
      </c>
      <c r="Z5187" s="402">
        <f>+ROUND(Z5186,$AA$5)</f>
        <v>3347.38</v>
      </c>
      <c r="AA5187" s="86"/>
      <c r="AB5187" s="403">
        <f>+V5187*Y5177</f>
        <v>3347.3999999999996</v>
      </c>
      <c r="AC5187" s="404">
        <f>+AB5187-Z5187</f>
        <v>1.9999999999527063E-2</v>
      </c>
      <c r="AD5187" s="94"/>
      <c r="AE5187" s="405"/>
    </row>
    <row r="5188" spans="3:31" s="260" customFormat="1" x14ac:dyDescent="0.25">
      <c r="C5188" s="84"/>
      <c r="D5188" s="380"/>
      <c r="E5188" s="381"/>
      <c r="F5188" s="381"/>
      <c r="G5188" s="381"/>
      <c r="H5188" s="381"/>
      <c r="I5188" s="381"/>
      <c r="J5188" s="382"/>
      <c r="K5188" s="88"/>
      <c r="M5188" s="510" t="s">
        <v>103</v>
      </c>
      <c r="N5188" s="511"/>
      <c r="O5188" s="511"/>
      <c r="P5188" s="511"/>
      <c r="Q5188" s="511"/>
      <c r="R5188" s="511"/>
      <c r="S5188" s="511"/>
      <c r="T5188" s="511"/>
      <c r="U5188" s="511"/>
      <c r="V5188" s="512"/>
      <c r="Y5188" s="378"/>
      <c r="Z5188" s="121"/>
      <c r="AA5188" s="86"/>
      <c r="AB5188" s="513"/>
      <c r="AC5188" s="514"/>
      <c r="AD5188" s="94"/>
      <c r="AE5188" s="126"/>
    </row>
    <row r="5189" spans="3:31" s="260" customFormat="1" x14ac:dyDescent="0.25">
      <c r="C5189" s="84"/>
      <c r="D5189" s="85"/>
      <c r="E5189" s="86"/>
      <c r="F5189" s="86"/>
      <c r="G5189" s="86"/>
      <c r="H5189" s="86"/>
      <c r="I5189" s="86"/>
      <c r="J5189" s="87"/>
      <c r="K5189" s="88"/>
      <c r="M5189" s="99" t="s">
        <v>94</v>
      </c>
      <c r="N5189" s="561" t="s">
        <v>95</v>
      </c>
      <c r="O5189" s="561"/>
      <c r="P5189" s="561"/>
      <c r="Q5189" s="561"/>
      <c r="R5189" s="95" t="s">
        <v>96</v>
      </c>
      <c r="S5189" s="95" t="s">
        <v>104</v>
      </c>
      <c r="T5189" s="356" t="s">
        <v>105</v>
      </c>
      <c r="U5189" s="356" t="s">
        <v>8</v>
      </c>
      <c r="V5189" s="100" t="s">
        <v>98</v>
      </c>
      <c r="Y5189" s="383" t="s">
        <v>104</v>
      </c>
      <c r="Z5189" s="119" t="s">
        <v>9</v>
      </c>
      <c r="AA5189" s="86"/>
      <c r="AB5189" s="384"/>
      <c r="AC5189" s="385"/>
      <c r="AD5189" s="94"/>
      <c r="AE5189" s="406"/>
    </row>
    <row r="5190" spans="3:31" s="260" customFormat="1" x14ac:dyDescent="0.25">
      <c r="C5190" s="84"/>
      <c r="D5190" s="85"/>
      <c r="E5190" s="86"/>
      <c r="F5190" s="86"/>
      <c r="G5190" s="86"/>
      <c r="H5190" s="86"/>
      <c r="I5190" s="86"/>
      <c r="J5190" s="87"/>
      <c r="K5190" s="88"/>
      <c r="M5190" s="102">
        <v>541</v>
      </c>
      <c r="N5190" s="533" t="str">
        <f>IFERROR(VLOOKUP(M5190,INSUMOS!$C$8:$K$928,2,0),"-----")</f>
        <v>YEE 4" SANITARIO</v>
      </c>
      <c r="O5190" s="533"/>
      <c r="P5190" s="533"/>
      <c r="Q5190" s="533"/>
      <c r="R5190" s="78" t="str">
        <f>IFERROR(VLOOKUP(M5190,INSUMOS!$C$8:$K$928,6,0),"-----")</f>
        <v>und</v>
      </c>
      <c r="S5190" s="396">
        <v>1</v>
      </c>
      <c r="T5190" s="387">
        <v>0</v>
      </c>
      <c r="U5190" s="388">
        <f>IFERROR(VLOOKUP(M5190,INSUMOS!$C$8:$K$928,7,0),"0")</f>
        <v>36357</v>
      </c>
      <c r="V5190" s="389">
        <f>+IFERROR(U5190*(S5190*(1+T5190)),0)</f>
        <v>36357</v>
      </c>
      <c r="Y5190" s="393">
        <f>+IFERROR(Y5177*(S5190*(1+T5190)),0)</f>
        <v>12</v>
      </c>
      <c r="Z5190" s="391">
        <f>Y5177*V5190</f>
        <v>436284</v>
      </c>
      <c r="AA5190" s="394"/>
      <c r="AB5190" s="395">
        <f>+Y5190*U5190</f>
        <v>436284</v>
      </c>
      <c r="AC5190" s="93">
        <f>+AB5190-Z5190</f>
        <v>0</v>
      </c>
      <c r="AD5190" s="94"/>
      <c r="AE5190" s="406" t="str">
        <f>+IF(V5190=0,"CERO","NO")</f>
        <v>NO</v>
      </c>
    </row>
    <row r="5191" spans="3:31" s="260" customFormat="1" x14ac:dyDescent="0.25">
      <c r="C5191" s="84"/>
      <c r="D5191" s="85"/>
      <c r="E5191" s="86"/>
      <c r="F5191" s="86"/>
      <c r="G5191" s="86"/>
      <c r="H5191" s="86"/>
      <c r="I5191" s="86"/>
      <c r="J5191" s="87"/>
      <c r="K5191" s="88"/>
      <c r="M5191" s="102">
        <v>699</v>
      </c>
      <c r="N5191" s="533" t="str">
        <f>IFERROR(VLOOKUP(M5191,INSUMOS!$C$8:$K$928,2,0),"-----")</f>
        <v>SOLDADURA PVC LIQUIDA 1/4"</v>
      </c>
      <c r="O5191" s="533"/>
      <c r="P5191" s="533"/>
      <c r="Q5191" s="533"/>
      <c r="R5191" s="78" t="str">
        <f>IFERROR(VLOOKUP(M5191,INSUMOS!$C$8:$K$928,6,0),"-----")</f>
        <v>und</v>
      </c>
      <c r="S5191" s="396">
        <v>0.01</v>
      </c>
      <c r="T5191" s="387">
        <v>0.02</v>
      </c>
      <c r="U5191" s="388">
        <f>IFERROR(VLOOKUP(M5191,INSUMOS!$C$8:$K$928,7,0),"0")</f>
        <v>146569</v>
      </c>
      <c r="V5191" s="389">
        <f>+IFERROR(U5191*(S5191*(1+T5191)),0)</f>
        <v>1495.0038000000002</v>
      </c>
      <c r="Y5191" s="393">
        <f>+IFERROR(Y5177*(S5191*(1+T5191)),0)</f>
        <v>0.12240000000000001</v>
      </c>
      <c r="Z5191" s="391">
        <f>Y5177*V5191</f>
        <v>17940.045600000001</v>
      </c>
      <c r="AA5191" s="394"/>
      <c r="AB5191" s="395">
        <f>+Y5191*U5191</f>
        <v>17940.045600000001</v>
      </c>
      <c r="AC5191" s="93">
        <f>+AB5191-Z5191</f>
        <v>0</v>
      </c>
      <c r="AD5191" s="94"/>
      <c r="AE5191" s="406" t="str">
        <f>+IF(V5191=0,"CERO","NO")</f>
        <v>NO</v>
      </c>
    </row>
    <row r="5192" spans="3:31" s="260" customFormat="1" x14ac:dyDescent="0.25">
      <c r="C5192" s="84"/>
      <c r="D5192" s="85"/>
      <c r="E5192" s="86"/>
      <c r="F5192" s="86"/>
      <c r="G5192" s="86"/>
      <c r="H5192" s="86"/>
      <c r="I5192" s="86"/>
      <c r="J5192" s="87"/>
      <c r="K5192" s="88"/>
      <c r="M5192" s="102">
        <v>700</v>
      </c>
      <c r="N5192" s="533" t="str">
        <f>IFERROR(VLOOKUP(M5192,INSUMOS!$C$8:$K$928,2,0),"-----")</f>
        <v>LIMPIADOR PVC 1/4</v>
      </c>
      <c r="O5192" s="533"/>
      <c r="P5192" s="533"/>
      <c r="Q5192" s="533"/>
      <c r="R5192" s="78" t="str">
        <f>IFERROR(VLOOKUP(M5192,INSUMOS!$C$8:$K$928,6,0),"-----")</f>
        <v>und</v>
      </c>
      <c r="S5192" s="396">
        <v>0.01</v>
      </c>
      <c r="T5192" s="387">
        <v>0.02</v>
      </c>
      <c r="U5192" s="388">
        <f>IFERROR(VLOOKUP(M5192,INSUMOS!$C$8:$K$928,7,0),"0")</f>
        <v>65913</v>
      </c>
      <c r="V5192" s="389">
        <f>+IFERROR(U5192*(S5192*(1+T5192)),0)</f>
        <v>672.31260000000009</v>
      </c>
      <c r="Y5192" s="393">
        <f>+IFERROR(Y5177*(S5192*(1+T5192)),0)</f>
        <v>0.12240000000000001</v>
      </c>
      <c r="Z5192" s="391">
        <f>Y5177*V5192</f>
        <v>8067.7512000000006</v>
      </c>
      <c r="AA5192" s="394"/>
      <c r="AB5192" s="395">
        <f>+Y5192*U5192</f>
        <v>8067.7512000000006</v>
      </c>
      <c r="AC5192" s="93">
        <f>+AB5192-Z5192</f>
        <v>0</v>
      </c>
      <c r="AD5192" s="94"/>
      <c r="AE5192" s="406" t="str">
        <f>+IF(V5192=0,"CERO","NO")</f>
        <v>NO</v>
      </c>
    </row>
    <row r="5193" spans="3:31" s="260" customFormat="1" x14ac:dyDescent="0.25">
      <c r="C5193" s="84"/>
      <c r="D5193" s="85"/>
      <c r="E5193" s="86"/>
      <c r="F5193" s="86"/>
      <c r="G5193" s="86"/>
      <c r="H5193" s="86"/>
      <c r="I5193" s="86"/>
      <c r="J5193" s="87"/>
      <c r="K5193" s="88"/>
      <c r="M5193" s="102">
        <v>0</v>
      </c>
      <c r="N5193" s="533" t="str">
        <f>IFERROR(VLOOKUP(M5193,INSUMOS!$C$8:$K$928,2,0),"-----")</f>
        <v>-----</v>
      </c>
      <c r="O5193" s="533"/>
      <c r="P5193" s="533"/>
      <c r="Q5193" s="533"/>
      <c r="R5193" s="78" t="str">
        <f>IFERROR(VLOOKUP(M5193,INSUMOS!$C$8:$K$928,6,0),"-----")</f>
        <v>-----</v>
      </c>
      <c r="S5193" s="396"/>
      <c r="T5193" s="387"/>
      <c r="U5193" s="388" t="str">
        <f>IFERROR(VLOOKUP(M5193,INSUMOS!$C$8:$K$928,7,0),"0")</f>
        <v>0</v>
      </c>
      <c r="V5193" s="389">
        <f>+IFERROR(U5193*(S5193*(1+T5193)),0)</f>
        <v>0</v>
      </c>
      <c r="Y5193" s="393">
        <f>+IFERROR(Y5177*(S5193*(1+T5193)),0)</f>
        <v>0</v>
      </c>
      <c r="Z5193" s="391">
        <f>Y5177*V5193</f>
        <v>0</v>
      </c>
      <c r="AA5193" s="394"/>
      <c r="AB5193" s="395">
        <f>+Y5193*U5193</f>
        <v>0</v>
      </c>
      <c r="AC5193" s="93">
        <f>+AB5193-Z5193</f>
        <v>0</v>
      </c>
      <c r="AD5193" s="94"/>
      <c r="AE5193" s="406" t="str">
        <f>+IF(V5193=0,"CERO","NO")</f>
        <v>CERO</v>
      </c>
    </row>
    <row r="5194" spans="3:31" s="260" customFormat="1" ht="15.75" thickBot="1" x14ac:dyDescent="0.3">
      <c r="C5194" s="84"/>
      <c r="D5194" s="85"/>
      <c r="E5194" s="86"/>
      <c r="F5194" s="86"/>
      <c r="G5194" s="86"/>
      <c r="H5194" s="86"/>
      <c r="I5194" s="86"/>
      <c r="J5194" s="87"/>
      <c r="K5194" s="88"/>
      <c r="M5194" s="102">
        <v>0</v>
      </c>
      <c r="N5194" s="564"/>
      <c r="O5194" s="564"/>
      <c r="P5194" s="564"/>
      <c r="Q5194" s="564"/>
      <c r="R5194" s="96"/>
      <c r="S5194" s="79"/>
      <c r="T5194" s="97"/>
      <c r="U5194" s="358"/>
      <c r="V5194" s="397"/>
      <c r="Y5194" s="393">
        <f>+IFERROR(Y5177*(S5194*(1+T5194)),0)</f>
        <v>0</v>
      </c>
      <c r="Z5194" s="391">
        <f>Y5177*V5194</f>
        <v>0</v>
      </c>
      <c r="AA5194" s="394"/>
      <c r="AB5194" s="395">
        <f>+Y5194*U5194</f>
        <v>0</v>
      </c>
      <c r="AC5194" s="93">
        <f>+AB5194-Z5194</f>
        <v>0</v>
      </c>
      <c r="AD5194" s="94"/>
      <c r="AE5194" s="406" t="str">
        <f>+IF(V5194=0,"CERO","NO")</f>
        <v>CERO</v>
      </c>
    </row>
    <row r="5195" spans="3:31" s="260" customFormat="1" ht="15.75" thickBot="1" x14ac:dyDescent="0.3">
      <c r="C5195" s="84"/>
      <c r="D5195" s="375" t="s">
        <v>128</v>
      </c>
      <c r="E5195" s="376" t="s">
        <v>129</v>
      </c>
      <c r="F5195" s="376" t="s">
        <v>130</v>
      </c>
      <c r="G5195" s="376" t="s">
        <v>131</v>
      </c>
      <c r="H5195" s="376" t="s">
        <v>132</v>
      </c>
      <c r="I5195" s="376" t="s">
        <v>133</v>
      </c>
      <c r="J5195" s="377" t="s">
        <v>134</v>
      </c>
      <c r="K5195" s="88"/>
      <c r="M5195" s="534"/>
      <c r="N5195" s="536" t="s">
        <v>106</v>
      </c>
      <c r="O5195" s="536"/>
      <c r="P5195" s="536"/>
      <c r="Q5195" s="536"/>
      <c r="R5195" s="536"/>
      <c r="S5195" s="536"/>
      <c r="T5195" s="536"/>
      <c r="U5195" s="536"/>
      <c r="V5195" s="389">
        <f>+SUM(V5190:V5194)</f>
        <v>38524.316399999996</v>
      </c>
      <c r="Y5195" s="398" t="s">
        <v>135</v>
      </c>
      <c r="Z5195" s="397">
        <f>+SUM(Z5190:Z5194)</f>
        <v>462291.79680000001</v>
      </c>
      <c r="AA5195" s="86"/>
      <c r="AB5195" s="384"/>
      <c r="AC5195" s="385"/>
      <c r="AD5195" s="94"/>
      <c r="AE5195" s="399"/>
    </row>
    <row r="5196" spans="3:31" s="260" customFormat="1" ht="15.75" thickBot="1" x14ac:dyDescent="0.3">
      <c r="C5196" s="84"/>
      <c r="D5196" s="375"/>
      <c r="E5196" s="407">
        <f>+D5187</f>
        <v>5.0599999999999996</v>
      </c>
      <c r="F5196" s="376"/>
      <c r="G5196" s="376"/>
      <c r="H5196" s="376"/>
      <c r="I5196" s="376"/>
      <c r="J5196" s="377"/>
      <c r="K5196" s="88"/>
      <c r="M5196" s="535"/>
      <c r="N5196" s="537" t="s">
        <v>107</v>
      </c>
      <c r="O5196" s="537"/>
      <c r="P5196" s="537"/>
      <c r="Q5196" s="537"/>
      <c r="R5196" s="537"/>
      <c r="S5196" s="537"/>
      <c r="T5196" s="537"/>
      <c r="U5196" s="537"/>
      <c r="V5196" s="408">
        <f>+ROUND(V5195,$AA$5)</f>
        <v>38524.32</v>
      </c>
      <c r="Y5196" s="401" t="s">
        <v>136</v>
      </c>
      <c r="Z5196" s="402">
        <f>+ROUND(Z5195,$AA$5)</f>
        <v>462291.8</v>
      </c>
      <c r="AA5196" s="86"/>
      <c r="AB5196" s="403">
        <f>+V5196*Y5177</f>
        <v>462291.83999999997</v>
      </c>
      <c r="AC5196" s="404">
        <f>+AB5196-Z5196</f>
        <v>3.9999999979045242E-2</v>
      </c>
      <c r="AD5196" s="94"/>
      <c r="AE5196" s="405"/>
    </row>
    <row r="5197" spans="3:31" s="260" customFormat="1" x14ac:dyDescent="0.25">
      <c r="C5197" s="84"/>
      <c r="D5197" s="380"/>
      <c r="E5197" s="381"/>
      <c r="F5197" s="381"/>
      <c r="G5197" s="381"/>
      <c r="H5197" s="381"/>
      <c r="I5197" s="381"/>
      <c r="J5197" s="382"/>
      <c r="K5197" s="88"/>
      <c r="M5197" s="568" t="s">
        <v>108</v>
      </c>
      <c r="N5197" s="569"/>
      <c r="O5197" s="569"/>
      <c r="P5197" s="569"/>
      <c r="Q5197" s="569"/>
      <c r="R5197" s="569"/>
      <c r="S5197" s="569"/>
      <c r="T5197" s="569"/>
      <c r="U5197" s="569"/>
      <c r="V5197" s="570"/>
      <c r="Y5197" s="378"/>
      <c r="Z5197" s="121"/>
      <c r="AA5197" s="86"/>
      <c r="AB5197" s="409"/>
      <c r="AC5197" s="121"/>
      <c r="AD5197" s="94"/>
      <c r="AE5197" s="126"/>
    </row>
    <row r="5198" spans="3:31" s="260" customFormat="1" ht="25.5" x14ac:dyDescent="0.25">
      <c r="C5198" s="84"/>
      <c r="D5198" s="85"/>
      <c r="E5198" s="86"/>
      <c r="F5198" s="86"/>
      <c r="G5198" s="86"/>
      <c r="H5198" s="86"/>
      <c r="I5198" s="86"/>
      <c r="J5198" s="87"/>
      <c r="K5198" s="88"/>
      <c r="M5198" s="99" t="s">
        <v>94</v>
      </c>
      <c r="N5198" s="561" t="s">
        <v>95</v>
      </c>
      <c r="O5198" s="561"/>
      <c r="P5198" s="561"/>
      <c r="Q5198" s="95" t="s">
        <v>109</v>
      </c>
      <c r="R5198" s="95" t="s">
        <v>110</v>
      </c>
      <c r="S5198" s="95" t="s">
        <v>111</v>
      </c>
      <c r="T5198" s="562" t="s">
        <v>112</v>
      </c>
      <c r="U5198" s="562"/>
      <c r="V5198" s="100" t="s">
        <v>98</v>
      </c>
      <c r="Y5198" s="383" t="s">
        <v>104</v>
      </c>
      <c r="Z5198" s="119" t="s">
        <v>9</v>
      </c>
      <c r="AA5198" s="86"/>
      <c r="AB5198" s="384"/>
      <c r="AC5198" s="385"/>
      <c r="AD5198" s="94"/>
      <c r="AE5198" s="410"/>
    </row>
    <row r="5199" spans="3:31" s="260" customFormat="1" x14ac:dyDescent="0.25">
      <c r="C5199" s="84"/>
      <c r="D5199" s="85"/>
      <c r="E5199" s="86"/>
      <c r="F5199" s="86"/>
      <c r="G5199" s="86"/>
      <c r="H5199" s="86"/>
      <c r="I5199" s="86"/>
      <c r="J5199" s="87"/>
      <c r="K5199" s="88"/>
      <c r="M5199" s="102">
        <v>129</v>
      </c>
      <c r="N5199" s="530" t="str">
        <f>IFERROR(VLOOKUP(M5199,INSUMOS!$C$8:$K$928,2,0),"-----")</f>
        <v>transporte materiales en general</v>
      </c>
      <c r="O5199" s="531"/>
      <c r="P5199" s="532"/>
      <c r="Q5199" s="78" t="str">
        <f>IFERROR(VLOOKUP(M5199,INSUMOS!$C$8:$K$928,5,0),"-----")</f>
        <v>Km</v>
      </c>
      <c r="R5199" s="80">
        <v>1</v>
      </c>
      <c r="S5199" s="80">
        <f>IFERROR(VLOOKUP(M5199,INSUMOS!$C$8:$K$928,6,0),"0")</f>
        <v>348</v>
      </c>
      <c r="T5199" s="529">
        <f>IFERROR(VLOOKUP(M5199,INSUMOS!$C$8:$K$928,7,0),"0")</f>
        <v>0.99776362060288992</v>
      </c>
      <c r="U5199" s="529"/>
      <c r="V5199" s="82">
        <f>+T5199*S5199*R5199</f>
        <v>347.2217399698057</v>
      </c>
      <c r="Y5199" s="393">
        <f>+IFERROR((R5199*S5199)*Y5177,0)</f>
        <v>4176</v>
      </c>
      <c r="Z5199" s="391">
        <f>Y5177*V5199</f>
        <v>4166.6608796376686</v>
      </c>
      <c r="AA5199" s="86"/>
      <c r="AB5199" s="92">
        <f>+Y5199*T5199</f>
        <v>4166.6608796376686</v>
      </c>
      <c r="AC5199" s="93">
        <f>+AB5199-Z5199</f>
        <v>0</v>
      </c>
      <c r="AD5199" s="94"/>
      <c r="AE5199" s="406" t="str">
        <f>+IF(V5199=0,"CERO","NO")</f>
        <v>NO</v>
      </c>
    </row>
    <row r="5200" spans="3:31" s="260" customFormat="1" x14ac:dyDescent="0.25">
      <c r="C5200" s="84"/>
      <c r="D5200" s="85"/>
      <c r="E5200" s="86"/>
      <c r="F5200" s="86"/>
      <c r="G5200" s="86"/>
      <c r="H5200" s="86"/>
      <c r="I5200" s="86"/>
      <c r="J5200" s="87"/>
      <c r="K5200" s="88"/>
      <c r="M5200" s="102">
        <v>0</v>
      </c>
      <c r="N5200" s="530" t="str">
        <f>IFERROR(VLOOKUP(M5200,INSUMOS!$C$8:$K$928,2,0),"-----")</f>
        <v>-----</v>
      </c>
      <c r="O5200" s="531"/>
      <c r="P5200" s="532"/>
      <c r="Q5200" s="78" t="str">
        <f>IFERROR(VLOOKUP(M5200,INSUMOS!$C$8:$K$928,5,0),"-----")</f>
        <v>-----</v>
      </c>
      <c r="R5200" s="80"/>
      <c r="S5200" s="80" t="str">
        <f>IFERROR(VLOOKUP(M5200,INSUMOS!$C$8:$K$928,6,0),"0")</f>
        <v>0</v>
      </c>
      <c r="T5200" s="529" t="str">
        <f>IFERROR(VLOOKUP(M5200,INSUMOS!$C$8:$K$928,7,0),"0")</f>
        <v>0</v>
      </c>
      <c r="U5200" s="529"/>
      <c r="V5200" s="82">
        <f>+T5200*S5200*R5200</f>
        <v>0</v>
      </c>
      <c r="Y5200" s="393">
        <f>+IFERROR((R5200*S5200)*Y5177,0)</f>
        <v>0</v>
      </c>
      <c r="Z5200" s="391">
        <f>Y5177*V5200</f>
        <v>0</v>
      </c>
      <c r="AA5200" s="86"/>
      <c r="AB5200" s="92">
        <f>+Y5200*T5200</f>
        <v>0</v>
      </c>
      <c r="AC5200" s="93">
        <f>+AB5200-Z5200</f>
        <v>0</v>
      </c>
      <c r="AD5200" s="94"/>
      <c r="AE5200" s="406" t="str">
        <f>+IF(V5200=0,"CERO","NO")</f>
        <v>CERO</v>
      </c>
    </row>
    <row r="5201" spans="3:31" s="260" customFormat="1" x14ac:dyDescent="0.25">
      <c r="C5201" s="84"/>
      <c r="D5201" s="85"/>
      <c r="E5201" s="86"/>
      <c r="F5201" s="86"/>
      <c r="G5201" s="86"/>
      <c r="H5201" s="86"/>
      <c r="I5201" s="86"/>
      <c r="J5201" s="87"/>
      <c r="K5201" s="88"/>
      <c r="M5201" s="102">
        <v>0</v>
      </c>
      <c r="N5201" s="530" t="str">
        <f>IFERROR(VLOOKUP(M5201,INSUMOS!$C$8:$K$928,2,0),"-----")</f>
        <v>-----</v>
      </c>
      <c r="O5201" s="531"/>
      <c r="P5201" s="532"/>
      <c r="Q5201" s="78" t="str">
        <f>IFERROR(VLOOKUP(M5201,INSUMOS!$C$8:$K$928,5,0),"-----")</f>
        <v>-----</v>
      </c>
      <c r="R5201" s="80"/>
      <c r="S5201" s="80" t="str">
        <f>IFERROR(VLOOKUP(M5201,INSUMOS!$C$8:$K$928,6,0),"0")</f>
        <v>0</v>
      </c>
      <c r="T5201" s="529" t="str">
        <f>IFERROR(VLOOKUP(M5201,INSUMOS!$C$8:$K$928,7,0),"0")</f>
        <v>0</v>
      </c>
      <c r="U5201" s="529"/>
      <c r="V5201" s="82">
        <f>+T5201*S5201*R5201</f>
        <v>0</v>
      </c>
      <c r="Y5201" s="393">
        <f>+IFERROR((R5201*S5201)*Y5177,0)</f>
        <v>0</v>
      </c>
      <c r="Z5201" s="391">
        <f>Y5177*V5201</f>
        <v>0</v>
      </c>
      <c r="AA5201" s="86"/>
      <c r="AB5201" s="92">
        <f>+Y5201*T5201</f>
        <v>0</v>
      </c>
      <c r="AC5201" s="93">
        <f>+AB5201-Z5201</f>
        <v>0</v>
      </c>
      <c r="AD5201" s="94"/>
      <c r="AE5201" s="406" t="str">
        <f>+IF(V5201=0,"CERO","NO")</f>
        <v>CERO</v>
      </c>
    </row>
    <row r="5202" spans="3:31" s="260" customFormat="1" ht="15.75" thickBot="1" x14ac:dyDescent="0.3">
      <c r="C5202" s="84"/>
      <c r="D5202" s="89"/>
      <c r="E5202" s="90"/>
      <c r="F5202" s="90"/>
      <c r="G5202" s="90"/>
      <c r="H5202" s="90"/>
      <c r="I5202" s="90"/>
      <c r="J5202" s="91"/>
      <c r="K5202" s="88"/>
      <c r="M5202" s="102">
        <v>0</v>
      </c>
      <c r="N5202" s="533"/>
      <c r="O5202" s="533"/>
      <c r="P5202" s="533"/>
      <c r="Q5202" s="79"/>
      <c r="R5202" s="78"/>
      <c r="S5202" s="81"/>
      <c r="T5202" s="529"/>
      <c r="U5202" s="529"/>
      <c r="V5202" s="82"/>
      <c r="Y5202" s="393">
        <f>+IFERROR((R5202*S5202)*Y5177,0)</f>
        <v>0</v>
      </c>
      <c r="Z5202" s="391">
        <f>Y5177*V5202</f>
        <v>0</v>
      </c>
      <c r="AA5202" s="86"/>
      <c r="AB5202" s="92">
        <f>+Y5202*T5202</f>
        <v>0</v>
      </c>
      <c r="AC5202" s="93">
        <f>+AB5202-Z5202</f>
        <v>0</v>
      </c>
      <c r="AD5202" s="94"/>
      <c r="AE5202" s="406" t="str">
        <f>+IF(V5202=0,"CERO","NO")</f>
        <v>CERO</v>
      </c>
    </row>
    <row r="5203" spans="3:31" s="260" customFormat="1" ht="15.75" thickBot="1" x14ac:dyDescent="0.3">
      <c r="C5203" s="84"/>
      <c r="D5203" s="375" t="s">
        <v>128</v>
      </c>
      <c r="E5203" s="376" t="s">
        <v>129</v>
      </c>
      <c r="F5203" s="376" t="s">
        <v>130</v>
      </c>
      <c r="G5203" s="376" t="s">
        <v>131</v>
      </c>
      <c r="H5203" s="376" t="s">
        <v>132</v>
      </c>
      <c r="I5203" s="376" t="s">
        <v>133</v>
      </c>
      <c r="J5203" s="377" t="s">
        <v>134</v>
      </c>
      <c r="K5203" s="88"/>
      <c r="M5203" s="534"/>
      <c r="N5203" s="536" t="s">
        <v>113</v>
      </c>
      <c r="O5203" s="536"/>
      <c r="P5203" s="536"/>
      <c r="Q5203" s="536"/>
      <c r="R5203" s="536"/>
      <c r="S5203" s="536"/>
      <c r="T5203" s="536"/>
      <c r="U5203" s="536"/>
      <c r="V5203" s="411">
        <f>+SUM(V5199:V5202)</f>
        <v>347.2217399698057</v>
      </c>
      <c r="Y5203" s="398" t="s">
        <v>135</v>
      </c>
      <c r="Z5203" s="397">
        <f>+SUM(Z5199:Z5202)</f>
        <v>4166.6608796376686</v>
      </c>
      <c r="AA5203" s="86"/>
      <c r="AB5203" s="384"/>
      <c r="AC5203" s="385"/>
      <c r="AD5203" s="94"/>
      <c r="AE5203" s="399"/>
    </row>
    <row r="5204" spans="3:31" s="260" customFormat="1" ht="15.75" thickBot="1" x14ac:dyDescent="0.3">
      <c r="C5204" s="84"/>
      <c r="D5204" s="355"/>
      <c r="E5204" s="367"/>
      <c r="F5204" s="412">
        <f>+E5196</f>
        <v>5.0599999999999996</v>
      </c>
      <c r="G5204" s="367"/>
      <c r="H5204" s="367"/>
      <c r="I5204" s="367"/>
      <c r="J5204" s="368"/>
      <c r="K5204" s="88"/>
      <c r="M5204" s="535"/>
      <c r="N5204" s="537" t="s">
        <v>114</v>
      </c>
      <c r="O5204" s="537"/>
      <c r="P5204" s="537"/>
      <c r="Q5204" s="537"/>
      <c r="R5204" s="537"/>
      <c r="S5204" s="537"/>
      <c r="T5204" s="537"/>
      <c r="U5204" s="537"/>
      <c r="V5204" s="413">
        <f>+ROUND(V5203,$AA$5)</f>
        <v>347.22</v>
      </c>
      <c r="Y5204" s="401" t="s">
        <v>136</v>
      </c>
      <c r="Z5204" s="402">
        <f>+ROUND(Z5203,$AA$5)</f>
        <v>4166.66</v>
      </c>
      <c r="AA5204" s="86"/>
      <c r="AB5204" s="403">
        <f>+V5204*Y5177</f>
        <v>4166.6400000000003</v>
      </c>
      <c r="AC5204" s="414"/>
      <c r="AD5204" s="94"/>
      <c r="AE5204" s="405"/>
    </row>
    <row r="5205" spans="3:31" s="260" customFormat="1" ht="15.75" thickBot="1" x14ac:dyDescent="0.3">
      <c r="C5205" s="84"/>
      <c r="D5205" s="415"/>
      <c r="E5205" s="416"/>
      <c r="F5205" s="416"/>
      <c r="G5205" s="416"/>
      <c r="H5205" s="416"/>
      <c r="I5205" s="416"/>
      <c r="J5205" s="417"/>
      <c r="K5205" s="88"/>
      <c r="M5205" s="538" t="s">
        <v>115</v>
      </c>
      <c r="N5205" s="539"/>
      <c r="O5205" s="539"/>
      <c r="P5205" s="539"/>
      <c r="Q5205" s="539"/>
      <c r="R5205" s="539"/>
      <c r="S5205" s="539"/>
      <c r="T5205" s="539"/>
      <c r="U5205" s="539"/>
      <c r="V5205" s="540"/>
      <c r="Y5205" s="378"/>
      <c r="Z5205" s="121"/>
      <c r="AA5205" s="86"/>
      <c r="AB5205" s="409"/>
      <c r="AC5205" s="121"/>
      <c r="AD5205" s="94"/>
      <c r="AE5205" s="126"/>
    </row>
    <row r="5206" spans="3:31" s="260" customFormat="1" ht="15.75" thickBot="1" x14ac:dyDescent="0.3">
      <c r="C5206" s="84"/>
      <c r="D5206" s="375" t="s">
        <v>128</v>
      </c>
      <c r="E5206" s="376" t="s">
        <v>129</v>
      </c>
      <c r="F5206" s="376" t="s">
        <v>130</v>
      </c>
      <c r="G5206" s="376" t="s">
        <v>131</v>
      </c>
      <c r="H5206" s="376" t="s">
        <v>132</v>
      </c>
      <c r="I5206" s="376" t="s">
        <v>133</v>
      </c>
      <c r="J5206" s="377" t="s">
        <v>134</v>
      </c>
      <c r="K5206" s="88"/>
      <c r="M5206" s="99" t="s">
        <v>94</v>
      </c>
      <c r="N5206" s="98" t="s">
        <v>95</v>
      </c>
      <c r="O5206" s="95" t="s">
        <v>96</v>
      </c>
      <c r="P5206" s="359" t="s">
        <v>104</v>
      </c>
      <c r="Q5206" s="95" t="s">
        <v>116</v>
      </c>
      <c r="R5206" s="418" t="s">
        <v>117</v>
      </c>
      <c r="S5206" s="95" t="s">
        <v>347</v>
      </c>
      <c r="T5206" s="419" t="s">
        <v>118</v>
      </c>
      <c r="U5206" s="189" t="s">
        <v>119</v>
      </c>
      <c r="V5206" s="100" t="s">
        <v>98</v>
      </c>
      <c r="Y5206" s="383" t="s">
        <v>104</v>
      </c>
      <c r="Z5206" s="119" t="s">
        <v>9</v>
      </c>
      <c r="AA5206" s="86"/>
      <c r="AB5206" s="384"/>
      <c r="AC5206" s="385"/>
      <c r="AD5206" s="94"/>
      <c r="AE5206" s="410"/>
    </row>
    <row r="5207" spans="3:31" s="260" customFormat="1" ht="25.5" x14ac:dyDescent="0.25">
      <c r="C5207" s="84"/>
      <c r="D5207" s="354"/>
      <c r="E5207" s="96"/>
      <c r="F5207" s="96"/>
      <c r="G5207" s="96"/>
      <c r="H5207" s="96"/>
      <c r="I5207" s="96"/>
      <c r="J5207" s="420">
        <f>+F5204</f>
        <v>5.0599999999999996</v>
      </c>
      <c r="K5207" s="88"/>
      <c r="M5207" s="102">
        <v>207</v>
      </c>
      <c r="N5207" s="347" t="str">
        <f>IFERROR(VLOOKUP(M5207,INSUMOS!$C$8:$K$928,2,0),"-----")</f>
        <v>Oficial Hidrosanitario</v>
      </c>
      <c r="O5207" s="78" t="str">
        <f>IFERROR(VLOOKUP(M5207,INSUMOS!$C$8:$K$928,3,0),"-----")</f>
        <v>JORNAL+PS</v>
      </c>
      <c r="P5207" s="80">
        <v>1</v>
      </c>
      <c r="Q5207" s="79">
        <v>30</v>
      </c>
      <c r="R5207" s="190">
        <f>IFERROR(VLOOKUP(M5207,INSUMOS!$C$8:$K$928,4,0),"-----")</f>
        <v>92983</v>
      </c>
      <c r="S5207" s="190">
        <f>IFERROR(VLOOKUP(M5207,INSUMOS!$C$8:$K$928,6,0),"-----")</f>
        <v>74386</v>
      </c>
      <c r="T5207" s="190">
        <f>IFERROR(VLOOKUP(M5207,INSUMOS!$C$8:$K$928,5,0),"-----")</f>
        <v>0</v>
      </c>
      <c r="U5207" s="388">
        <f>SUM(R5207:T5207)</f>
        <v>167369</v>
      </c>
      <c r="V5207" s="82">
        <f>+IFERROR((P5207/Q5207)*U5207,0)</f>
        <v>5578.9666666666662</v>
      </c>
      <c r="Y5207" s="393">
        <f>+IFERROR((Y5177/Q5207*P5207),0)</f>
        <v>0.4</v>
      </c>
      <c r="Z5207" s="391">
        <f>Y5177*V5207</f>
        <v>66947.599999999991</v>
      </c>
      <c r="AA5207" s="86"/>
      <c r="AB5207" s="92">
        <f>+(U5207)*Y5207</f>
        <v>66947.600000000006</v>
      </c>
      <c r="AC5207" s="93">
        <f>+AB5207-Z5207</f>
        <v>0</v>
      </c>
      <c r="AD5207" s="421"/>
      <c r="AE5207" s="410" t="str">
        <f>+IF(V5207=0,"CERO","NO")</f>
        <v>NO</v>
      </c>
    </row>
    <row r="5208" spans="3:31" s="260" customFormat="1" ht="15.75" thickBot="1" x14ac:dyDescent="0.3">
      <c r="C5208" s="84"/>
      <c r="D5208" s="355"/>
      <c r="E5208" s="367"/>
      <c r="F5208" s="367"/>
      <c r="G5208" s="367"/>
      <c r="H5208" s="367"/>
      <c r="I5208" s="367"/>
      <c r="J5208" s="422">
        <f>+J5207</f>
        <v>5.0599999999999996</v>
      </c>
      <c r="K5208" s="88"/>
      <c r="M5208" s="102"/>
      <c r="N5208" s="347" t="str">
        <f>IFERROR(VLOOKUP(M5208,INSUMOS!$C$8:$K$928,2,0),"-----")</f>
        <v>-----</v>
      </c>
      <c r="O5208" s="78" t="str">
        <f>IFERROR(VLOOKUP(M5208,INSUMOS!$C$8:$K$928,3,0),"-----")</f>
        <v>-----</v>
      </c>
      <c r="P5208" s="80"/>
      <c r="Q5208" s="79"/>
      <c r="R5208" s="190" t="str">
        <f>IFERROR(VLOOKUP(M5208,INSUMOS!$C$8:$K$928,4,0),"-----")</f>
        <v>-----</v>
      </c>
      <c r="S5208" s="190" t="str">
        <f>IFERROR(VLOOKUP(M5208,INSUMOS!$C$8:$K$928,6,0),"-----")</f>
        <v>-----</v>
      </c>
      <c r="T5208" s="190" t="str">
        <f>IFERROR(VLOOKUP(M5208,INSUMOS!$C$8:$K$928,5,0),"-----")</f>
        <v>-----</v>
      </c>
      <c r="U5208" s="388">
        <f>SUM(R5208:T5208)</f>
        <v>0</v>
      </c>
      <c r="V5208" s="82">
        <f>+IFERROR((P5208/Q5208)*U5208,0)</f>
        <v>0</v>
      </c>
      <c r="Y5208" s="393">
        <f>+IFERROR((Y5177/Q5208*P5208),0)</f>
        <v>0</v>
      </c>
      <c r="Z5208" s="391">
        <f>Y5177*V5208</f>
        <v>0</v>
      </c>
      <c r="AA5208" s="86"/>
      <c r="AB5208" s="92">
        <f>+U5208*Y5208</f>
        <v>0</v>
      </c>
      <c r="AC5208" s="93">
        <f>+AB5208-Z5208</f>
        <v>0</v>
      </c>
      <c r="AD5208" s="94"/>
      <c r="AE5208" s="410" t="str">
        <f>+IF(V5208=0,"CERO","NO")</f>
        <v>CERO</v>
      </c>
    </row>
    <row r="5209" spans="3:31" s="260" customFormat="1" ht="15.75" thickBot="1" x14ac:dyDescent="0.3">
      <c r="C5209" s="84"/>
      <c r="D5209" s="380"/>
      <c r="E5209" s="381"/>
      <c r="F5209" s="381"/>
      <c r="G5209" s="381"/>
      <c r="H5209" s="381"/>
      <c r="I5209" s="381"/>
      <c r="J5209" s="382"/>
      <c r="K5209" s="88"/>
      <c r="M5209" s="102">
        <v>0</v>
      </c>
      <c r="N5209" s="347"/>
      <c r="O5209" s="79"/>
      <c r="P5209" s="423"/>
      <c r="Q5209" s="81"/>
      <c r="R5209" s="111"/>
      <c r="S5209" s="357"/>
      <c r="T5209" s="111"/>
      <c r="U5209" s="388"/>
      <c r="V5209" s="426"/>
      <c r="Y5209" s="393">
        <f>+IFERROR((Y5177/Q5209*P5209),0)</f>
        <v>0</v>
      </c>
      <c r="Z5209" s="391">
        <f>Y5177*V5209</f>
        <v>0</v>
      </c>
      <c r="AA5209" s="86"/>
      <c r="AB5209" s="92">
        <f>+(U5209)*Y5209*P5209</f>
        <v>0</v>
      </c>
      <c r="AC5209" s="93">
        <f>+AB5209-Z5209</f>
        <v>0</v>
      </c>
      <c r="AD5209" s="94"/>
      <c r="AE5209" s="410" t="str">
        <f>+IF(V5209=0,"CERO","NO")</f>
        <v>CERO</v>
      </c>
    </row>
    <row r="5210" spans="3:31" s="260" customFormat="1" ht="15.75" thickBot="1" x14ac:dyDescent="0.3">
      <c r="C5210" s="84"/>
      <c r="D5210" s="375" t="s">
        <v>128</v>
      </c>
      <c r="E5210" s="376" t="s">
        <v>129</v>
      </c>
      <c r="F5210" s="376" t="s">
        <v>130</v>
      </c>
      <c r="G5210" s="376" t="s">
        <v>131</v>
      </c>
      <c r="H5210" s="376" t="s">
        <v>132</v>
      </c>
      <c r="I5210" s="376" t="s">
        <v>133</v>
      </c>
      <c r="J5210" s="377" t="s">
        <v>134</v>
      </c>
      <c r="K5210" s="88"/>
      <c r="M5210" s="534"/>
      <c r="N5210" s="536" t="s">
        <v>120</v>
      </c>
      <c r="O5210" s="536"/>
      <c r="P5210" s="536"/>
      <c r="Q5210" s="536"/>
      <c r="R5210" s="536"/>
      <c r="S5210" s="536"/>
      <c r="T5210" s="536"/>
      <c r="U5210" s="536"/>
      <c r="V5210" s="82">
        <f>+SUM(V5207:V5209)</f>
        <v>5578.9666666666662</v>
      </c>
      <c r="Y5210" s="398" t="s">
        <v>135</v>
      </c>
      <c r="Z5210" s="397">
        <f>+SUM(Z5207:Z5209)</f>
        <v>66947.599999999991</v>
      </c>
      <c r="AA5210" s="86"/>
      <c r="AB5210" s="384"/>
      <c r="AC5210" s="385"/>
      <c r="AD5210" s="94"/>
      <c r="AE5210" s="399"/>
    </row>
    <row r="5211" spans="3:31" s="260" customFormat="1" ht="15.75" thickBot="1" x14ac:dyDescent="0.3">
      <c r="C5211" s="84"/>
      <c r="D5211" s="354"/>
      <c r="E5211" s="96"/>
      <c r="F5211" s="96"/>
      <c r="G5211" s="107">
        <f>+F5204</f>
        <v>5.0599999999999996</v>
      </c>
      <c r="H5211" s="96"/>
      <c r="I5211" s="96"/>
      <c r="J5211" s="427"/>
      <c r="K5211" s="88"/>
      <c r="M5211" s="535"/>
      <c r="N5211" s="537" t="s">
        <v>121</v>
      </c>
      <c r="O5211" s="537"/>
      <c r="P5211" s="537"/>
      <c r="Q5211" s="537"/>
      <c r="R5211" s="537"/>
      <c r="S5211" s="537"/>
      <c r="T5211" s="537"/>
      <c r="U5211" s="537"/>
      <c r="V5211" s="413">
        <f>+ROUND(V5210,$AA$5)</f>
        <v>5578.97</v>
      </c>
      <c r="Y5211" s="401" t="s">
        <v>136</v>
      </c>
      <c r="Z5211" s="402">
        <f>+ROUND(Z5210,$AA$5)</f>
        <v>66947.600000000006</v>
      </c>
      <c r="AA5211" s="86"/>
      <c r="AB5211" s="403">
        <f>+V5211*Y5177</f>
        <v>66947.64</v>
      </c>
      <c r="AC5211" s="404">
        <f>+AB5211-Z5211</f>
        <v>3.9999999993597157E-2</v>
      </c>
      <c r="AD5211" s="94"/>
      <c r="AE5211" s="405"/>
    </row>
    <row r="5212" spans="3:31" s="260" customFormat="1" ht="15.75" thickBot="1" x14ac:dyDescent="0.3">
      <c r="C5212" s="84"/>
      <c r="D5212" s="375" t="s">
        <v>128</v>
      </c>
      <c r="E5212" s="376" t="s">
        <v>129</v>
      </c>
      <c r="F5212" s="376" t="s">
        <v>130</v>
      </c>
      <c r="G5212" s="376" t="s">
        <v>131</v>
      </c>
      <c r="H5212" s="376" t="s">
        <v>132</v>
      </c>
      <c r="I5212" s="376" t="s">
        <v>133</v>
      </c>
      <c r="J5212" s="377" t="s">
        <v>134</v>
      </c>
      <c r="K5212" s="88"/>
      <c r="M5212" s="541"/>
      <c r="N5212" s="542"/>
      <c r="O5212" s="542"/>
      <c r="P5212" s="542"/>
      <c r="Q5212" s="542"/>
      <c r="R5212" s="542"/>
      <c r="S5212" s="542"/>
      <c r="T5212" s="542"/>
      <c r="U5212" s="542"/>
      <c r="V5212" s="543"/>
      <c r="Y5212" s="378"/>
      <c r="Z5212" s="121"/>
      <c r="AA5212" s="86"/>
      <c r="AB5212" s="409"/>
      <c r="AC5212" s="121"/>
      <c r="AD5212" s="94"/>
      <c r="AE5212" s="428"/>
    </row>
    <row r="5213" spans="3:31" s="260" customFormat="1" ht="15.75" thickBot="1" x14ac:dyDescent="0.3">
      <c r="C5213" s="84"/>
      <c r="D5213" s="355"/>
      <c r="E5213" s="367"/>
      <c r="F5213" s="367"/>
      <c r="G5213" s="367"/>
      <c r="H5213" s="412">
        <f>G5211</f>
        <v>5.0599999999999996</v>
      </c>
      <c r="I5213" s="412"/>
      <c r="J5213" s="422"/>
      <c r="K5213" s="88"/>
      <c r="M5213" s="544" t="s">
        <v>122</v>
      </c>
      <c r="N5213" s="537"/>
      <c r="O5213" s="537"/>
      <c r="P5213" s="537"/>
      <c r="Q5213" s="537"/>
      <c r="R5213" s="537"/>
      <c r="S5213" s="537"/>
      <c r="T5213" s="537"/>
      <c r="U5213" s="545">
        <f>+V5211+V5204+V5196+V5187</f>
        <v>44729.46</v>
      </c>
      <c r="V5213" s="546"/>
      <c r="Y5213" s="429"/>
      <c r="Z5213" s="430">
        <f>+Z5211+Z5204+Z5196+Z5187</f>
        <v>536753.44000000006</v>
      </c>
      <c r="AA5213" s="86"/>
      <c r="AB5213" s="431">
        <f>+AB5211+AB5204+AB5196+AB5187</f>
        <v>536753.52</v>
      </c>
      <c r="AC5213" s="404">
        <f>+AB5213-Z5213</f>
        <v>7.9999999958090484E-2</v>
      </c>
      <c r="AD5213" s="94"/>
      <c r="AE5213" s="432"/>
    </row>
    <row r="5214" spans="3:31" s="260" customFormat="1" ht="15.75" thickBot="1" x14ac:dyDescent="0.3"/>
    <row r="5215" spans="3:31" s="260" customFormat="1" x14ac:dyDescent="0.25">
      <c r="M5215" s="547" t="s">
        <v>348</v>
      </c>
      <c r="N5215" s="548"/>
      <c r="O5215" s="548"/>
      <c r="P5215" s="548"/>
      <c r="Q5215" s="548"/>
      <c r="R5215" s="548"/>
      <c r="S5215" s="548"/>
      <c r="T5215" s="548"/>
      <c r="U5215" s="548"/>
      <c r="V5215" s="549"/>
      <c r="Y5215" s="378"/>
      <c r="Z5215" s="121"/>
      <c r="AA5215" s="86"/>
      <c r="AB5215" s="94"/>
      <c r="AC5215" s="94"/>
      <c r="AD5215" s="94"/>
      <c r="AE5215" s="126" t="s">
        <v>133</v>
      </c>
    </row>
    <row r="5216" spans="3:31" s="260" customFormat="1" x14ac:dyDescent="0.25">
      <c r="M5216" s="515" t="s">
        <v>138</v>
      </c>
      <c r="N5216" s="516"/>
      <c r="O5216" s="516"/>
      <c r="P5216" s="516"/>
      <c r="Q5216" s="516"/>
      <c r="R5216" s="516"/>
      <c r="S5216" s="516"/>
      <c r="T5216" s="437">
        <v>0</v>
      </c>
      <c r="U5216" s="517">
        <f>+ROUND(U5213*T5216,$AA$5)</f>
        <v>0</v>
      </c>
      <c r="V5216" s="518"/>
      <c r="Y5216" s="390"/>
      <c r="Z5216" s="438">
        <f>+Z5213*T5216</f>
        <v>0</v>
      </c>
      <c r="AA5216" s="86"/>
      <c r="AB5216" s="94"/>
      <c r="AC5216" s="94"/>
      <c r="AD5216" s="94"/>
      <c r="AE5216" s="386" t="s">
        <v>133</v>
      </c>
    </row>
    <row r="5217" spans="3:31" s="260" customFormat="1" x14ac:dyDescent="0.25">
      <c r="M5217" s="515" t="s">
        <v>19</v>
      </c>
      <c r="N5217" s="516"/>
      <c r="O5217" s="516"/>
      <c r="P5217" s="516"/>
      <c r="Q5217" s="516"/>
      <c r="R5217" s="516"/>
      <c r="S5217" s="516"/>
      <c r="T5217" s="437">
        <v>0.05</v>
      </c>
      <c r="U5217" s="517">
        <f>+ROUND(U5213*T5217,$AA$5)</f>
        <v>2236.4699999999998</v>
      </c>
      <c r="V5217" s="518"/>
      <c r="Y5217" s="390"/>
      <c r="Z5217" s="438">
        <f>+Z5213*T5217</f>
        <v>26837.672000000006</v>
      </c>
      <c r="AA5217" s="86"/>
      <c r="AB5217" s="94"/>
      <c r="AC5217" s="94"/>
      <c r="AD5217" s="94"/>
      <c r="AE5217" s="386" t="s">
        <v>133</v>
      </c>
    </row>
    <row r="5218" spans="3:31" s="260" customFormat="1" x14ac:dyDescent="0.25">
      <c r="M5218" s="515" t="s">
        <v>20</v>
      </c>
      <c r="N5218" s="516"/>
      <c r="O5218" s="516"/>
      <c r="P5218" s="516"/>
      <c r="Q5218" s="516"/>
      <c r="R5218" s="516"/>
      <c r="S5218" s="516"/>
      <c r="T5218" s="437">
        <v>0</v>
      </c>
      <c r="U5218" s="517">
        <f>+ROUND(U5213*T5218,$AA$5)</f>
        <v>0</v>
      </c>
      <c r="V5218" s="518"/>
      <c r="Y5218" s="390"/>
      <c r="Z5218" s="438">
        <f>+Z5213*T5218</f>
        <v>0</v>
      </c>
      <c r="AA5218" s="86"/>
      <c r="AB5218" s="94"/>
      <c r="AC5218" s="94"/>
      <c r="AD5218" s="94"/>
      <c r="AE5218" s="386" t="s">
        <v>133</v>
      </c>
    </row>
    <row r="5219" spans="3:31" s="260" customFormat="1" x14ac:dyDescent="0.25">
      <c r="M5219" s="515" t="s">
        <v>21</v>
      </c>
      <c r="N5219" s="516"/>
      <c r="O5219" s="516"/>
      <c r="P5219" s="516"/>
      <c r="Q5219" s="516"/>
      <c r="R5219" s="516"/>
      <c r="S5219" s="516"/>
      <c r="T5219" s="437">
        <f>$AA$9</f>
        <v>0</v>
      </c>
      <c r="U5219" s="517">
        <f>+ROUND(U5213*T5219,$AA$5)</f>
        <v>0</v>
      </c>
      <c r="V5219" s="518"/>
      <c r="Y5219" s="390"/>
      <c r="Z5219" s="438">
        <f>+Z5218*T5219</f>
        <v>0</v>
      </c>
      <c r="AA5219" s="86"/>
      <c r="AB5219" s="94"/>
      <c r="AC5219" s="94"/>
      <c r="AD5219" s="94"/>
      <c r="AE5219" s="386" t="s">
        <v>133</v>
      </c>
    </row>
    <row r="5220" spans="3:31" s="260" customFormat="1" ht="15.75" thickBot="1" x14ac:dyDescent="0.3">
      <c r="M5220" s="519" t="s">
        <v>349</v>
      </c>
      <c r="N5220" s="520"/>
      <c r="O5220" s="520"/>
      <c r="P5220" s="520"/>
      <c r="Q5220" s="520"/>
      <c r="R5220" s="520"/>
      <c r="S5220" s="520"/>
      <c r="T5220" s="520"/>
      <c r="U5220" s="521">
        <f>+SUM(U5216:V5219)</f>
        <v>2236.4699999999998</v>
      </c>
      <c r="V5220" s="522"/>
      <c r="Y5220" s="390"/>
      <c r="Z5220" s="439">
        <f>+SUM(Z5216:Z5219)</f>
        <v>26837.672000000006</v>
      </c>
      <c r="AA5220" s="86"/>
      <c r="AB5220" s="94"/>
      <c r="AC5220" s="94"/>
      <c r="AD5220" s="94"/>
      <c r="AE5220" s="386" t="s">
        <v>133</v>
      </c>
    </row>
    <row r="5221" spans="3:31" s="260" customFormat="1" ht="15.75" thickBot="1" x14ac:dyDescent="0.3">
      <c r="D5221" s="375" t="s">
        <v>128</v>
      </c>
      <c r="E5221" s="376" t="s">
        <v>129</v>
      </c>
      <c r="F5221" s="376" t="s">
        <v>130</v>
      </c>
      <c r="G5221" s="376" t="s">
        <v>131</v>
      </c>
      <c r="H5221" s="376" t="s">
        <v>132</v>
      </c>
      <c r="I5221" s="376" t="s">
        <v>133</v>
      </c>
      <c r="J5221" s="377" t="s">
        <v>134</v>
      </c>
      <c r="M5221" s="86"/>
      <c r="N5221" s="94"/>
      <c r="O5221" s="94"/>
      <c r="P5221" s="94"/>
      <c r="Q5221" s="86"/>
      <c r="R5221" s="86"/>
      <c r="S5221" s="86"/>
      <c r="T5221" s="440"/>
      <c r="U5221" s="523"/>
      <c r="V5221" s="523"/>
      <c r="Y5221" s="390"/>
      <c r="Z5221" s="385"/>
      <c r="AA5221" s="86"/>
      <c r="AB5221" s="94"/>
      <c r="AC5221" s="94"/>
      <c r="AD5221" s="94"/>
      <c r="AE5221" s="386" t="s">
        <v>133</v>
      </c>
    </row>
    <row r="5222" spans="3:31" s="260" customFormat="1" ht="15.75" thickBot="1" x14ac:dyDescent="0.3">
      <c r="D5222" s="355"/>
      <c r="E5222" s="367"/>
      <c r="F5222" s="367"/>
      <c r="G5222" s="367"/>
      <c r="H5222" s="412"/>
      <c r="I5222" s="412">
        <f>H5213</f>
        <v>5.0599999999999996</v>
      </c>
      <c r="J5222" s="422"/>
      <c r="M5222" s="524" t="s">
        <v>11</v>
      </c>
      <c r="N5222" s="525"/>
      <c r="O5222" s="525"/>
      <c r="P5222" s="525"/>
      <c r="Q5222" s="525"/>
      <c r="R5222" s="525"/>
      <c r="S5222" s="525"/>
      <c r="T5222" s="526"/>
      <c r="U5222" s="527">
        <f>+U5220+U5213</f>
        <v>46965.93</v>
      </c>
      <c r="V5222" s="528"/>
      <c r="Y5222" s="429"/>
      <c r="Z5222" s="441">
        <f>+Z5220+Z5213</f>
        <v>563591.11200000008</v>
      </c>
      <c r="AA5222" s="86"/>
      <c r="AB5222" s="94"/>
      <c r="AC5222" s="94"/>
      <c r="AD5222" s="94"/>
      <c r="AE5222" s="405" t="s">
        <v>133</v>
      </c>
    </row>
    <row r="5223" spans="3:31" s="260" customFormat="1" x14ac:dyDescent="0.25"/>
    <row r="5224" spans="3:31" s="260" customFormat="1" ht="15.75" thickBot="1" x14ac:dyDescent="0.3"/>
    <row r="5225" spans="3:31" s="260" customFormat="1" ht="15.75" thickBot="1" x14ac:dyDescent="0.3">
      <c r="M5225" s="363" t="s">
        <v>88</v>
      </c>
      <c r="N5225" s="436" t="str">
        <f>+N5176</f>
        <v>CAP.5</v>
      </c>
      <c r="O5225" s="550" t="str">
        <f>IFERROR(VLOOKUP(N5225,PPTO!C:H,2,0),"----")</f>
        <v>RED PLUVIAL</v>
      </c>
      <c r="P5225" s="551"/>
      <c r="Q5225" s="551"/>
      <c r="R5225" s="551"/>
      <c r="S5225" s="551"/>
      <c r="T5225" s="551"/>
      <c r="U5225" s="552"/>
      <c r="V5225" s="74" t="s">
        <v>91</v>
      </c>
      <c r="Y5225" s="365" t="s">
        <v>104</v>
      </c>
      <c r="Z5225" s="94"/>
      <c r="AA5225" s="188"/>
      <c r="AB5225" s="553"/>
      <c r="AC5225" s="553"/>
      <c r="AD5225" s="553"/>
      <c r="AE5225" s="94"/>
    </row>
    <row r="5226" spans="3:31" s="260" customFormat="1" ht="15.75" thickBot="1" x14ac:dyDescent="0.3">
      <c r="C5226" s="369">
        <f>+N5226</f>
        <v>5.07</v>
      </c>
      <c r="D5226" s="86"/>
      <c r="E5226" s="86"/>
      <c r="F5226" s="86"/>
      <c r="G5226" s="86"/>
      <c r="H5226" s="86"/>
      <c r="I5226" s="86"/>
      <c r="J5226" s="86"/>
      <c r="K5226" s="370"/>
      <c r="M5226" s="75" t="s">
        <v>92</v>
      </c>
      <c r="N5226" s="371">
        <f>+ROUNDUP(N5177+0.01,2)</f>
        <v>5.07</v>
      </c>
      <c r="O5226" s="554" t="str">
        <f>IFERROR(VLOOKUP(N5226,PPTO!C:H,2,0),"----")</f>
        <v>Yee reducida PVC Ø4" a Ø3"</v>
      </c>
      <c r="P5226" s="555"/>
      <c r="Q5226" s="555"/>
      <c r="R5226" s="555"/>
      <c r="S5226" s="555"/>
      <c r="T5226" s="555"/>
      <c r="U5226" s="556"/>
      <c r="V5226" s="76" t="str">
        <f>IFERROR(VLOOKUP(N5226,PPTO!C:H,3,0),"----")</f>
        <v>UND</v>
      </c>
      <c r="Y5226" s="373">
        <f>SUMIFS(PPTO!F:F,PPTO!C:C,APUS!N5226)</f>
        <v>3</v>
      </c>
      <c r="Z5226" s="94"/>
      <c r="AA5226" s="86"/>
      <c r="AB5226" s="94"/>
      <c r="AC5226" s="94"/>
      <c r="AD5226" s="94"/>
      <c r="AE5226" s="94"/>
    </row>
    <row r="5227" spans="3:31" s="260" customFormat="1" ht="15.75" thickBot="1" x14ac:dyDescent="0.3">
      <c r="C5227" s="84"/>
      <c r="D5227" s="86"/>
      <c r="E5227" s="86"/>
      <c r="F5227" s="86"/>
      <c r="G5227" s="86"/>
      <c r="H5227" s="86"/>
      <c r="I5227" s="86"/>
      <c r="J5227" s="86"/>
      <c r="K5227" s="88"/>
      <c r="M5227" s="557"/>
      <c r="N5227" s="557"/>
      <c r="O5227" s="557"/>
      <c r="P5227" s="557"/>
      <c r="Q5227" s="557"/>
      <c r="R5227" s="557"/>
      <c r="S5227" s="557"/>
      <c r="T5227" s="557"/>
      <c r="U5227" s="557"/>
      <c r="V5227" s="557"/>
      <c r="Y5227" s="374"/>
      <c r="Z5227" s="94"/>
      <c r="AA5227" s="86"/>
      <c r="AB5227" s="94"/>
      <c r="AC5227" s="94"/>
      <c r="AD5227" s="94"/>
      <c r="AE5227" s="94"/>
    </row>
    <row r="5228" spans="3:31" s="260" customFormat="1" ht="15.75" thickBot="1" x14ac:dyDescent="0.3">
      <c r="C5228" s="84"/>
      <c r="D5228" s="375" t="s">
        <v>128</v>
      </c>
      <c r="E5228" s="376" t="s">
        <v>129</v>
      </c>
      <c r="F5228" s="376" t="s">
        <v>130</v>
      </c>
      <c r="G5228" s="376" t="s">
        <v>131</v>
      </c>
      <c r="H5228" s="376" t="s">
        <v>132</v>
      </c>
      <c r="I5228" s="376" t="s">
        <v>133</v>
      </c>
      <c r="J5228" s="377" t="s">
        <v>134</v>
      </c>
      <c r="K5228" s="88"/>
      <c r="M5228" s="558" t="s">
        <v>93</v>
      </c>
      <c r="N5228" s="559"/>
      <c r="O5228" s="559"/>
      <c r="P5228" s="559"/>
      <c r="Q5228" s="559"/>
      <c r="R5228" s="559"/>
      <c r="S5228" s="559"/>
      <c r="T5228" s="559"/>
      <c r="U5228" s="559"/>
      <c r="V5228" s="560"/>
      <c r="Y5228" s="378"/>
      <c r="Z5228" s="121"/>
      <c r="AA5228" s="86"/>
      <c r="AB5228" s="513"/>
      <c r="AC5228" s="514"/>
      <c r="AD5228" s="94"/>
      <c r="AE5228" s="379"/>
    </row>
    <row r="5229" spans="3:31" s="260" customFormat="1" x14ac:dyDescent="0.25">
      <c r="C5229" s="84"/>
      <c r="D5229" s="380"/>
      <c r="E5229" s="381"/>
      <c r="F5229" s="381"/>
      <c r="G5229" s="381"/>
      <c r="H5229" s="381"/>
      <c r="I5229" s="381"/>
      <c r="J5229" s="382"/>
      <c r="K5229" s="88"/>
      <c r="M5229" s="99" t="s">
        <v>94</v>
      </c>
      <c r="N5229" s="561" t="s">
        <v>95</v>
      </c>
      <c r="O5229" s="561"/>
      <c r="P5229" s="561"/>
      <c r="Q5229" s="561"/>
      <c r="R5229" s="95" t="s">
        <v>96</v>
      </c>
      <c r="S5229" s="95" t="s">
        <v>97</v>
      </c>
      <c r="T5229" s="562" t="s">
        <v>8</v>
      </c>
      <c r="U5229" s="562"/>
      <c r="V5229" s="100" t="s">
        <v>98</v>
      </c>
      <c r="Y5229" s="383" t="s">
        <v>104</v>
      </c>
      <c r="Z5229" s="119" t="s">
        <v>9</v>
      </c>
      <c r="AA5229" s="86"/>
      <c r="AB5229" s="384"/>
      <c r="AC5229" s="385"/>
      <c r="AD5229" s="94"/>
      <c r="AE5229" s="386"/>
    </row>
    <row r="5230" spans="3:31" s="260" customFormat="1" x14ac:dyDescent="0.25">
      <c r="C5230" s="84"/>
      <c r="D5230" s="85"/>
      <c r="E5230" s="86"/>
      <c r="F5230" s="86"/>
      <c r="G5230" s="86"/>
      <c r="H5230" s="86"/>
      <c r="I5230" s="86"/>
      <c r="J5230" s="87"/>
      <c r="K5230" s="88"/>
      <c r="M5230" s="102"/>
      <c r="N5230" s="533" t="s">
        <v>99</v>
      </c>
      <c r="O5230" s="533"/>
      <c r="P5230" s="533"/>
      <c r="Q5230" s="533"/>
      <c r="R5230" s="78" t="s">
        <v>100</v>
      </c>
      <c r="S5230" s="387">
        <f>+$AA$10</f>
        <v>0.05</v>
      </c>
      <c r="T5230" s="563">
        <f>V5260</f>
        <v>5578.97</v>
      </c>
      <c r="U5230" s="563"/>
      <c r="V5230" s="389">
        <f>+IFERROR(T5230*S5230,0)</f>
        <v>278.94850000000002</v>
      </c>
      <c r="Y5230" s="390"/>
      <c r="Z5230" s="391">
        <f>Y5226*V5230</f>
        <v>836.84550000000013</v>
      </c>
      <c r="AA5230" s="86"/>
      <c r="AB5230" s="384"/>
      <c r="AC5230" s="385"/>
      <c r="AD5230" s="94"/>
      <c r="AE5230" s="386" t="str">
        <f>+IF(V5230=0,"CERO","NO")</f>
        <v>NO</v>
      </c>
    </row>
    <row r="5231" spans="3:31" s="260" customFormat="1" x14ac:dyDescent="0.25">
      <c r="C5231" s="84"/>
      <c r="D5231" s="85"/>
      <c r="E5231" s="86"/>
      <c r="F5231" s="86"/>
      <c r="G5231" s="86"/>
      <c r="H5231" s="86"/>
      <c r="I5231" s="86"/>
      <c r="J5231" s="87"/>
      <c r="K5231" s="88"/>
      <c r="M5231" s="106"/>
      <c r="N5231" s="533" t="str">
        <f>IFERROR(VLOOKUP(M5231,INSUMOS!$C$8:$K$928,2,0),"-----")</f>
        <v>-----</v>
      </c>
      <c r="O5231" s="533"/>
      <c r="P5231" s="533"/>
      <c r="Q5231" s="533"/>
      <c r="R5231" s="78" t="str">
        <f>IFERROR(VLOOKUP(M5231,INSUMOS!$C$8:$K$928,6,0),"-----")</f>
        <v>-----</v>
      </c>
      <c r="S5231" s="392"/>
      <c r="T5231" s="529" t="str">
        <f>IFERROR(VLOOKUP(M5231,INSUMOS!$C$8:$K$928,7,0),"0")</f>
        <v>0</v>
      </c>
      <c r="U5231" s="529"/>
      <c r="V5231" s="389">
        <f>+IFERROR(T5231*S5231,0)</f>
        <v>0</v>
      </c>
      <c r="Y5231" s="393">
        <f>+IFERROR(Y5226*S5231,0)</f>
        <v>0</v>
      </c>
      <c r="Z5231" s="391">
        <f>Y5226*V5231</f>
        <v>0</v>
      </c>
      <c r="AA5231" s="394"/>
      <c r="AB5231" s="395">
        <f>+Y5231*T5231</f>
        <v>0</v>
      </c>
      <c r="AC5231" s="93">
        <f>+AB5231-Z5231</f>
        <v>0</v>
      </c>
      <c r="AD5231" s="94"/>
      <c r="AE5231" s="386" t="str">
        <f>+IF(V5231=0,"CERO","NO")</f>
        <v>CERO</v>
      </c>
    </row>
    <row r="5232" spans="3:31" s="260" customFormat="1" x14ac:dyDescent="0.25">
      <c r="C5232" s="84"/>
      <c r="D5232" s="85"/>
      <c r="E5232" s="86"/>
      <c r="F5232" s="86"/>
      <c r="G5232" s="86"/>
      <c r="H5232" s="86"/>
      <c r="I5232" s="86"/>
      <c r="J5232" s="87"/>
      <c r="K5232" s="88"/>
      <c r="M5232" s="102">
        <v>0</v>
      </c>
      <c r="N5232" s="533"/>
      <c r="O5232" s="533"/>
      <c r="P5232" s="533"/>
      <c r="Q5232" s="533"/>
      <c r="R5232" s="78"/>
      <c r="S5232" s="396"/>
      <c r="T5232" s="529"/>
      <c r="U5232" s="529"/>
      <c r="V5232" s="397"/>
      <c r="Y5232" s="393">
        <f>+IFERROR(Y5226*S5232,0)</f>
        <v>0</v>
      </c>
      <c r="Z5232" s="391">
        <f>Y5226*V5232</f>
        <v>0</v>
      </c>
      <c r="AA5232" s="394"/>
      <c r="AB5232" s="395">
        <f>+Y5232*T5232</f>
        <v>0</v>
      </c>
      <c r="AC5232" s="93">
        <f>+AB5232-Z5232</f>
        <v>0</v>
      </c>
      <c r="AD5232" s="94"/>
      <c r="AE5232" s="386" t="str">
        <f>+IF(V5232=0,"CERO","NO")</f>
        <v>CERO</v>
      </c>
    </row>
    <row r="5233" spans="3:31" s="260" customFormat="1" x14ac:dyDescent="0.25">
      <c r="C5233" s="84"/>
      <c r="D5233" s="85"/>
      <c r="E5233" s="86"/>
      <c r="F5233" s="86"/>
      <c r="G5233" s="86"/>
      <c r="H5233" s="86"/>
      <c r="I5233" s="86"/>
      <c r="J5233" s="87"/>
      <c r="K5233" s="88"/>
      <c r="M5233" s="102">
        <v>0</v>
      </c>
      <c r="N5233" s="533"/>
      <c r="O5233" s="533"/>
      <c r="P5233" s="533"/>
      <c r="Q5233" s="533"/>
      <c r="R5233" s="78"/>
      <c r="S5233" s="396"/>
      <c r="T5233" s="529"/>
      <c r="U5233" s="529"/>
      <c r="V5233" s="397"/>
      <c r="Y5233" s="393">
        <f>+IFERROR(Y5226*S5233,0)</f>
        <v>0</v>
      </c>
      <c r="Z5233" s="391">
        <f>Y5226*V5233</f>
        <v>0</v>
      </c>
      <c r="AA5233" s="394"/>
      <c r="AB5233" s="395">
        <f>+Y5233*T5233</f>
        <v>0</v>
      </c>
      <c r="AC5233" s="93">
        <f>+AB5233-Z5233</f>
        <v>0</v>
      </c>
      <c r="AD5233" s="94"/>
      <c r="AE5233" s="386" t="str">
        <f>+IF(V5233=0,"CERO","NO")</f>
        <v>CERO</v>
      </c>
    </row>
    <row r="5234" spans="3:31" s="260" customFormat="1" ht="15.75" thickBot="1" x14ac:dyDescent="0.3">
      <c r="C5234" s="84"/>
      <c r="D5234" s="85"/>
      <c r="E5234" s="86"/>
      <c r="F5234" s="86"/>
      <c r="G5234" s="86"/>
      <c r="H5234" s="86"/>
      <c r="I5234" s="86"/>
      <c r="J5234" s="87"/>
      <c r="K5234" s="88"/>
      <c r="M5234" s="102">
        <v>0</v>
      </c>
      <c r="N5234" s="564"/>
      <c r="O5234" s="564"/>
      <c r="P5234" s="564"/>
      <c r="Q5234" s="564"/>
      <c r="R5234" s="96"/>
      <c r="S5234" s="96"/>
      <c r="T5234" s="565"/>
      <c r="U5234" s="565"/>
      <c r="V5234" s="101"/>
      <c r="Y5234" s="393">
        <f>+IFERROR(Y5226*S5234,0)</f>
        <v>0</v>
      </c>
      <c r="Z5234" s="391">
        <f>Y5226*V5234</f>
        <v>0</v>
      </c>
      <c r="AA5234" s="394"/>
      <c r="AB5234" s="395">
        <f>+Y5234*T5234</f>
        <v>0</v>
      </c>
      <c r="AC5234" s="93">
        <f>+AB5234-Z5234</f>
        <v>0</v>
      </c>
      <c r="AD5234" s="94"/>
      <c r="AE5234" s="386" t="str">
        <f>+IF(V5234=0,"CERO","NO")</f>
        <v>CERO</v>
      </c>
    </row>
    <row r="5235" spans="3:31" s="260" customFormat="1" ht="15.75" thickBot="1" x14ac:dyDescent="0.3">
      <c r="C5235" s="84"/>
      <c r="D5235" s="375" t="s">
        <v>128</v>
      </c>
      <c r="E5235" s="376" t="s">
        <v>129</v>
      </c>
      <c r="F5235" s="376" t="s">
        <v>130</v>
      </c>
      <c r="G5235" s="376" t="s">
        <v>131</v>
      </c>
      <c r="H5235" s="376" t="s">
        <v>132</v>
      </c>
      <c r="I5235" s="376" t="s">
        <v>133</v>
      </c>
      <c r="J5235" s="377" t="s">
        <v>134</v>
      </c>
      <c r="K5235" s="88"/>
      <c r="M5235" s="534"/>
      <c r="N5235" s="536" t="s">
        <v>101</v>
      </c>
      <c r="O5235" s="536"/>
      <c r="P5235" s="536"/>
      <c r="Q5235" s="536"/>
      <c r="R5235" s="536"/>
      <c r="S5235" s="536"/>
      <c r="T5235" s="536"/>
      <c r="U5235" s="536"/>
      <c r="V5235" s="389">
        <f>+SUM(V5230:V5234)</f>
        <v>278.94850000000002</v>
      </c>
      <c r="Y5235" s="398" t="s">
        <v>135</v>
      </c>
      <c r="Z5235" s="397">
        <f>+SUM(Z5230:Z5234)</f>
        <v>836.84550000000013</v>
      </c>
      <c r="AA5235" s="86"/>
      <c r="AB5235" s="384"/>
      <c r="AC5235" s="385"/>
      <c r="AD5235" s="94"/>
      <c r="AE5235" s="399"/>
    </row>
    <row r="5236" spans="3:31" s="260" customFormat="1" ht="15.75" thickBot="1" x14ac:dyDescent="0.3">
      <c r="C5236" s="84"/>
      <c r="D5236" s="375">
        <f>C5226</f>
        <v>5.07</v>
      </c>
      <c r="E5236" s="376"/>
      <c r="F5236" s="376"/>
      <c r="G5236" s="376"/>
      <c r="H5236" s="376"/>
      <c r="I5236" s="376"/>
      <c r="J5236" s="377"/>
      <c r="K5236" s="88"/>
      <c r="M5236" s="566"/>
      <c r="N5236" s="567" t="s">
        <v>102</v>
      </c>
      <c r="O5236" s="567"/>
      <c r="P5236" s="567"/>
      <c r="Q5236" s="567"/>
      <c r="R5236" s="567"/>
      <c r="S5236" s="567"/>
      <c r="T5236" s="567"/>
      <c r="U5236" s="567"/>
      <c r="V5236" s="400">
        <f>+ROUND(V5235,$AA$5)</f>
        <v>278.95</v>
      </c>
      <c r="Y5236" s="401" t="s">
        <v>136</v>
      </c>
      <c r="Z5236" s="402">
        <f>+ROUND(Z5235,$AA$5)</f>
        <v>836.85</v>
      </c>
      <c r="AA5236" s="86"/>
      <c r="AB5236" s="403">
        <f>+V5236*Y5226</f>
        <v>836.84999999999991</v>
      </c>
      <c r="AC5236" s="404">
        <f>+AB5236-Z5236</f>
        <v>0</v>
      </c>
      <c r="AD5236" s="94"/>
      <c r="AE5236" s="405"/>
    </row>
    <row r="5237" spans="3:31" s="260" customFormat="1" x14ac:dyDescent="0.25">
      <c r="C5237" s="84"/>
      <c r="D5237" s="380"/>
      <c r="E5237" s="381"/>
      <c r="F5237" s="381"/>
      <c r="G5237" s="381"/>
      <c r="H5237" s="381"/>
      <c r="I5237" s="381"/>
      <c r="J5237" s="382"/>
      <c r="K5237" s="88"/>
      <c r="M5237" s="510" t="s">
        <v>103</v>
      </c>
      <c r="N5237" s="511"/>
      <c r="O5237" s="511"/>
      <c r="P5237" s="511"/>
      <c r="Q5237" s="511"/>
      <c r="R5237" s="511"/>
      <c r="S5237" s="511"/>
      <c r="T5237" s="511"/>
      <c r="U5237" s="511"/>
      <c r="V5237" s="512"/>
      <c r="Y5237" s="378"/>
      <c r="Z5237" s="121"/>
      <c r="AA5237" s="86"/>
      <c r="AB5237" s="513"/>
      <c r="AC5237" s="514"/>
      <c r="AD5237" s="94"/>
      <c r="AE5237" s="126"/>
    </row>
    <row r="5238" spans="3:31" s="260" customFormat="1" x14ac:dyDescent="0.25">
      <c r="C5238" s="84"/>
      <c r="D5238" s="85"/>
      <c r="E5238" s="86"/>
      <c r="F5238" s="86"/>
      <c r="G5238" s="86"/>
      <c r="H5238" s="86"/>
      <c r="I5238" s="86"/>
      <c r="J5238" s="87"/>
      <c r="K5238" s="88"/>
      <c r="M5238" s="99" t="s">
        <v>94</v>
      </c>
      <c r="N5238" s="561" t="s">
        <v>95</v>
      </c>
      <c r="O5238" s="561"/>
      <c r="P5238" s="561"/>
      <c r="Q5238" s="561"/>
      <c r="R5238" s="95" t="s">
        <v>96</v>
      </c>
      <c r="S5238" s="95" t="s">
        <v>104</v>
      </c>
      <c r="T5238" s="356" t="s">
        <v>105</v>
      </c>
      <c r="U5238" s="356" t="s">
        <v>8</v>
      </c>
      <c r="V5238" s="100" t="s">
        <v>98</v>
      </c>
      <c r="Y5238" s="383" t="s">
        <v>104</v>
      </c>
      <c r="Z5238" s="119" t="s">
        <v>9</v>
      </c>
      <c r="AA5238" s="86"/>
      <c r="AB5238" s="384"/>
      <c r="AC5238" s="385"/>
      <c r="AD5238" s="94"/>
      <c r="AE5238" s="406"/>
    </row>
    <row r="5239" spans="3:31" s="260" customFormat="1" x14ac:dyDescent="0.25">
      <c r="C5239" s="84"/>
      <c r="D5239" s="85"/>
      <c r="E5239" s="86"/>
      <c r="F5239" s="86"/>
      <c r="G5239" s="86"/>
      <c r="H5239" s="86"/>
      <c r="I5239" s="86"/>
      <c r="J5239" s="87"/>
      <c r="K5239" s="88"/>
      <c r="M5239" s="102">
        <v>542</v>
      </c>
      <c r="N5239" s="533" t="str">
        <f>IFERROR(VLOOKUP(M5239,INSUMOS!$C$8:$K$928,2,0),"-----")</f>
        <v>YEE 4" A 2" SANITARIO</v>
      </c>
      <c r="O5239" s="533"/>
      <c r="P5239" s="533"/>
      <c r="Q5239" s="533"/>
      <c r="R5239" s="78" t="str">
        <f>IFERROR(VLOOKUP(M5239,INSUMOS!$C$8:$K$928,6,0),"-----")</f>
        <v>und</v>
      </c>
      <c r="S5239" s="396">
        <v>1</v>
      </c>
      <c r="T5239" s="387">
        <v>0</v>
      </c>
      <c r="U5239" s="388">
        <f>IFERROR(VLOOKUP(M5239,INSUMOS!$C$8:$K$928,7,0),"0")</f>
        <v>31209</v>
      </c>
      <c r="V5239" s="389">
        <f>+IFERROR(U5239*(S5239*(1+T5239)),0)</f>
        <v>31209</v>
      </c>
      <c r="Y5239" s="393">
        <f>+IFERROR(Y5226*(S5239*(1+T5239)),0)</f>
        <v>3</v>
      </c>
      <c r="Z5239" s="391">
        <f>Y5226*V5239</f>
        <v>93627</v>
      </c>
      <c r="AA5239" s="394"/>
      <c r="AB5239" s="395">
        <f>+Y5239*U5239</f>
        <v>93627</v>
      </c>
      <c r="AC5239" s="93">
        <f>+AB5239-Z5239</f>
        <v>0</v>
      </c>
      <c r="AD5239" s="94"/>
      <c r="AE5239" s="406" t="str">
        <f>+IF(V5239=0,"CERO","NO")</f>
        <v>NO</v>
      </c>
    </row>
    <row r="5240" spans="3:31" s="260" customFormat="1" x14ac:dyDescent="0.25">
      <c r="C5240" s="84"/>
      <c r="D5240" s="85"/>
      <c r="E5240" s="86"/>
      <c r="F5240" s="86"/>
      <c r="G5240" s="86"/>
      <c r="H5240" s="86"/>
      <c r="I5240" s="86"/>
      <c r="J5240" s="87"/>
      <c r="K5240" s="88"/>
      <c r="M5240" s="102">
        <v>699</v>
      </c>
      <c r="N5240" s="533" t="str">
        <f>IFERROR(VLOOKUP(M5240,INSUMOS!$C$8:$K$928,2,0),"-----")</f>
        <v>SOLDADURA PVC LIQUIDA 1/4"</v>
      </c>
      <c r="O5240" s="533"/>
      <c r="P5240" s="533"/>
      <c r="Q5240" s="533"/>
      <c r="R5240" s="78" t="str">
        <f>IFERROR(VLOOKUP(M5240,INSUMOS!$C$8:$K$928,6,0),"-----")</f>
        <v>und</v>
      </c>
      <c r="S5240" s="396">
        <v>0.01</v>
      </c>
      <c r="T5240" s="387">
        <v>0.02</v>
      </c>
      <c r="U5240" s="388">
        <f>IFERROR(VLOOKUP(M5240,INSUMOS!$C$8:$K$928,7,0),"0")</f>
        <v>146569</v>
      </c>
      <c r="V5240" s="389">
        <f>+IFERROR(U5240*(S5240*(1+T5240)),0)</f>
        <v>1495.0038000000002</v>
      </c>
      <c r="Y5240" s="393">
        <f>+IFERROR(Y5226*(S5240*(1+T5240)),0)</f>
        <v>3.0600000000000002E-2</v>
      </c>
      <c r="Z5240" s="391">
        <f>Y5226*V5240</f>
        <v>4485.0114000000003</v>
      </c>
      <c r="AA5240" s="394"/>
      <c r="AB5240" s="395">
        <f>+Y5240*U5240</f>
        <v>4485.0114000000003</v>
      </c>
      <c r="AC5240" s="93">
        <f>+AB5240-Z5240</f>
        <v>0</v>
      </c>
      <c r="AD5240" s="94"/>
      <c r="AE5240" s="406" t="str">
        <f>+IF(V5240=0,"CERO","NO")</f>
        <v>NO</v>
      </c>
    </row>
    <row r="5241" spans="3:31" s="260" customFormat="1" x14ac:dyDescent="0.25">
      <c r="C5241" s="84"/>
      <c r="D5241" s="85"/>
      <c r="E5241" s="86"/>
      <c r="F5241" s="86"/>
      <c r="G5241" s="86"/>
      <c r="H5241" s="86"/>
      <c r="I5241" s="86"/>
      <c r="J5241" s="87"/>
      <c r="K5241" s="88"/>
      <c r="M5241" s="102">
        <v>700</v>
      </c>
      <c r="N5241" s="533" t="str">
        <f>IFERROR(VLOOKUP(M5241,INSUMOS!$C$8:$K$928,2,0),"-----")</f>
        <v>LIMPIADOR PVC 1/4</v>
      </c>
      <c r="O5241" s="533"/>
      <c r="P5241" s="533"/>
      <c r="Q5241" s="533"/>
      <c r="R5241" s="78" t="str">
        <f>IFERROR(VLOOKUP(M5241,INSUMOS!$C$8:$K$928,6,0),"-----")</f>
        <v>und</v>
      </c>
      <c r="S5241" s="396">
        <v>0.01</v>
      </c>
      <c r="T5241" s="387">
        <v>0.02</v>
      </c>
      <c r="U5241" s="388">
        <f>IFERROR(VLOOKUP(M5241,INSUMOS!$C$8:$K$928,7,0),"0")</f>
        <v>65913</v>
      </c>
      <c r="V5241" s="389">
        <f>+IFERROR(U5241*(S5241*(1+T5241)),0)</f>
        <v>672.31260000000009</v>
      </c>
      <c r="Y5241" s="393">
        <f>+IFERROR(Y5226*(S5241*(1+T5241)),0)</f>
        <v>3.0600000000000002E-2</v>
      </c>
      <c r="Z5241" s="391">
        <f>Y5226*V5241</f>
        <v>2016.9378000000002</v>
      </c>
      <c r="AA5241" s="394"/>
      <c r="AB5241" s="395">
        <f>+Y5241*U5241</f>
        <v>2016.9378000000002</v>
      </c>
      <c r="AC5241" s="93">
        <f>+AB5241-Z5241</f>
        <v>0</v>
      </c>
      <c r="AD5241" s="94"/>
      <c r="AE5241" s="406" t="str">
        <f>+IF(V5241=0,"CERO","NO")</f>
        <v>NO</v>
      </c>
    </row>
    <row r="5242" spans="3:31" s="260" customFormat="1" x14ac:dyDescent="0.25">
      <c r="C5242" s="84"/>
      <c r="D5242" s="85"/>
      <c r="E5242" s="86"/>
      <c r="F5242" s="86"/>
      <c r="G5242" s="86"/>
      <c r="H5242" s="86"/>
      <c r="I5242" s="86"/>
      <c r="J5242" s="87"/>
      <c r="K5242" s="88"/>
      <c r="M5242" s="102">
        <v>0</v>
      </c>
      <c r="N5242" s="533" t="str">
        <f>IFERROR(VLOOKUP(M5242,INSUMOS!$C$8:$K$928,2,0),"-----")</f>
        <v>-----</v>
      </c>
      <c r="O5242" s="533"/>
      <c r="P5242" s="533"/>
      <c r="Q5242" s="533"/>
      <c r="R5242" s="78" t="str">
        <f>IFERROR(VLOOKUP(M5242,INSUMOS!$C$8:$K$928,6,0),"-----")</f>
        <v>-----</v>
      </c>
      <c r="S5242" s="396"/>
      <c r="T5242" s="387"/>
      <c r="U5242" s="388" t="str">
        <f>IFERROR(VLOOKUP(M5242,INSUMOS!$C$8:$K$928,7,0),"0")</f>
        <v>0</v>
      </c>
      <c r="V5242" s="389">
        <f>+IFERROR(U5242*(S5242*(1+T5242)),0)</f>
        <v>0</v>
      </c>
      <c r="Y5242" s="393">
        <f>+IFERROR(Y5226*(S5242*(1+T5242)),0)</f>
        <v>0</v>
      </c>
      <c r="Z5242" s="391">
        <f>Y5226*V5242</f>
        <v>0</v>
      </c>
      <c r="AA5242" s="394"/>
      <c r="AB5242" s="395">
        <f>+Y5242*U5242</f>
        <v>0</v>
      </c>
      <c r="AC5242" s="93">
        <f>+AB5242-Z5242</f>
        <v>0</v>
      </c>
      <c r="AD5242" s="94"/>
      <c r="AE5242" s="406" t="str">
        <f>+IF(V5242=0,"CERO","NO")</f>
        <v>CERO</v>
      </c>
    </row>
    <row r="5243" spans="3:31" s="260" customFormat="1" ht="15.75" thickBot="1" x14ac:dyDescent="0.3">
      <c r="C5243" s="84"/>
      <c r="D5243" s="85"/>
      <c r="E5243" s="86"/>
      <c r="F5243" s="86"/>
      <c r="G5243" s="86"/>
      <c r="H5243" s="86"/>
      <c r="I5243" s="86"/>
      <c r="J5243" s="87"/>
      <c r="K5243" s="88"/>
      <c r="M5243" s="102">
        <v>0</v>
      </c>
      <c r="N5243" s="564"/>
      <c r="O5243" s="564"/>
      <c r="P5243" s="564"/>
      <c r="Q5243" s="564"/>
      <c r="R5243" s="96"/>
      <c r="S5243" s="79"/>
      <c r="T5243" s="97"/>
      <c r="U5243" s="358"/>
      <c r="V5243" s="397"/>
      <c r="Y5243" s="393">
        <f>+IFERROR(Y5226*(S5243*(1+T5243)),0)</f>
        <v>0</v>
      </c>
      <c r="Z5243" s="391">
        <f>Y5226*V5243</f>
        <v>0</v>
      </c>
      <c r="AA5243" s="394"/>
      <c r="AB5243" s="395">
        <f>+Y5243*U5243</f>
        <v>0</v>
      </c>
      <c r="AC5243" s="93">
        <f>+AB5243-Z5243</f>
        <v>0</v>
      </c>
      <c r="AD5243" s="94"/>
      <c r="AE5243" s="406" t="str">
        <f>+IF(V5243=0,"CERO","NO")</f>
        <v>CERO</v>
      </c>
    </row>
    <row r="5244" spans="3:31" s="260" customFormat="1" ht="15.75" thickBot="1" x14ac:dyDescent="0.3">
      <c r="C5244" s="84"/>
      <c r="D5244" s="375" t="s">
        <v>128</v>
      </c>
      <c r="E5244" s="376" t="s">
        <v>129</v>
      </c>
      <c r="F5244" s="376" t="s">
        <v>130</v>
      </c>
      <c r="G5244" s="376" t="s">
        <v>131</v>
      </c>
      <c r="H5244" s="376" t="s">
        <v>132</v>
      </c>
      <c r="I5244" s="376" t="s">
        <v>133</v>
      </c>
      <c r="J5244" s="377" t="s">
        <v>134</v>
      </c>
      <c r="K5244" s="88"/>
      <c r="M5244" s="534"/>
      <c r="N5244" s="536" t="s">
        <v>106</v>
      </c>
      <c r="O5244" s="536"/>
      <c r="P5244" s="536"/>
      <c r="Q5244" s="536"/>
      <c r="R5244" s="536"/>
      <c r="S5244" s="536"/>
      <c r="T5244" s="536"/>
      <c r="U5244" s="536"/>
      <c r="V5244" s="389">
        <f>+SUM(V5239:V5243)</f>
        <v>33376.316399999996</v>
      </c>
      <c r="Y5244" s="398" t="s">
        <v>135</v>
      </c>
      <c r="Z5244" s="397">
        <f>+SUM(Z5239:Z5243)</f>
        <v>100128.9492</v>
      </c>
      <c r="AA5244" s="86"/>
      <c r="AB5244" s="384"/>
      <c r="AC5244" s="385"/>
      <c r="AD5244" s="94"/>
      <c r="AE5244" s="399"/>
    </row>
    <row r="5245" spans="3:31" s="260" customFormat="1" ht="15.75" thickBot="1" x14ac:dyDescent="0.3">
      <c r="C5245" s="84"/>
      <c r="D5245" s="375"/>
      <c r="E5245" s="407">
        <f>+D5236</f>
        <v>5.07</v>
      </c>
      <c r="F5245" s="376"/>
      <c r="G5245" s="376"/>
      <c r="H5245" s="376"/>
      <c r="I5245" s="376"/>
      <c r="J5245" s="377"/>
      <c r="K5245" s="88"/>
      <c r="M5245" s="535"/>
      <c r="N5245" s="537" t="s">
        <v>107</v>
      </c>
      <c r="O5245" s="537"/>
      <c r="P5245" s="537"/>
      <c r="Q5245" s="537"/>
      <c r="R5245" s="537"/>
      <c r="S5245" s="537"/>
      <c r="T5245" s="537"/>
      <c r="U5245" s="537"/>
      <c r="V5245" s="408">
        <f>+ROUND(V5244,$AA$5)</f>
        <v>33376.32</v>
      </c>
      <c r="Y5245" s="401" t="s">
        <v>136</v>
      </c>
      <c r="Z5245" s="402">
        <f>+ROUND(Z5244,$AA$5)</f>
        <v>100128.95</v>
      </c>
      <c r="AA5245" s="86"/>
      <c r="AB5245" s="403">
        <f>+V5245*Y5226</f>
        <v>100128.95999999999</v>
      </c>
      <c r="AC5245" s="404">
        <f>+AB5245-Z5245</f>
        <v>9.9999999947613105E-3</v>
      </c>
      <c r="AD5245" s="94"/>
      <c r="AE5245" s="405"/>
    </row>
    <row r="5246" spans="3:31" s="260" customFormat="1" x14ac:dyDescent="0.25">
      <c r="C5246" s="84"/>
      <c r="D5246" s="380"/>
      <c r="E5246" s="381"/>
      <c r="F5246" s="381"/>
      <c r="G5246" s="381"/>
      <c r="H5246" s="381"/>
      <c r="I5246" s="381"/>
      <c r="J5246" s="382"/>
      <c r="K5246" s="88"/>
      <c r="M5246" s="568" t="s">
        <v>108</v>
      </c>
      <c r="N5246" s="569"/>
      <c r="O5246" s="569"/>
      <c r="P5246" s="569"/>
      <c r="Q5246" s="569"/>
      <c r="R5246" s="569"/>
      <c r="S5246" s="569"/>
      <c r="T5246" s="569"/>
      <c r="U5246" s="569"/>
      <c r="V5246" s="570"/>
      <c r="Y5246" s="378"/>
      <c r="Z5246" s="121"/>
      <c r="AA5246" s="86"/>
      <c r="AB5246" s="409"/>
      <c r="AC5246" s="121"/>
      <c r="AD5246" s="94"/>
      <c r="AE5246" s="126"/>
    </row>
    <row r="5247" spans="3:31" s="260" customFormat="1" ht="25.5" x14ac:dyDescent="0.25">
      <c r="C5247" s="84"/>
      <c r="D5247" s="85"/>
      <c r="E5247" s="86"/>
      <c r="F5247" s="86"/>
      <c r="G5247" s="86"/>
      <c r="H5247" s="86"/>
      <c r="I5247" s="86"/>
      <c r="J5247" s="87"/>
      <c r="K5247" s="88"/>
      <c r="M5247" s="99" t="s">
        <v>94</v>
      </c>
      <c r="N5247" s="561" t="s">
        <v>95</v>
      </c>
      <c r="O5247" s="561"/>
      <c r="P5247" s="561"/>
      <c r="Q5247" s="95" t="s">
        <v>109</v>
      </c>
      <c r="R5247" s="95" t="s">
        <v>110</v>
      </c>
      <c r="S5247" s="95" t="s">
        <v>111</v>
      </c>
      <c r="T5247" s="562" t="s">
        <v>112</v>
      </c>
      <c r="U5247" s="562"/>
      <c r="V5247" s="100" t="s">
        <v>98</v>
      </c>
      <c r="Y5247" s="383" t="s">
        <v>104</v>
      </c>
      <c r="Z5247" s="119" t="s">
        <v>9</v>
      </c>
      <c r="AA5247" s="86"/>
      <c r="AB5247" s="384"/>
      <c r="AC5247" s="385"/>
      <c r="AD5247" s="94"/>
      <c r="AE5247" s="410"/>
    </row>
    <row r="5248" spans="3:31" s="260" customFormat="1" x14ac:dyDescent="0.25">
      <c r="C5248" s="84"/>
      <c r="D5248" s="85"/>
      <c r="E5248" s="86"/>
      <c r="F5248" s="86"/>
      <c r="G5248" s="86"/>
      <c r="H5248" s="86"/>
      <c r="I5248" s="86"/>
      <c r="J5248" s="87"/>
      <c r="K5248" s="88"/>
      <c r="M5248" s="102">
        <v>129</v>
      </c>
      <c r="N5248" s="530" t="str">
        <f>IFERROR(VLOOKUP(M5248,INSUMOS!$C$8:$K$928,2,0),"-----")</f>
        <v>transporte materiales en general</v>
      </c>
      <c r="O5248" s="531"/>
      <c r="P5248" s="532"/>
      <c r="Q5248" s="78" t="str">
        <f>IFERROR(VLOOKUP(M5248,INSUMOS!$C$8:$K$928,5,0),"-----")</f>
        <v>Km</v>
      </c>
      <c r="R5248" s="80">
        <v>1</v>
      </c>
      <c r="S5248" s="80">
        <f>IFERROR(VLOOKUP(M5248,INSUMOS!$C$8:$K$928,6,0),"0")</f>
        <v>348</v>
      </c>
      <c r="T5248" s="529">
        <f>IFERROR(VLOOKUP(M5248,INSUMOS!$C$8:$K$928,7,0),"0")</f>
        <v>0.99776362060288992</v>
      </c>
      <c r="U5248" s="529"/>
      <c r="V5248" s="82">
        <f>+T5248*S5248*R5248</f>
        <v>347.2217399698057</v>
      </c>
      <c r="Y5248" s="393">
        <f>+IFERROR((R5248*S5248)*Y5226,0)</f>
        <v>1044</v>
      </c>
      <c r="Z5248" s="391">
        <f>Y5226*V5248</f>
        <v>1041.6652199094171</v>
      </c>
      <c r="AA5248" s="86"/>
      <c r="AB5248" s="92">
        <f>+Y5248*T5248</f>
        <v>1041.6652199094171</v>
      </c>
      <c r="AC5248" s="93">
        <f>+AB5248-Z5248</f>
        <v>0</v>
      </c>
      <c r="AD5248" s="94"/>
      <c r="AE5248" s="406" t="str">
        <f>+IF(V5248=0,"CERO","NO")</f>
        <v>NO</v>
      </c>
    </row>
    <row r="5249" spans="3:31" s="260" customFormat="1" x14ac:dyDescent="0.25">
      <c r="C5249" s="84"/>
      <c r="D5249" s="85"/>
      <c r="E5249" s="86"/>
      <c r="F5249" s="86"/>
      <c r="G5249" s="86"/>
      <c r="H5249" s="86"/>
      <c r="I5249" s="86"/>
      <c r="J5249" s="87"/>
      <c r="K5249" s="88"/>
      <c r="M5249" s="102">
        <v>0</v>
      </c>
      <c r="N5249" s="530" t="str">
        <f>IFERROR(VLOOKUP(M5249,INSUMOS!$C$8:$K$928,2,0),"-----")</f>
        <v>-----</v>
      </c>
      <c r="O5249" s="531"/>
      <c r="P5249" s="532"/>
      <c r="Q5249" s="78" t="str">
        <f>IFERROR(VLOOKUP(M5249,INSUMOS!$C$8:$K$928,5,0),"-----")</f>
        <v>-----</v>
      </c>
      <c r="R5249" s="80"/>
      <c r="S5249" s="80" t="str">
        <f>IFERROR(VLOOKUP(M5249,INSUMOS!$C$8:$K$928,6,0),"0")</f>
        <v>0</v>
      </c>
      <c r="T5249" s="529" t="str">
        <f>IFERROR(VLOOKUP(M5249,INSUMOS!$C$8:$K$928,7,0),"0")</f>
        <v>0</v>
      </c>
      <c r="U5249" s="529"/>
      <c r="V5249" s="82">
        <f>+T5249*S5249*R5249</f>
        <v>0</v>
      </c>
      <c r="Y5249" s="393">
        <f>+IFERROR((R5249*S5249)*Y5226,0)</f>
        <v>0</v>
      </c>
      <c r="Z5249" s="391">
        <f>Y5226*V5249</f>
        <v>0</v>
      </c>
      <c r="AA5249" s="86"/>
      <c r="AB5249" s="92">
        <f>+Y5249*T5249</f>
        <v>0</v>
      </c>
      <c r="AC5249" s="93">
        <f>+AB5249-Z5249</f>
        <v>0</v>
      </c>
      <c r="AD5249" s="94"/>
      <c r="AE5249" s="406" t="str">
        <f>+IF(V5249=0,"CERO","NO")</f>
        <v>CERO</v>
      </c>
    </row>
    <row r="5250" spans="3:31" s="260" customFormat="1" x14ac:dyDescent="0.25">
      <c r="C5250" s="84"/>
      <c r="D5250" s="85"/>
      <c r="E5250" s="86"/>
      <c r="F5250" s="86"/>
      <c r="G5250" s="86"/>
      <c r="H5250" s="86"/>
      <c r="I5250" s="86"/>
      <c r="J5250" s="87"/>
      <c r="K5250" s="88"/>
      <c r="M5250" s="102">
        <v>0</v>
      </c>
      <c r="N5250" s="530" t="str">
        <f>IFERROR(VLOOKUP(M5250,INSUMOS!$C$8:$K$928,2,0),"-----")</f>
        <v>-----</v>
      </c>
      <c r="O5250" s="531"/>
      <c r="P5250" s="532"/>
      <c r="Q5250" s="78" t="str">
        <f>IFERROR(VLOOKUP(M5250,INSUMOS!$C$8:$K$928,5,0),"-----")</f>
        <v>-----</v>
      </c>
      <c r="R5250" s="80"/>
      <c r="S5250" s="80" t="str">
        <f>IFERROR(VLOOKUP(M5250,INSUMOS!$C$8:$K$928,6,0),"0")</f>
        <v>0</v>
      </c>
      <c r="T5250" s="529" t="str">
        <f>IFERROR(VLOOKUP(M5250,INSUMOS!$C$8:$K$928,7,0),"0")</f>
        <v>0</v>
      </c>
      <c r="U5250" s="529"/>
      <c r="V5250" s="82">
        <f>+T5250*S5250*R5250</f>
        <v>0</v>
      </c>
      <c r="Y5250" s="393">
        <f>+IFERROR((R5250*S5250)*Y5226,0)</f>
        <v>0</v>
      </c>
      <c r="Z5250" s="391">
        <f>Y5226*V5250</f>
        <v>0</v>
      </c>
      <c r="AA5250" s="86"/>
      <c r="AB5250" s="92">
        <f>+Y5250*T5250</f>
        <v>0</v>
      </c>
      <c r="AC5250" s="93">
        <f>+AB5250-Z5250</f>
        <v>0</v>
      </c>
      <c r="AD5250" s="94"/>
      <c r="AE5250" s="406" t="str">
        <f>+IF(V5250=0,"CERO","NO")</f>
        <v>CERO</v>
      </c>
    </row>
    <row r="5251" spans="3:31" s="260" customFormat="1" ht="15.75" thickBot="1" x14ac:dyDescent="0.3">
      <c r="C5251" s="84"/>
      <c r="D5251" s="89"/>
      <c r="E5251" s="90"/>
      <c r="F5251" s="90"/>
      <c r="G5251" s="90"/>
      <c r="H5251" s="90"/>
      <c r="I5251" s="90"/>
      <c r="J5251" s="91"/>
      <c r="K5251" s="88"/>
      <c r="M5251" s="102">
        <v>0</v>
      </c>
      <c r="N5251" s="533"/>
      <c r="O5251" s="533"/>
      <c r="P5251" s="533"/>
      <c r="Q5251" s="79"/>
      <c r="R5251" s="78"/>
      <c r="S5251" s="81"/>
      <c r="T5251" s="529"/>
      <c r="U5251" s="529"/>
      <c r="V5251" s="82"/>
      <c r="Y5251" s="393">
        <f>+IFERROR((R5251*S5251)*Y5226,0)</f>
        <v>0</v>
      </c>
      <c r="Z5251" s="391">
        <f>Y5226*V5251</f>
        <v>0</v>
      </c>
      <c r="AA5251" s="86"/>
      <c r="AB5251" s="92">
        <f>+Y5251*T5251</f>
        <v>0</v>
      </c>
      <c r="AC5251" s="93">
        <f>+AB5251-Z5251</f>
        <v>0</v>
      </c>
      <c r="AD5251" s="94"/>
      <c r="AE5251" s="406" t="str">
        <f>+IF(V5251=0,"CERO","NO")</f>
        <v>CERO</v>
      </c>
    </row>
    <row r="5252" spans="3:31" s="260" customFormat="1" ht="15.75" thickBot="1" x14ac:dyDescent="0.3">
      <c r="C5252" s="84"/>
      <c r="D5252" s="375" t="s">
        <v>128</v>
      </c>
      <c r="E5252" s="376" t="s">
        <v>129</v>
      </c>
      <c r="F5252" s="376" t="s">
        <v>130</v>
      </c>
      <c r="G5252" s="376" t="s">
        <v>131</v>
      </c>
      <c r="H5252" s="376" t="s">
        <v>132</v>
      </c>
      <c r="I5252" s="376" t="s">
        <v>133</v>
      </c>
      <c r="J5252" s="377" t="s">
        <v>134</v>
      </c>
      <c r="K5252" s="88"/>
      <c r="M5252" s="534"/>
      <c r="N5252" s="536" t="s">
        <v>113</v>
      </c>
      <c r="O5252" s="536"/>
      <c r="P5252" s="536"/>
      <c r="Q5252" s="536"/>
      <c r="R5252" s="536"/>
      <c r="S5252" s="536"/>
      <c r="T5252" s="536"/>
      <c r="U5252" s="536"/>
      <c r="V5252" s="411">
        <f>+SUM(V5248:V5251)</f>
        <v>347.2217399698057</v>
      </c>
      <c r="Y5252" s="398" t="s">
        <v>135</v>
      </c>
      <c r="Z5252" s="397">
        <f>+SUM(Z5248:Z5251)</f>
        <v>1041.6652199094171</v>
      </c>
      <c r="AA5252" s="86"/>
      <c r="AB5252" s="384"/>
      <c r="AC5252" s="385"/>
      <c r="AD5252" s="94"/>
      <c r="AE5252" s="399"/>
    </row>
    <row r="5253" spans="3:31" s="260" customFormat="1" ht="15.75" thickBot="1" x14ac:dyDescent="0.3">
      <c r="C5253" s="84"/>
      <c r="D5253" s="355"/>
      <c r="E5253" s="367"/>
      <c r="F5253" s="412">
        <f>+E5245</f>
        <v>5.07</v>
      </c>
      <c r="G5253" s="367"/>
      <c r="H5253" s="367"/>
      <c r="I5253" s="367"/>
      <c r="J5253" s="368"/>
      <c r="K5253" s="88"/>
      <c r="M5253" s="535"/>
      <c r="N5253" s="537" t="s">
        <v>114</v>
      </c>
      <c r="O5253" s="537"/>
      <c r="P5253" s="537"/>
      <c r="Q5253" s="537"/>
      <c r="R5253" s="537"/>
      <c r="S5253" s="537"/>
      <c r="T5253" s="537"/>
      <c r="U5253" s="537"/>
      <c r="V5253" s="413">
        <f>+ROUND(V5252,$AA$5)</f>
        <v>347.22</v>
      </c>
      <c r="Y5253" s="401" t="s">
        <v>136</v>
      </c>
      <c r="Z5253" s="402">
        <f>+ROUND(Z5252,$AA$5)</f>
        <v>1041.67</v>
      </c>
      <c r="AA5253" s="86"/>
      <c r="AB5253" s="403">
        <f>+V5253*Y5226</f>
        <v>1041.6600000000001</v>
      </c>
      <c r="AC5253" s="414"/>
      <c r="AD5253" s="94"/>
      <c r="AE5253" s="405"/>
    </row>
    <row r="5254" spans="3:31" s="260" customFormat="1" ht="15.75" thickBot="1" x14ac:dyDescent="0.3">
      <c r="C5254" s="84"/>
      <c r="D5254" s="415"/>
      <c r="E5254" s="416"/>
      <c r="F5254" s="416"/>
      <c r="G5254" s="416"/>
      <c r="H5254" s="416"/>
      <c r="I5254" s="416"/>
      <c r="J5254" s="417"/>
      <c r="K5254" s="88"/>
      <c r="M5254" s="538" t="s">
        <v>115</v>
      </c>
      <c r="N5254" s="539"/>
      <c r="O5254" s="539"/>
      <c r="P5254" s="539"/>
      <c r="Q5254" s="539"/>
      <c r="R5254" s="539"/>
      <c r="S5254" s="539"/>
      <c r="T5254" s="539"/>
      <c r="U5254" s="539"/>
      <c r="V5254" s="540"/>
      <c r="Y5254" s="378"/>
      <c r="Z5254" s="121"/>
      <c r="AA5254" s="86"/>
      <c r="AB5254" s="409"/>
      <c r="AC5254" s="121"/>
      <c r="AD5254" s="94"/>
      <c r="AE5254" s="126"/>
    </row>
    <row r="5255" spans="3:31" s="260" customFormat="1" ht="15.75" thickBot="1" x14ac:dyDescent="0.3">
      <c r="C5255" s="84"/>
      <c r="D5255" s="375" t="s">
        <v>128</v>
      </c>
      <c r="E5255" s="376" t="s">
        <v>129</v>
      </c>
      <c r="F5255" s="376" t="s">
        <v>130</v>
      </c>
      <c r="G5255" s="376" t="s">
        <v>131</v>
      </c>
      <c r="H5255" s="376" t="s">
        <v>132</v>
      </c>
      <c r="I5255" s="376" t="s">
        <v>133</v>
      </c>
      <c r="J5255" s="377" t="s">
        <v>134</v>
      </c>
      <c r="K5255" s="88"/>
      <c r="M5255" s="99" t="s">
        <v>94</v>
      </c>
      <c r="N5255" s="98" t="s">
        <v>95</v>
      </c>
      <c r="O5255" s="95" t="s">
        <v>96</v>
      </c>
      <c r="P5255" s="359" t="s">
        <v>104</v>
      </c>
      <c r="Q5255" s="95" t="s">
        <v>116</v>
      </c>
      <c r="R5255" s="418" t="s">
        <v>117</v>
      </c>
      <c r="S5255" s="95" t="s">
        <v>347</v>
      </c>
      <c r="T5255" s="419" t="s">
        <v>118</v>
      </c>
      <c r="U5255" s="189" t="s">
        <v>119</v>
      </c>
      <c r="V5255" s="100" t="s">
        <v>98</v>
      </c>
      <c r="Y5255" s="383" t="s">
        <v>104</v>
      </c>
      <c r="Z5255" s="119" t="s">
        <v>9</v>
      </c>
      <c r="AA5255" s="86"/>
      <c r="AB5255" s="384"/>
      <c r="AC5255" s="385"/>
      <c r="AD5255" s="94"/>
      <c r="AE5255" s="410"/>
    </row>
    <row r="5256" spans="3:31" s="260" customFormat="1" ht="25.5" x14ac:dyDescent="0.25">
      <c r="C5256" s="84"/>
      <c r="D5256" s="354"/>
      <c r="E5256" s="96"/>
      <c r="F5256" s="96"/>
      <c r="G5256" s="96"/>
      <c r="H5256" s="96"/>
      <c r="I5256" s="96"/>
      <c r="J5256" s="420">
        <f>+F5253</f>
        <v>5.07</v>
      </c>
      <c r="K5256" s="88"/>
      <c r="M5256" s="102">
        <v>207</v>
      </c>
      <c r="N5256" s="347" t="str">
        <f>IFERROR(VLOOKUP(M5256,INSUMOS!$C$8:$K$928,2,0),"-----")</f>
        <v>Oficial Hidrosanitario</v>
      </c>
      <c r="O5256" s="78" t="str">
        <f>IFERROR(VLOOKUP(M5256,INSUMOS!$C$8:$K$928,3,0),"-----")</f>
        <v>JORNAL+PS</v>
      </c>
      <c r="P5256" s="80">
        <v>1</v>
      </c>
      <c r="Q5256" s="79">
        <v>30</v>
      </c>
      <c r="R5256" s="190">
        <f>IFERROR(VLOOKUP(M5256,INSUMOS!$C$8:$K$928,4,0),"-----")</f>
        <v>92983</v>
      </c>
      <c r="S5256" s="190">
        <f>IFERROR(VLOOKUP(M5256,INSUMOS!$C$8:$K$928,6,0),"-----")</f>
        <v>74386</v>
      </c>
      <c r="T5256" s="190">
        <f>IFERROR(VLOOKUP(M5256,INSUMOS!$C$8:$K$928,5,0),"-----")</f>
        <v>0</v>
      </c>
      <c r="U5256" s="388">
        <f>SUM(R5256:T5256)</f>
        <v>167369</v>
      </c>
      <c r="V5256" s="82">
        <f>+IFERROR((P5256/Q5256)*U5256,0)</f>
        <v>5578.9666666666662</v>
      </c>
      <c r="Y5256" s="393">
        <f>+IFERROR((Y5226/Q5256*P5256),0)</f>
        <v>0.1</v>
      </c>
      <c r="Z5256" s="391">
        <f>Y5226*V5256</f>
        <v>16736.899999999998</v>
      </c>
      <c r="AA5256" s="86"/>
      <c r="AB5256" s="92">
        <f>+(U5256)*Y5256</f>
        <v>16736.900000000001</v>
      </c>
      <c r="AC5256" s="93">
        <f>+AB5256-Z5256</f>
        <v>0</v>
      </c>
      <c r="AD5256" s="421"/>
      <c r="AE5256" s="410" t="str">
        <f>+IF(V5256=0,"CERO","NO")</f>
        <v>NO</v>
      </c>
    </row>
    <row r="5257" spans="3:31" s="260" customFormat="1" ht="15.75" thickBot="1" x14ac:dyDescent="0.3">
      <c r="C5257" s="84"/>
      <c r="D5257" s="355"/>
      <c r="E5257" s="367"/>
      <c r="F5257" s="367"/>
      <c r="G5257" s="367"/>
      <c r="H5257" s="367"/>
      <c r="I5257" s="367"/>
      <c r="J5257" s="422">
        <f>+J5256</f>
        <v>5.07</v>
      </c>
      <c r="K5257" s="88"/>
      <c r="M5257" s="102"/>
      <c r="N5257" s="347" t="str">
        <f>IFERROR(VLOOKUP(M5257,INSUMOS!$C$8:$K$928,2,0),"-----")</f>
        <v>-----</v>
      </c>
      <c r="O5257" s="78" t="str">
        <f>IFERROR(VLOOKUP(M5257,INSUMOS!$C$8:$K$928,3,0),"-----")</f>
        <v>-----</v>
      </c>
      <c r="P5257" s="80"/>
      <c r="Q5257" s="79"/>
      <c r="R5257" s="190" t="str">
        <f>IFERROR(VLOOKUP(M5257,INSUMOS!$C$8:$K$928,4,0),"-----")</f>
        <v>-----</v>
      </c>
      <c r="S5257" s="190" t="str">
        <f>IFERROR(VLOOKUP(M5257,INSUMOS!$C$8:$K$928,6,0),"-----")</f>
        <v>-----</v>
      </c>
      <c r="T5257" s="190" t="str">
        <f>IFERROR(VLOOKUP(M5257,INSUMOS!$C$8:$K$928,5,0),"-----")</f>
        <v>-----</v>
      </c>
      <c r="U5257" s="388">
        <f>SUM(R5257:T5257)</f>
        <v>0</v>
      </c>
      <c r="V5257" s="82">
        <f>+IFERROR((P5257/Q5257)*U5257,0)</f>
        <v>0</v>
      </c>
      <c r="Y5257" s="393">
        <f>+IFERROR((Y5226/Q5257*P5257),0)</f>
        <v>0</v>
      </c>
      <c r="Z5257" s="391">
        <f>Y5226*V5257</f>
        <v>0</v>
      </c>
      <c r="AA5257" s="86"/>
      <c r="AB5257" s="92">
        <f>+U5257*Y5257</f>
        <v>0</v>
      </c>
      <c r="AC5257" s="93">
        <f>+AB5257-Z5257</f>
        <v>0</v>
      </c>
      <c r="AD5257" s="94"/>
      <c r="AE5257" s="410" t="str">
        <f>+IF(V5257=0,"CERO","NO")</f>
        <v>CERO</v>
      </c>
    </row>
    <row r="5258" spans="3:31" s="260" customFormat="1" ht="15.75" thickBot="1" x14ac:dyDescent="0.3">
      <c r="C5258" s="84"/>
      <c r="D5258" s="380"/>
      <c r="E5258" s="381"/>
      <c r="F5258" s="381"/>
      <c r="G5258" s="381"/>
      <c r="H5258" s="381"/>
      <c r="I5258" s="381"/>
      <c r="J5258" s="382"/>
      <c r="K5258" s="88"/>
      <c r="M5258" s="102">
        <v>0</v>
      </c>
      <c r="N5258" s="347"/>
      <c r="O5258" s="79"/>
      <c r="P5258" s="423"/>
      <c r="Q5258" s="81"/>
      <c r="R5258" s="111"/>
      <c r="S5258" s="357"/>
      <c r="T5258" s="111"/>
      <c r="U5258" s="388"/>
      <c r="V5258" s="426"/>
      <c r="Y5258" s="393">
        <f>+IFERROR((Y5226/Q5258*P5258),0)</f>
        <v>0</v>
      </c>
      <c r="Z5258" s="391">
        <f>Y5226*V5258</f>
        <v>0</v>
      </c>
      <c r="AA5258" s="86"/>
      <c r="AB5258" s="92">
        <f>+(U5258)*Y5258*P5258</f>
        <v>0</v>
      </c>
      <c r="AC5258" s="93">
        <f>+AB5258-Z5258</f>
        <v>0</v>
      </c>
      <c r="AD5258" s="94"/>
      <c r="AE5258" s="410" t="str">
        <f>+IF(V5258=0,"CERO","NO")</f>
        <v>CERO</v>
      </c>
    </row>
    <row r="5259" spans="3:31" s="260" customFormat="1" ht="15.75" thickBot="1" x14ac:dyDescent="0.3">
      <c r="C5259" s="84"/>
      <c r="D5259" s="375" t="s">
        <v>128</v>
      </c>
      <c r="E5259" s="376" t="s">
        <v>129</v>
      </c>
      <c r="F5259" s="376" t="s">
        <v>130</v>
      </c>
      <c r="G5259" s="376" t="s">
        <v>131</v>
      </c>
      <c r="H5259" s="376" t="s">
        <v>132</v>
      </c>
      <c r="I5259" s="376" t="s">
        <v>133</v>
      </c>
      <c r="J5259" s="377" t="s">
        <v>134</v>
      </c>
      <c r="K5259" s="88"/>
      <c r="M5259" s="534"/>
      <c r="N5259" s="536" t="s">
        <v>120</v>
      </c>
      <c r="O5259" s="536"/>
      <c r="P5259" s="536"/>
      <c r="Q5259" s="536"/>
      <c r="R5259" s="536"/>
      <c r="S5259" s="536"/>
      <c r="T5259" s="536"/>
      <c r="U5259" s="536"/>
      <c r="V5259" s="82">
        <f>+SUM(V5256:V5258)</f>
        <v>5578.9666666666662</v>
      </c>
      <c r="Y5259" s="398" t="s">
        <v>135</v>
      </c>
      <c r="Z5259" s="397">
        <f>+SUM(Z5256:Z5258)</f>
        <v>16736.899999999998</v>
      </c>
      <c r="AA5259" s="86"/>
      <c r="AB5259" s="384"/>
      <c r="AC5259" s="385"/>
      <c r="AD5259" s="94"/>
      <c r="AE5259" s="399"/>
    </row>
    <row r="5260" spans="3:31" s="260" customFormat="1" ht="15.75" thickBot="1" x14ac:dyDescent="0.3">
      <c r="C5260" s="84"/>
      <c r="D5260" s="354"/>
      <c r="E5260" s="96"/>
      <c r="F5260" s="96"/>
      <c r="G5260" s="107">
        <f>+F5253</f>
        <v>5.07</v>
      </c>
      <c r="H5260" s="96"/>
      <c r="I5260" s="96"/>
      <c r="J5260" s="427"/>
      <c r="K5260" s="88"/>
      <c r="M5260" s="535"/>
      <c r="N5260" s="537" t="s">
        <v>121</v>
      </c>
      <c r="O5260" s="537"/>
      <c r="P5260" s="537"/>
      <c r="Q5260" s="537"/>
      <c r="R5260" s="537"/>
      <c r="S5260" s="537"/>
      <c r="T5260" s="537"/>
      <c r="U5260" s="537"/>
      <c r="V5260" s="413">
        <f>+ROUND(V5259,$AA$5)</f>
        <v>5578.97</v>
      </c>
      <c r="Y5260" s="401" t="s">
        <v>136</v>
      </c>
      <c r="Z5260" s="402">
        <f>+ROUND(Z5259,$AA$5)</f>
        <v>16736.900000000001</v>
      </c>
      <c r="AA5260" s="86"/>
      <c r="AB5260" s="403">
        <f>+V5260*Y5226</f>
        <v>16736.91</v>
      </c>
      <c r="AC5260" s="404">
        <f>+AB5260-Z5260</f>
        <v>9.9999999983992893E-3</v>
      </c>
      <c r="AD5260" s="94"/>
      <c r="AE5260" s="405"/>
    </row>
    <row r="5261" spans="3:31" s="260" customFormat="1" ht="15.75" thickBot="1" x14ac:dyDescent="0.3">
      <c r="C5261" s="84"/>
      <c r="D5261" s="375" t="s">
        <v>128</v>
      </c>
      <c r="E5261" s="376" t="s">
        <v>129</v>
      </c>
      <c r="F5261" s="376" t="s">
        <v>130</v>
      </c>
      <c r="G5261" s="376" t="s">
        <v>131</v>
      </c>
      <c r="H5261" s="376" t="s">
        <v>132</v>
      </c>
      <c r="I5261" s="376" t="s">
        <v>133</v>
      </c>
      <c r="J5261" s="377" t="s">
        <v>134</v>
      </c>
      <c r="K5261" s="88"/>
      <c r="M5261" s="541"/>
      <c r="N5261" s="542"/>
      <c r="O5261" s="542"/>
      <c r="P5261" s="542"/>
      <c r="Q5261" s="542"/>
      <c r="R5261" s="542"/>
      <c r="S5261" s="542"/>
      <c r="T5261" s="542"/>
      <c r="U5261" s="542"/>
      <c r="V5261" s="543"/>
      <c r="Y5261" s="378"/>
      <c r="Z5261" s="121"/>
      <c r="AA5261" s="86"/>
      <c r="AB5261" s="409"/>
      <c r="AC5261" s="121"/>
      <c r="AD5261" s="94"/>
      <c r="AE5261" s="428"/>
    </row>
    <row r="5262" spans="3:31" s="260" customFormat="1" ht="15.75" thickBot="1" x14ac:dyDescent="0.3">
      <c r="C5262" s="84"/>
      <c r="D5262" s="355"/>
      <c r="E5262" s="367"/>
      <c r="F5262" s="367"/>
      <c r="G5262" s="367"/>
      <c r="H5262" s="412">
        <f>G5260</f>
        <v>5.07</v>
      </c>
      <c r="I5262" s="412"/>
      <c r="J5262" s="422"/>
      <c r="K5262" s="88"/>
      <c r="M5262" s="544" t="s">
        <v>122</v>
      </c>
      <c r="N5262" s="537"/>
      <c r="O5262" s="537"/>
      <c r="P5262" s="537"/>
      <c r="Q5262" s="537"/>
      <c r="R5262" s="537"/>
      <c r="S5262" s="537"/>
      <c r="T5262" s="537"/>
      <c r="U5262" s="545">
        <f>+V5260+V5253+V5245+V5236</f>
        <v>39581.46</v>
      </c>
      <c r="V5262" s="546"/>
      <c r="Y5262" s="429"/>
      <c r="Z5262" s="430">
        <f>+Z5260+Z5253+Z5245+Z5236</f>
        <v>118744.37</v>
      </c>
      <c r="AA5262" s="86"/>
      <c r="AB5262" s="431">
        <f>+AB5260+AB5253+AB5245+AB5236</f>
        <v>118744.38</v>
      </c>
      <c r="AC5262" s="404">
        <f>+AB5262-Z5262</f>
        <v>1.0000000009313226E-2</v>
      </c>
      <c r="AD5262" s="94"/>
      <c r="AE5262" s="432"/>
    </row>
    <row r="5263" spans="3:31" s="260" customFormat="1" ht="15.75" thickBot="1" x14ac:dyDescent="0.3"/>
    <row r="5264" spans="3:31" s="260" customFormat="1" x14ac:dyDescent="0.25">
      <c r="M5264" s="547" t="s">
        <v>348</v>
      </c>
      <c r="N5264" s="548"/>
      <c r="O5264" s="548"/>
      <c r="P5264" s="548"/>
      <c r="Q5264" s="548"/>
      <c r="R5264" s="548"/>
      <c r="S5264" s="548"/>
      <c r="T5264" s="548"/>
      <c r="U5264" s="548"/>
      <c r="V5264" s="549"/>
      <c r="Y5264" s="378"/>
      <c r="Z5264" s="121"/>
      <c r="AA5264" s="86"/>
      <c r="AB5264" s="94"/>
      <c r="AC5264" s="94"/>
      <c r="AD5264" s="94"/>
      <c r="AE5264" s="126" t="s">
        <v>133</v>
      </c>
    </row>
    <row r="5265" spans="3:31" s="260" customFormat="1" x14ac:dyDescent="0.25">
      <c r="M5265" s="515" t="s">
        <v>138</v>
      </c>
      <c r="N5265" s="516"/>
      <c r="O5265" s="516"/>
      <c r="P5265" s="516"/>
      <c r="Q5265" s="516"/>
      <c r="R5265" s="516"/>
      <c r="S5265" s="516"/>
      <c r="T5265" s="437">
        <v>0</v>
      </c>
      <c r="U5265" s="517">
        <f>+ROUND(U5262*T5265,$AA$5)</f>
        <v>0</v>
      </c>
      <c r="V5265" s="518"/>
      <c r="Y5265" s="390"/>
      <c r="Z5265" s="438">
        <f>+Z5262*T5265</f>
        <v>0</v>
      </c>
      <c r="AA5265" s="86"/>
      <c r="AB5265" s="94"/>
      <c r="AC5265" s="94"/>
      <c r="AD5265" s="94"/>
      <c r="AE5265" s="386" t="s">
        <v>133</v>
      </c>
    </row>
    <row r="5266" spans="3:31" s="260" customFormat="1" x14ac:dyDescent="0.25">
      <c r="M5266" s="515" t="s">
        <v>19</v>
      </c>
      <c r="N5266" s="516"/>
      <c r="O5266" s="516"/>
      <c r="P5266" s="516"/>
      <c r="Q5266" s="516"/>
      <c r="R5266" s="516"/>
      <c r="S5266" s="516"/>
      <c r="T5266" s="437">
        <v>0.05</v>
      </c>
      <c r="U5266" s="517">
        <f>+ROUND(U5262*T5266,$AA$5)</f>
        <v>1979.07</v>
      </c>
      <c r="V5266" s="518"/>
      <c r="Y5266" s="390"/>
      <c r="Z5266" s="438">
        <f>+Z5262*T5266</f>
        <v>5937.2184999999999</v>
      </c>
      <c r="AA5266" s="86"/>
      <c r="AB5266" s="94"/>
      <c r="AC5266" s="94"/>
      <c r="AD5266" s="94"/>
      <c r="AE5266" s="386" t="s">
        <v>133</v>
      </c>
    </row>
    <row r="5267" spans="3:31" s="260" customFormat="1" x14ac:dyDescent="0.25">
      <c r="M5267" s="515" t="s">
        <v>20</v>
      </c>
      <c r="N5267" s="516"/>
      <c r="O5267" s="516"/>
      <c r="P5267" s="516"/>
      <c r="Q5267" s="516"/>
      <c r="R5267" s="516"/>
      <c r="S5267" s="516"/>
      <c r="T5267" s="437">
        <v>0</v>
      </c>
      <c r="U5267" s="517">
        <f>+ROUND(U5262*T5267,$AA$5)</f>
        <v>0</v>
      </c>
      <c r="V5267" s="518"/>
      <c r="Y5267" s="390"/>
      <c r="Z5267" s="438">
        <f>+Z5262*T5267</f>
        <v>0</v>
      </c>
      <c r="AA5267" s="86"/>
      <c r="AB5267" s="94"/>
      <c r="AC5267" s="94"/>
      <c r="AD5267" s="94"/>
      <c r="AE5267" s="386" t="s">
        <v>133</v>
      </c>
    </row>
    <row r="5268" spans="3:31" s="260" customFormat="1" x14ac:dyDescent="0.25">
      <c r="M5268" s="515" t="s">
        <v>21</v>
      </c>
      <c r="N5268" s="516"/>
      <c r="O5268" s="516"/>
      <c r="P5268" s="516"/>
      <c r="Q5268" s="516"/>
      <c r="R5268" s="516"/>
      <c r="S5268" s="516"/>
      <c r="T5268" s="437">
        <f>$AA$9</f>
        <v>0</v>
      </c>
      <c r="U5268" s="517">
        <f>+ROUND(U5262*T5268,$AA$5)</f>
        <v>0</v>
      </c>
      <c r="V5268" s="518"/>
      <c r="Y5268" s="390"/>
      <c r="Z5268" s="438">
        <f>+Z5267*T5268</f>
        <v>0</v>
      </c>
      <c r="AA5268" s="86"/>
      <c r="AB5268" s="94"/>
      <c r="AC5268" s="94"/>
      <c r="AD5268" s="94"/>
      <c r="AE5268" s="386" t="s">
        <v>133</v>
      </c>
    </row>
    <row r="5269" spans="3:31" s="260" customFormat="1" ht="15.75" thickBot="1" x14ac:dyDescent="0.3">
      <c r="M5269" s="519" t="s">
        <v>349</v>
      </c>
      <c r="N5269" s="520"/>
      <c r="O5269" s="520"/>
      <c r="P5269" s="520"/>
      <c r="Q5269" s="520"/>
      <c r="R5269" s="520"/>
      <c r="S5269" s="520"/>
      <c r="T5269" s="520"/>
      <c r="U5269" s="521">
        <f>+SUM(U5265:V5268)</f>
        <v>1979.07</v>
      </c>
      <c r="V5269" s="522"/>
      <c r="Y5269" s="390"/>
      <c r="Z5269" s="439">
        <f>+SUM(Z5265:Z5268)</f>
        <v>5937.2184999999999</v>
      </c>
      <c r="AA5269" s="86"/>
      <c r="AB5269" s="94"/>
      <c r="AC5269" s="94"/>
      <c r="AD5269" s="94"/>
      <c r="AE5269" s="386" t="s">
        <v>133</v>
      </c>
    </row>
    <row r="5270" spans="3:31" s="260" customFormat="1" ht="15.75" thickBot="1" x14ac:dyDescent="0.3">
      <c r="D5270" s="375" t="s">
        <v>128</v>
      </c>
      <c r="E5270" s="376" t="s">
        <v>129</v>
      </c>
      <c r="F5270" s="376" t="s">
        <v>130</v>
      </c>
      <c r="G5270" s="376" t="s">
        <v>131</v>
      </c>
      <c r="H5270" s="376" t="s">
        <v>132</v>
      </c>
      <c r="I5270" s="376" t="s">
        <v>133</v>
      </c>
      <c r="J5270" s="377" t="s">
        <v>134</v>
      </c>
      <c r="M5270" s="86"/>
      <c r="N5270" s="94"/>
      <c r="O5270" s="94"/>
      <c r="P5270" s="94"/>
      <c r="Q5270" s="86"/>
      <c r="R5270" s="86"/>
      <c r="S5270" s="86"/>
      <c r="T5270" s="440"/>
      <c r="U5270" s="523"/>
      <c r="V5270" s="523"/>
      <c r="Y5270" s="390"/>
      <c r="Z5270" s="385"/>
      <c r="AA5270" s="86"/>
      <c r="AB5270" s="94"/>
      <c r="AC5270" s="94"/>
      <c r="AD5270" s="94"/>
      <c r="AE5270" s="386" t="s">
        <v>133</v>
      </c>
    </row>
    <row r="5271" spans="3:31" s="260" customFormat="1" ht="15.75" thickBot="1" x14ac:dyDescent="0.3">
      <c r="D5271" s="355"/>
      <c r="E5271" s="367"/>
      <c r="F5271" s="367"/>
      <c r="G5271" s="367"/>
      <c r="H5271" s="412"/>
      <c r="I5271" s="412">
        <f>H5262</f>
        <v>5.07</v>
      </c>
      <c r="J5271" s="422"/>
      <c r="M5271" s="524" t="s">
        <v>11</v>
      </c>
      <c r="N5271" s="525"/>
      <c r="O5271" s="525"/>
      <c r="P5271" s="525"/>
      <c r="Q5271" s="525"/>
      <c r="R5271" s="525"/>
      <c r="S5271" s="525"/>
      <c r="T5271" s="526"/>
      <c r="U5271" s="527">
        <f>+U5269+U5262</f>
        <v>41560.53</v>
      </c>
      <c r="V5271" s="528"/>
      <c r="Y5271" s="429"/>
      <c r="Z5271" s="441">
        <f>+Z5269+Z5262</f>
        <v>124681.5885</v>
      </c>
      <c r="AA5271" s="86"/>
      <c r="AB5271" s="94"/>
      <c r="AC5271" s="94"/>
      <c r="AD5271" s="94"/>
      <c r="AE5271" s="405" t="s">
        <v>133</v>
      </c>
    </row>
    <row r="5272" spans="3:31" s="260" customFormat="1" x14ac:dyDescent="0.25"/>
    <row r="5273" spans="3:31" s="260" customFormat="1" ht="15.75" thickBot="1" x14ac:dyDescent="0.3"/>
    <row r="5274" spans="3:31" s="260" customFormat="1" ht="15.75" thickBot="1" x14ac:dyDescent="0.3">
      <c r="M5274" s="363" t="s">
        <v>88</v>
      </c>
      <c r="N5274" s="436" t="str">
        <f>+N5225</f>
        <v>CAP.5</v>
      </c>
      <c r="O5274" s="550" t="str">
        <f>IFERROR(VLOOKUP(N5274,PPTO!C:H,2,0),"----")</f>
        <v>RED PLUVIAL</v>
      </c>
      <c r="P5274" s="551"/>
      <c r="Q5274" s="551"/>
      <c r="R5274" s="551"/>
      <c r="S5274" s="551"/>
      <c r="T5274" s="551"/>
      <c r="U5274" s="552"/>
      <c r="V5274" s="74" t="s">
        <v>91</v>
      </c>
      <c r="Y5274" s="365" t="s">
        <v>104</v>
      </c>
      <c r="Z5274" s="94"/>
      <c r="AA5274" s="188"/>
      <c r="AB5274" s="553"/>
      <c r="AC5274" s="553"/>
      <c r="AD5274" s="553"/>
      <c r="AE5274" s="94"/>
    </row>
    <row r="5275" spans="3:31" s="260" customFormat="1" ht="15.75" thickBot="1" x14ac:dyDescent="0.3">
      <c r="C5275" s="369">
        <f>+N5275</f>
        <v>5.08</v>
      </c>
      <c r="D5275" s="86"/>
      <c r="E5275" s="86"/>
      <c r="F5275" s="86"/>
      <c r="G5275" s="86"/>
      <c r="H5275" s="86"/>
      <c r="I5275" s="86"/>
      <c r="J5275" s="86"/>
      <c r="K5275" s="370"/>
      <c r="M5275" s="75" t="s">
        <v>92</v>
      </c>
      <c r="N5275" s="371">
        <f>+ROUNDUP(N5226+0.01,2)</f>
        <v>5.08</v>
      </c>
      <c r="O5275" s="554" t="str">
        <f>IFERROR(VLOOKUP(N5275,PPTO!C:H,2,0),"----")</f>
        <v>Codo 90° PVC Ø6"</v>
      </c>
      <c r="P5275" s="555"/>
      <c r="Q5275" s="555"/>
      <c r="R5275" s="555"/>
      <c r="S5275" s="555"/>
      <c r="T5275" s="555"/>
      <c r="U5275" s="556"/>
      <c r="V5275" s="76" t="str">
        <f>IFERROR(VLOOKUP(N5275,PPTO!C:H,3,0),"----")</f>
        <v>UND</v>
      </c>
      <c r="Y5275" s="373">
        <f>SUMIFS(PPTO!F:F,PPTO!C:C,APUS!N5275)</f>
        <v>6</v>
      </c>
      <c r="Z5275" s="94"/>
      <c r="AA5275" s="86"/>
      <c r="AB5275" s="94"/>
      <c r="AC5275" s="94"/>
      <c r="AD5275" s="94"/>
      <c r="AE5275" s="94"/>
    </row>
    <row r="5276" spans="3:31" s="260" customFormat="1" ht="15.75" thickBot="1" x14ac:dyDescent="0.3">
      <c r="C5276" s="84"/>
      <c r="D5276" s="86"/>
      <c r="E5276" s="86"/>
      <c r="F5276" s="86"/>
      <c r="G5276" s="86"/>
      <c r="H5276" s="86"/>
      <c r="I5276" s="86"/>
      <c r="J5276" s="86"/>
      <c r="K5276" s="88"/>
      <c r="M5276" s="557"/>
      <c r="N5276" s="557"/>
      <c r="O5276" s="557"/>
      <c r="P5276" s="557"/>
      <c r="Q5276" s="557"/>
      <c r="R5276" s="557"/>
      <c r="S5276" s="557"/>
      <c r="T5276" s="557"/>
      <c r="U5276" s="557"/>
      <c r="V5276" s="557"/>
      <c r="Y5276" s="374"/>
      <c r="Z5276" s="94"/>
      <c r="AA5276" s="86"/>
      <c r="AB5276" s="94"/>
      <c r="AC5276" s="94"/>
      <c r="AD5276" s="94"/>
      <c r="AE5276" s="94"/>
    </row>
    <row r="5277" spans="3:31" s="260" customFormat="1" ht="15.75" thickBot="1" x14ac:dyDescent="0.3">
      <c r="C5277" s="84"/>
      <c r="D5277" s="375" t="s">
        <v>128</v>
      </c>
      <c r="E5277" s="376" t="s">
        <v>129</v>
      </c>
      <c r="F5277" s="376" t="s">
        <v>130</v>
      </c>
      <c r="G5277" s="376" t="s">
        <v>131</v>
      </c>
      <c r="H5277" s="376" t="s">
        <v>132</v>
      </c>
      <c r="I5277" s="376" t="s">
        <v>133</v>
      </c>
      <c r="J5277" s="377" t="s">
        <v>134</v>
      </c>
      <c r="K5277" s="88"/>
      <c r="M5277" s="558" t="s">
        <v>93</v>
      </c>
      <c r="N5277" s="559"/>
      <c r="O5277" s="559"/>
      <c r="P5277" s="559"/>
      <c r="Q5277" s="559"/>
      <c r="R5277" s="559"/>
      <c r="S5277" s="559"/>
      <c r="T5277" s="559"/>
      <c r="U5277" s="559"/>
      <c r="V5277" s="560"/>
      <c r="Y5277" s="378"/>
      <c r="Z5277" s="121"/>
      <c r="AA5277" s="86"/>
      <c r="AB5277" s="513"/>
      <c r="AC5277" s="514"/>
      <c r="AD5277" s="94"/>
      <c r="AE5277" s="379"/>
    </row>
    <row r="5278" spans="3:31" s="260" customFormat="1" x14ac:dyDescent="0.25">
      <c r="C5278" s="84"/>
      <c r="D5278" s="380"/>
      <c r="E5278" s="381"/>
      <c r="F5278" s="381"/>
      <c r="G5278" s="381"/>
      <c r="H5278" s="381"/>
      <c r="I5278" s="381"/>
      <c r="J5278" s="382"/>
      <c r="K5278" s="88"/>
      <c r="M5278" s="99" t="s">
        <v>94</v>
      </c>
      <c r="N5278" s="561" t="s">
        <v>95</v>
      </c>
      <c r="O5278" s="561"/>
      <c r="P5278" s="561"/>
      <c r="Q5278" s="561"/>
      <c r="R5278" s="95" t="s">
        <v>96</v>
      </c>
      <c r="S5278" s="95" t="s">
        <v>97</v>
      </c>
      <c r="T5278" s="562" t="s">
        <v>8</v>
      </c>
      <c r="U5278" s="562"/>
      <c r="V5278" s="100" t="s">
        <v>98</v>
      </c>
      <c r="Y5278" s="383" t="s">
        <v>104</v>
      </c>
      <c r="Z5278" s="119" t="s">
        <v>9</v>
      </c>
      <c r="AA5278" s="86"/>
      <c r="AB5278" s="384"/>
      <c r="AC5278" s="385"/>
      <c r="AD5278" s="94"/>
      <c r="AE5278" s="386"/>
    </row>
    <row r="5279" spans="3:31" s="260" customFormat="1" x14ac:dyDescent="0.25">
      <c r="C5279" s="84"/>
      <c r="D5279" s="85"/>
      <c r="E5279" s="86"/>
      <c r="F5279" s="86"/>
      <c r="G5279" s="86"/>
      <c r="H5279" s="86"/>
      <c r="I5279" s="86"/>
      <c r="J5279" s="87"/>
      <c r="K5279" s="88"/>
      <c r="M5279" s="102"/>
      <c r="N5279" s="533" t="s">
        <v>99</v>
      </c>
      <c r="O5279" s="533"/>
      <c r="P5279" s="533"/>
      <c r="Q5279" s="533"/>
      <c r="R5279" s="78" t="s">
        <v>100</v>
      </c>
      <c r="S5279" s="387">
        <f>+$AA$10</f>
        <v>0.05</v>
      </c>
      <c r="T5279" s="563">
        <f>V5309</f>
        <v>5578.97</v>
      </c>
      <c r="U5279" s="563"/>
      <c r="V5279" s="389">
        <f>+IFERROR(T5279*S5279,0)</f>
        <v>278.94850000000002</v>
      </c>
      <c r="Y5279" s="390"/>
      <c r="Z5279" s="391">
        <f>Y5275*V5279</f>
        <v>1673.6910000000003</v>
      </c>
      <c r="AA5279" s="86"/>
      <c r="AB5279" s="384"/>
      <c r="AC5279" s="385"/>
      <c r="AD5279" s="94"/>
      <c r="AE5279" s="386" t="str">
        <f>+IF(V5279=0,"CERO","NO")</f>
        <v>NO</v>
      </c>
    </row>
    <row r="5280" spans="3:31" s="260" customFormat="1" x14ac:dyDescent="0.25">
      <c r="C5280" s="84"/>
      <c r="D5280" s="85"/>
      <c r="E5280" s="86"/>
      <c r="F5280" s="86"/>
      <c r="G5280" s="86"/>
      <c r="H5280" s="86"/>
      <c r="I5280" s="86"/>
      <c r="J5280" s="87"/>
      <c r="K5280" s="88"/>
      <c r="M5280" s="106"/>
      <c r="N5280" s="533" t="str">
        <f>IFERROR(VLOOKUP(M5280,INSUMOS!$C$8:$K$928,2,0),"-----")</f>
        <v>-----</v>
      </c>
      <c r="O5280" s="533"/>
      <c r="P5280" s="533"/>
      <c r="Q5280" s="533"/>
      <c r="R5280" s="78" t="str">
        <f>IFERROR(VLOOKUP(M5280,INSUMOS!$C$8:$K$928,6,0),"-----")</f>
        <v>-----</v>
      </c>
      <c r="S5280" s="392"/>
      <c r="T5280" s="529" t="str">
        <f>IFERROR(VLOOKUP(M5280,INSUMOS!$C$8:$K$928,7,0),"0")</f>
        <v>0</v>
      </c>
      <c r="U5280" s="529"/>
      <c r="V5280" s="389">
        <f>+IFERROR(T5280*S5280,0)</f>
        <v>0</v>
      </c>
      <c r="Y5280" s="393">
        <f>+IFERROR(Y5275*S5280,0)</f>
        <v>0</v>
      </c>
      <c r="Z5280" s="391">
        <f>Y5275*V5280</f>
        <v>0</v>
      </c>
      <c r="AA5280" s="394"/>
      <c r="AB5280" s="395">
        <f>+Y5280*T5280</f>
        <v>0</v>
      </c>
      <c r="AC5280" s="93">
        <f>+AB5280-Z5280</f>
        <v>0</v>
      </c>
      <c r="AD5280" s="94"/>
      <c r="AE5280" s="386" t="str">
        <f>+IF(V5280=0,"CERO","NO")</f>
        <v>CERO</v>
      </c>
    </row>
    <row r="5281" spans="3:31" s="260" customFormat="1" x14ac:dyDescent="0.25">
      <c r="C5281" s="84"/>
      <c r="D5281" s="85"/>
      <c r="E5281" s="86"/>
      <c r="F5281" s="86"/>
      <c r="G5281" s="86"/>
      <c r="H5281" s="86"/>
      <c r="I5281" s="86"/>
      <c r="J5281" s="87"/>
      <c r="K5281" s="88"/>
      <c r="M5281" s="102">
        <v>0</v>
      </c>
      <c r="N5281" s="533"/>
      <c r="O5281" s="533"/>
      <c r="P5281" s="533"/>
      <c r="Q5281" s="533"/>
      <c r="R5281" s="78"/>
      <c r="S5281" s="396"/>
      <c r="T5281" s="529"/>
      <c r="U5281" s="529"/>
      <c r="V5281" s="397"/>
      <c r="Y5281" s="393">
        <f>+IFERROR(Y5275*S5281,0)</f>
        <v>0</v>
      </c>
      <c r="Z5281" s="391">
        <f>Y5275*V5281</f>
        <v>0</v>
      </c>
      <c r="AA5281" s="394"/>
      <c r="AB5281" s="395">
        <f>+Y5281*T5281</f>
        <v>0</v>
      </c>
      <c r="AC5281" s="93">
        <f>+AB5281-Z5281</f>
        <v>0</v>
      </c>
      <c r="AD5281" s="94"/>
      <c r="AE5281" s="386" t="str">
        <f>+IF(V5281=0,"CERO","NO")</f>
        <v>CERO</v>
      </c>
    </row>
    <row r="5282" spans="3:31" s="260" customFormat="1" x14ac:dyDescent="0.25">
      <c r="C5282" s="84"/>
      <c r="D5282" s="85"/>
      <c r="E5282" s="86"/>
      <c r="F5282" s="86"/>
      <c r="G5282" s="86"/>
      <c r="H5282" s="86"/>
      <c r="I5282" s="86"/>
      <c r="J5282" s="87"/>
      <c r="K5282" s="88"/>
      <c r="M5282" s="102">
        <v>0</v>
      </c>
      <c r="N5282" s="533"/>
      <c r="O5282" s="533"/>
      <c r="P5282" s="533"/>
      <c r="Q5282" s="533"/>
      <c r="R5282" s="78"/>
      <c r="S5282" s="396"/>
      <c r="T5282" s="529"/>
      <c r="U5282" s="529"/>
      <c r="V5282" s="397"/>
      <c r="Y5282" s="393">
        <f>+IFERROR(Y5275*S5282,0)</f>
        <v>0</v>
      </c>
      <c r="Z5282" s="391">
        <f>Y5275*V5282</f>
        <v>0</v>
      </c>
      <c r="AA5282" s="394"/>
      <c r="AB5282" s="395">
        <f>+Y5282*T5282</f>
        <v>0</v>
      </c>
      <c r="AC5282" s="93">
        <f>+AB5282-Z5282</f>
        <v>0</v>
      </c>
      <c r="AD5282" s="94"/>
      <c r="AE5282" s="386" t="str">
        <f>+IF(V5282=0,"CERO","NO")</f>
        <v>CERO</v>
      </c>
    </row>
    <row r="5283" spans="3:31" s="260" customFormat="1" ht="15.75" thickBot="1" x14ac:dyDescent="0.3">
      <c r="C5283" s="84"/>
      <c r="D5283" s="85"/>
      <c r="E5283" s="86"/>
      <c r="F5283" s="86"/>
      <c r="G5283" s="86"/>
      <c r="H5283" s="86"/>
      <c r="I5283" s="86"/>
      <c r="J5283" s="87"/>
      <c r="K5283" s="88"/>
      <c r="M5283" s="102">
        <v>0</v>
      </c>
      <c r="N5283" s="564"/>
      <c r="O5283" s="564"/>
      <c r="P5283" s="564"/>
      <c r="Q5283" s="564"/>
      <c r="R5283" s="96"/>
      <c r="S5283" s="96"/>
      <c r="T5283" s="565"/>
      <c r="U5283" s="565"/>
      <c r="V5283" s="101"/>
      <c r="Y5283" s="393">
        <f>+IFERROR(Y5275*S5283,0)</f>
        <v>0</v>
      </c>
      <c r="Z5283" s="391">
        <f>Y5275*V5283</f>
        <v>0</v>
      </c>
      <c r="AA5283" s="394"/>
      <c r="AB5283" s="395">
        <f>+Y5283*T5283</f>
        <v>0</v>
      </c>
      <c r="AC5283" s="93">
        <f>+AB5283-Z5283</f>
        <v>0</v>
      </c>
      <c r="AD5283" s="94"/>
      <c r="AE5283" s="386" t="str">
        <f>+IF(V5283=0,"CERO","NO")</f>
        <v>CERO</v>
      </c>
    </row>
    <row r="5284" spans="3:31" s="260" customFormat="1" ht="15.75" thickBot="1" x14ac:dyDescent="0.3">
      <c r="C5284" s="84"/>
      <c r="D5284" s="375" t="s">
        <v>128</v>
      </c>
      <c r="E5284" s="376" t="s">
        <v>129</v>
      </c>
      <c r="F5284" s="376" t="s">
        <v>130</v>
      </c>
      <c r="G5284" s="376" t="s">
        <v>131</v>
      </c>
      <c r="H5284" s="376" t="s">
        <v>132</v>
      </c>
      <c r="I5284" s="376" t="s">
        <v>133</v>
      </c>
      <c r="J5284" s="377" t="s">
        <v>134</v>
      </c>
      <c r="K5284" s="88"/>
      <c r="M5284" s="534"/>
      <c r="N5284" s="536" t="s">
        <v>101</v>
      </c>
      <c r="O5284" s="536"/>
      <c r="P5284" s="536"/>
      <c r="Q5284" s="536"/>
      <c r="R5284" s="536"/>
      <c r="S5284" s="536"/>
      <c r="T5284" s="536"/>
      <c r="U5284" s="536"/>
      <c r="V5284" s="389">
        <f>+SUM(V5279:V5283)</f>
        <v>278.94850000000002</v>
      </c>
      <c r="Y5284" s="398" t="s">
        <v>135</v>
      </c>
      <c r="Z5284" s="397">
        <f>+SUM(Z5279:Z5283)</f>
        <v>1673.6910000000003</v>
      </c>
      <c r="AA5284" s="86"/>
      <c r="AB5284" s="384"/>
      <c r="AC5284" s="385"/>
      <c r="AD5284" s="94"/>
      <c r="AE5284" s="399"/>
    </row>
    <row r="5285" spans="3:31" s="260" customFormat="1" ht="15.75" thickBot="1" x14ac:dyDescent="0.3">
      <c r="C5285" s="84"/>
      <c r="D5285" s="375">
        <f>C5275</f>
        <v>5.08</v>
      </c>
      <c r="E5285" s="376"/>
      <c r="F5285" s="376"/>
      <c r="G5285" s="376"/>
      <c r="H5285" s="376"/>
      <c r="I5285" s="376"/>
      <c r="J5285" s="377"/>
      <c r="K5285" s="88"/>
      <c r="M5285" s="566"/>
      <c r="N5285" s="567" t="s">
        <v>102</v>
      </c>
      <c r="O5285" s="567"/>
      <c r="P5285" s="567"/>
      <c r="Q5285" s="567"/>
      <c r="R5285" s="567"/>
      <c r="S5285" s="567"/>
      <c r="T5285" s="567"/>
      <c r="U5285" s="567"/>
      <c r="V5285" s="400">
        <f>+ROUND(V5284,$AA$5)</f>
        <v>278.95</v>
      </c>
      <c r="Y5285" s="401" t="s">
        <v>136</v>
      </c>
      <c r="Z5285" s="402">
        <f>+ROUND(Z5284,$AA$5)</f>
        <v>1673.69</v>
      </c>
      <c r="AA5285" s="86"/>
      <c r="AB5285" s="403">
        <f>+V5285*Y5275</f>
        <v>1673.6999999999998</v>
      </c>
      <c r="AC5285" s="404">
        <f>+AB5285-Z5285</f>
        <v>9.9999999997635314E-3</v>
      </c>
      <c r="AD5285" s="94"/>
      <c r="AE5285" s="405"/>
    </row>
    <row r="5286" spans="3:31" s="260" customFormat="1" x14ac:dyDescent="0.25">
      <c r="C5286" s="84"/>
      <c r="D5286" s="380"/>
      <c r="E5286" s="381"/>
      <c r="F5286" s="381"/>
      <c r="G5286" s="381"/>
      <c r="H5286" s="381"/>
      <c r="I5286" s="381"/>
      <c r="J5286" s="382"/>
      <c r="K5286" s="88"/>
      <c r="M5286" s="510" t="s">
        <v>103</v>
      </c>
      <c r="N5286" s="511"/>
      <c r="O5286" s="511"/>
      <c r="P5286" s="511"/>
      <c r="Q5286" s="511"/>
      <c r="R5286" s="511"/>
      <c r="S5286" s="511"/>
      <c r="T5286" s="511"/>
      <c r="U5286" s="511"/>
      <c r="V5286" s="512"/>
      <c r="Y5286" s="378"/>
      <c r="Z5286" s="121"/>
      <c r="AA5286" s="86"/>
      <c r="AB5286" s="513"/>
      <c r="AC5286" s="514"/>
      <c r="AD5286" s="94"/>
      <c r="AE5286" s="126"/>
    </row>
    <row r="5287" spans="3:31" s="260" customFormat="1" x14ac:dyDescent="0.25">
      <c r="C5287" s="84"/>
      <c r="D5287" s="85"/>
      <c r="E5287" s="86"/>
      <c r="F5287" s="86"/>
      <c r="G5287" s="86"/>
      <c r="H5287" s="86"/>
      <c r="I5287" s="86"/>
      <c r="J5287" s="87"/>
      <c r="K5287" s="88"/>
      <c r="M5287" s="99" t="s">
        <v>94</v>
      </c>
      <c r="N5287" s="561" t="s">
        <v>95</v>
      </c>
      <c r="O5287" s="561"/>
      <c r="P5287" s="561"/>
      <c r="Q5287" s="561"/>
      <c r="R5287" s="95" t="s">
        <v>96</v>
      </c>
      <c r="S5287" s="95" t="s">
        <v>104</v>
      </c>
      <c r="T5287" s="356" t="s">
        <v>105</v>
      </c>
      <c r="U5287" s="356" t="s">
        <v>8</v>
      </c>
      <c r="V5287" s="100" t="s">
        <v>98</v>
      </c>
      <c r="Y5287" s="383" t="s">
        <v>104</v>
      </c>
      <c r="Z5287" s="119" t="s">
        <v>9</v>
      </c>
      <c r="AA5287" s="86"/>
      <c r="AB5287" s="384"/>
      <c r="AC5287" s="385"/>
      <c r="AD5287" s="94"/>
      <c r="AE5287" s="406"/>
    </row>
    <row r="5288" spans="3:31" s="260" customFormat="1" x14ac:dyDescent="0.25">
      <c r="C5288" s="84"/>
      <c r="D5288" s="85"/>
      <c r="E5288" s="86"/>
      <c r="F5288" s="86"/>
      <c r="G5288" s="86"/>
      <c r="H5288" s="86"/>
      <c r="I5288" s="86"/>
      <c r="J5288" s="87"/>
      <c r="K5288" s="88"/>
      <c r="M5288" s="102">
        <v>579</v>
      </c>
      <c r="N5288" s="533" t="str">
        <f>IFERROR(VLOOKUP(M5288,INSUMOS!$C$8:$K$928,2,0),"-----")</f>
        <v>CODO 6" 90° SANITARIO</v>
      </c>
      <c r="O5288" s="533"/>
      <c r="P5288" s="533"/>
      <c r="Q5288" s="533"/>
      <c r="R5288" s="78" t="str">
        <f>IFERROR(VLOOKUP(M5288,INSUMOS!$C$8:$K$928,6,0),"-----")</f>
        <v>und</v>
      </c>
      <c r="S5288" s="396">
        <v>1</v>
      </c>
      <c r="T5288" s="387">
        <v>0</v>
      </c>
      <c r="U5288" s="388">
        <f>IFERROR(VLOOKUP(M5288,INSUMOS!$C$8:$K$928,7,0),"0")</f>
        <v>151167</v>
      </c>
      <c r="V5288" s="389">
        <f>+IFERROR(U5288*(S5288*(1+T5288)),0)</f>
        <v>151167</v>
      </c>
      <c r="Y5288" s="393">
        <f>+IFERROR(Y5275*(S5288*(1+T5288)),0)</f>
        <v>6</v>
      </c>
      <c r="Z5288" s="391">
        <f>Y5275*V5288</f>
        <v>907002</v>
      </c>
      <c r="AA5288" s="394"/>
      <c r="AB5288" s="395">
        <f>+Y5288*U5288</f>
        <v>907002</v>
      </c>
      <c r="AC5288" s="93">
        <f>+AB5288-Z5288</f>
        <v>0</v>
      </c>
      <c r="AD5288" s="94"/>
      <c r="AE5288" s="406" t="str">
        <f>+IF(V5288=0,"CERO","NO")</f>
        <v>NO</v>
      </c>
    </row>
    <row r="5289" spans="3:31" s="260" customFormat="1" x14ac:dyDescent="0.25">
      <c r="C5289" s="84"/>
      <c r="D5289" s="85"/>
      <c r="E5289" s="86"/>
      <c r="F5289" s="86"/>
      <c r="G5289" s="86"/>
      <c r="H5289" s="86"/>
      <c r="I5289" s="86"/>
      <c r="J5289" s="87"/>
      <c r="K5289" s="88"/>
      <c r="M5289" s="102">
        <v>699</v>
      </c>
      <c r="N5289" s="533" t="str">
        <f>IFERROR(VLOOKUP(M5289,INSUMOS!$C$8:$K$928,2,0),"-----")</f>
        <v>SOLDADURA PVC LIQUIDA 1/4"</v>
      </c>
      <c r="O5289" s="533"/>
      <c r="P5289" s="533"/>
      <c r="Q5289" s="533"/>
      <c r="R5289" s="78" t="str">
        <f>IFERROR(VLOOKUP(M5289,INSUMOS!$C$8:$K$928,6,0),"-----")</f>
        <v>und</v>
      </c>
      <c r="S5289" s="396">
        <v>0.01</v>
      </c>
      <c r="T5289" s="387">
        <v>0.02</v>
      </c>
      <c r="U5289" s="388">
        <f>IFERROR(VLOOKUP(M5289,INSUMOS!$C$8:$K$928,7,0),"0")</f>
        <v>146569</v>
      </c>
      <c r="V5289" s="389">
        <f>+IFERROR(U5289*(S5289*(1+T5289)),0)</f>
        <v>1495.0038000000002</v>
      </c>
      <c r="Y5289" s="393">
        <f>+IFERROR(Y5275*(S5289*(1+T5289)),0)</f>
        <v>6.1200000000000004E-2</v>
      </c>
      <c r="Z5289" s="391">
        <f>Y5275*V5289</f>
        <v>8970.0228000000006</v>
      </c>
      <c r="AA5289" s="394"/>
      <c r="AB5289" s="395">
        <f>+Y5289*U5289</f>
        <v>8970.0228000000006</v>
      </c>
      <c r="AC5289" s="93">
        <f>+AB5289-Z5289</f>
        <v>0</v>
      </c>
      <c r="AD5289" s="94"/>
      <c r="AE5289" s="406" t="str">
        <f>+IF(V5289=0,"CERO","NO")</f>
        <v>NO</v>
      </c>
    </row>
    <row r="5290" spans="3:31" s="260" customFormat="1" x14ac:dyDescent="0.25">
      <c r="C5290" s="84"/>
      <c r="D5290" s="85"/>
      <c r="E5290" s="86"/>
      <c r="F5290" s="86"/>
      <c r="G5290" s="86"/>
      <c r="H5290" s="86"/>
      <c r="I5290" s="86"/>
      <c r="J5290" s="87"/>
      <c r="K5290" s="88"/>
      <c r="M5290" s="102">
        <v>700</v>
      </c>
      <c r="N5290" s="533" t="str">
        <f>IFERROR(VLOOKUP(M5290,INSUMOS!$C$8:$K$928,2,0),"-----")</f>
        <v>LIMPIADOR PVC 1/4</v>
      </c>
      <c r="O5290" s="533"/>
      <c r="P5290" s="533"/>
      <c r="Q5290" s="533"/>
      <c r="R5290" s="78" t="str">
        <f>IFERROR(VLOOKUP(M5290,INSUMOS!$C$8:$K$928,6,0),"-----")</f>
        <v>und</v>
      </c>
      <c r="S5290" s="396">
        <v>0.01</v>
      </c>
      <c r="T5290" s="387">
        <v>0.02</v>
      </c>
      <c r="U5290" s="388">
        <f>IFERROR(VLOOKUP(M5290,INSUMOS!$C$8:$K$928,7,0),"0")</f>
        <v>65913</v>
      </c>
      <c r="V5290" s="389">
        <f>+IFERROR(U5290*(S5290*(1+T5290)),0)</f>
        <v>672.31260000000009</v>
      </c>
      <c r="Y5290" s="393">
        <f>+IFERROR(Y5275*(S5290*(1+T5290)),0)</f>
        <v>6.1200000000000004E-2</v>
      </c>
      <c r="Z5290" s="391">
        <f>Y5275*V5290</f>
        <v>4033.8756000000003</v>
      </c>
      <c r="AA5290" s="394"/>
      <c r="AB5290" s="395">
        <f>+Y5290*U5290</f>
        <v>4033.8756000000003</v>
      </c>
      <c r="AC5290" s="93">
        <f>+AB5290-Z5290</f>
        <v>0</v>
      </c>
      <c r="AD5290" s="94"/>
      <c r="AE5290" s="406" t="str">
        <f>+IF(V5290=0,"CERO","NO")</f>
        <v>NO</v>
      </c>
    </row>
    <row r="5291" spans="3:31" s="260" customFormat="1" x14ac:dyDescent="0.25">
      <c r="C5291" s="84"/>
      <c r="D5291" s="85"/>
      <c r="E5291" s="86"/>
      <c r="F5291" s="86"/>
      <c r="G5291" s="86"/>
      <c r="H5291" s="86"/>
      <c r="I5291" s="86"/>
      <c r="J5291" s="87"/>
      <c r="K5291" s="88"/>
      <c r="M5291" s="102">
        <v>0</v>
      </c>
      <c r="N5291" s="533" t="str">
        <f>IFERROR(VLOOKUP(M5291,INSUMOS!$C$8:$K$928,2,0),"-----")</f>
        <v>-----</v>
      </c>
      <c r="O5291" s="533"/>
      <c r="P5291" s="533"/>
      <c r="Q5291" s="533"/>
      <c r="R5291" s="78" t="str">
        <f>IFERROR(VLOOKUP(M5291,INSUMOS!$C$8:$K$928,6,0),"-----")</f>
        <v>-----</v>
      </c>
      <c r="S5291" s="396"/>
      <c r="T5291" s="387"/>
      <c r="U5291" s="388" t="str">
        <f>IFERROR(VLOOKUP(M5291,INSUMOS!$C$8:$K$928,7,0),"0")</f>
        <v>0</v>
      </c>
      <c r="V5291" s="389">
        <f>+IFERROR(U5291*(S5291*(1+T5291)),0)</f>
        <v>0</v>
      </c>
      <c r="Y5291" s="393">
        <f>+IFERROR(Y5275*(S5291*(1+T5291)),0)</f>
        <v>0</v>
      </c>
      <c r="Z5291" s="391">
        <f>Y5275*V5291</f>
        <v>0</v>
      </c>
      <c r="AA5291" s="394"/>
      <c r="AB5291" s="395">
        <f>+Y5291*U5291</f>
        <v>0</v>
      </c>
      <c r="AC5291" s="93">
        <f>+AB5291-Z5291</f>
        <v>0</v>
      </c>
      <c r="AD5291" s="94"/>
      <c r="AE5291" s="406" t="str">
        <f>+IF(V5291=0,"CERO","NO")</f>
        <v>CERO</v>
      </c>
    </row>
    <row r="5292" spans="3:31" s="260" customFormat="1" ht="15.75" thickBot="1" x14ac:dyDescent="0.3">
      <c r="C5292" s="84"/>
      <c r="D5292" s="85"/>
      <c r="E5292" s="86"/>
      <c r="F5292" s="86"/>
      <c r="G5292" s="86"/>
      <c r="H5292" s="86"/>
      <c r="I5292" s="86"/>
      <c r="J5292" s="87"/>
      <c r="K5292" s="88"/>
      <c r="M5292" s="102">
        <v>0</v>
      </c>
      <c r="N5292" s="564"/>
      <c r="O5292" s="564"/>
      <c r="P5292" s="564"/>
      <c r="Q5292" s="564"/>
      <c r="R5292" s="96"/>
      <c r="S5292" s="79"/>
      <c r="T5292" s="97"/>
      <c r="U5292" s="358"/>
      <c r="V5292" s="397"/>
      <c r="Y5292" s="393">
        <f>+IFERROR(Y5275*(S5292*(1+T5292)),0)</f>
        <v>0</v>
      </c>
      <c r="Z5292" s="391">
        <f>Y5275*V5292</f>
        <v>0</v>
      </c>
      <c r="AA5292" s="394"/>
      <c r="AB5292" s="395">
        <f>+Y5292*U5292</f>
        <v>0</v>
      </c>
      <c r="AC5292" s="93">
        <f>+AB5292-Z5292</f>
        <v>0</v>
      </c>
      <c r="AD5292" s="94"/>
      <c r="AE5292" s="406" t="str">
        <f>+IF(V5292=0,"CERO","NO")</f>
        <v>CERO</v>
      </c>
    </row>
    <row r="5293" spans="3:31" s="260" customFormat="1" ht="15.75" thickBot="1" x14ac:dyDescent="0.3">
      <c r="C5293" s="84"/>
      <c r="D5293" s="375" t="s">
        <v>128</v>
      </c>
      <c r="E5293" s="376" t="s">
        <v>129</v>
      </c>
      <c r="F5293" s="376" t="s">
        <v>130</v>
      </c>
      <c r="G5293" s="376" t="s">
        <v>131</v>
      </c>
      <c r="H5293" s="376" t="s">
        <v>132</v>
      </c>
      <c r="I5293" s="376" t="s">
        <v>133</v>
      </c>
      <c r="J5293" s="377" t="s">
        <v>134</v>
      </c>
      <c r="K5293" s="88"/>
      <c r="M5293" s="534"/>
      <c r="N5293" s="536" t="s">
        <v>106</v>
      </c>
      <c r="O5293" s="536"/>
      <c r="P5293" s="536"/>
      <c r="Q5293" s="536"/>
      <c r="R5293" s="536"/>
      <c r="S5293" s="536"/>
      <c r="T5293" s="536"/>
      <c r="U5293" s="536"/>
      <c r="V5293" s="389">
        <f>+SUM(V5288:V5292)</f>
        <v>153334.31640000001</v>
      </c>
      <c r="Y5293" s="398" t="s">
        <v>135</v>
      </c>
      <c r="Z5293" s="397">
        <f>+SUM(Z5288:Z5292)</f>
        <v>920005.89840000006</v>
      </c>
      <c r="AA5293" s="86"/>
      <c r="AB5293" s="384"/>
      <c r="AC5293" s="385"/>
      <c r="AD5293" s="94"/>
      <c r="AE5293" s="399"/>
    </row>
    <row r="5294" spans="3:31" s="260" customFormat="1" ht="15.75" thickBot="1" x14ac:dyDescent="0.3">
      <c r="C5294" s="84"/>
      <c r="D5294" s="375"/>
      <c r="E5294" s="407">
        <f>+D5285</f>
        <v>5.08</v>
      </c>
      <c r="F5294" s="376"/>
      <c r="G5294" s="376"/>
      <c r="H5294" s="376"/>
      <c r="I5294" s="376"/>
      <c r="J5294" s="377"/>
      <c r="K5294" s="88"/>
      <c r="M5294" s="535"/>
      <c r="N5294" s="537" t="s">
        <v>107</v>
      </c>
      <c r="O5294" s="537"/>
      <c r="P5294" s="537"/>
      <c r="Q5294" s="537"/>
      <c r="R5294" s="537"/>
      <c r="S5294" s="537"/>
      <c r="T5294" s="537"/>
      <c r="U5294" s="537"/>
      <c r="V5294" s="408">
        <f>+ROUND(V5293,$AA$5)</f>
        <v>153334.32</v>
      </c>
      <c r="Y5294" s="401" t="s">
        <v>136</v>
      </c>
      <c r="Z5294" s="402">
        <f>+ROUND(Z5293,$AA$5)</f>
        <v>920005.9</v>
      </c>
      <c r="AA5294" s="86"/>
      <c r="AB5294" s="403">
        <f>+V5294*Y5275</f>
        <v>920005.92</v>
      </c>
      <c r="AC5294" s="404">
        <f>+AB5294-Z5294</f>
        <v>2.0000000018626451E-2</v>
      </c>
      <c r="AD5294" s="94"/>
      <c r="AE5294" s="405"/>
    </row>
    <row r="5295" spans="3:31" s="260" customFormat="1" x14ac:dyDescent="0.25">
      <c r="C5295" s="84"/>
      <c r="D5295" s="380"/>
      <c r="E5295" s="381"/>
      <c r="F5295" s="381"/>
      <c r="G5295" s="381"/>
      <c r="H5295" s="381"/>
      <c r="I5295" s="381"/>
      <c r="J5295" s="382"/>
      <c r="K5295" s="88"/>
      <c r="M5295" s="568" t="s">
        <v>108</v>
      </c>
      <c r="N5295" s="569"/>
      <c r="O5295" s="569"/>
      <c r="P5295" s="569"/>
      <c r="Q5295" s="569"/>
      <c r="R5295" s="569"/>
      <c r="S5295" s="569"/>
      <c r="T5295" s="569"/>
      <c r="U5295" s="569"/>
      <c r="V5295" s="570"/>
      <c r="Y5295" s="378"/>
      <c r="Z5295" s="121"/>
      <c r="AA5295" s="86"/>
      <c r="AB5295" s="409"/>
      <c r="AC5295" s="121"/>
      <c r="AD5295" s="94"/>
      <c r="AE5295" s="126"/>
    </row>
    <row r="5296" spans="3:31" s="260" customFormat="1" ht="25.5" x14ac:dyDescent="0.25">
      <c r="C5296" s="84"/>
      <c r="D5296" s="85"/>
      <c r="E5296" s="86"/>
      <c r="F5296" s="86"/>
      <c r="G5296" s="86"/>
      <c r="H5296" s="86"/>
      <c r="I5296" s="86"/>
      <c r="J5296" s="87"/>
      <c r="K5296" s="88"/>
      <c r="M5296" s="99" t="s">
        <v>94</v>
      </c>
      <c r="N5296" s="561" t="s">
        <v>95</v>
      </c>
      <c r="O5296" s="561"/>
      <c r="P5296" s="561"/>
      <c r="Q5296" s="95" t="s">
        <v>109</v>
      </c>
      <c r="R5296" s="95" t="s">
        <v>110</v>
      </c>
      <c r="S5296" s="95" t="s">
        <v>111</v>
      </c>
      <c r="T5296" s="562" t="s">
        <v>112</v>
      </c>
      <c r="U5296" s="562"/>
      <c r="V5296" s="100" t="s">
        <v>98</v>
      </c>
      <c r="Y5296" s="383" t="s">
        <v>104</v>
      </c>
      <c r="Z5296" s="119" t="s">
        <v>9</v>
      </c>
      <c r="AA5296" s="86"/>
      <c r="AB5296" s="384"/>
      <c r="AC5296" s="385"/>
      <c r="AD5296" s="94"/>
      <c r="AE5296" s="410"/>
    </row>
    <row r="5297" spans="3:31" s="260" customFormat="1" x14ac:dyDescent="0.25">
      <c r="C5297" s="84"/>
      <c r="D5297" s="85"/>
      <c r="E5297" s="86"/>
      <c r="F5297" s="86"/>
      <c r="G5297" s="86"/>
      <c r="H5297" s="86"/>
      <c r="I5297" s="86"/>
      <c r="J5297" s="87"/>
      <c r="K5297" s="88"/>
      <c r="M5297" s="102">
        <v>129</v>
      </c>
      <c r="N5297" s="530" t="str">
        <f>IFERROR(VLOOKUP(M5297,INSUMOS!$C$8:$K$928,2,0),"-----")</f>
        <v>transporte materiales en general</v>
      </c>
      <c r="O5297" s="531"/>
      <c r="P5297" s="532"/>
      <c r="Q5297" s="78" t="str">
        <f>IFERROR(VLOOKUP(M5297,INSUMOS!$C$8:$K$928,5,0),"-----")</f>
        <v>Km</v>
      </c>
      <c r="R5297" s="80">
        <v>1</v>
      </c>
      <c r="S5297" s="80">
        <f>IFERROR(VLOOKUP(M5297,INSUMOS!$C$8:$K$928,6,0),"0")</f>
        <v>348</v>
      </c>
      <c r="T5297" s="529">
        <f>IFERROR(VLOOKUP(M5297,INSUMOS!$C$8:$K$928,7,0),"0")</f>
        <v>0.99776362060288992</v>
      </c>
      <c r="U5297" s="529"/>
      <c r="V5297" s="82">
        <f>+T5297*S5297*R5297</f>
        <v>347.2217399698057</v>
      </c>
      <c r="Y5297" s="393">
        <f>+IFERROR((R5297*S5297)*Y5275,0)</f>
        <v>2088</v>
      </c>
      <c r="Z5297" s="391">
        <f>Y5275*V5297</f>
        <v>2083.3304398188343</v>
      </c>
      <c r="AA5297" s="86"/>
      <c r="AB5297" s="92">
        <f>+Y5297*T5297</f>
        <v>2083.3304398188343</v>
      </c>
      <c r="AC5297" s="93">
        <f>+AB5297-Z5297</f>
        <v>0</v>
      </c>
      <c r="AD5297" s="94"/>
      <c r="AE5297" s="406" t="str">
        <f>+IF(V5297=0,"CERO","NO")</f>
        <v>NO</v>
      </c>
    </row>
    <row r="5298" spans="3:31" s="260" customFormat="1" x14ac:dyDescent="0.25">
      <c r="C5298" s="84"/>
      <c r="D5298" s="85"/>
      <c r="E5298" s="86"/>
      <c r="F5298" s="86"/>
      <c r="G5298" s="86"/>
      <c r="H5298" s="86"/>
      <c r="I5298" s="86"/>
      <c r="J5298" s="87"/>
      <c r="K5298" s="88"/>
      <c r="M5298" s="102">
        <v>0</v>
      </c>
      <c r="N5298" s="530" t="str">
        <f>IFERROR(VLOOKUP(M5298,INSUMOS!$C$8:$K$928,2,0),"-----")</f>
        <v>-----</v>
      </c>
      <c r="O5298" s="531"/>
      <c r="P5298" s="532"/>
      <c r="Q5298" s="78" t="str">
        <f>IFERROR(VLOOKUP(M5298,INSUMOS!$C$8:$K$928,5,0),"-----")</f>
        <v>-----</v>
      </c>
      <c r="R5298" s="80"/>
      <c r="S5298" s="80" t="str">
        <f>IFERROR(VLOOKUP(M5298,INSUMOS!$C$8:$K$928,6,0),"0")</f>
        <v>0</v>
      </c>
      <c r="T5298" s="529" t="str">
        <f>IFERROR(VLOOKUP(M5298,INSUMOS!$C$8:$K$928,7,0),"0")</f>
        <v>0</v>
      </c>
      <c r="U5298" s="529"/>
      <c r="V5298" s="82">
        <f>+T5298*S5298*R5298</f>
        <v>0</v>
      </c>
      <c r="Y5298" s="393">
        <f>+IFERROR((R5298*S5298)*Y5275,0)</f>
        <v>0</v>
      </c>
      <c r="Z5298" s="391">
        <f>Y5275*V5298</f>
        <v>0</v>
      </c>
      <c r="AA5298" s="86"/>
      <c r="AB5298" s="92">
        <f>+Y5298*T5298</f>
        <v>0</v>
      </c>
      <c r="AC5298" s="93">
        <f>+AB5298-Z5298</f>
        <v>0</v>
      </c>
      <c r="AD5298" s="94"/>
      <c r="AE5298" s="406" t="str">
        <f>+IF(V5298=0,"CERO","NO")</f>
        <v>CERO</v>
      </c>
    </row>
    <row r="5299" spans="3:31" s="260" customFormat="1" x14ac:dyDescent="0.25">
      <c r="C5299" s="84"/>
      <c r="D5299" s="85"/>
      <c r="E5299" s="86"/>
      <c r="F5299" s="86"/>
      <c r="G5299" s="86"/>
      <c r="H5299" s="86"/>
      <c r="I5299" s="86"/>
      <c r="J5299" s="87"/>
      <c r="K5299" s="88"/>
      <c r="M5299" s="102">
        <v>0</v>
      </c>
      <c r="N5299" s="530" t="str">
        <f>IFERROR(VLOOKUP(M5299,INSUMOS!$C$8:$K$928,2,0),"-----")</f>
        <v>-----</v>
      </c>
      <c r="O5299" s="531"/>
      <c r="P5299" s="532"/>
      <c r="Q5299" s="78" t="str">
        <f>IFERROR(VLOOKUP(M5299,INSUMOS!$C$8:$K$928,5,0),"-----")</f>
        <v>-----</v>
      </c>
      <c r="R5299" s="80"/>
      <c r="S5299" s="80" t="str">
        <f>IFERROR(VLOOKUP(M5299,INSUMOS!$C$8:$K$928,6,0),"0")</f>
        <v>0</v>
      </c>
      <c r="T5299" s="529" t="str">
        <f>IFERROR(VLOOKUP(M5299,INSUMOS!$C$8:$K$928,7,0),"0")</f>
        <v>0</v>
      </c>
      <c r="U5299" s="529"/>
      <c r="V5299" s="82">
        <f>+T5299*S5299*R5299</f>
        <v>0</v>
      </c>
      <c r="Y5299" s="393">
        <f>+IFERROR((R5299*S5299)*Y5275,0)</f>
        <v>0</v>
      </c>
      <c r="Z5299" s="391">
        <f>Y5275*V5299</f>
        <v>0</v>
      </c>
      <c r="AA5299" s="86"/>
      <c r="AB5299" s="92">
        <f>+Y5299*T5299</f>
        <v>0</v>
      </c>
      <c r="AC5299" s="93">
        <f>+AB5299-Z5299</f>
        <v>0</v>
      </c>
      <c r="AD5299" s="94"/>
      <c r="AE5299" s="406" t="str">
        <f>+IF(V5299=0,"CERO","NO")</f>
        <v>CERO</v>
      </c>
    </row>
    <row r="5300" spans="3:31" s="260" customFormat="1" ht="15.75" thickBot="1" x14ac:dyDescent="0.3">
      <c r="C5300" s="84"/>
      <c r="D5300" s="89"/>
      <c r="E5300" s="90"/>
      <c r="F5300" s="90"/>
      <c r="G5300" s="90"/>
      <c r="H5300" s="90"/>
      <c r="I5300" s="90"/>
      <c r="J5300" s="91"/>
      <c r="K5300" s="88"/>
      <c r="M5300" s="102">
        <v>0</v>
      </c>
      <c r="N5300" s="533"/>
      <c r="O5300" s="533"/>
      <c r="P5300" s="533"/>
      <c r="Q5300" s="79"/>
      <c r="R5300" s="78"/>
      <c r="S5300" s="81"/>
      <c r="T5300" s="529"/>
      <c r="U5300" s="529"/>
      <c r="V5300" s="82"/>
      <c r="Y5300" s="393">
        <f>+IFERROR((R5300*S5300)*Y5275,0)</f>
        <v>0</v>
      </c>
      <c r="Z5300" s="391">
        <f>Y5275*V5300</f>
        <v>0</v>
      </c>
      <c r="AA5300" s="86"/>
      <c r="AB5300" s="92">
        <f>+Y5300*T5300</f>
        <v>0</v>
      </c>
      <c r="AC5300" s="93">
        <f>+AB5300-Z5300</f>
        <v>0</v>
      </c>
      <c r="AD5300" s="94"/>
      <c r="AE5300" s="406" t="str">
        <f>+IF(V5300=0,"CERO","NO")</f>
        <v>CERO</v>
      </c>
    </row>
    <row r="5301" spans="3:31" s="260" customFormat="1" ht="15.75" thickBot="1" x14ac:dyDescent="0.3">
      <c r="C5301" s="84"/>
      <c r="D5301" s="375" t="s">
        <v>128</v>
      </c>
      <c r="E5301" s="376" t="s">
        <v>129</v>
      </c>
      <c r="F5301" s="376" t="s">
        <v>130</v>
      </c>
      <c r="G5301" s="376" t="s">
        <v>131</v>
      </c>
      <c r="H5301" s="376" t="s">
        <v>132</v>
      </c>
      <c r="I5301" s="376" t="s">
        <v>133</v>
      </c>
      <c r="J5301" s="377" t="s">
        <v>134</v>
      </c>
      <c r="K5301" s="88"/>
      <c r="M5301" s="534"/>
      <c r="N5301" s="536" t="s">
        <v>113</v>
      </c>
      <c r="O5301" s="536"/>
      <c r="P5301" s="536"/>
      <c r="Q5301" s="536"/>
      <c r="R5301" s="536"/>
      <c r="S5301" s="536"/>
      <c r="T5301" s="536"/>
      <c r="U5301" s="536"/>
      <c r="V5301" s="411">
        <f>+SUM(V5297:V5300)</f>
        <v>347.2217399698057</v>
      </c>
      <c r="Y5301" s="398" t="s">
        <v>135</v>
      </c>
      <c r="Z5301" s="397">
        <f>+SUM(Z5297:Z5300)</f>
        <v>2083.3304398188343</v>
      </c>
      <c r="AA5301" s="86"/>
      <c r="AB5301" s="384"/>
      <c r="AC5301" s="385"/>
      <c r="AD5301" s="94"/>
      <c r="AE5301" s="399"/>
    </row>
    <row r="5302" spans="3:31" s="260" customFormat="1" ht="15.75" thickBot="1" x14ac:dyDescent="0.3">
      <c r="C5302" s="84"/>
      <c r="D5302" s="355"/>
      <c r="E5302" s="367"/>
      <c r="F5302" s="412">
        <f>+E5294</f>
        <v>5.08</v>
      </c>
      <c r="G5302" s="367"/>
      <c r="H5302" s="367"/>
      <c r="I5302" s="367"/>
      <c r="J5302" s="368"/>
      <c r="K5302" s="88"/>
      <c r="M5302" s="535"/>
      <c r="N5302" s="537" t="s">
        <v>114</v>
      </c>
      <c r="O5302" s="537"/>
      <c r="P5302" s="537"/>
      <c r="Q5302" s="537"/>
      <c r="R5302" s="537"/>
      <c r="S5302" s="537"/>
      <c r="T5302" s="537"/>
      <c r="U5302" s="537"/>
      <c r="V5302" s="413">
        <f>+ROUND(V5301,$AA$5)</f>
        <v>347.22</v>
      </c>
      <c r="Y5302" s="401" t="s">
        <v>136</v>
      </c>
      <c r="Z5302" s="402">
        <f>+ROUND(Z5301,$AA$5)</f>
        <v>2083.33</v>
      </c>
      <c r="AA5302" s="86"/>
      <c r="AB5302" s="403">
        <f>+V5302*Y5275</f>
        <v>2083.3200000000002</v>
      </c>
      <c r="AC5302" s="414"/>
      <c r="AD5302" s="94"/>
      <c r="AE5302" s="405"/>
    </row>
    <row r="5303" spans="3:31" s="260" customFormat="1" ht="15.75" thickBot="1" x14ac:dyDescent="0.3">
      <c r="C5303" s="84"/>
      <c r="D5303" s="415"/>
      <c r="E5303" s="416"/>
      <c r="F5303" s="416"/>
      <c r="G5303" s="416"/>
      <c r="H5303" s="416"/>
      <c r="I5303" s="416"/>
      <c r="J5303" s="417"/>
      <c r="K5303" s="88"/>
      <c r="M5303" s="538" t="s">
        <v>115</v>
      </c>
      <c r="N5303" s="539"/>
      <c r="O5303" s="539"/>
      <c r="P5303" s="539"/>
      <c r="Q5303" s="539"/>
      <c r="R5303" s="539"/>
      <c r="S5303" s="539"/>
      <c r="T5303" s="539"/>
      <c r="U5303" s="539"/>
      <c r="V5303" s="540"/>
      <c r="Y5303" s="378"/>
      <c r="Z5303" s="121"/>
      <c r="AA5303" s="86"/>
      <c r="AB5303" s="409"/>
      <c r="AC5303" s="121"/>
      <c r="AD5303" s="94"/>
      <c r="AE5303" s="126"/>
    </row>
    <row r="5304" spans="3:31" s="260" customFormat="1" ht="15.75" thickBot="1" x14ac:dyDescent="0.3">
      <c r="C5304" s="84"/>
      <c r="D5304" s="375" t="s">
        <v>128</v>
      </c>
      <c r="E5304" s="376" t="s">
        <v>129</v>
      </c>
      <c r="F5304" s="376" t="s">
        <v>130</v>
      </c>
      <c r="G5304" s="376" t="s">
        <v>131</v>
      </c>
      <c r="H5304" s="376" t="s">
        <v>132</v>
      </c>
      <c r="I5304" s="376" t="s">
        <v>133</v>
      </c>
      <c r="J5304" s="377" t="s">
        <v>134</v>
      </c>
      <c r="K5304" s="88"/>
      <c r="M5304" s="99" t="s">
        <v>94</v>
      </c>
      <c r="N5304" s="98" t="s">
        <v>95</v>
      </c>
      <c r="O5304" s="95" t="s">
        <v>96</v>
      </c>
      <c r="P5304" s="359" t="s">
        <v>104</v>
      </c>
      <c r="Q5304" s="95" t="s">
        <v>116</v>
      </c>
      <c r="R5304" s="418" t="s">
        <v>117</v>
      </c>
      <c r="S5304" s="95" t="s">
        <v>347</v>
      </c>
      <c r="T5304" s="419" t="s">
        <v>118</v>
      </c>
      <c r="U5304" s="189" t="s">
        <v>119</v>
      </c>
      <c r="V5304" s="100" t="s">
        <v>98</v>
      </c>
      <c r="Y5304" s="383" t="s">
        <v>104</v>
      </c>
      <c r="Z5304" s="119" t="s">
        <v>9</v>
      </c>
      <c r="AA5304" s="86"/>
      <c r="AB5304" s="384"/>
      <c r="AC5304" s="385"/>
      <c r="AD5304" s="94"/>
      <c r="AE5304" s="410"/>
    </row>
    <row r="5305" spans="3:31" s="260" customFormat="1" ht="25.5" x14ac:dyDescent="0.25">
      <c r="C5305" s="84"/>
      <c r="D5305" s="354"/>
      <c r="E5305" s="96"/>
      <c r="F5305" s="96"/>
      <c r="G5305" s="96"/>
      <c r="H5305" s="96"/>
      <c r="I5305" s="96"/>
      <c r="J5305" s="420">
        <f>+F5302</f>
        <v>5.08</v>
      </c>
      <c r="K5305" s="88"/>
      <c r="M5305" s="102">
        <v>207</v>
      </c>
      <c r="N5305" s="347" t="str">
        <f>IFERROR(VLOOKUP(M5305,INSUMOS!$C$8:$K$928,2,0),"-----")</f>
        <v>Oficial Hidrosanitario</v>
      </c>
      <c r="O5305" s="78" t="str">
        <f>IFERROR(VLOOKUP(M5305,INSUMOS!$C$8:$K$928,3,0),"-----")</f>
        <v>JORNAL+PS</v>
      </c>
      <c r="P5305" s="80">
        <v>1</v>
      </c>
      <c r="Q5305" s="79">
        <v>30</v>
      </c>
      <c r="R5305" s="190">
        <f>IFERROR(VLOOKUP(M5305,INSUMOS!$C$8:$K$928,4,0),"-----")</f>
        <v>92983</v>
      </c>
      <c r="S5305" s="190">
        <f>IFERROR(VLOOKUP(M5305,INSUMOS!$C$8:$K$928,6,0),"-----")</f>
        <v>74386</v>
      </c>
      <c r="T5305" s="190">
        <f>IFERROR(VLOOKUP(M5305,INSUMOS!$C$8:$K$928,5,0),"-----")</f>
        <v>0</v>
      </c>
      <c r="U5305" s="388">
        <f>SUM(R5305:T5305)</f>
        <v>167369</v>
      </c>
      <c r="V5305" s="82">
        <f>+IFERROR((P5305/Q5305)*U5305,0)</f>
        <v>5578.9666666666662</v>
      </c>
      <c r="Y5305" s="393">
        <f>+IFERROR((Y5275/Q5305*P5305),0)</f>
        <v>0.2</v>
      </c>
      <c r="Z5305" s="391">
        <f>Y5275*V5305</f>
        <v>33473.799999999996</v>
      </c>
      <c r="AA5305" s="86"/>
      <c r="AB5305" s="92">
        <f>+(U5305)*Y5305</f>
        <v>33473.800000000003</v>
      </c>
      <c r="AC5305" s="93">
        <f>+AB5305-Z5305</f>
        <v>0</v>
      </c>
      <c r="AD5305" s="421"/>
      <c r="AE5305" s="410" t="str">
        <f>+IF(V5305=0,"CERO","NO")</f>
        <v>NO</v>
      </c>
    </row>
    <row r="5306" spans="3:31" s="260" customFormat="1" ht="15.75" thickBot="1" x14ac:dyDescent="0.3">
      <c r="C5306" s="84"/>
      <c r="D5306" s="355"/>
      <c r="E5306" s="367"/>
      <c r="F5306" s="367"/>
      <c r="G5306" s="367"/>
      <c r="H5306" s="367"/>
      <c r="I5306" s="367"/>
      <c r="J5306" s="422">
        <f>+J5305</f>
        <v>5.08</v>
      </c>
      <c r="K5306" s="88"/>
      <c r="M5306" s="102"/>
      <c r="N5306" s="347" t="str">
        <f>IFERROR(VLOOKUP(M5306,INSUMOS!$C$8:$K$928,2,0),"-----")</f>
        <v>-----</v>
      </c>
      <c r="O5306" s="78" t="str">
        <f>IFERROR(VLOOKUP(M5306,INSUMOS!$C$8:$K$928,3,0),"-----")</f>
        <v>-----</v>
      </c>
      <c r="P5306" s="80"/>
      <c r="Q5306" s="79"/>
      <c r="R5306" s="190" t="str">
        <f>IFERROR(VLOOKUP(M5306,INSUMOS!$C$8:$K$928,4,0),"-----")</f>
        <v>-----</v>
      </c>
      <c r="S5306" s="190" t="str">
        <f>IFERROR(VLOOKUP(M5306,INSUMOS!$C$8:$K$928,6,0),"-----")</f>
        <v>-----</v>
      </c>
      <c r="T5306" s="190" t="str">
        <f>IFERROR(VLOOKUP(M5306,INSUMOS!$C$8:$K$928,5,0),"-----")</f>
        <v>-----</v>
      </c>
      <c r="U5306" s="388">
        <f>SUM(R5306:T5306)</f>
        <v>0</v>
      </c>
      <c r="V5306" s="82">
        <f>+IFERROR((P5306/Q5306)*U5306,0)</f>
        <v>0</v>
      </c>
      <c r="Y5306" s="393">
        <f>+IFERROR((Y5275/Q5306*P5306),0)</f>
        <v>0</v>
      </c>
      <c r="Z5306" s="391">
        <f>Y5275*V5306</f>
        <v>0</v>
      </c>
      <c r="AA5306" s="86"/>
      <c r="AB5306" s="92">
        <f>+U5306*Y5306</f>
        <v>0</v>
      </c>
      <c r="AC5306" s="93">
        <f>+AB5306-Z5306</f>
        <v>0</v>
      </c>
      <c r="AD5306" s="94"/>
      <c r="AE5306" s="410" t="str">
        <f>+IF(V5306=0,"CERO","NO")</f>
        <v>CERO</v>
      </c>
    </row>
    <row r="5307" spans="3:31" s="260" customFormat="1" ht="15.75" thickBot="1" x14ac:dyDescent="0.3">
      <c r="C5307" s="84"/>
      <c r="D5307" s="380"/>
      <c r="E5307" s="381"/>
      <c r="F5307" s="381"/>
      <c r="G5307" s="381"/>
      <c r="H5307" s="381"/>
      <c r="I5307" s="381"/>
      <c r="J5307" s="382"/>
      <c r="K5307" s="88"/>
      <c r="M5307" s="102">
        <v>0</v>
      </c>
      <c r="N5307" s="347"/>
      <c r="O5307" s="79"/>
      <c r="P5307" s="423"/>
      <c r="Q5307" s="81"/>
      <c r="R5307" s="111"/>
      <c r="S5307" s="357"/>
      <c r="T5307" s="111"/>
      <c r="U5307" s="388"/>
      <c r="V5307" s="426"/>
      <c r="Y5307" s="393">
        <f>+IFERROR((Y5275/Q5307*P5307),0)</f>
        <v>0</v>
      </c>
      <c r="Z5307" s="391">
        <f>Y5275*V5307</f>
        <v>0</v>
      </c>
      <c r="AA5307" s="86"/>
      <c r="AB5307" s="92">
        <f>+(U5307)*Y5307*P5307</f>
        <v>0</v>
      </c>
      <c r="AC5307" s="93">
        <f>+AB5307-Z5307</f>
        <v>0</v>
      </c>
      <c r="AD5307" s="94"/>
      <c r="AE5307" s="410" t="str">
        <f>+IF(V5307=0,"CERO","NO")</f>
        <v>CERO</v>
      </c>
    </row>
    <row r="5308" spans="3:31" s="260" customFormat="1" ht="15.75" thickBot="1" x14ac:dyDescent="0.3">
      <c r="C5308" s="84"/>
      <c r="D5308" s="375" t="s">
        <v>128</v>
      </c>
      <c r="E5308" s="376" t="s">
        <v>129</v>
      </c>
      <c r="F5308" s="376" t="s">
        <v>130</v>
      </c>
      <c r="G5308" s="376" t="s">
        <v>131</v>
      </c>
      <c r="H5308" s="376" t="s">
        <v>132</v>
      </c>
      <c r="I5308" s="376" t="s">
        <v>133</v>
      </c>
      <c r="J5308" s="377" t="s">
        <v>134</v>
      </c>
      <c r="K5308" s="88"/>
      <c r="M5308" s="534"/>
      <c r="N5308" s="536" t="s">
        <v>120</v>
      </c>
      <c r="O5308" s="536"/>
      <c r="P5308" s="536"/>
      <c r="Q5308" s="536"/>
      <c r="R5308" s="536"/>
      <c r="S5308" s="536"/>
      <c r="T5308" s="536"/>
      <c r="U5308" s="536"/>
      <c r="V5308" s="82">
        <f>+SUM(V5305:V5307)</f>
        <v>5578.9666666666662</v>
      </c>
      <c r="Y5308" s="398" t="s">
        <v>135</v>
      </c>
      <c r="Z5308" s="397">
        <f>+SUM(Z5305:Z5307)</f>
        <v>33473.799999999996</v>
      </c>
      <c r="AA5308" s="86"/>
      <c r="AB5308" s="384"/>
      <c r="AC5308" s="385"/>
      <c r="AD5308" s="94"/>
      <c r="AE5308" s="399"/>
    </row>
    <row r="5309" spans="3:31" s="260" customFormat="1" ht="15.75" thickBot="1" x14ac:dyDescent="0.3">
      <c r="C5309" s="84"/>
      <c r="D5309" s="354"/>
      <c r="E5309" s="96"/>
      <c r="F5309" s="96"/>
      <c r="G5309" s="107">
        <f>+F5302</f>
        <v>5.08</v>
      </c>
      <c r="H5309" s="96"/>
      <c r="I5309" s="96"/>
      <c r="J5309" s="427"/>
      <c r="K5309" s="88"/>
      <c r="M5309" s="535"/>
      <c r="N5309" s="537" t="s">
        <v>121</v>
      </c>
      <c r="O5309" s="537"/>
      <c r="P5309" s="537"/>
      <c r="Q5309" s="537"/>
      <c r="R5309" s="537"/>
      <c r="S5309" s="537"/>
      <c r="T5309" s="537"/>
      <c r="U5309" s="537"/>
      <c r="V5309" s="413">
        <f>+ROUND(V5308,$AA$5)</f>
        <v>5578.97</v>
      </c>
      <c r="Y5309" s="401" t="s">
        <v>136</v>
      </c>
      <c r="Z5309" s="402">
        <f>+ROUND(Z5308,$AA$5)</f>
        <v>33473.800000000003</v>
      </c>
      <c r="AA5309" s="86"/>
      <c r="AB5309" s="403">
        <f>+V5309*Y5275</f>
        <v>33473.82</v>
      </c>
      <c r="AC5309" s="404">
        <f>+AB5309-Z5309</f>
        <v>1.9999999996798579E-2</v>
      </c>
      <c r="AD5309" s="94"/>
      <c r="AE5309" s="405"/>
    </row>
    <row r="5310" spans="3:31" s="260" customFormat="1" ht="15.75" thickBot="1" x14ac:dyDescent="0.3">
      <c r="C5310" s="84"/>
      <c r="D5310" s="375" t="s">
        <v>128</v>
      </c>
      <c r="E5310" s="376" t="s">
        <v>129</v>
      </c>
      <c r="F5310" s="376" t="s">
        <v>130</v>
      </c>
      <c r="G5310" s="376" t="s">
        <v>131</v>
      </c>
      <c r="H5310" s="376" t="s">
        <v>132</v>
      </c>
      <c r="I5310" s="376" t="s">
        <v>133</v>
      </c>
      <c r="J5310" s="377" t="s">
        <v>134</v>
      </c>
      <c r="K5310" s="88"/>
      <c r="M5310" s="541"/>
      <c r="N5310" s="542"/>
      <c r="O5310" s="542"/>
      <c r="P5310" s="542"/>
      <c r="Q5310" s="542"/>
      <c r="R5310" s="542"/>
      <c r="S5310" s="542"/>
      <c r="T5310" s="542"/>
      <c r="U5310" s="542"/>
      <c r="V5310" s="543"/>
      <c r="Y5310" s="378"/>
      <c r="Z5310" s="121"/>
      <c r="AA5310" s="86"/>
      <c r="AB5310" s="409"/>
      <c r="AC5310" s="121"/>
      <c r="AD5310" s="94"/>
      <c r="AE5310" s="428"/>
    </row>
    <row r="5311" spans="3:31" s="260" customFormat="1" ht="15.75" thickBot="1" x14ac:dyDescent="0.3">
      <c r="C5311" s="84"/>
      <c r="D5311" s="355"/>
      <c r="E5311" s="367"/>
      <c r="F5311" s="367"/>
      <c r="G5311" s="367"/>
      <c r="H5311" s="412">
        <f>G5309</f>
        <v>5.08</v>
      </c>
      <c r="I5311" s="412"/>
      <c r="J5311" s="422"/>
      <c r="K5311" s="88"/>
      <c r="M5311" s="544" t="s">
        <v>122</v>
      </c>
      <c r="N5311" s="537"/>
      <c r="O5311" s="537"/>
      <c r="P5311" s="537"/>
      <c r="Q5311" s="537"/>
      <c r="R5311" s="537"/>
      <c r="S5311" s="537"/>
      <c r="T5311" s="537"/>
      <c r="U5311" s="545">
        <f>+V5309+V5302+V5294+V5285</f>
        <v>159539.46000000002</v>
      </c>
      <c r="V5311" s="546"/>
      <c r="Y5311" s="429"/>
      <c r="Z5311" s="430">
        <f>+Z5309+Z5302+Z5294+Z5285</f>
        <v>957236.72</v>
      </c>
      <c r="AA5311" s="86"/>
      <c r="AB5311" s="431">
        <f>+AB5309+AB5302+AB5294+AB5285</f>
        <v>957236.76</v>
      </c>
      <c r="AC5311" s="404">
        <f>+AB5311-Z5311</f>
        <v>4.0000000037252903E-2</v>
      </c>
      <c r="AD5311" s="94"/>
      <c r="AE5311" s="432"/>
    </row>
    <row r="5312" spans="3:31" s="260" customFormat="1" ht="15.75" thickBot="1" x14ac:dyDescent="0.3"/>
    <row r="5313" spans="3:31" s="260" customFormat="1" x14ac:dyDescent="0.25">
      <c r="M5313" s="547" t="s">
        <v>348</v>
      </c>
      <c r="N5313" s="548"/>
      <c r="O5313" s="548"/>
      <c r="P5313" s="548"/>
      <c r="Q5313" s="548"/>
      <c r="R5313" s="548"/>
      <c r="S5313" s="548"/>
      <c r="T5313" s="548"/>
      <c r="U5313" s="548"/>
      <c r="V5313" s="549"/>
      <c r="Y5313" s="378"/>
      <c r="Z5313" s="121"/>
      <c r="AA5313" s="86"/>
      <c r="AB5313" s="94"/>
      <c r="AC5313" s="94"/>
      <c r="AD5313" s="94"/>
      <c r="AE5313" s="126" t="s">
        <v>133</v>
      </c>
    </row>
    <row r="5314" spans="3:31" s="260" customFormat="1" x14ac:dyDescent="0.25">
      <c r="M5314" s="515" t="s">
        <v>138</v>
      </c>
      <c r="N5314" s="516"/>
      <c r="O5314" s="516"/>
      <c r="P5314" s="516"/>
      <c r="Q5314" s="516"/>
      <c r="R5314" s="516"/>
      <c r="S5314" s="516"/>
      <c r="T5314" s="437">
        <v>0</v>
      </c>
      <c r="U5314" s="517">
        <f>+ROUND(U5311*T5314,$AA$5)</f>
        <v>0</v>
      </c>
      <c r="V5314" s="518"/>
      <c r="Y5314" s="390"/>
      <c r="Z5314" s="438">
        <f>+Z5311*T5314</f>
        <v>0</v>
      </c>
      <c r="AA5314" s="86"/>
      <c r="AB5314" s="94"/>
      <c r="AC5314" s="94"/>
      <c r="AD5314" s="94"/>
      <c r="AE5314" s="386" t="s">
        <v>133</v>
      </c>
    </row>
    <row r="5315" spans="3:31" s="260" customFormat="1" x14ac:dyDescent="0.25">
      <c r="M5315" s="515" t="s">
        <v>19</v>
      </c>
      <c r="N5315" s="516"/>
      <c r="O5315" s="516"/>
      <c r="P5315" s="516"/>
      <c r="Q5315" s="516"/>
      <c r="R5315" s="516"/>
      <c r="S5315" s="516"/>
      <c r="T5315" s="437">
        <v>0.05</v>
      </c>
      <c r="U5315" s="517">
        <f>+ROUND(U5311*T5315,$AA$5)</f>
        <v>7976.97</v>
      </c>
      <c r="V5315" s="518"/>
      <c r="Y5315" s="390"/>
      <c r="Z5315" s="438">
        <f>+Z5311*T5315</f>
        <v>47861.836000000003</v>
      </c>
      <c r="AA5315" s="86"/>
      <c r="AB5315" s="94"/>
      <c r="AC5315" s="94"/>
      <c r="AD5315" s="94"/>
      <c r="AE5315" s="386" t="s">
        <v>133</v>
      </c>
    </row>
    <row r="5316" spans="3:31" s="260" customFormat="1" x14ac:dyDescent="0.25">
      <c r="M5316" s="515" t="s">
        <v>20</v>
      </c>
      <c r="N5316" s="516"/>
      <c r="O5316" s="516"/>
      <c r="P5316" s="516"/>
      <c r="Q5316" s="516"/>
      <c r="R5316" s="516"/>
      <c r="S5316" s="516"/>
      <c r="T5316" s="437">
        <v>0</v>
      </c>
      <c r="U5316" s="517">
        <f>+ROUND(U5311*T5316,$AA$5)</f>
        <v>0</v>
      </c>
      <c r="V5316" s="518"/>
      <c r="Y5316" s="390"/>
      <c r="Z5316" s="438">
        <f>+Z5311*T5316</f>
        <v>0</v>
      </c>
      <c r="AA5316" s="86"/>
      <c r="AB5316" s="94"/>
      <c r="AC5316" s="94"/>
      <c r="AD5316" s="94"/>
      <c r="AE5316" s="386" t="s">
        <v>133</v>
      </c>
    </row>
    <row r="5317" spans="3:31" s="260" customFormat="1" x14ac:dyDescent="0.25">
      <c r="M5317" s="515" t="s">
        <v>21</v>
      </c>
      <c r="N5317" s="516"/>
      <c r="O5317" s="516"/>
      <c r="P5317" s="516"/>
      <c r="Q5317" s="516"/>
      <c r="R5317" s="516"/>
      <c r="S5317" s="516"/>
      <c r="T5317" s="437">
        <f>$AA$9</f>
        <v>0</v>
      </c>
      <c r="U5317" s="517">
        <f>+ROUND(U5311*T5317,$AA$5)</f>
        <v>0</v>
      </c>
      <c r="V5317" s="518"/>
      <c r="Y5317" s="390"/>
      <c r="Z5317" s="438">
        <f>+Z5316*T5317</f>
        <v>0</v>
      </c>
      <c r="AA5317" s="86"/>
      <c r="AB5317" s="94"/>
      <c r="AC5317" s="94"/>
      <c r="AD5317" s="94"/>
      <c r="AE5317" s="386" t="s">
        <v>133</v>
      </c>
    </row>
    <row r="5318" spans="3:31" s="260" customFormat="1" ht="15.75" thickBot="1" x14ac:dyDescent="0.3">
      <c r="M5318" s="519" t="s">
        <v>349</v>
      </c>
      <c r="N5318" s="520"/>
      <c r="O5318" s="520"/>
      <c r="P5318" s="520"/>
      <c r="Q5318" s="520"/>
      <c r="R5318" s="520"/>
      <c r="S5318" s="520"/>
      <c r="T5318" s="520"/>
      <c r="U5318" s="521">
        <f>+SUM(U5314:V5317)</f>
        <v>7976.97</v>
      </c>
      <c r="V5318" s="522"/>
      <c r="Y5318" s="390"/>
      <c r="Z5318" s="439">
        <f>+SUM(Z5314:Z5317)</f>
        <v>47861.836000000003</v>
      </c>
      <c r="AA5318" s="86"/>
      <c r="AB5318" s="94"/>
      <c r="AC5318" s="94"/>
      <c r="AD5318" s="94"/>
      <c r="AE5318" s="386" t="s">
        <v>133</v>
      </c>
    </row>
    <row r="5319" spans="3:31" s="260" customFormat="1" ht="15.75" thickBot="1" x14ac:dyDescent="0.3">
      <c r="D5319" s="375" t="s">
        <v>128</v>
      </c>
      <c r="E5319" s="376" t="s">
        <v>129</v>
      </c>
      <c r="F5319" s="376" t="s">
        <v>130</v>
      </c>
      <c r="G5319" s="376" t="s">
        <v>131</v>
      </c>
      <c r="H5319" s="376" t="s">
        <v>132</v>
      </c>
      <c r="I5319" s="376" t="s">
        <v>133</v>
      </c>
      <c r="J5319" s="377" t="s">
        <v>134</v>
      </c>
      <c r="M5319" s="86"/>
      <c r="N5319" s="94"/>
      <c r="O5319" s="94"/>
      <c r="P5319" s="94"/>
      <c r="Q5319" s="86"/>
      <c r="R5319" s="86"/>
      <c r="S5319" s="86"/>
      <c r="T5319" s="440"/>
      <c r="U5319" s="523"/>
      <c r="V5319" s="523"/>
      <c r="Y5319" s="390"/>
      <c r="Z5319" s="385"/>
      <c r="AA5319" s="86"/>
      <c r="AB5319" s="94"/>
      <c r="AC5319" s="94"/>
      <c r="AD5319" s="94"/>
      <c r="AE5319" s="386" t="s">
        <v>133</v>
      </c>
    </row>
    <row r="5320" spans="3:31" s="260" customFormat="1" ht="15.75" thickBot="1" x14ac:dyDescent="0.3">
      <c r="D5320" s="355"/>
      <c r="E5320" s="367"/>
      <c r="F5320" s="367"/>
      <c r="G5320" s="367"/>
      <c r="H5320" s="412"/>
      <c r="I5320" s="412">
        <f>H5311</f>
        <v>5.08</v>
      </c>
      <c r="J5320" s="422"/>
      <c r="M5320" s="524" t="s">
        <v>11</v>
      </c>
      <c r="N5320" s="525"/>
      <c r="O5320" s="525"/>
      <c r="P5320" s="525"/>
      <c r="Q5320" s="525"/>
      <c r="R5320" s="525"/>
      <c r="S5320" s="525"/>
      <c r="T5320" s="526"/>
      <c r="U5320" s="527">
        <f>+U5318+U5311</f>
        <v>167516.43000000002</v>
      </c>
      <c r="V5320" s="528"/>
      <c r="Y5320" s="429"/>
      <c r="Z5320" s="441">
        <f>+Z5318+Z5311</f>
        <v>1005098.556</v>
      </c>
      <c r="AA5320" s="86"/>
      <c r="AB5320" s="94"/>
      <c r="AC5320" s="94"/>
      <c r="AD5320" s="94"/>
      <c r="AE5320" s="405" t="s">
        <v>133</v>
      </c>
    </row>
    <row r="5321" spans="3:31" s="260" customFormat="1" x14ac:dyDescent="0.25"/>
    <row r="5322" spans="3:31" s="260" customFormat="1" ht="15.75" thickBot="1" x14ac:dyDescent="0.3"/>
    <row r="5323" spans="3:31" s="260" customFormat="1" ht="15.75" thickBot="1" x14ac:dyDescent="0.3">
      <c r="M5323" s="363" t="s">
        <v>88</v>
      </c>
      <c r="N5323" s="436" t="str">
        <f>+N5274</f>
        <v>CAP.5</v>
      </c>
      <c r="O5323" s="550" t="str">
        <f>IFERROR(VLOOKUP(N5323,PPTO!C:H,2,0),"----")</f>
        <v>RED PLUVIAL</v>
      </c>
      <c r="P5323" s="551"/>
      <c r="Q5323" s="551"/>
      <c r="R5323" s="551"/>
      <c r="S5323" s="551"/>
      <c r="T5323" s="551"/>
      <c r="U5323" s="552"/>
      <c r="V5323" s="74" t="s">
        <v>91</v>
      </c>
      <c r="Y5323" s="365" t="s">
        <v>104</v>
      </c>
      <c r="Z5323" s="94"/>
      <c r="AA5323" s="188"/>
      <c r="AB5323" s="553"/>
      <c r="AC5323" s="553"/>
      <c r="AD5323" s="553"/>
      <c r="AE5323" s="94"/>
    </row>
    <row r="5324" spans="3:31" s="260" customFormat="1" ht="15.75" thickBot="1" x14ac:dyDescent="0.3">
      <c r="C5324" s="369">
        <f>+N5324</f>
        <v>5.09</v>
      </c>
      <c r="D5324" s="86"/>
      <c r="E5324" s="86"/>
      <c r="F5324" s="86"/>
      <c r="G5324" s="86"/>
      <c r="H5324" s="86"/>
      <c r="I5324" s="86"/>
      <c r="J5324" s="86"/>
      <c r="K5324" s="370"/>
      <c r="M5324" s="75" t="s">
        <v>92</v>
      </c>
      <c r="N5324" s="371">
        <f>+ROUNDUP(N5275+0.01,2)</f>
        <v>5.09</v>
      </c>
      <c r="O5324" s="554" t="str">
        <f>IFERROR(VLOOKUP(N5324,PPTO!C:H,2,0),"----")</f>
        <v>Fijacion de tuberias horizontales</v>
      </c>
      <c r="P5324" s="555"/>
      <c r="Q5324" s="555"/>
      <c r="R5324" s="555"/>
      <c r="S5324" s="555"/>
      <c r="T5324" s="555"/>
      <c r="U5324" s="556"/>
      <c r="V5324" s="76" t="str">
        <f>IFERROR(VLOOKUP(N5324,PPTO!C:H,3,0),"----")</f>
        <v>UND</v>
      </c>
      <c r="Y5324" s="373">
        <f>SUMIFS(PPTO!F:F,PPTO!C:C,APUS!N5324)</f>
        <v>89</v>
      </c>
      <c r="Z5324" s="94"/>
      <c r="AA5324" s="86"/>
      <c r="AB5324" s="94"/>
      <c r="AC5324" s="94"/>
      <c r="AD5324" s="94"/>
      <c r="AE5324" s="94"/>
    </row>
    <row r="5325" spans="3:31" s="260" customFormat="1" ht="15.75" thickBot="1" x14ac:dyDescent="0.3">
      <c r="C5325" s="84"/>
      <c r="D5325" s="86"/>
      <c r="E5325" s="86"/>
      <c r="F5325" s="86"/>
      <c r="G5325" s="86"/>
      <c r="H5325" s="86"/>
      <c r="I5325" s="86"/>
      <c r="J5325" s="86"/>
      <c r="K5325" s="88"/>
      <c r="M5325" s="557"/>
      <c r="N5325" s="557"/>
      <c r="O5325" s="557"/>
      <c r="P5325" s="557"/>
      <c r="Q5325" s="557"/>
      <c r="R5325" s="557"/>
      <c r="S5325" s="557"/>
      <c r="T5325" s="557"/>
      <c r="U5325" s="557"/>
      <c r="V5325" s="557"/>
      <c r="Y5325" s="374"/>
      <c r="Z5325" s="94"/>
      <c r="AA5325" s="86"/>
      <c r="AB5325" s="94"/>
      <c r="AC5325" s="94"/>
      <c r="AD5325" s="94"/>
      <c r="AE5325" s="94"/>
    </row>
    <row r="5326" spans="3:31" s="260" customFormat="1" ht="15.75" thickBot="1" x14ac:dyDescent="0.3">
      <c r="C5326" s="84"/>
      <c r="D5326" s="375" t="s">
        <v>128</v>
      </c>
      <c r="E5326" s="376" t="s">
        <v>129</v>
      </c>
      <c r="F5326" s="376" t="s">
        <v>130</v>
      </c>
      <c r="G5326" s="376" t="s">
        <v>131</v>
      </c>
      <c r="H5326" s="376" t="s">
        <v>132</v>
      </c>
      <c r="I5326" s="376" t="s">
        <v>133</v>
      </c>
      <c r="J5326" s="377" t="s">
        <v>134</v>
      </c>
      <c r="K5326" s="88"/>
      <c r="M5326" s="558" t="s">
        <v>93</v>
      </c>
      <c r="N5326" s="559"/>
      <c r="O5326" s="559"/>
      <c r="P5326" s="559"/>
      <c r="Q5326" s="559"/>
      <c r="R5326" s="559"/>
      <c r="S5326" s="559"/>
      <c r="T5326" s="559"/>
      <c r="U5326" s="559"/>
      <c r="V5326" s="560"/>
      <c r="Y5326" s="378"/>
      <c r="Z5326" s="121"/>
      <c r="AA5326" s="86"/>
      <c r="AB5326" s="513"/>
      <c r="AC5326" s="514"/>
      <c r="AD5326" s="94"/>
      <c r="AE5326" s="379"/>
    </row>
    <row r="5327" spans="3:31" s="260" customFormat="1" x14ac:dyDescent="0.25">
      <c r="C5327" s="84"/>
      <c r="D5327" s="380"/>
      <c r="E5327" s="381"/>
      <c r="F5327" s="381"/>
      <c r="G5327" s="381"/>
      <c r="H5327" s="381"/>
      <c r="I5327" s="381"/>
      <c r="J5327" s="382"/>
      <c r="K5327" s="88"/>
      <c r="M5327" s="99" t="s">
        <v>94</v>
      </c>
      <c r="N5327" s="561" t="s">
        <v>95</v>
      </c>
      <c r="O5327" s="561"/>
      <c r="P5327" s="561"/>
      <c r="Q5327" s="561"/>
      <c r="R5327" s="95" t="s">
        <v>96</v>
      </c>
      <c r="S5327" s="95" t="s">
        <v>97</v>
      </c>
      <c r="T5327" s="562" t="s">
        <v>8</v>
      </c>
      <c r="U5327" s="562"/>
      <c r="V5327" s="100" t="s">
        <v>98</v>
      </c>
      <c r="Y5327" s="383" t="s">
        <v>104</v>
      </c>
      <c r="Z5327" s="119" t="s">
        <v>9</v>
      </c>
      <c r="AA5327" s="86"/>
      <c r="AB5327" s="384"/>
      <c r="AC5327" s="385"/>
      <c r="AD5327" s="94"/>
      <c r="AE5327" s="386"/>
    </row>
    <row r="5328" spans="3:31" s="260" customFormat="1" x14ac:dyDescent="0.25">
      <c r="C5328" s="84"/>
      <c r="D5328" s="85"/>
      <c r="E5328" s="86"/>
      <c r="F5328" s="86"/>
      <c r="G5328" s="86"/>
      <c r="H5328" s="86"/>
      <c r="I5328" s="86"/>
      <c r="J5328" s="87"/>
      <c r="K5328" s="88"/>
      <c r="M5328" s="102"/>
      <c r="N5328" s="533" t="s">
        <v>99</v>
      </c>
      <c r="O5328" s="533"/>
      <c r="P5328" s="533"/>
      <c r="Q5328" s="533"/>
      <c r="R5328" s="78" t="s">
        <v>100</v>
      </c>
      <c r="S5328" s="387">
        <f>+$AA$10</f>
        <v>0.05</v>
      </c>
      <c r="T5328" s="563">
        <f>V5358</f>
        <v>10701.08</v>
      </c>
      <c r="U5328" s="563"/>
      <c r="V5328" s="389">
        <f>+IFERROR(T5328*S5328,0)</f>
        <v>535.05399999999997</v>
      </c>
      <c r="Y5328" s="390"/>
      <c r="Z5328" s="391">
        <f>Y5324*V5328</f>
        <v>47619.805999999997</v>
      </c>
      <c r="AA5328" s="86"/>
      <c r="AB5328" s="384"/>
      <c r="AC5328" s="385"/>
      <c r="AD5328" s="94"/>
      <c r="AE5328" s="386" t="str">
        <f>+IF(V5328=0,"CERO","NO")</f>
        <v>NO</v>
      </c>
    </row>
    <row r="5329" spans="3:31" s="260" customFormat="1" x14ac:dyDescent="0.25">
      <c r="C5329" s="84"/>
      <c r="D5329" s="85"/>
      <c r="E5329" s="86"/>
      <c r="F5329" s="86"/>
      <c r="G5329" s="86"/>
      <c r="H5329" s="86"/>
      <c r="I5329" s="86"/>
      <c r="J5329" s="87"/>
      <c r="K5329" s="88"/>
      <c r="M5329" s="106"/>
      <c r="N5329" s="533" t="str">
        <f>IFERROR(VLOOKUP(M5329,INSUMOS!$C$8:$K$928,2,0),"-----")</f>
        <v>-----</v>
      </c>
      <c r="O5329" s="533"/>
      <c r="P5329" s="533"/>
      <c r="Q5329" s="533"/>
      <c r="R5329" s="78" t="str">
        <f>IFERROR(VLOOKUP(M5329,INSUMOS!$C$8:$K$928,6,0),"-----")</f>
        <v>-----</v>
      </c>
      <c r="S5329" s="392"/>
      <c r="T5329" s="529" t="str">
        <f>IFERROR(VLOOKUP(M5329,INSUMOS!$C$8:$K$928,7,0),"0")</f>
        <v>0</v>
      </c>
      <c r="U5329" s="529"/>
      <c r="V5329" s="389">
        <f>+IFERROR(T5329*S5329,0)</f>
        <v>0</v>
      </c>
      <c r="Y5329" s="393">
        <f>+IFERROR(Y5324*S5329,0)</f>
        <v>0</v>
      </c>
      <c r="Z5329" s="391">
        <f>Y5324*V5329</f>
        <v>0</v>
      </c>
      <c r="AA5329" s="394"/>
      <c r="AB5329" s="395">
        <f>+Y5329*T5329</f>
        <v>0</v>
      </c>
      <c r="AC5329" s="93">
        <f>+AB5329-Z5329</f>
        <v>0</v>
      </c>
      <c r="AD5329" s="94"/>
      <c r="AE5329" s="386" t="str">
        <f>+IF(V5329=0,"CERO","NO")</f>
        <v>CERO</v>
      </c>
    </row>
    <row r="5330" spans="3:31" s="260" customFormat="1" x14ac:dyDescent="0.25">
      <c r="C5330" s="84"/>
      <c r="D5330" s="85"/>
      <c r="E5330" s="86"/>
      <c r="F5330" s="86"/>
      <c r="G5330" s="86"/>
      <c r="H5330" s="86"/>
      <c r="I5330" s="86"/>
      <c r="J5330" s="87"/>
      <c r="K5330" s="88"/>
      <c r="M5330" s="102">
        <v>0</v>
      </c>
      <c r="N5330" s="533"/>
      <c r="O5330" s="533"/>
      <c r="P5330" s="533"/>
      <c r="Q5330" s="533"/>
      <c r="R5330" s="78"/>
      <c r="S5330" s="396"/>
      <c r="T5330" s="529"/>
      <c r="U5330" s="529"/>
      <c r="V5330" s="397"/>
      <c r="Y5330" s="393">
        <f>+IFERROR(Y5324*S5330,0)</f>
        <v>0</v>
      </c>
      <c r="Z5330" s="391">
        <f>Y5324*V5330</f>
        <v>0</v>
      </c>
      <c r="AA5330" s="394"/>
      <c r="AB5330" s="395">
        <f>+Y5330*T5330</f>
        <v>0</v>
      </c>
      <c r="AC5330" s="93">
        <f>+AB5330-Z5330</f>
        <v>0</v>
      </c>
      <c r="AD5330" s="94"/>
      <c r="AE5330" s="386" t="str">
        <f>+IF(V5330=0,"CERO","NO")</f>
        <v>CERO</v>
      </c>
    </row>
    <row r="5331" spans="3:31" s="260" customFormat="1" x14ac:dyDescent="0.25">
      <c r="C5331" s="84"/>
      <c r="D5331" s="85"/>
      <c r="E5331" s="86"/>
      <c r="F5331" s="86"/>
      <c r="G5331" s="86"/>
      <c r="H5331" s="86"/>
      <c r="I5331" s="86"/>
      <c r="J5331" s="87"/>
      <c r="K5331" s="88"/>
      <c r="M5331" s="102">
        <v>0</v>
      </c>
      <c r="N5331" s="533"/>
      <c r="O5331" s="533"/>
      <c r="P5331" s="533"/>
      <c r="Q5331" s="533"/>
      <c r="R5331" s="78"/>
      <c r="S5331" s="396"/>
      <c r="T5331" s="529"/>
      <c r="U5331" s="529"/>
      <c r="V5331" s="397"/>
      <c r="Y5331" s="393">
        <f>+IFERROR(Y5324*S5331,0)</f>
        <v>0</v>
      </c>
      <c r="Z5331" s="391">
        <f>Y5324*V5331</f>
        <v>0</v>
      </c>
      <c r="AA5331" s="394"/>
      <c r="AB5331" s="395">
        <f>+Y5331*T5331</f>
        <v>0</v>
      </c>
      <c r="AC5331" s="93">
        <f>+AB5331-Z5331</f>
        <v>0</v>
      </c>
      <c r="AD5331" s="94"/>
      <c r="AE5331" s="386" t="str">
        <f>+IF(V5331=0,"CERO","NO")</f>
        <v>CERO</v>
      </c>
    </row>
    <row r="5332" spans="3:31" s="260" customFormat="1" ht="15.75" thickBot="1" x14ac:dyDescent="0.3">
      <c r="C5332" s="84"/>
      <c r="D5332" s="85"/>
      <c r="E5332" s="86"/>
      <c r="F5332" s="86"/>
      <c r="G5332" s="86"/>
      <c r="H5332" s="86"/>
      <c r="I5332" s="86"/>
      <c r="J5332" s="87"/>
      <c r="K5332" s="88"/>
      <c r="M5332" s="102">
        <v>0</v>
      </c>
      <c r="N5332" s="564"/>
      <c r="O5332" s="564"/>
      <c r="P5332" s="564"/>
      <c r="Q5332" s="564"/>
      <c r="R5332" s="96"/>
      <c r="S5332" s="96"/>
      <c r="T5332" s="565"/>
      <c r="U5332" s="565"/>
      <c r="V5332" s="101"/>
      <c r="Y5332" s="393">
        <f>+IFERROR(Y5324*S5332,0)</f>
        <v>0</v>
      </c>
      <c r="Z5332" s="391">
        <f>Y5324*V5332</f>
        <v>0</v>
      </c>
      <c r="AA5332" s="394"/>
      <c r="AB5332" s="395">
        <f>+Y5332*T5332</f>
        <v>0</v>
      </c>
      <c r="AC5332" s="93">
        <f>+AB5332-Z5332</f>
        <v>0</v>
      </c>
      <c r="AD5332" s="94"/>
      <c r="AE5332" s="386" t="str">
        <f>+IF(V5332=0,"CERO","NO")</f>
        <v>CERO</v>
      </c>
    </row>
    <row r="5333" spans="3:31" s="260" customFormat="1" ht="15.75" thickBot="1" x14ac:dyDescent="0.3">
      <c r="C5333" s="84"/>
      <c r="D5333" s="375" t="s">
        <v>128</v>
      </c>
      <c r="E5333" s="376" t="s">
        <v>129</v>
      </c>
      <c r="F5333" s="376" t="s">
        <v>130</v>
      </c>
      <c r="G5333" s="376" t="s">
        <v>131</v>
      </c>
      <c r="H5333" s="376" t="s">
        <v>132</v>
      </c>
      <c r="I5333" s="376" t="s">
        <v>133</v>
      </c>
      <c r="J5333" s="377" t="s">
        <v>134</v>
      </c>
      <c r="K5333" s="88"/>
      <c r="M5333" s="534"/>
      <c r="N5333" s="536" t="s">
        <v>101</v>
      </c>
      <c r="O5333" s="536"/>
      <c r="P5333" s="536"/>
      <c r="Q5333" s="536"/>
      <c r="R5333" s="536"/>
      <c r="S5333" s="536"/>
      <c r="T5333" s="536"/>
      <c r="U5333" s="536"/>
      <c r="V5333" s="389">
        <f>+SUM(V5328:V5332)</f>
        <v>535.05399999999997</v>
      </c>
      <c r="Y5333" s="398" t="s">
        <v>135</v>
      </c>
      <c r="Z5333" s="397">
        <f>+SUM(Z5328:Z5332)</f>
        <v>47619.805999999997</v>
      </c>
      <c r="AA5333" s="86"/>
      <c r="AB5333" s="384"/>
      <c r="AC5333" s="385"/>
      <c r="AD5333" s="94"/>
      <c r="AE5333" s="399"/>
    </row>
    <row r="5334" spans="3:31" s="260" customFormat="1" ht="15.75" thickBot="1" x14ac:dyDescent="0.3">
      <c r="C5334" s="84"/>
      <c r="D5334" s="375">
        <f>C5324</f>
        <v>5.09</v>
      </c>
      <c r="E5334" s="376"/>
      <c r="F5334" s="376"/>
      <c r="G5334" s="376"/>
      <c r="H5334" s="376"/>
      <c r="I5334" s="376"/>
      <c r="J5334" s="377"/>
      <c r="K5334" s="88"/>
      <c r="M5334" s="566"/>
      <c r="N5334" s="567" t="s">
        <v>102</v>
      </c>
      <c r="O5334" s="567"/>
      <c r="P5334" s="567"/>
      <c r="Q5334" s="567"/>
      <c r="R5334" s="567"/>
      <c r="S5334" s="567"/>
      <c r="T5334" s="567"/>
      <c r="U5334" s="567"/>
      <c r="V5334" s="400">
        <f>+ROUND(V5333,$AA$5)</f>
        <v>535.04999999999995</v>
      </c>
      <c r="Y5334" s="401" t="s">
        <v>136</v>
      </c>
      <c r="Z5334" s="402">
        <f>+ROUND(Z5333,$AA$5)</f>
        <v>47619.81</v>
      </c>
      <c r="AA5334" s="86"/>
      <c r="AB5334" s="403">
        <f>+V5334*Y5324</f>
        <v>47619.45</v>
      </c>
      <c r="AC5334" s="404">
        <f>+AB5334-Z5334</f>
        <v>-0.36000000000058208</v>
      </c>
      <c r="AD5334" s="94"/>
      <c r="AE5334" s="405"/>
    </row>
    <row r="5335" spans="3:31" s="260" customFormat="1" x14ac:dyDescent="0.25">
      <c r="C5335" s="84"/>
      <c r="D5335" s="380"/>
      <c r="E5335" s="381"/>
      <c r="F5335" s="381"/>
      <c r="G5335" s="381"/>
      <c r="H5335" s="381"/>
      <c r="I5335" s="381"/>
      <c r="J5335" s="382"/>
      <c r="K5335" s="88"/>
      <c r="M5335" s="510" t="s">
        <v>103</v>
      </c>
      <c r="N5335" s="511"/>
      <c r="O5335" s="511"/>
      <c r="P5335" s="511"/>
      <c r="Q5335" s="511"/>
      <c r="R5335" s="511"/>
      <c r="S5335" s="511"/>
      <c r="T5335" s="511"/>
      <c r="U5335" s="511"/>
      <c r="V5335" s="512"/>
      <c r="Y5335" s="378"/>
      <c r="Z5335" s="121"/>
      <c r="AA5335" s="86"/>
      <c r="AB5335" s="513"/>
      <c r="AC5335" s="514"/>
      <c r="AD5335" s="94"/>
      <c r="AE5335" s="126"/>
    </row>
    <row r="5336" spans="3:31" s="260" customFormat="1" x14ac:dyDescent="0.25">
      <c r="C5336" s="84"/>
      <c r="D5336" s="85"/>
      <c r="E5336" s="86"/>
      <c r="F5336" s="86"/>
      <c r="G5336" s="86"/>
      <c r="H5336" s="86"/>
      <c r="I5336" s="86"/>
      <c r="J5336" s="87"/>
      <c r="K5336" s="88"/>
      <c r="M5336" s="99" t="s">
        <v>94</v>
      </c>
      <c r="N5336" s="561" t="s">
        <v>95</v>
      </c>
      <c r="O5336" s="561"/>
      <c r="P5336" s="561"/>
      <c r="Q5336" s="561"/>
      <c r="R5336" s="95" t="s">
        <v>96</v>
      </c>
      <c r="S5336" s="95" t="s">
        <v>104</v>
      </c>
      <c r="T5336" s="356" t="s">
        <v>105</v>
      </c>
      <c r="U5336" s="356" t="s">
        <v>8</v>
      </c>
      <c r="V5336" s="100" t="s">
        <v>98</v>
      </c>
      <c r="Y5336" s="383" t="s">
        <v>104</v>
      </c>
      <c r="Z5336" s="119" t="s">
        <v>9</v>
      </c>
      <c r="AA5336" s="86"/>
      <c r="AB5336" s="384"/>
      <c r="AC5336" s="385"/>
      <c r="AD5336" s="94"/>
      <c r="AE5336" s="406"/>
    </row>
    <row r="5337" spans="3:31" s="260" customFormat="1" x14ac:dyDescent="0.25">
      <c r="C5337" s="84"/>
      <c r="D5337" s="85"/>
      <c r="E5337" s="86"/>
      <c r="F5337" s="86"/>
      <c r="G5337" s="86"/>
      <c r="H5337" s="86"/>
      <c r="I5337" s="86"/>
      <c r="J5337" s="87"/>
      <c r="K5337" s="88"/>
      <c r="M5337" s="102">
        <v>936</v>
      </c>
      <c r="N5337" s="533" t="str">
        <f>IFERROR(VLOOKUP(M5337,INSUMOS!$C$8:$K$928,2,0),"-----")</f>
        <v>SIKA ANCHORFIX-4</v>
      </c>
      <c r="O5337" s="533"/>
      <c r="P5337" s="533"/>
      <c r="Q5337" s="533"/>
      <c r="R5337" s="78" t="str">
        <f>IFERROR(VLOOKUP(M5337,INSUMOS!$C$8:$K$928,6,0),"-----")</f>
        <v>cm3</v>
      </c>
      <c r="S5337" s="396">
        <v>5</v>
      </c>
      <c r="T5337" s="387">
        <v>0.02</v>
      </c>
      <c r="U5337" s="388">
        <f>IFERROR(VLOOKUP(M5337,INSUMOS!$C$8:$K$928,7,0),"0")</f>
        <v>255.85</v>
      </c>
      <c r="V5337" s="389">
        <f>+IFERROR(U5337*(S5337*(1+T5337)),0)</f>
        <v>1304.8349999999998</v>
      </c>
      <c r="Y5337" s="393">
        <f>+IFERROR(Y5324*(S5337*(1+T5337)),0)</f>
        <v>453.9</v>
      </c>
      <c r="Z5337" s="391">
        <f>Y5324*V5337</f>
        <v>116130.31499999999</v>
      </c>
      <c r="AA5337" s="394"/>
      <c r="AB5337" s="395">
        <f>+Y5337*U5337</f>
        <v>116130.31499999999</v>
      </c>
      <c r="AC5337" s="93">
        <f>+AB5337-Z5337</f>
        <v>0</v>
      </c>
      <c r="AD5337" s="94"/>
      <c r="AE5337" s="406" t="str">
        <f>+IF(V5337=0,"CERO","NO")</f>
        <v>NO</v>
      </c>
    </row>
    <row r="5338" spans="3:31" s="260" customFormat="1" x14ac:dyDescent="0.25">
      <c r="C5338" s="84"/>
      <c r="D5338" s="85"/>
      <c r="E5338" s="86"/>
      <c r="F5338" s="86"/>
      <c r="G5338" s="86"/>
      <c r="H5338" s="86"/>
      <c r="I5338" s="86"/>
      <c r="J5338" s="87"/>
      <c r="K5338" s="88"/>
      <c r="M5338" s="102">
        <v>937</v>
      </c>
      <c r="N5338" s="533" t="str">
        <f>IFERROR(VLOOKUP(M5338,INSUMOS!$C$8:$K$928,2,0),"-----")</f>
        <v>CHAZO MULTIPROPOSITO Ø3/8"</v>
      </c>
      <c r="O5338" s="533"/>
      <c r="P5338" s="533"/>
      <c r="Q5338" s="533"/>
      <c r="R5338" s="78" t="str">
        <f>IFERROR(VLOOKUP(M5338,INSUMOS!$C$8:$K$928,6,0),"-----")</f>
        <v>und</v>
      </c>
      <c r="S5338" s="396">
        <v>2</v>
      </c>
      <c r="T5338" s="387">
        <v>0</v>
      </c>
      <c r="U5338" s="388">
        <f>IFERROR(VLOOKUP(M5338,INSUMOS!$C$8:$K$928,7,0),"0")</f>
        <v>1100</v>
      </c>
      <c r="V5338" s="389">
        <f>+IFERROR(U5338*(S5338*(1+T5338)),0)</f>
        <v>2200</v>
      </c>
      <c r="Y5338" s="393">
        <f>+IFERROR(Y5324*(S5338*(1+T5338)),0)</f>
        <v>178</v>
      </c>
      <c r="Z5338" s="391">
        <f>Y5324*V5338</f>
        <v>195800</v>
      </c>
      <c r="AA5338" s="394"/>
      <c r="AB5338" s="395">
        <f>+Y5338*U5338</f>
        <v>195800</v>
      </c>
      <c r="AC5338" s="93">
        <f>+AB5338-Z5338</f>
        <v>0</v>
      </c>
      <c r="AD5338" s="94"/>
      <c r="AE5338" s="406" t="str">
        <f>+IF(V5338=0,"CERO","NO")</f>
        <v>NO</v>
      </c>
    </row>
    <row r="5339" spans="3:31" s="260" customFormat="1" x14ac:dyDescent="0.25">
      <c r="C5339" s="84"/>
      <c r="D5339" s="85"/>
      <c r="E5339" s="86"/>
      <c r="F5339" s="86"/>
      <c r="G5339" s="86"/>
      <c r="H5339" s="86"/>
      <c r="I5339" s="86"/>
      <c r="J5339" s="87"/>
      <c r="K5339" s="88"/>
      <c r="M5339" s="102">
        <v>938</v>
      </c>
      <c r="N5339" s="533" t="str">
        <f>IFERROR(VLOOKUP(M5339,INSUMOS!$C$8:$K$928,2,0),"-----")</f>
        <v>PERNO HEXAGONAL Ø3/8"</v>
      </c>
      <c r="O5339" s="533"/>
      <c r="P5339" s="533"/>
      <c r="Q5339" s="533"/>
      <c r="R5339" s="78" t="str">
        <f>IFERROR(VLOOKUP(M5339,INSUMOS!$C$8:$K$928,6,0),"-----")</f>
        <v>und</v>
      </c>
      <c r="S5339" s="396">
        <v>2</v>
      </c>
      <c r="T5339" s="387">
        <v>0</v>
      </c>
      <c r="U5339" s="388">
        <f>IFERROR(VLOOKUP(M5339,INSUMOS!$C$8:$K$928,7,0),"0")</f>
        <v>8800</v>
      </c>
      <c r="V5339" s="389">
        <f>+IFERROR(U5339*(S5339*(1+T5339)),0)</f>
        <v>17600</v>
      </c>
      <c r="Y5339" s="393">
        <f>+IFERROR(Y5324*(S5339*(1+T5339)),0)</f>
        <v>178</v>
      </c>
      <c r="Z5339" s="391">
        <f>Y5324*V5339</f>
        <v>1566400</v>
      </c>
      <c r="AA5339" s="394"/>
      <c r="AB5339" s="395">
        <f>+Y5339*U5339</f>
        <v>1566400</v>
      </c>
      <c r="AC5339" s="93">
        <f>+AB5339-Z5339</f>
        <v>0</v>
      </c>
      <c r="AD5339" s="94"/>
      <c r="AE5339" s="406" t="str">
        <f>+IF(V5339=0,"CERO","NO")</f>
        <v>NO</v>
      </c>
    </row>
    <row r="5340" spans="3:31" s="260" customFormat="1" x14ac:dyDescent="0.25">
      <c r="C5340" s="84"/>
      <c r="D5340" s="85"/>
      <c r="E5340" s="86"/>
      <c r="F5340" s="86"/>
      <c r="G5340" s="86"/>
      <c r="H5340" s="86"/>
      <c r="I5340" s="86"/>
      <c r="J5340" s="87"/>
      <c r="K5340" s="88"/>
      <c r="M5340" s="102">
        <v>939</v>
      </c>
      <c r="N5340" s="533" t="str">
        <f>IFERROR(VLOOKUP(M5340,INSUMOS!$C$8:$K$928,2,0),"-----")</f>
        <v>PLETINA 1"X1/8"</v>
      </c>
      <c r="O5340" s="533"/>
      <c r="P5340" s="533"/>
      <c r="Q5340" s="533"/>
      <c r="R5340" s="78" t="str">
        <f>IFERROR(VLOOKUP(M5340,INSUMOS!$C$8:$K$928,6,0),"-----")</f>
        <v>ml</v>
      </c>
      <c r="S5340" s="396">
        <v>0.3</v>
      </c>
      <c r="T5340" s="387">
        <v>0</v>
      </c>
      <c r="U5340" s="388">
        <f>IFERROR(VLOOKUP(M5340,INSUMOS!$C$8:$K$928,7,0),"0")</f>
        <v>3500</v>
      </c>
      <c r="V5340" s="389">
        <f>+IFERROR(U5340*(S5340*(1+T5340)),0)</f>
        <v>1050</v>
      </c>
      <c r="Y5340" s="393">
        <f>+IFERROR(Y5324*(S5340*(1+T5340)),0)</f>
        <v>26.7</v>
      </c>
      <c r="Z5340" s="391">
        <f>Y5324*V5340</f>
        <v>93450</v>
      </c>
      <c r="AA5340" s="394"/>
      <c r="AB5340" s="395">
        <f>+Y5340*U5340</f>
        <v>93450</v>
      </c>
      <c r="AC5340" s="93">
        <f>+AB5340-Z5340</f>
        <v>0</v>
      </c>
      <c r="AD5340" s="94"/>
      <c r="AE5340" s="406" t="str">
        <f>+IF(V5340=0,"CERO","NO")</f>
        <v>NO</v>
      </c>
    </row>
    <row r="5341" spans="3:31" s="260" customFormat="1" ht="15.75" thickBot="1" x14ac:dyDescent="0.3">
      <c r="C5341" s="84"/>
      <c r="D5341" s="85"/>
      <c r="E5341" s="86"/>
      <c r="F5341" s="86"/>
      <c r="G5341" s="86"/>
      <c r="H5341" s="86"/>
      <c r="I5341" s="86"/>
      <c r="J5341" s="87"/>
      <c r="K5341" s="88"/>
      <c r="M5341" s="102">
        <v>0</v>
      </c>
      <c r="N5341" s="564"/>
      <c r="O5341" s="564"/>
      <c r="P5341" s="564"/>
      <c r="Q5341" s="564"/>
      <c r="R5341" s="96"/>
      <c r="S5341" s="79"/>
      <c r="T5341" s="97"/>
      <c r="U5341" s="358"/>
      <c r="V5341" s="397"/>
      <c r="Y5341" s="393">
        <f>+IFERROR(Y5324*(S5341*(1+T5341)),0)</f>
        <v>0</v>
      </c>
      <c r="Z5341" s="391">
        <f>Y5324*V5341</f>
        <v>0</v>
      </c>
      <c r="AA5341" s="394"/>
      <c r="AB5341" s="395">
        <f>+Y5341*U5341</f>
        <v>0</v>
      </c>
      <c r="AC5341" s="93">
        <f>+AB5341-Z5341</f>
        <v>0</v>
      </c>
      <c r="AD5341" s="94"/>
      <c r="AE5341" s="406" t="str">
        <f>+IF(V5341=0,"CERO","NO")</f>
        <v>CERO</v>
      </c>
    </row>
    <row r="5342" spans="3:31" s="260" customFormat="1" ht="15.75" thickBot="1" x14ac:dyDescent="0.3">
      <c r="C5342" s="84"/>
      <c r="D5342" s="375" t="s">
        <v>128</v>
      </c>
      <c r="E5342" s="376" t="s">
        <v>129</v>
      </c>
      <c r="F5342" s="376" t="s">
        <v>130</v>
      </c>
      <c r="G5342" s="376" t="s">
        <v>131</v>
      </c>
      <c r="H5342" s="376" t="s">
        <v>132</v>
      </c>
      <c r="I5342" s="376" t="s">
        <v>133</v>
      </c>
      <c r="J5342" s="377" t="s">
        <v>134</v>
      </c>
      <c r="K5342" s="88"/>
      <c r="M5342" s="534"/>
      <c r="N5342" s="536" t="s">
        <v>106</v>
      </c>
      <c r="O5342" s="536"/>
      <c r="P5342" s="536"/>
      <c r="Q5342" s="536"/>
      <c r="R5342" s="536"/>
      <c r="S5342" s="536"/>
      <c r="T5342" s="536"/>
      <c r="U5342" s="536"/>
      <c r="V5342" s="389">
        <f>+SUM(V5337:V5341)</f>
        <v>22154.834999999999</v>
      </c>
      <c r="Y5342" s="398" t="s">
        <v>135</v>
      </c>
      <c r="Z5342" s="397">
        <f>+SUM(Z5337:Z5341)</f>
        <v>1971780.3149999999</v>
      </c>
      <c r="AA5342" s="86"/>
      <c r="AB5342" s="384"/>
      <c r="AC5342" s="385"/>
      <c r="AD5342" s="94"/>
      <c r="AE5342" s="399"/>
    </row>
    <row r="5343" spans="3:31" s="260" customFormat="1" ht="15.75" thickBot="1" x14ac:dyDescent="0.3">
      <c r="C5343" s="84"/>
      <c r="D5343" s="375"/>
      <c r="E5343" s="407">
        <f>+D5334</f>
        <v>5.09</v>
      </c>
      <c r="F5343" s="376"/>
      <c r="G5343" s="376"/>
      <c r="H5343" s="376"/>
      <c r="I5343" s="376"/>
      <c r="J5343" s="377"/>
      <c r="K5343" s="88"/>
      <c r="M5343" s="535"/>
      <c r="N5343" s="537" t="s">
        <v>107</v>
      </c>
      <c r="O5343" s="537"/>
      <c r="P5343" s="537"/>
      <c r="Q5343" s="537"/>
      <c r="R5343" s="537"/>
      <c r="S5343" s="537"/>
      <c r="T5343" s="537"/>
      <c r="U5343" s="537"/>
      <c r="V5343" s="408">
        <f>+ROUND(V5342,$AA$5)</f>
        <v>22154.84</v>
      </c>
      <c r="Y5343" s="401" t="s">
        <v>136</v>
      </c>
      <c r="Z5343" s="402">
        <f>+ROUND(Z5342,$AA$5)</f>
        <v>1971780.32</v>
      </c>
      <c r="AA5343" s="86"/>
      <c r="AB5343" s="403">
        <f>+V5343*Y5324</f>
        <v>1971780.76</v>
      </c>
      <c r="AC5343" s="404">
        <f>+AB5343-Z5343</f>
        <v>0.43999999994412065</v>
      </c>
      <c r="AD5343" s="94"/>
      <c r="AE5343" s="405"/>
    </row>
    <row r="5344" spans="3:31" s="260" customFormat="1" x14ac:dyDescent="0.25">
      <c r="C5344" s="84"/>
      <c r="D5344" s="380"/>
      <c r="E5344" s="381"/>
      <c r="F5344" s="381"/>
      <c r="G5344" s="381"/>
      <c r="H5344" s="381"/>
      <c r="I5344" s="381"/>
      <c r="J5344" s="382"/>
      <c r="K5344" s="88"/>
      <c r="M5344" s="568" t="s">
        <v>108</v>
      </c>
      <c r="N5344" s="569"/>
      <c r="O5344" s="569"/>
      <c r="P5344" s="569"/>
      <c r="Q5344" s="569"/>
      <c r="R5344" s="569"/>
      <c r="S5344" s="569"/>
      <c r="T5344" s="569"/>
      <c r="U5344" s="569"/>
      <c r="V5344" s="570"/>
      <c r="Y5344" s="378"/>
      <c r="Z5344" s="121"/>
      <c r="AA5344" s="86"/>
      <c r="AB5344" s="409"/>
      <c r="AC5344" s="121"/>
      <c r="AD5344" s="94"/>
      <c r="AE5344" s="126"/>
    </row>
    <row r="5345" spans="3:31" s="260" customFormat="1" ht="25.5" x14ac:dyDescent="0.25">
      <c r="C5345" s="84"/>
      <c r="D5345" s="85"/>
      <c r="E5345" s="86"/>
      <c r="F5345" s="86"/>
      <c r="G5345" s="86"/>
      <c r="H5345" s="86"/>
      <c r="I5345" s="86"/>
      <c r="J5345" s="87"/>
      <c r="K5345" s="88"/>
      <c r="M5345" s="99" t="s">
        <v>94</v>
      </c>
      <c r="N5345" s="561" t="s">
        <v>95</v>
      </c>
      <c r="O5345" s="561"/>
      <c r="P5345" s="561"/>
      <c r="Q5345" s="95" t="s">
        <v>109</v>
      </c>
      <c r="R5345" s="95" t="s">
        <v>110</v>
      </c>
      <c r="S5345" s="95" t="s">
        <v>111</v>
      </c>
      <c r="T5345" s="562" t="s">
        <v>112</v>
      </c>
      <c r="U5345" s="562"/>
      <c r="V5345" s="100" t="s">
        <v>98</v>
      </c>
      <c r="Y5345" s="383" t="s">
        <v>104</v>
      </c>
      <c r="Z5345" s="119" t="s">
        <v>9</v>
      </c>
      <c r="AA5345" s="86"/>
      <c r="AB5345" s="384"/>
      <c r="AC5345" s="385"/>
      <c r="AD5345" s="94"/>
      <c r="AE5345" s="410"/>
    </row>
    <row r="5346" spans="3:31" s="260" customFormat="1" x14ac:dyDescent="0.25">
      <c r="C5346" s="84"/>
      <c r="D5346" s="85"/>
      <c r="E5346" s="86"/>
      <c r="F5346" s="86"/>
      <c r="G5346" s="86"/>
      <c r="H5346" s="86"/>
      <c r="I5346" s="86"/>
      <c r="J5346" s="87"/>
      <c r="K5346" s="88"/>
      <c r="M5346" s="102">
        <v>129</v>
      </c>
      <c r="N5346" s="530" t="str">
        <f>IFERROR(VLOOKUP(M5346,INSUMOS!$C$8:$K$928,2,0),"-----")</f>
        <v>transporte materiales en general</v>
      </c>
      <c r="O5346" s="531"/>
      <c r="P5346" s="532"/>
      <c r="Q5346" s="78" t="str">
        <f>IFERROR(VLOOKUP(M5346,INSUMOS!$C$8:$K$928,5,0),"-----")</f>
        <v>Km</v>
      </c>
      <c r="R5346" s="80">
        <v>1</v>
      </c>
      <c r="S5346" s="80">
        <f>IFERROR(VLOOKUP(M5346,INSUMOS!$C$8:$K$928,6,0),"0")</f>
        <v>348</v>
      </c>
      <c r="T5346" s="529">
        <f>IFERROR(VLOOKUP(M5346,INSUMOS!$C$8:$K$928,7,0),"0")</f>
        <v>0.99776362060288992</v>
      </c>
      <c r="U5346" s="529"/>
      <c r="V5346" s="82">
        <f>+T5346*S5346*R5346</f>
        <v>347.2217399698057</v>
      </c>
      <c r="Y5346" s="393">
        <f>+IFERROR((R5346*S5346)*Y5324,0)</f>
        <v>30972</v>
      </c>
      <c r="Z5346" s="391">
        <f>Y5324*V5346</f>
        <v>30902.734857312706</v>
      </c>
      <c r="AA5346" s="86"/>
      <c r="AB5346" s="92">
        <f>+Y5346*T5346</f>
        <v>30902.734857312706</v>
      </c>
      <c r="AC5346" s="93">
        <f>+AB5346-Z5346</f>
        <v>0</v>
      </c>
      <c r="AD5346" s="94"/>
      <c r="AE5346" s="406" t="str">
        <f>+IF(V5346=0,"CERO","NO")</f>
        <v>NO</v>
      </c>
    </row>
    <row r="5347" spans="3:31" s="260" customFormat="1" x14ac:dyDescent="0.25">
      <c r="C5347" s="84"/>
      <c r="D5347" s="85"/>
      <c r="E5347" s="86"/>
      <c r="F5347" s="86"/>
      <c r="G5347" s="86"/>
      <c r="H5347" s="86"/>
      <c r="I5347" s="86"/>
      <c r="J5347" s="87"/>
      <c r="K5347" s="88"/>
      <c r="M5347" s="102">
        <v>0</v>
      </c>
      <c r="N5347" s="530" t="str">
        <f>IFERROR(VLOOKUP(M5347,INSUMOS!$C$8:$K$928,2,0),"-----")</f>
        <v>-----</v>
      </c>
      <c r="O5347" s="531"/>
      <c r="P5347" s="532"/>
      <c r="Q5347" s="78" t="str">
        <f>IFERROR(VLOOKUP(M5347,INSUMOS!$C$8:$K$928,5,0),"-----")</f>
        <v>-----</v>
      </c>
      <c r="R5347" s="80"/>
      <c r="S5347" s="80" t="str">
        <f>IFERROR(VLOOKUP(M5347,INSUMOS!$C$8:$K$928,6,0),"0")</f>
        <v>0</v>
      </c>
      <c r="T5347" s="529" t="str">
        <f>IFERROR(VLOOKUP(M5347,INSUMOS!$C$8:$K$928,7,0),"0")</f>
        <v>0</v>
      </c>
      <c r="U5347" s="529"/>
      <c r="V5347" s="82">
        <f>+T5347*S5347*R5347</f>
        <v>0</v>
      </c>
      <c r="Y5347" s="393">
        <f>+IFERROR((R5347*S5347)*Y5324,0)</f>
        <v>0</v>
      </c>
      <c r="Z5347" s="391">
        <f>Y5324*V5347</f>
        <v>0</v>
      </c>
      <c r="AA5347" s="86"/>
      <c r="AB5347" s="92">
        <f>+Y5347*T5347</f>
        <v>0</v>
      </c>
      <c r="AC5347" s="93">
        <f>+AB5347-Z5347</f>
        <v>0</v>
      </c>
      <c r="AD5347" s="94"/>
      <c r="AE5347" s="406" t="str">
        <f>+IF(V5347=0,"CERO","NO")</f>
        <v>CERO</v>
      </c>
    </row>
    <row r="5348" spans="3:31" s="260" customFormat="1" x14ac:dyDescent="0.25">
      <c r="C5348" s="84"/>
      <c r="D5348" s="85"/>
      <c r="E5348" s="86"/>
      <c r="F5348" s="86"/>
      <c r="G5348" s="86"/>
      <c r="H5348" s="86"/>
      <c r="I5348" s="86"/>
      <c r="J5348" s="87"/>
      <c r="K5348" s="88"/>
      <c r="M5348" s="102">
        <v>0</v>
      </c>
      <c r="N5348" s="530" t="str">
        <f>IFERROR(VLOOKUP(M5348,INSUMOS!$C$8:$K$928,2,0),"-----")</f>
        <v>-----</v>
      </c>
      <c r="O5348" s="531"/>
      <c r="P5348" s="532"/>
      <c r="Q5348" s="78" t="str">
        <f>IFERROR(VLOOKUP(M5348,INSUMOS!$C$8:$K$928,5,0),"-----")</f>
        <v>-----</v>
      </c>
      <c r="R5348" s="80"/>
      <c r="S5348" s="80" t="str">
        <f>IFERROR(VLOOKUP(M5348,INSUMOS!$C$8:$K$928,6,0),"0")</f>
        <v>0</v>
      </c>
      <c r="T5348" s="529" t="str">
        <f>IFERROR(VLOOKUP(M5348,INSUMOS!$C$8:$K$928,7,0),"0")</f>
        <v>0</v>
      </c>
      <c r="U5348" s="529"/>
      <c r="V5348" s="82">
        <f>+T5348*S5348*R5348</f>
        <v>0</v>
      </c>
      <c r="Y5348" s="393">
        <f>+IFERROR((R5348*S5348)*Y5324,0)</f>
        <v>0</v>
      </c>
      <c r="Z5348" s="391">
        <f>Y5324*V5348</f>
        <v>0</v>
      </c>
      <c r="AA5348" s="86"/>
      <c r="AB5348" s="92">
        <f>+Y5348*T5348</f>
        <v>0</v>
      </c>
      <c r="AC5348" s="93">
        <f>+AB5348-Z5348</f>
        <v>0</v>
      </c>
      <c r="AD5348" s="94"/>
      <c r="AE5348" s="406" t="str">
        <f>+IF(V5348=0,"CERO","NO")</f>
        <v>CERO</v>
      </c>
    </row>
    <row r="5349" spans="3:31" s="260" customFormat="1" ht="15.75" thickBot="1" x14ac:dyDescent="0.3">
      <c r="C5349" s="84"/>
      <c r="D5349" s="89"/>
      <c r="E5349" s="90"/>
      <c r="F5349" s="90"/>
      <c r="G5349" s="90"/>
      <c r="H5349" s="90"/>
      <c r="I5349" s="90"/>
      <c r="J5349" s="91"/>
      <c r="K5349" s="88"/>
      <c r="M5349" s="102">
        <v>0</v>
      </c>
      <c r="N5349" s="533"/>
      <c r="O5349" s="533"/>
      <c r="P5349" s="533"/>
      <c r="Q5349" s="79"/>
      <c r="R5349" s="78"/>
      <c r="S5349" s="81"/>
      <c r="T5349" s="529"/>
      <c r="U5349" s="529"/>
      <c r="V5349" s="82"/>
      <c r="Y5349" s="393">
        <f>+IFERROR((R5349*S5349)*Y5324,0)</f>
        <v>0</v>
      </c>
      <c r="Z5349" s="391">
        <f>Y5324*V5349</f>
        <v>0</v>
      </c>
      <c r="AA5349" s="86"/>
      <c r="AB5349" s="92">
        <f>+Y5349*T5349</f>
        <v>0</v>
      </c>
      <c r="AC5349" s="93">
        <f>+AB5349-Z5349</f>
        <v>0</v>
      </c>
      <c r="AD5349" s="94"/>
      <c r="AE5349" s="406" t="str">
        <f>+IF(V5349=0,"CERO","NO")</f>
        <v>CERO</v>
      </c>
    </row>
    <row r="5350" spans="3:31" s="260" customFormat="1" ht="15.75" thickBot="1" x14ac:dyDescent="0.3">
      <c r="C5350" s="84"/>
      <c r="D5350" s="375" t="s">
        <v>128</v>
      </c>
      <c r="E5350" s="376" t="s">
        <v>129</v>
      </c>
      <c r="F5350" s="376" t="s">
        <v>130</v>
      </c>
      <c r="G5350" s="376" t="s">
        <v>131</v>
      </c>
      <c r="H5350" s="376" t="s">
        <v>132</v>
      </c>
      <c r="I5350" s="376" t="s">
        <v>133</v>
      </c>
      <c r="J5350" s="377" t="s">
        <v>134</v>
      </c>
      <c r="K5350" s="88"/>
      <c r="M5350" s="534"/>
      <c r="N5350" s="536" t="s">
        <v>113</v>
      </c>
      <c r="O5350" s="536"/>
      <c r="P5350" s="536"/>
      <c r="Q5350" s="536"/>
      <c r="R5350" s="536"/>
      <c r="S5350" s="536"/>
      <c r="T5350" s="536"/>
      <c r="U5350" s="536"/>
      <c r="V5350" s="411">
        <f>+SUM(V5346:V5349)</f>
        <v>347.2217399698057</v>
      </c>
      <c r="Y5350" s="398" t="s">
        <v>135</v>
      </c>
      <c r="Z5350" s="397">
        <f>+SUM(Z5346:Z5349)</f>
        <v>30902.734857312706</v>
      </c>
      <c r="AA5350" s="86"/>
      <c r="AB5350" s="384"/>
      <c r="AC5350" s="385"/>
      <c r="AD5350" s="94"/>
      <c r="AE5350" s="399"/>
    </row>
    <row r="5351" spans="3:31" s="260" customFormat="1" ht="15.75" thickBot="1" x14ac:dyDescent="0.3">
      <c r="C5351" s="84"/>
      <c r="D5351" s="355"/>
      <c r="E5351" s="367"/>
      <c r="F5351" s="412">
        <f>+E5343</f>
        <v>5.09</v>
      </c>
      <c r="G5351" s="367"/>
      <c r="H5351" s="367"/>
      <c r="I5351" s="367"/>
      <c r="J5351" s="368"/>
      <c r="K5351" s="88"/>
      <c r="M5351" s="535"/>
      <c r="N5351" s="537" t="s">
        <v>114</v>
      </c>
      <c r="O5351" s="537"/>
      <c r="P5351" s="537"/>
      <c r="Q5351" s="537"/>
      <c r="R5351" s="537"/>
      <c r="S5351" s="537"/>
      <c r="T5351" s="537"/>
      <c r="U5351" s="537"/>
      <c r="V5351" s="413">
        <f>+ROUND(V5350,$AA$5)</f>
        <v>347.22</v>
      </c>
      <c r="Y5351" s="401" t="s">
        <v>136</v>
      </c>
      <c r="Z5351" s="402">
        <f>+ROUND(Z5350,$AA$5)</f>
        <v>30902.73</v>
      </c>
      <c r="AA5351" s="86"/>
      <c r="AB5351" s="403">
        <f>+V5351*Y5324</f>
        <v>30902.58</v>
      </c>
      <c r="AC5351" s="414"/>
      <c r="AD5351" s="94"/>
      <c r="AE5351" s="405"/>
    </row>
    <row r="5352" spans="3:31" s="260" customFormat="1" ht="15.75" thickBot="1" x14ac:dyDescent="0.3">
      <c r="C5352" s="84"/>
      <c r="D5352" s="415"/>
      <c r="E5352" s="416"/>
      <c r="F5352" s="416"/>
      <c r="G5352" s="416"/>
      <c r="H5352" s="416"/>
      <c r="I5352" s="416"/>
      <c r="J5352" s="417"/>
      <c r="K5352" s="88"/>
      <c r="M5352" s="538" t="s">
        <v>115</v>
      </c>
      <c r="N5352" s="539"/>
      <c r="O5352" s="539"/>
      <c r="P5352" s="539"/>
      <c r="Q5352" s="539"/>
      <c r="R5352" s="539"/>
      <c r="S5352" s="539"/>
      <c r="T5352" s="539"/>
      <c r="U5352" s="539"/>
      <c r="V5352" s="540"/>
      <c r="Y5352" s="378"/>
      <c r="Z5352" s="121"/>
      <c r="AA5352" s="86"/>
      <c r="AB5352" s="409"/>
      <c r="AC5352" s="121"/>
      <c r="AD5352" s="94"/>
      <c r="AE5352" s="126"/>
    </row>
    <row r="5353" spans="3:31" s="260" customFormat="1" ht="15.75" thickBot="1" x14ac:dyDescent="0.3">
      <c r="C5353" s="84"/>
      <c r="D5353" s="375" t="s">
        <v>128</v>
      </c>
      <c r="E5353" s="376" t="s">
        <v>129</v>
      </c>
      <c r="F5353" s="376" t="s">
        <v>130</v>
      </c>
      <c r="G5353" s="376" t="s">
        <v>131</v>
      </c>
      <c r="H5353" s="376" t="s">
        <v>132</v>
      </c>
      <c r="I5353" s="376" t="s">
        <v>133</v>
      </c>
      <c r="J5353" s="377" t="s">
        <v>134</v>
      </c>
      <c r="K5353" s="88"/>
      <c r="M5353" s="99" t="s">
        <v>94</v>
      </c>
      <c r="N5353" s="98" t="s">
        <v>95</v>
      </c>
      <c r="O5353" s="95" t="s">
        <v>96</v>
      </c>
      <c r="P5353" s="359" t="s">
        <v>104</v>
      </c>
      <c r="Q5353" s="95" t="s">
        <v>116</v>
      </c>
      <c r="R5353" s="418" t="s">
        <v>117</v>
      </c>
      <c r="S5353" s="95" t="s">
        <v>347</v>
      </c>
      <c r="T5353" s="419" t="s">
        <v>118</v>
      </c>
      <c r="U5353" s="189" t="s">
        <v>119</v>
      </c>
      <c r="V5353" s="100" t="s">
        <v>98</v>
      </c>
      <c r="Y5353" s="383" t="s">
        <v>104</v>
      </c>
      <c r="Z5353" s="119" t="s">
        <v>9</v>
      </c>
      <c r="AA5353" s="86"/>
      <c r="AB5353" s="384"/>
      <c r="AC5353" s="385"/>
      <c r="AD5353" s="94"/>
      <c r="AE5353" s="410"/>
    </row>
    <row r="5354" spans="3:31" s="260" customFormat="1" ht="25.5" x14ac:dyDescent="0.25">
      <c r="C5354" s="84"/>
      <c r="D5354" s="354"/>
      <c r="E5354" s="96"/>
      <c r="F5354" s="96"/>
      <c r="G5354" s="96"/>
      <c r="H5354" s="96"/>
      <c r="I5354" s="96"/>
      <c r="J5354" s="420">
        <f>+F5351</f>
        <v>5.09</v>
      </c>
      <c r="K5354" s="88"/>
      <c r="M5354" s="102">
        <v>201</v>
      </c>
      <c r="N5354" s="347" t="str">
        <f>IFERROR(VLOOKUP(M5354,INSUMOS!$C$8:$K$928,2,0),"-----")</f>
        <v>Oficial Albañileria</v>
      </c>
      <c r="O5354" s="78" t="str">
        <f>IFERROR(VLOOKUP(M5354,INSUMOS!$C$8:$K$928,3,0),"-----")</f>
        <v>JORNAL+PS</v>
      </c>
      <c r="P5354" s="80">
        <v>1</v>
      </c>
      <c r="Q5354" s="79">
        <v>25</v>
      </c>
      <c r="R5354" s="190">
        <f>IFERROR(VLOOKUP(M5354,INSUMOS!$C$8:$K$928,4,0),"-----")</f>
        <v>85136</v>
      </c>
      <c r="S5354" s="190">
        <f>IFERROR(VLOOKUP(M5354,INSUMOS!$C$8:$K$928,6,0),"-----")</f>
        <v>68109</v>
      </c>
      <c r="T5354" s="190">
        <f>IFERROR(VLOOKUP(M5354,INSUMOS!$C$8:$K$928,5,0),"-----")</f>
        <v>0</v>
      </c>
      <c r="U5354" s="388">
        <f>SUM(R5354:T5354)</f>
        <v>153245</v>
      </c>
      <c r="V5354" s="82">
        <f>+IFERROR((P5354/Q5354)*U5354,0)</f>
        <v>6129.8</v>
      </c>
      <c r="Y5354" s="393">
        <f>+IFERROR((Y5324/Q5354*P5354),0)</f>
        <v>3.56</v>
      </c>
      <c r="Z5354" s="391">
        <f>Y5324*V5354</f>
        <v>545552.20000000007</v>
      </c>
      <c r="AA5354" s="86"/>
      <c r="AB5354" s="92">
        <f>+(U5354)*Y5354</f>
        <v>545552.19999999995</v>
      </c>
      <c r="AC5354" s="93">
        <f>+AB5354-Z5354</f>
        <v>0</v>
      </c>
      <c r="AD5354" s="421"/>
      <c r="AE5354" s="410" t="str">
        <f>+IF(V5354=0,"CERO","NO")</f>
        <v>NO</v>
      </c>
    </row>
    <row r="5355" spans="3:31" s="260" customFormat="1" ht="26.25" thickBot="1" x14ac:dyDescent="0.3">
      <c r="C5355" s="84"/>
      <c r="D5355" s="355"/>
      <c r="E5355" s="367"/>
      <c r="F5355" s="367"/>
      <c r="G5355" s="367"/>
      <c r="H5355" s="367"/>
      <c r="I5355" s="367"/>
      <c r="J5355" s="422">
        <f>+J5354</f>
        <v>5.09</v>
      </c>
      <c r="K5355" s="88"/>
      <c r="M5355" s="102">
        <v>202</v>
      </c>
      <c r="N5355" s="347" t="str">
        <f>IFERROR(VLOOKUP(M5355,INSUMOS!$C$8:$K$928,2,0),"-----")</f>
        <v>Ayudante Albañileria</v>
      </c>
      <c r="O5355" s="78" t="str">
        <f>IFERROR(VLOOKUP(M5355,INSUMOS!$C$8:$K$928,3,0),"-----")</f>
        <v>JORNAL+PS</v>
      </c>
      <c r="P5355" s="80">
        <v>1</v>
      </c>
      <c r="Q5355" s="79">
        <v>25</v>
      </c>
      <c r="R5355" s="190">
        <f>IFERROR(VLOOKUP(M5355,INSUMOS!$C$8:$K$928,4,0),"-----")</f>
        <v>63490</v>
      </c>
      <c r="S5355" s="190">
        <f>IFERROR(VLOOKUP(M5355,INSUMOS!$C$8:$K$928,6,0),"-----")</f>
        <v>50792</v>
      </c>
      <c r="T5355" s="190">
        <f>IFERROR(VLOOKUP(M5355,INSUMOS!$C$8:$K$928,5,0),"-----")</f>
        <v>0</v>
      </c>
      <c r="U5355" s="388">
        <f>SUM(R5355:T5355)</f>
        <v>114282</v>
      </c>
      <c r="V5355" s="82">
        <f>+IFERROR((P5355/Q5355)*U5355,0)</f>
        <v>4571.28</v>
      </c>
      <c r="Y5355" s="393">
        <f>+IFERROR((Y5324/Q5355*P5355),0)</f>
        <v>3.56</v>
      </c>
      <c r="Z5355" s="391">
        <f>Y5324*V5355</f>
        <v>406843.92</v>
      </c>
      <c r="AA5355" s="86"/>
      <c r="AB5355" s="92">
        <f>+U5355*Y5355</f>
        <v>406843.92</v>
      </c>
      <c r="AC5355" s="93">
        <f>+AB5355-Z5355</f>
        <v>0</v>
      </c>
      <c r="AD5355" s="94"/>
      <c r="AE5355" s="410" t="str">
        <f>+IF(V5355=0,"CERO","NO")</f>
        <v>NO</v>
      </c>
    </row>
    <row r="5356" spans="3:31" s="260" customFormat="1" ht="15.75" thickBot="1" x14ac:dyDescent="0.3">
      <c r="C5356" s="84"/>
      <c r="D5356" s="380"/>
      <c r="E5356" s="381"/>
      <c r="F5356" s="381"/>
      <c r="G5356" s="381"/>
      <c r="H5356" s="381"/>
      <c r="I5356" s="381"/>
      <c r="J5356" s="382"/>
      <c r="K5356" s="88"/>
      <c r="M5356" s="102">
        <v>0</v>
      </c>
      <c r="N5356" s="347"/>
      <c r="O5356" s="79"/>
      <c r="P5356" s="423"/>
      <c r="Q5356" s="81"/>
      <c r="R5356" s="111"/>
      <c r="S5356" s="357"/>
      <c r="T5356" s="111"/>
      <c r="U5356" s="388"/>
      <c r="V5356" s="426"/>
      <c r="Y5356" s="393">
        <f>+IFERROR((Y5324/Q5356*P5356),0)</f>
        <v>0</v>
      </c>
      <c r="Z5356" s="391">
        <f>Y5324*V5356</f>
        <v>0</v>
      </c>
      <c r="AA5356" s="86"/>
      <c r="AB5356" s="92">
        <f>+(U5356)*Y5356*P5356</f>
        <v>0</v>
      </c>
      <c r="AC5356" s="93">
        <f>+AB5356-Z5356</f>
        <v>0</v>
      </c>
      <c r="AD5356" s="94"/>
      <c r="AE5356" s="410" t="str">
        <f>+IF(V5356=0,"CERO","NO")</f>
        <v>CERO</v>
      </c>
    </row>
    <row r="5357" spans="3:31" s="260" customFormat="1" ht="15.75" thickBot="1" x14ac:dyDescent="0.3">
      <c r="C5357" s="84"/>
      <c r="D5357" s="375" t="s">
        <v>128</v>
      </c>
      <c r="E5357" s="376" t="s">
        <v>129</v>
      </c>
      <c r="F5357" s="376" t="s">
        <v>130</v>
      </c>
      <c r="G5357" s="376" t="s">
        <v>131</v>
      </c>
      <c r="H5357" s="376" t="s">
        <v>132</v>
      </c>
      <c r="I5357" s="376" t="s">
        <v>133</v>
      </c>
      <c r="J5357" s="377" t="s">
        <v>134</v>
      </c>
      <c r="K5357" s="88"/>
      <c r="M5357" s="534"/>
      <c r="N5357" s="536" t="s">
        <v>120</v>
      </c>
      <c r="O5357" s="536"/>
      <c r="P5357" s="536"/>
      <c r="Q5357" s="536"/>
      <c r="R5357" s="536"/>
      <c r="S5357" s="536"/>
      <c r="T5357" s="536"/>
      <c r="U5357" s="536"/>
      <c r="V5357" s="82">
        <f>+SUM(V5354:V5356)</f>
        <v>10701.08</v>
      </c>
      <c r="Y5357" s="398" t="s">
        <v>135</v>
      </c>
      <c r="Z5357" s="397">
        <f>+SUM(Z5354:Z5356)</f>
        <v>952396.12000000011</v>
      </c>
      <c r="AA5357" s="86"/>
      <c r="AB5357" s="384"/>
      <c r="AC5357" s="385"/>
      <c r="AD5357" s="94"/>
      <c r="AE5357" s="399"/>
    </row>
    <row r="5358" spans="3:31" s="260" customFormat="1" ht="15.75" thickBot="1" x14ac:dyDescent="0.3">
      <c r="C5358" s="84"/>
      <c r="D5358" s="354"/>
      <c r="E5358" s="96"/>
      <c r="F5358" s="96"/>
      <c r="G5358" s="107">
        <f>+F5351</f>
        <v>5.09</v>
      </c>
      <c r="H5358" s="96"/>
      <c r="I5358" s="96"/>
      <c r="J5358" s="427"/>
      <c r="K5358" s="88"/>
      <c r="M5358" s="535"/>
      <c r="N5358" s="537" t="s">
        <v>121</v>
      </c>
      <c r="O5358" s="537"/>
      <c r="P5358" s="537"/>
      <c r="Q5358" s="537"/>
      <c r="R5358" s="537"/>
      <c r="S5358" s="537"/>
      <c r="T5358" s="537"/>
      <c r="U5358" s="537"/>
      <c r="V5358" s="413">
        <f>+ROUND(V5357,$AA$5)</f>
        <v>10701.08</v>
      </c>
      <c r="Y5358" s="401" t="s">
        <v>136</v>
      </c>
      <c r="Z5358" s="402">
        <f>+ROUND(Z5357,$AA$5)</f>
        <v>952396.12</v>
      </c>
      <c r="AA5358" s="86"/>
      <c r="AB5358" s="403">
        <f>+V5358*Y5324</f>
        <v>952396.12</v>
      </c>
      <c r="AC5358" s="404">
        <f>+AB5358-Z5358</f>
        <v>0</v>
      </c>
      <c r="AD5358" s="94"/>
      <c r="AE5358" s="405"/>
    </row>
    <row r="5359" spans="3:31" s="260" customFormat="1" ht="15.75" thickBot="1" x14ac:dyDescent="0.3">
      <c r="C5359" s="84"/>
      <c r="D5359" s="375" t="s">
        <v>128</v>
      </c>
      <c r="E5359" s="376" t="s">
        <v>129</v>
      </c>
      <c r="F5359" s="376" t="s">
        <v>130</v>
      </c>
      <c r="G5359" s="376" t="s">
        <v>131</v>
      </c>
      <c r="H5359" s="376" t="s">
        <v>132</v>
      </c>
      <c r="I5359" s="376" t="s">
        <v>133</v>
      </c>
      <c r="J5359" s="377" t="s">
        <v>134</v>
      </c>
      <c r="K5359" s="88"/>
      <c r="M5359" s="541"/>
      <c r="N5359" s="542"/>
      <c r="O5359" s="542"/>
      <c r="P5359" s="542"/>
      <c r="Q5359" s="542"/>
      <c r="R5359" s="542"/>
      <c r="S5359" s="542"/>
      <c r="T5359" s="542"/>
      <c r="U5359" s="542"/>
      <c r="V5359" s="543"/>
      <c r="Y5359" s="378"/>
      <c r="Z5359" s="121"/>
      <c r="AA5359" s="86"/>
      <c r="AB5359" s="409"/>
      <c r="AC5359" s="121"/>
      <c r="AD5359" s="94"/>
      <c r="AE5359" s="428"/>
    </row>
    <row r="5360" spans="3:31" s="260" customFormat="1" ht="15.75" thickBot="1" x14ac:dyDescent="0.3">
      <c r="C5360" s="84"/>
      <c r="D5360" s="355"/>
      <c r="E5360" s="367"/>
      <c r="F5360" s="367"/>
      <c r="G5360" s="367"/>
      <c r="H5360" s="412">
        <f>G5358</f>
        <v>5.09</v>
      </c>
      <c r="I5360" s="412"/>
      <c r="J5360" s="422"/>
      <c r="K5360" s="88"/>
      <c r="M5360" s="544" t="s">
        <v>122</v>
      </c>
      <c r="N5360" s="537"/>
      <c r="O5360" s="537"/>
      <c r="P5360" s="537"/>
      <c r="Q5360" s="537"/>
      <c r="R5360" s="537"/>
      <c r="S5360" s="537"/>
      <c r="T5360" s="537"/>
      <c r="U5360" s="545">
        <f>+V5358+V5351+V5343+V5334</f>
        <v>33738.19</v>
      </c>
      <c r="V5360" s="546"/>
      <c r="Y5360" s="429"/>
      <c r="Z5360" s="430">
        <f>+Z5358+Z5351+Z5343+Z5334</f>
        <v>3002698.98</v>
      </c>
      <c r="AA5360" s="86"/>
      <c r="AB5360" s="431">
        <f>+AB5358+AB5351+AB5343+AB5334</f>
        <v>3002698.91</v>
      </c>
      <c r="AC5360" s="404">
        <f>+AB5360-Z5360</f>
        <v>-6.9999999832361937E-2</v>
      </c>
      <c r="AD5360" s="94"/>
      <c r="AE5360" s="432"/>
    </row>
    <row r="5361" spans="3:31" s="260" customFormat="1" ht="15.75" thickBot="1" x14ac:dyDescent="0.3"/>
    <row r="5362" spans="3:31" s="260" customFormat="1" x14ac:dyDescent="0.25">
      <c r="M5362" s="547" t="s">
        <v>348</v>
      </c>
      <c r="N5362" s="548"/>
      <c r="O5362" s="548"/>
      <c r="P5362" s="548"/>
      <c r="Q5362" s="548"/>
      <c r="R5362" s="548"/>
      <c r="S5362" s="548"/>
      <c r="T5362" s="548"/>
      <c r="U5362" s="548"/>
      <c r="V5362" s="549"/>
      <c r="Y5362" s="378"/>
      <c r="Z5362" s="121"/>
      <c r="AA5362" s="86"/>
      <c r="AB5362" s="94"/>
      <c r="AC5362" s="94"/>
      <c r="AD5362" s="94"/>
      <c r="AE5362" s="126" t="s">
        <v>133</v>
      </c>
    </row>
    <row r="5363" spans="3:31" s="260" customFormat="1" x14ac:dyDescent="0.25">
      <c r="M5363" s="515" t="s">
        <v>138</v>
      </c>
      <c r="N5363" s="516"/>
      <c r="O5363" s="516"/>
      <c r="P5363" s="516"/>
      <c r="Q5363" s="516"/>
      <c r="R5363" s="516"/>
      <c r="S5363" s="516"/>
      <c r="T5363" s="437">
        <v>0</v>
      </c>
      <c r="U5363" s="517">
        <f>+ROUND(U5360*T5363,$AA$5)</f>
        <v>0</v>
      </c>
      <c r="V5363" s="518"/>
      <c r="Y5363" s="390"/>
      <c r="Z5363" s="438">
        <f>+Z5360*T5363</f>
        <v>0</v>
      </c>
      <c r="AA5363" s="86"/>
      <c r="AB5363" s="94"/>
      <c r="AC5363" s="94"/>
      <c r="AD5363" s="94"/>
      <c r="AE5363" s="386" t="s">
        <v>133</v>
      </c>
    </row>
    <row r="5364" spans="3:31" s="260" customFormat="1" x14ac:dyDescent="0.25">
      <c r="M5364" s="515" t="s">
        <v>19</v>
      </c>
      <c r="N5364" s="516"/>
      <c r="O5364" s="516"/>
      <c r="P5364" s="516"/>
      <c r="Q5364" s="516"/>
      <c r="R5364" s="516"/>
      <c r="S5364" s="516"/>
      <c r="T5364" s="437">
        <v>0.05</v>
      </c>
      <c r="U5364" s="517">
        <f>+ROUND(U5360*T5364,$AA$5)</f>
        <v>1686.91</v>
      </c>
      <c r="V5364" s="518"/>
      <c r="Y5364" s="390"/>
      <c r="Z5364" s="438">
        <f>+Z5360*T5364</f>
        <v>150134.94899999999</v>
      </c>
      <c r="AA5364" s="86"/>
      <c r="AB5364" s="94"/>
      <c r="AC5364" s="94"/>
      <c r="AD5364" s="94"/>
      <c r="AE5364" s="386" t="s">
        <v>133</v>
      </c>
    </row>
    <row r="5365" spans="3:31" s="260" customFormat="1" x14ac:dyDescent="0.25">
      <c r="M5365" s="515" t="s">
        <v>20</v>
      </c>
      <c r="N5365" s="516"/>
      <c r="O5365" s="516"/>
      <c r="P5365" s="516"/>
      <c r="Q5365" s="516"/>
      <c r="R5365" s="516"/>
      <c r="S5365" s="516"/>
      <c r="T5365" s="437">
        <v>0</v>
      </c>
      <c r="U5365" s="517">
        <f>+ROUND(U5360*T5365,$AA$5)</f>
        <v>0</v>
      </c>
      <c r="V5365" s="518"/>
      <c r="Y5365" s="390"/>
      <c r="Z5365" s="438">
        <f>+Z5360*T5365</f>
        <v>0</v>
      </c>
      <c r="AA5365" s="86"/>
      <c r="AB5365" s="94"/>
      <c r="AC5365" s="94"/>
      <c r="AD5365" s="94"/>
      <c r="AE5365" s="386" t="s">
        <v>133</v>
      </c>
    </row>
    <row r="5366" spans="3:31" s="260" customFormat="1" x14ac:dyDescent="0.25">
      <c r="M5366" s="515" t="s">
        <v>21</v>
      </c>
      <c r="N5366" s="516"/>
      <c r="O5366" s="516"/>
      <c r="P5366" s="516"/>
      <c r="Q5366" s="516"/>
      <c r="R5366" s="516"/>
      <c r="S5366" s="516"/>
      <c r="T5366" s="437">
        <f>$AA$9</f>
        <v>0</v>
      </c>
      <c r="U5366" s="517">
        <f>+ROUND(U5360*T5366,$AA$5)</f>
        <v>0</v>
      </c>
      <c r="V5366" s="518"/>
      <c r="Y5366" s="390"/>
      <c r="Z5366" s="438">
        <f>+Z5365*T5366</f>
        <v>0</v>
      </c>
      <c r="AA5366" s="86"/>
      <c r="AB5366" s="94"/>
      <c r="AC5366" s="94"/>
      <c r="AD5366" s="94"/>
      <c r="AE5366" s="386" t="s">
        <v>133</v>
      </c>
    </row>
    <row r="5367" spans="3:31" s="260" customFormat="1" ht="15.75" thickBot="1" x14ac:dyDescent="0.3">
      <c r="M5367" s="519" t="s">
        <v>349</v>
      </c>
      <c r="N5367" s="520"/>
      <c r="O5367" s="520"/>
      <c r="P5367" s="520"/>
      <c r="Q5367" s="520"/>
      <c r="R5367" s="520"/>
      <c r="S5367" s="520"/>
      <c r="T5367" s="520"/>
      <c r="U5367" s="521">
        <f>+SUM(U5363:V5366)</f>
        <v>1686.91</v>
      </c>
      <c r="V5367" s="522"/>
      <c r="Y5367" s="390"/>
      <c r="Z5367" s="439">
        <f>+SUM(Z5363:Z5366)</f>
        <v>150134.94899999999</v>
      </c>
      <c r="AA5367" s="86"/>
      <c r="AB5367" s="94"/>
      <c r="AC5367" s="94"/>
      <c r="AD5367" s="94"/>
      <c r="AE5367" s="386" t="s">
        <v>133</v>
      </c>
    </row>
    <row r="5368" spans="3:31" s="260" customFormat="1" ht="15.75" thickBot="1" x14ac:dyDescent="0.3">
      <c r="D5368" s="375" t="s">
        <v>128</v>
      </c>
      <c r="E5368" s="376" t="s">
        <v>129</v>
      </c>
      <c r="F5368" s="376" t="s">
        <v>130</v>
      </c>
      <c r="G5368" s="376" t="s">
        <v>131</v>
      </c>
      <c r="H5368" s="376" t="s">
        <v>132</v>
      </c>
      <c r="I5368" s="376" t="s">
        <v>133</v>
      </c>
      <c r="J5368" s="377" t="s">
        <v>134</v>
      </c>
      <c r="M5368" s="86"/>
      <c r="N5368" s="94"/>
      <c r="O5368" s="94"/>
      <c r="P5368" s="94"/>
      <c r="Q5368" s="86"/>
      <c r="R5368" s="86"/>
      <c r="S5368" s="86"/>
      <c r="T5368" s="440"/>
      <c r="U5368" s="523"/>
      <c r="V5368" s="523"/>
      <c r="Y5368" s="390"/>
      <c r="Z5368" s="385"/>
      <c r="AA5368" s="86"/>
      <c r="AB5368" s="94"/>
      <c r="AC5368" s="94"/>
      <c r="AD5368" s="94"/>
      <c r="AE5368" s="386" t="s">
        <v>133</v>
      </c>
    </row>
    <row r="5369" spans="3:31" s="260" customFormat="1" ht="15.75" thickBot="1" x14ac:dyDescent="0.3">
      <c r="D5369" s="355"/>
      <c r="E5369" s="367"/>
      <c r="F5369" s="367"/>
      <c r="G5369" s="367"/>
      <c r="H5369" s="412"/>
      <c r="I5369" s="412">
        <f>H5360</f>
        <v>5.09</v>
      </c>
      <c r="J5369" s="422"/>
      <c r="M5369" s="524" t="s">
        <v>11</v>
      </c>
      <c r="N5369" s="525"/>
      <c r="O5369" s="525"/>
      <c r="P5369" s="525"/>
      <c r="Q5369" s="525"/>
      <c r="R5369" s="525"/>
      <c r="S5369" s="525"/>
      <c r="T5369" s="526"/>
      <c r="U5369" s="527">
        <f>+U5367+U5360</f>
        <v>35425.100000000006</v>
      </c>
      <c r="V5369" s="528"/>
      <c r="Y5369" s="429"/>
      <c r="Z5369" s="441">
        <f>+Z5367+Z5360</f>
        <v>3152833.929</v>
      </c>
      <c r="AA5369" s="86"/>
      <c r="AB5369" s="94"/>
      <c r="AC5369" s="94"/>
      <c r="AD5369" s="94"/>
      <c r="AE5369" s="405" t="s">
        <v>133</v>
      </c>
    </row>
    <row r="5370" spans="3:31" s="260" customFormat="1" x14ac:dyDescent="0.25"/>
    <row r="5371" spans="3:31" s="260" customFormat="1" ht="15.75" thickBot="1" x14ac:dyDescent="0.3"/>
    <row r="5372" spans="3:31" s="260" customFormat="1" ht="15.75" thickBot="1" x14ac:dyDescent="0.3">
      <c r="M5372" s="363" t="s">
        <v>88</v>
      </c>
      <c r="N5372" s="436" t="str">
        <f>+N5323</f>
        <v>CAP.5</v>
      </c>
      <c r="O5372" s="550" t="str">
        <f>IFERROR(VLOOKUP(N5372,PPTO!C:H,2,0),"----")</f>
        <v>RED PLUVIAL</v>
      </c>
      <c r="P5372" s="551"/>
      <c r="Q5372" s="551"/>
      <c r="R5372" s="551"/>
      <c r="S5372" s="551"/>
      <c r="T5372" s="551"/>
      <c r="U5372" s="552"/>
      <c r="V5372" s="74" t="s">
        <v>91</v>
      </c>
      <c r="Y5372" s="365" t="s">
        <v>104</v>
      </c>
      <c r="Z5372" s="94"/>
      <c r="AA5372" s="188"/>
      <c r="AB5372" s="553"/>
      <c r="AC5372" s="553"/>
      <c r="AD5372" s="553"/>
      <c r="AE5372" s="94"/>
    </row>
    <row r="5373" spans="3:31" s="260" customFormat="1" ht="15.75" thickBot="1" x14ac:dyDescent="0.3">
      <c r="C5373" s="369">
        <f>+N5373</f>
        <v>5.0999999999999996</v>
      </c>
      <c r="D5373" s="86"/>
      <c r="E5373" s="86"/>
      <c r="F5373" s="86"/>
      <c r="G5373" s="86"/>
      <c r="H5373" s="86"/>
      <c r="I5373" s="86"/>
      <c r="J5373" s="86"/>
      <c r="K5373" s="370"/>
      <c r="M5373" s="75" t="s">
        <v>92</v>
      </c>
      <c r="N5373" s="371">
        <f>+ROUNDUP(N5324+0.01,2)</f>
        <v>5.0999999999999996</v>
      </c>
      <c r="O5373" s="554" t="str">
        <f>IFERROR(VLOOKUP(N5373,PPTO!C:H,2,0),"----")</f>
        <v>Fijacion de tuberias verticales</v>
      </c>
      <c r="P5373" s="555"/>
      <c r="Q5373" s="555"/>
      <c r="R5373" s="555"/>
      <c r="S5373" s="555"/>
      <c r="T5373" s="555"/>
      <c r="U5373" s="556"/>
      <c r="V5373" s="76" t="str">
        <f>IFERROR(VLOOKUP(N5373,PPTO!C:H,3,0),"----")</f>
        <v>UND</v>
      </c>
      <c r="Y5373" s="373">
        <f>SUMIFS(PPTO!F:F,PPTO!C:C,APUS!N5373)</f>
        <v>9</v>
      </c>
      <c r="Z5373" s="94"/>
      <c r="AA5373" s="86"/>
      <c r="AB5373" s="94"/>
      <c r="AC5373" s="94"/>
      <c r="AD5373" s="94"/>
      <c r="AE5373" s="94"/>
    </row>
    <row r="5374" spans="3:31" s="260" customFormat="1" ht="15.75" thickBot="1" x14ac:dyDescent="0.3">
      <c r="C5374" s="84"/>
      <c r="D5374" s="86"/>
      <c r="E5374" s="86"/>
      <c r="F5374" s="86"/>
      <c r="G5374" s="86"/>
      <c r="H5374" s="86"/>
      <c r="I5374" s="86"/>
      <c r="J5374" s="86"/>
      <c r="K5374" s="88"/>
      <c r="M5374" s="557"/>
      <c r="N5374" s="557"/>
      <c r="O5374" s="557"/>
      <c r="P5374" s="557"/>
      <c r="Q5374" s="557"/>
      <c r="R5374" s="557"/>
      <c r="S5374" s="557"/>
      <c r="T5374" s="557"/>
      <c r="U5374" s="557"/>
      <c r="V5374" s="557"/>
      <c r="Y5374" s="374"/>
      <c r="Z5374" s="94"/>
      <c r="AA5374" s="86"/>
      <c r="AB5374" s="94"/>
      <c r="AC5374" s="94"/>
      <c r="AD5374" s="94"/>
      <c r="AE5374" s="94"/>
    </row>
    <row r="5375" spans="3:31" s="260" customFormat="1" ht="15.75" thickBot="1" x14ac:dyDescent="0.3">
      <c r="C5375" s="84"/>
      <c r="D5375" s="375" t="s">
        <v>128</v>
      </c>
      <c r="E5375" s="376" t="s">
        <v>129</v>
      </c>
      <c r="F5375" s="376" t="s">
        <v>130</v>
      </c>
      <c r="G5375" s="376" t="s">
        <v>131</v>
      </c>
      <c r="H5375" s="376" t="s">
        <v>132</v>
      </c>
      <c r="I5375" s="376" t="s">
        <v>133</v>
      </c>
      <c r="J5375" s="377" t="s">
        <v>134</v>
      </c>
      <c r="K5375" s="88"/>
      <c r="M5375" s="558" t="s">
        <v>93</v>
      </c>
      <c r="N5375" s="559"/>
      <c r="O5375" s="559"/>
      <c r="P5375" s="559"/>
      <c r="Q5375" s="559"/>
      <c r="R5375" s="559"/>
      <c r="S5375" s="559"/>
      <c r="T5375" s="559"/>
      <c r="U5375" s="559"/>
      <c r="V5375" s="560"/>
      <c r="Y5375" s="378"/>
      <c r="Z5375" s="121"/>
      <c r="AA5375" s="86"/>
      <c r="AB5375" s="513"/>
      <c r="AC5375" s="514"/>
      <c r="AD5375" s="94"/>
      <c r="AE5375" s="379"/>
    </row>
    <row r="5376" spans="3:31" s="260" customFormat="1" x14ac:dyDescent="0.25">
      <c r="C5376" s="84"/>
      <c r="D5376" s="380"/>
      <c r="E5376" s="381"/>
      <c r="F5376" s="381"/>
      <c r="G5376" s="381"/>
      <c r="H5376" s="381"/>
      <c r="I5376" s="381"/>
      <c r="J5376" s="382"/>
      <c r="K5376" s="88"/>
      <c r="M5376" s="99" t="s">
        <v>94</v>
      </c>
      <c r="N5376" s="561" t="s">
        <v>95</v>
      </c>
      <c r="O5376" s="561"/>
      <c r="P5376" s="561"/>
      <c r="Q5376" s="561"/>
      <c r="R5376" s="95" t="s">
        <v>96</v>
      </c>
      <c r="S5376" s="95" t="s">
        <v>97</v>
      </c>
      <c r="T5376" s="562" t="s">
        <v>8</v>
      </c>
      <c r="U5376" s="562"/>
      <c r="V5376" s="100" t="s">
        <v>98</v>
      </c>
      <c r="Y5376" s="383" t="s">
        <v>104</v>
      </c>
      <c r="Z5376" s="119" t="s">
        <v>9</v>
      </c>
      <c r="AA5376" s="86"/>
      <c r="AB5376" s="384"/>
      <c r="AC5376" s="385"/>
      <c r="AD5376" s="94"/>
      <c r="AE5376" s="386"/>
    </row>
    <row r="5377" spans="3:31" s="260" customFormat="1" x14ac:dyDescent="0.25">
      <c r="C5377" s="84"/>
      <c r="D5377" s="85"/>
      <c r="E5377" s="86"/>
      <c r="F5377" s="86"/>
      <c r="G5377" s="86"/>
      <c r="H5377" s="86"/>
      <c r="I5377" s="86"/>
      <c r="J5377" s="87"/>
      <c r="K5377" s="88"/>
      <c r="M5377" s="102"/>
      <c r="N5377" s="533" t="s">
        <v>99</v>
      </c>
      <c r="O5377" s="533"/>
      <c r="P5377" s="533"/>
      <c r="Q5377" s="533"/>
      <c r="R5377" s="78" t="s">
        <v>100</v>
      </c>
      <c r="S5377" s="387">
        <f>+$AA$10</f>
        <v>0.05</v>
      </c>
      <c r="T5377" s="563">
        <f>V5407</f>
        <v>14593.9</v>
      </c>
      <c r="U5377" s="563"/>
      <c r="V5377" s="389">
        <f>+IFERROR(T5377*S5377,0)</f>
        <v>729.69500000000005</v>
      </c>
      <c r="Y5377" s="390"/>
      <c r="Z5377" s="391">
        <f>Y5373*V5377</f>
        <v>6567.2550000000001</v>
      </c>
      <c r="AA5377" s="86"/>
      <c r="AB5377" s="384"/>
      <c r="AC5377" s="385"/>
      <c r="AD5377" s="94"/>
      <c r="AE5377" s="386" t="str">
        <f>+IF(V5377=0,"CERO","NO")</f>
        <v>NO</v>
      </c>
    </row>
    <row r="5378" spans="3:31" s="260" customFormat="1" x14ac:dyDescent="0.25">
      <c r="C5378" s="84"/>
      <c r="D5378" s="85"/>
      <c r="E5378" s="86"/>
      <c r="F5378" s="86"/>
      <c r="G5378" s="86"/>
      <c r="H5378" s="86"/>
      <c r="I5378" s="86"/>
      <c r="J5378" s="87"/>
      <c r="K5378" s="88"/>
      <c r="M5378" s="106"/>
      <c r="N5378" s="533" t="str">
        <f>IFERROR(VLOOKUP(M5378,INSUMOS!$C$8:$K$928,2,0),"-----")</f>
        <v>-----</v>
      </c>
      <c r="O5378" s="533"/>
      <c r="P5378" s="533"/>
      <c r="Q5378" s="533"/>
      <c r="R5378" s="78" t="str">
        <f>IFERROR(VLOOKUP(M5378,INSUMOS!$C$8:$K$928,6,0),"-----")</f>
        <v>-----</v>
      </c>
      <c r="S5378" s="392"/>
      <c r="T5378" s="529" t="str">
        <f>IFERROR(VLOOKUP(M5378,INSUMOS!$C$8:$K$928,7,0),"0")</f>
        <v>0</v>
      </c>
      <c r="U5378" s="529"/>
      <c r="V5378" s="389">
        <f>+IFERROR(T5378*S5378,0)</f>
        <v>0</v>
      </c>
      <c r="Y5378" s="393">
        <f>+IFERROR(Y5373*S5378,0)</f>
        <v>0</v>
      </c>
      <c r="Z5378" s="391">
        <f>Y5373*V5378</f>
        <v>0</v>
      </c>
      <c r="AA5378" s="394"/>
      <c r="AB5378" s="395">
        <f>+Y5378*T5378</f>
        <v>0</v>
      </c>
      <c r="AC5378" s="93">
        <f>+AB5378-Z5378</f>
        <v>0</v>
      </c>
      <c r="AD5378" s="94"/>
      <c r="AE5378" s="386" t="str">
        <f>+IF(V5378=0,"CERO","NO")</f>
        <v>CERO</v>
      </c>
    </row>
    <row r="5379" spans="3:31" s="260" customFormat="1" x14ac:dyDescent="0.25">
      <c r="C5379" s="84"/>
      <c r="D5379" s="85"/>
      <c r="E5379" s="86"/>
      <c r="F5379" s="86"/>
      <c r="G5379" s="86"/>
      <c r="H5379" s="86"/>
      <c r="I5379" s="86"/>
      <c r="J5379" s="87"/>
      <c r="K5379" s="88"/>
      <c r="M5379" s="102">
        <v>0</v>
      </c>
      <c r="N5379" s="533"/>
      <c r="O5379" s="533"/>
      <c r="P5379" s="533"/>
      <c r="Q5379" s="533"/>
      <c r="R5379" s="78"/>
      <c r="S5379" s="396"/>
      <c r="T5379" s="529"/>
      <c r="U5379" s="529"/>
      <c r="V5379" s="397"/>
      <c r="Y5379" s="393">
        <f>+IFERROR(Y5373*S5379,0)</f>
        <v>0</v>
      </c>
      <c r="Z5379" s="391">
        <f>Y5373*V5379</f>
        <v>0</v>
      </c>
      <c r="AA5379" s="394"/>
      <c r="AB5379" s="395">
        <f>+Y5379*T5379</f>
        <v>0</v>
      </c>
      <c r="AC5379" s="93">
        <f>+AB5379-Z5379</f>
        <v>0</v>
      </c>
      <c r="AD5379" s="94"/>
      <c r="AE5379" s="386" t="str">
        <f>+IF(V5379=0,"CERO","NO")</f>
        <v>CERO</v>
      </c>
    </row>
    <row r="5380" spans="3:31" s="260" customFormat="1" x14ac:dyDescent="0.25">
      <c r="C5380" s="84"/>
      <c r="D5380" s="85"/>
      <c r="E5380" s="86"/>
      <c r="F5380" s="86"/>
      <c r="G5380" s="86"/>
      <c r="H5380" s="86"/>
      <c r="I5380" s="86"/>
      <c r="J5380" s="87"/>
      <c r="K5380" s="88"/>
      <c r="M5380" s="102">
        <v>0</v>
      </c>
      <c r="N5380" s="533"/>
      <c r="O5380" s="533"/>
      <c r="P5380" s="533"/>
      <c r="Q5380" s="533"/>
      <c r="R5380" s="78"/>
      <c r="S5380" s="396"/>
      <c r="T5380" s="529"/>
      <c r="U5380" s="529"/>
      <c r="V5380" s="397"/>
      <c r="Y5380" s="393">
        <f>+IFERROR(Y5373*S5380,0)</f>
        <v>0</v>
      </c>
      <c r="Z5380" s="391">
        <f>Y5373*V5380</f>
        <v>0</v>
      </c>
      <c r="AA5380" s="394"/>
      <c r="AB5380" s="395">
        <f>+Y5380*T5380</f>
        <v>0</v>
      </c>
      <c r="AC5380" s="93">
        <f>+AB5380-Z5380</f>
        <v>0</v>
      </c>
      <c r="AD5380" s="94"/>
      <c r="AE5380" s="386" t="str">
        <f>+IF(V5380=0,"CERO","NO")</f>
        <v>CERO</v>
      </c>
    </row>
    <row r="5381" spans="3:31" s="260" customFormat="1" ht="15.75" thickBot="1" x14ac:dyDescent="0.3">
      <c r="C5381" s="84"/>
      <c r="D5381" s="85"/>
      <c r="E5381" s="86"/>
      <c r="F5381" s="86"/>
      <c r="G5381" s="86"/>
      <c r="H5381" s="86"/>
      <c r="I5381" s="86"/>
      <c r="J5381" s="87"/>
      <c r="K5381" s="88"/>
      <c r="M5381" s="102">
        <v>0</v>
      </c>
      <c r="N5381" s="564"/>
      <c r="O5381" s="564"/>
      <c r="P5381" s="564"/>
      <c r="Q5381" s="564"/>
      <c r="R5381" s="96"/>
      <c r="S5381" s="96"/>
      <c r="T5381" s="565"/>
      <c r="U5381" s="565"/>
      <c r="V5381" s="101"/>
      <c r="Y5381" s="393">
        <f>+IFERROR(Y5373*S5381,0)</f>
        <v>0</v>
      </c>
      <c r="Z5381" s="391">
        <f>Y5373*V5381</f>
        <v>0</v>
      </c>
      <c r="AA5381" s="394"/>
      <c r="AB5381" s="395">
        <f>+Y5381*T5381</f>
        <v>0</v>
      </c>
      <c r="AC5381" s="93">
        <f>+AB5381-Z5381</f>
        <v>0</v>
      </c>
      <c r="AD5381" s="94"/>
      <c r="AE5381" s="386" t="str">
        <f>+IF(V5381=0,"CERO","NO")</f>
        <v>CERO</v>
      </c>
    </row>
    <row r="5382" spans="3:31" s="260" customFormat="1" ht="15.75" thickBot="1" x14ac:dyDescent="0.3">
      <c r="C5382" s="84"/>
      <c r="D5382" s="375" t="s">
        <v>128</v>
      </c>
      <c r="E5382" s="376" t="s">
        <v>129</v>
      </c>
      <c r="F5382" s="376" t="s">
        <v>130</v>
      </c>
      <c r="G5382" s="376" t="s">
        <v>131</v>
      </c>
      <c r="H5382" s="376" t="s">
        <v>132</v>
      </c>
      <c r="I5382" s="376" t="s">
        <v>133</v>
      </c>
      <c r="J5382" s="377" t="s">
        <v>134</v>
      </c>
      <c r="K5382" s="88"/>
      <c r="M5382" s="534"/>
      <c r="N5382" s="536" t="s">
        <v>101</v>
      </c>
      <c r="O5382" s="536"/>
      <c r="P5382" s="536"/>
      <c r="Q5382" s="536"/>
      <c r="R5382" s="536"/>
      <c r="S5382" s="536"/>
      <c r="T5382" s="536"/>
      <c r="U5382" s="536"/>
      <c r="V5382" s="389">
        <f>+SUM(V5377:V5381)</f>
        <v>729.69500000000005</v>
      </c>
      <c r="Y5382" s="398" t="s">
        <v>135</v>
      </c>
      <c r="Z5382" s="397">
        <f>+SUM(Z5377:Z5381)</f>
        <v>6567.2550000000001</v>
      </c>
      <c r="AA5382" s="86"/>
      <c r="AB5382" s="384"/>
      <c r="AC5382" s="385"/>
      <c r="AD5382" s="94"/>
      <c r="AE5382" s="399"/>
    </row>
    <row r="5383" spans="3:31" s="260" customFormat="1" ht="15.75" thickBot="1" x14ac:dyDescent="0.3">
      <c r="C5383" s="84"/>
      <c r="D5383" s="375">
        <f>C5373</f>
        <v>5.0999999999999996</v>
      </c>
      <c r="E5383" s="376"/>
      <c r="F5383" s="376"/>
      <c r="G5383" s="376"/>
      <c r="H5383" s="376"/>
      <c r="I5383" s="376"/>
      <c r="J5383" s="377"/>
      <c r="K5383" s="88"/>
      <c r="M5383" s="566"/>
      <c r="N5383" s="567" t="s">
        <v>102</v>
      </c>
      <c r="O5383" s="567"/>
      <c r="P5383" s="567"/>
      <c r="Q5383" s="567"/>
      <c r="R5383" s="567"/>
      <c r="S5383" s="567"/>
      <c r="T5383" s="567"/>
      <c r="U5383" s="567"/>
      <c r="V5383" s="400">
        <f>+ROUND(V5382,$AA$5)</f>
        <v>729.7</v>
      </c>
      <c r="Y5383" s="401" t="s">
        <v>136</v>
      </c>
      <c r="Z5383" s="402">
        <f>+ROUND(Z5382,$AA$5)</f>
        <v>6567.26</v>
      </c>
      <c r="AA5383" s="86"/>
      <c r="AB5383" s="403">
        <f>+V5383*Y5373</f>
        <v>6567.3</v>
      </c>
      <c r="AC5383" s="404">
        <f>+AB5383-Z5383</f>
        <v>3.999999999996362E-2</v>
      </c>
      <c r="AD5383" s="94"/>
      <c r="AE5383" s="405"/>
    </row>
    <row r="5384" spans="3:31" s="260" customFormat="1" x14ac:dyDescent="0.25">
      <c r="C5384" s="84"/>
      <c r="D5384" s="380"/>
      <c r="E5384" s="381"/>
      <c r="F5384" s="381"/>
      <c r="G5384" s="381"/>
      <c r="H5384" s="381"/>
      <c r="I5384" s="381"/>
      <c r="J5384" s="382"/>
      <c r="K5384" s="88"/>
      <c r="M5384" s="510" t="s">
        <v>103</v>
      </c>
      <c r="N5384" s="511"/>
      <c r="O5384" s="511"/>
      <c r="P5384" s="511"/>
      <c r="Q5384" s="511"/>
      <c r="R5384" s="511"/>
      <c r="S5384" s="511"/>
      <c r="T5384" s="511"/>
      <c r="U5384" s="511"/>
      <c r="V5384" s="512"/>
      <c r="Y5384" s="378"/>
      <c r="Z5384" s="121"/>
      <c r="AA5384" s="86"/>
      <c r="AB5384" s="513"/>
      <c r="AC5384" s="514"/>
      <c r="AD5384" s="94"/>
      <c r="AE5384" s="126"/>
    </row>
    <row r="5385" spans="3:31" s="260" customFormat="1" x14ac:dyDescent="0.25">
      <c r="C5385" s="84"/>
      <c r="D5385" s="85"/>
      <c r="E5385" s="86"/>
      <c r="F5385" s="86"/>
      <c r="G5385" s="86"/>
      <c r="H5385" s="86"/>
      <c r="I5385" s="86"/>
      <c r="J5385" s="87"/>
      <c r="K5385" s="88"/>
      <c r="M5385" s="99" t="s">
        <v>94</v>
      </c>
      <c r="N5385" s="561" t="s">
        <v>95</v>
      </c>
      <c r="O5385" s="561"/>
      <c r="P5385" s="561"/>
      <c r="Q5385" s="561"/>
      <c r="R5385" s="95" t="s">
        <v>96</v>
      </c>
      <c r="S5385" s="95" t="s">
        <v>104</v>
      </c>
      <c r="T5385" s="356" t="s">
        <v>105</v>
      </c>
      <c r="U5385" s="356" t="s">
        <v>8</v>
      </c>
      <c r="V5385" s="100" t="s">
        <v>98</v>
      </c>
      <c r="Y5385" s="383" t="s">
        <v>104</v>
      </c>
      <c r="Z5385" s="119" t="s">
        <v>9</v>
      </c>
      <c r="AA5385" s="86"/>
      <c r="AB5385" s="384"/>
      <c r="AC5385" s="385"/>
      <c r="AD5385" s="94"/>
      <c r="AE5385" s="406"/>
    </row>
    <row r="5386" spans="3:31" s="260" customFormat="1" x14ac:dyDescent="0.25">
      <c r="C5386" s="84"/>
      <c r="D5386" s="85"/>
      <c r="E5386" s="86"/>
      <c r="F5386" s="86"/>
      <c r="G5386" s="86"/>
      <c r="H5386" s="86"/>
      <c r="I5386" s="86"/>
      <c r="J5386" s="87"/>
      <c r="K5386" s="88"/>
      <c r="M5386" s="102">
        <v>938</v>
      </c>
      <c r="N5386" s="533" t="str">
        <f>IFERROR(VLOOKUP(M5386,INSUMOS!$C$8:$K$928,2,0),"-----")</f>
        <v>PERNO HEXAGONAL Ø3/8"</v>
      </c>
      <c r="O5386" s="533"/>
      <c r="P5386" s="533"/>
      <c r="Q5386" s="533"/>
      <c r="R5386" s="78" t="str">
        <f>IFERROR(VLOOKUP(M5386,INSUMOS!$C$8:$K$928,6,0),"-----")</f>
        <v>und</v>
      </c>
      <c r="S5386" s="396">
        <v>6</v>
      </c>
      <c r="T5386" s="387">
        <v>0</v>
      </c>
      <c r="U5386" s="388">
        <f>IFERROR(VLOOKUP(M5386,INSUMOS!$C$8:$K$928,7,0),"0")</f>
        <v>8800</v>
      </c>
      <c r="V5386" s="389">
        <f>+IFERROR(U5386*(S5386*(1+T5386)),0)</f>
        <v>52800</v>
      </c>
      <c r="Y5386" s="393">
        <f>+IFERROR(Y5373*(S5386*(1+T5386)),0)</f>
        <v>54</v>
      </c>
      <c r="Z5386" s="391">
        <f>Y5373*V5386</f>
        <v>475200</v>
      </c>
      <c r="AA5386" s="394"/>
      <c r="AB5386" s="395">
        <f>+Y5386*U5386</f>
        <v>475200</v>
      </c>
      <c r="AC5386" s="93">
        <f>+AB5386-Z5386</f>
        <v>0</v>
      </c>
      <c r="AD5386" s="94"/>
      <c r="AE5386" s="406" t="str">
        <f>+IF(V5386=0,"CERO","NO")</f>
        <v>NO</v>
      </c>
    </row>
    <row r="5387" spans="3:31" s="260" customFormat="1" x14ac:dyDescent="0.25">
      <c r="C5387" s="84"/>
      <c r="D5387" s="85"/>
      <c r="E5387" s="86"/>
      <c r="F5387" s="86"/>
      <c r="G5387" s="86"/>
      <c r="H5387" s="86"/>
      <c r="I5387" s="86"/>
      <c r="J5387" s="87"/>
      <c r="K5387" s="88"/>
      <c r="M5387" s="102">
        <v>613</v>
      </c>
      <c r="N5387" s="533" t="str">
        <f>IFERROR(VLOOKUP(M5387,INSUMOS!$C$8:$K$928,2,0),"-----")</f>
        <v>Angulo 6"x6"x1/8"</v>
      </c>
      <c r="O5387" s="533"/>
      <c r="P5387" s="533"/>
      <c r="Q5387" s="533"/>
      <c r="R5387" s="78" t="str">
        <f>IFERROR(VLOOKUP(M5387,INSUMOS!$C$8:$K$928,6,0),"-----")</f>
        <v>ml</v>
      </c>
      <c r="S5387" s="396">
        <v>0.25</v>
      </c>
      <c r="T5387" s="387">
        <v>0</v>
      </c>
      <c r="U5387" s="388">
        <f>IFERROR(VLOOKUP(M5387,INSUMOS!$C$8:$K$928,7,0),"0")</f>
        <v>112500</v>
      </c>
      <c r="V5387" s="389">
        <f>+IFERROR(U5387*(S5387*(1+T5387)),0)</f>
        <v>28125</v>
      </c>
      <c r="Y5387" s="393">
        <f>+IFERROR(Y5373*(S5387*(1+T5387)),0)</f>
        <v>2.25</v>
      </c>
      <c r="Z5387" s="391">
        <f>Y5373*V5387</f>
        <v>253125</v>
      </c>
      <c r="AA5387" s="394"/>
      <c r="AB5387" s="395">
        <f>+Y5387*U5387</f>
        <v>253125</v>
      </c>
      <c r="AC5387" s="93">
        <f>+AB5387-Z5387</f>
        <v>0</v>
      </c>
      <c r="AD5387" s="94"/>
      <c r="AE5387" s="406" t="str">
        <f>+IF(V5387=0,"CERO","NO")</f>
        <v>NO</v>
      </c>
    </row>
    <row r="5388" spans="3:31" s="260" customFormat="1" x14ac:dyDescent="0.25">
      <c r="C5388" s="84"/>
      <c r="D5388" s="85"/>
      <c r="E5388" s="86"/>
      <c r="F5388" s="86"/>
      <c r="G5388" s="86"/>
      <c r="H5388" s="86"/>
      <c r="I5388" s="86"/>
      <c r="J5388" s="87"/>
      <c r="K5388" s="88"/>
      <c r="M5388" s="102">
        <v>614</v>
      </c>
      <c r="N5388" s="533" t="str">
        <f>IFERROR(VLOOKUP(M5388,INSUMOS!$C$8:$K$928,2,0),"-----")</f>
        <v>Pletina de acero 2"x1/8"</v>
      </c>
      <c r="O5388" s="533"/>
      <c r="P5388" s="533"/>
      <c r="Q5388" s="533"/>
      <c r="R5388" s="78" t="str">
        <f>IFERROR(VLOOKUP(M5388,INSUMOS!$C$8:$K$928,6,0),"-----")</f>
        <v>ml</v>
      </c>
      <c r="S5388" s="396">
        <v>0.8</v>
      </c>
      <c r="T5388" s="387">
        <v>0</v>
      </c>
      <c r="U5388" s="388">
        <f>IFERROR(VLOOKUP(M5388,INSUMOS!$C$8:$K$928,7,0),"0")</f>
        <v>7400</v>
      </c>
      <c r="V5388" s="389">
        <f>+IFERROR(U5388*(S5388*(1+T5388)),0)</f>
        <v>5920</v>
      </c>
      <c r="Y5388" s="393">
        <f>+IFERROR(Y5373*(S5388*(1+T5388)),0)</f>
        <v>7.2</v>
      </c>
      <c r="Z5388" s="391">
        <f>Y5373*V5388</f>
        <v>53280</v>
      </c>
      <c r="AA5388" s="394"/>
      <c r="AB5388" s="395">
        <f>+Y5388*U5388</f>
        <v>53280</v>
      </c>
      <c r="AC5388" s="93">
        <f>+AB5388-Z5388</f>
        <v>0</v>
      </c>
      <c r="AD5388" s="94"/>
      <c r="AE5388" s="406" t="str">
        <f>+IF(V5388=0,"CERO","NO")</f>
        <v>NO</v>
      </c>
    </row>
    <row r="5389" spans="3:31" s="260" customFormat="1" x14ac:dyDescent="0.25">
      <c r="C5389" s="84"/>
      <c r="D5389" s="85"/>
      <c r="E5389" s="86"/>
      <c r="F5389" s="86"/>
      <c r="G5389" s="86"/>
      <c r="H5389" s="86"/>
      <c r="I5389" s="86"/>
      <c r="J5389" s="87"/>
      <c r="K5389" s="88"/>
      <c r="M5389" s="102">
        <v>936</v>
      </c>
      <c r="N5389" s="533" t="str">
        <f>IFERROR(VLOOKUP(M5389,INSUMOS!$C$8:$K$928,2,0),"-----")</f>
        <v>SIKA ANCHORFIX-4</v>
      </c>
      <c r="O5389" s="533"/>
      <c r="P5389" s="533"/>
      <c r="Q5389" s="533"/>
      <c r="R5389" s="78" t="str">
        <f>IFERROR(VLOOKUP(M5389,INSUMOS!$C$8:$K$928,6,0),"-----")</f>
        <v>cm3</v>
      </c>
      <c r="S5389" s="396">
        <v>5</v>
      </c>
      <c r="T5389" s="387">
        <v>0</v>
      </c>
      <c r="U5389" s="388">
        <f>IFERROR(VLOOKUP(M5389,INSUMOS!$C$8:$K$928,7,0),"0")</f>
        <v>255.85</v>
      </c>
      <c r="V5389" s="389">
        <f>+IFERROR(U5389*(S5389*(1+T5389)),0)</f>
        <v>1279.25</v>
      </c>
      <c r="Y5389" s="393">
        <f>+IFERROR(Y5373*(S5389*(1+T5389)),0)</f>
        <v>45</v>
      </c>
      <c r="Z5389" s="391">
        <f>Y5373*V5389</f>
        <v>11513.25</v>
      </c>
      <c r="AA5389" s="394"/>
      <c r="AB5389" s="395">
        <f>+Y5389*U5389</f>
        <v>11513.25</v>
      </c>
      <c r="AC5389" s="93">
        <f>+AB5389-Z5389</f>
        <v>0</v>
      </c>
      <c r="AD5389" s="94"/>
      <c r="AE5389" s="406" t="str">
        <f>+IF(V5389=0,"CERO","NO")</f>
        <v>NO</v>
      </c>
    </row>
    <row r="5390" spans="3:31" s="260" customFormat="1" ht="15.75" thickBot="1" x14ac:dyDescent="0.3">
      <c r="C5390" s="84"/>
      <c r="D5390" s="85"/>
      <c r="E5390" s="86"/>
      <c r="F5390" s="86"/>
      <c r="G5390" s="86"/>
      <c r="H5390" s="86"/>
      <c r="I5390" s="86"/>
      <c r="J5390" s="87"/>
      <c r="K5390" s="88"/>
      <c r="M5390" s="102">
        <v>937</v>
      </c>
      <c r="N5390" s="533" t="str">
        <f>IFERROR(VLOOKUP(M5390,INSUMOS!$C$8:$K$928,2,0),"-----")</f>
        <v>CHAZO MULTIPROPOSITO Ø3/8"</v>
      </c>
      <c r="O5390" s="533"/>
      <c r="P5390" s="533"/>
      <c r="Q5390" s="533"/>
      <c r="R5390" s="78" t="str">
        <f>IFERROR(VLOOKUP(M5390,INSUMOS!$C$8:$K$928,6,0),"-----")</f>
        <v>und</v>
      </c>
      <c r="S5390" s="396">
        <v>6</v>
      </c>
      <c r="T5390" s="387">
        <v>0</v>
      </c>
      <c r="U5390" s="388">
        <f>IFERROR(VLOOKUP(M5390,INSUMOS!$C$8:$K$928,7,0),"0")</f>
        <v>1100</v>
      </c>
      <c r="V5390" s="389">
        <f>+IFERROR(U5390*(S5390*(1+T5390)),0)</f>
        <v>6600</v>
      </c>
      <c r="Y5390" s="393">
        <f>+IFERROR(Y5373*(S5390*(1+T5390)),0)</f>
        <v>54</v>
      </c>
      <c r="Z5390" s="391">
        <f>Y5373*V5390</f>
        <v>59400</v>
      </c>
      <c r="AA5390" s="394"/>
      <c r="AB5390" s="395">
        <f>+Y5390*U5390</f>
        <v>59400</v>
      </c>
      <c r="AC5390" s="93">
        <f>+AB5390-Z5390</f>
        <v>0</v>
      </c>
      <c r="AD5390" s="94"/>
      <c r="AE5390" s="406" t="str">
        <f>+IF(V5390=0,"CERO","NO")</f>
        <v>NO</v>
      </c>
    </row>
    <row r="5391" spans="3:31" s="260" customFormat="1" ht="15.75" thickBot="1" x14ac:dyDescent="0.3">
      <c r="C5391" s="84"/>
      <c r="D5391" s="375" t="s">
        <v>128</v>
      </c>
      <c r="E5391" s="376" t="s">
        <v>129</v>
      </c>
      <c r="F5391" s="376" t="s">
        <v>130</v>
      </c>
      <c r="G5391" s="376" t="s">
        <v>131</v>
      </c>
      <c r="H5391" s="376" t="s">
        <v>132</v>
      </c>
      <c r="I5391" s="376" t="s">
        <v>133</v>
      </c>
      <c r="J5391" s="377" t="s">
        <v>134</v>
      </c>
      <c r="K5391" s="88"/>
      <c r="M5391" s="534"/>
      <c r="N5391" s="536" t="s">
        <v>106</v>
      </c>
      <c r="O5391" s="536"/>
      <c r="P5391" s="536"/>
      <c r="Q5391" s="536"/>
      <c r="R5391" s="536"/>
      <c r="S5391" s="536"/>
      <c r="T5391" s="536"/>
      <c r="U5391" s="536"/>
      <c r="V5391" s="389">
        <f>+SUM(V5386:V5390)</f>
        <v>94724.25</v>
      </c>
      <c r="Y5391" s="398" t="s">
        <v>135</v>
      </c>
      <c r="Z5391" s="397">
        <f>+SUM(Z5386:Z5390)</f>
        <v>852518.25</v>
      </c>
      <c r="AA5391" s="86"/>
      <c r="AB5391" s="384"/>
      <c r="AC5391" s="385"/>
      <c r="AD5391" s="94"/>
      <c r="AE5391" s="399"/>
    </row>
    <row r="5392" spans="3:31" s="260" customFormat="1" ht="15.75" thickBot="1" x14ac:dyDescent="0.3">
      <c r="C5392" s="84"/>
      <c r="D5392" s="375"/>
      <c r="E5392" s="407">
        <f>+D5383</f>
        <v>5.0999999999999996</v>
      </c>
      <c r="F5392" s="376"/>
      <c r="G5392" s="376"/>
      <c r="H5392" s="376"/>
      <c r="I5392" s="376"/>
      <c r="J5392" s="377"/>
      <c r="K5392" s="88"/>
      <c r="M5392" s="535"/>
      <c r="N5392" s="537" t="s">
        <v>107</v>
      </c>
      <c r="O5392" s="537"/>
      <c r="P5392" s="537"/>
      <c r="Q5392" s="537"/>
      <c r="R5392" s="537"/>
      <c r="S5392" s="537"/>
      <c r="T5392" s="537"/>
      <c r="U5392" s="537"/>
      <c r="V5392" s="408">
        <f>+ROUND(V5391,$AA$5)</f>
        <v>94724.25</v>
      </c>
      <c r="Y5392" s="401" t="s">
        <v>136</v>
      </c>
      <c r="Z5392" s="402">
        <f>+ROUND(Z5391,$AA$5)</f>
        <v>852518.25</v>
      </c>
      <c r="AA5392" s="86"/>
      <c r="AB5392" s="403">
        <f>+V5392*Y5373</f>
        <v>852518.25</v>
      </c>
      <c r="AC5392" s="404">
        <f>+AB5392-Z5392</f>
        <v>0</v>
      </c>
      <c r="AD5392" s="94"/>
      <c r="AE5392" s="405"/>
    </row>
    <row r="5393" spans="3:31" s="260" customFormat="1" x14ac:dyDescent="0.25">
      <c r="C5393" s="84"/>
      <c r="D5393" s="380"/>
      <c r="E5393" s="381"/>
      <c r="F5393" s="381"/>
      <c r="G5393" s="381"/>
      <c r="H5393" s="381"/>
      <c r="I5393" s="381"/>
      <c r="J5393" s="382"/>
      <c r="K5393" s="88"/>
      <c r="M5393" s="568" t="s">
        <v>108</v>
      </c>
      <c r="N5393" s="569"/>
      <c r="O5393" s="569"/>
      <c r="P5393" s="569"/>
      <c r="Q5393" s="569"/>
      <c r="R5393" s="569"/>
      <c r="S5393" s="569"/>
      <c r="T5393" s="569"/>
      <c r="U5393" s="569"/>
      <c r="V5393" s="570"/>
      <c r="Y5393" s="378"/>
      <c r="Z5393" s="121"/>
      <c r="AA5393" s="86"/>
      <c r="AB5393" s="409"/>
      <c r="AC5393" s="121"/>
      <c r="AD5393" s="94"/>
      <c r="AE5393" s="126"/>
    </row>
    <row r="5394" spans="3:31" s="260" customFormat="1" ht="25.5" x14ac:dyDescent="0.25">
      <c r="C5394" s="84"/>
      <c r="D5394" s="85"/>
      <c r="E5394" s="86"/>
      <c r="F5394" s="86"/>
      <c r="G5394" s="86"/>
      <c r="H5394" s="86"/>
      <c r="I5394" s="86"/>
      <c r="J5394" s="87"/>
      <c r="K5394" s="88"/>
      <c r="M5394" s="99" t="s">
        <v>94</v>
      </c>
      <c r="N5394" s="561" t="s">
        <v>95</v>
      </c>
      <c r="O5394" s="561"/>
      <c r="P5394" s="561"/>
      <c r="Q5394" s="95" t="s">
        <v>109</v>
      </c>
      <c r="R5394" s="95" t="s">
        <v>110</v>
      </c>
      <c r="S5394" s="95" t="s">
        <v>111</v>
      </c>
      <c r="T5394" s="562" t="s">
        <v>112</v>
      </c>
      <c r="U5394" s="562"/>
      <c r="V5394" s="100" t="s">
        <v>98</v>
      </c>
      <c r="Y5394" s="383" t="s">
        <v>104</v>
      </c>
      <c r="Z5394" s="119" t="s">
        <v>9</v>
      </c>
      <c r="AA5394" s="86"/>
      <c r="AB5394" s="384"/>
      <c r="AC5394" s="385"/>
      <c r="AD5394" s="94"/>
      <c r="AE5394" s="410"/>
    </row>
    <row r="5395" spans="3:31" s="260" customFormat="1" x14ac:dyDescent="0.25">
      <c r="C5395" s="84"/>
      <c r="D5395" s="85"/>
      <c r="E5395" s="86"/>
      <c r="F5395" s="86"/>
      <c r="G5395" s="86"/>
      <c r="H5395" s="86"/>
      <c r="I5395" s="86"/>
      <c r="J5395" s="87"/>
      <c r="K5395" s="88"/>
      <c r="M5395" s="102"/>
      <c r="N5395" s="530" t="str">
        <f>IFERROR(VLOOKUP(M5395,INSUMOS!$C$8:$K$928,2,0),"-----")</f>
        <v>-----</v>
      </c>
      <c r="O5395" s="531"/>
      <c r="P5395" s="532"/>
      <c r="Q5395" s="78" t="str">
        <f>IFERROR(VLOOKUP(M5395,INSUMOS!$C$8:$K$928,5,0),"-----")</f>
        <v>-----</v>
      </c>
      <c r="R5395" s="80"/>
      <c r="S5395" s="80" t="str">
        <f>IFERROR(VLOOKUP(M5395,INSUMOS!$C$8:$K$928,6,0),"0")</f>
        <v>0</v>
      </c>
      <c r="T5395" s="529" t="str">
        <f>IFERROR(VLOOKUP(M5395,INSUMOS!$C$8:$K$928,7,0),"0")</f>
        <v>0</v>
      </c>
      <c r="U5395" s="529"/>
      <c r="V5395" s="82">
        <f>+T5395*S5395*R5395</f>
        <v>0</v>
      </c>
      <c r="Y5395" s="393">
        <f>+IFERROR((R5395*S5395)*Y5373,0)</f>
        <v>0</v>
      </c>
      <c r="Z5395" s="391">
        <f>Y5373*V5395</f>
        <v>0</v>
      </c>
      <c r="AA5395" s="86"/>
      <c r="AB5395" s="92">
        <f>+Y5395*T5395</f>
        <v>0</v>
      </c>
      <c r="AC5395" s="93">
        <f>+AB5395-Z5395</f>
        <v>0</v>
      </c>
      <c r="AD5395" s="94"/>
      <c r="AE5395" s="406" t="str">
        <f>+IF(V5395=0,"CERO","NO")</f>
        <v>CERO</v>
      </c>
    </row>
    <row r="5396" spans="3:31" s="260" customFormat="1" x14ac:dyDescent="0.25">
      <c r="C5396" s="84"/>
      <c r="D5396" s="85"/>
      <c r="E5396" s="86"/>
      <c r="F5396" s="86"/>
      <c r="G5396" s="86"/>
      <c r="H5396" s="86"/>
      <c r="I5396" s="86"/>
      <c r="J5396" s="87"/>
      <c r="K5396" s="88"/>
      <c r="M5396" s="102">
        <v>0</v>
      </c>
      <c r="N5396" s="530" t="str">
        <f>IFERROR(VLOOKUP(M5396,INSUMOS!$C$8:$K$928,2,0),"-----")</f>
        <v>-----</v>
      </c>
      <c r="O5396" s="531"/>
      <c r="P5396" s="532"/>
      <c r="Q5396" s="78" t="str">
        <f>IFERROR(VLOOKUP(M5396,INSUMOS!$C$8:$K$928,5,0),"-----")</f>
        <v>-----</v>
      </c>
      <c r="R5396" s="80"/>
      <c r="S5396" s="80" t="str">
        <f>IFERROR(VLOOKUP(M5396,INSUMOS!$C$8:$K$928,6,0),"0")</f>
        <v>0</v>
      </c>
      <c r="T5396" s="529" t="str">
        <f>IFERROR(VLOOKUP(M5396,INSUMOS!$C$8:$K$928,7,0),"0")</f>
        <v>0</v>
      </c>
      <c r="U5396" s="529"/>
      <c r="V5396" s="82">
        <f>+T5396*S5396*R5396</f>
        <v>0</v>
      </c>
      <c r="Y5396" s="393">
        <f>+IFERROR((R5396*S5396)*Y5373,0)</f>
        <v>0</v>
      </c>
      <c r="Z5396" s="391">
        <f>Y5373*V5396</f>
        <v>0</v>
      </c>
      <c r="AA5396" s="86"/>
      <c r="AB5396" s="92">
        <f>+Y5396*T5396</f>
        <v>0</v>
      </c>
      <c r="AC5396" s="93">
        <f>+AB5396-Z5396</f>
        <v>0</v>
      </c>
      <c r="AD5396" s="94"/>
      <c r="AE5396" s="406" t="str">
        <f>+IF(V5396=0,"CERO","NO")</f>
        <v>CERO</v>
      </c>
    </row>
    <row r="5397" spans="3:31" s="260" customFormat="1" x14ac:dyDescent="0.25">
      <c r="C5397" s="84"/>
      <c r="D5397" s="85"/>
      <c r="E5397" s="86"/>
      <c r="F5397" s="86"/>
      <c r="G5397" s="86"/>
      <c r="H5397" s="86"/>
      <c r="I5397" s="86"/>
      <c r="J5397" s="87"/>
      <c r="K5397" s="88"/>
      <c r="M5397" s="102">
        <v>0</v>
      </c>
      <c r="N5397" s="530" t="str">
        <f>IFERROR(VLOOKUP(M5397,INSUMOS!$C$8:$K$928,2,0),"-----")</f>
        <v>-----</v>
      </c>
      <c r="O5397" s="531"/>
      <c r="P5397" s="532"/>
      <c r="Q5397" s="78" t="str">
        <f>IFERROR(VLOOKUP(M5397,INSUMOS!$C$8:$K$928,5,0),"-----")</f>
        <v>-----</v>
      </c>
      <c r="R5397" s="80"/>
      <c r="S5397" s="80" t="str">
        <f>IFERROR(VLOOKUP(M5397,INSUMOS!$C$8:$K$928,6,0),"0")</f>
        <v>0</v>
      </c>
      <c r="T5397" s="529" t="str">
        <f>IFERROR(VLOOKUP(M5397,INSUMOS!$C$8:$K$928,7,0),"0")</f>
        <v>0</v>
      </c>
      <c r="U5397" s="529"/>
      <c r="V5397" s="82">
        <f>+T5397*S5397*R5397</f>
        <v>0</v>
      </c>
      <c r="Y5397" s="393">
        <f>+IFERROR((R5397*S5397)*Y5373,0)</f>
        <v>0</v>
      </c>
      <c r="Z5397" s="391">
        <f>Y5373*V5397</f>
        <v>0</v>
      </c>
      <c r="AA5397" s="86"/>
      <c r="AB5397" s="92">
        <f>+Y5397*T5397</f>
        <v>0</v>
      </c>
      <c r="AC5397" s="93">
        <f>+AB5397-Z5397</f>
        <v>0</v>
      </c>
      <c r="AD5397" s="94"/>
      <c r="AE5397" s="406" t="str">
        <f>+IF(V5397=0,"CERO","NO")</f>
        <v>CERO</v>
      </c>
    </row>
    <row r="5398" spans="3:31" s="260" customFormat="1" ht="15.75" thickBot="1" x14ac:dyDescent="0.3">
      <c r="C5398" s="84"/>
      <c r="D5398" s="89"/>
      <c r="E5398" s="90"/>
      <c r="F5398" s="90"/>
      <c r="G5398" s="90"/>
      <c r="H5398" s="90"/>
      <c r="I5398" s="90"/>
      <c r="J5398" s="91"/>
      <c r="K5398" s="88"/>
      <c r="M5398" s="102">
        <v>0</v>
      </c>
      <c r="N5398" s="533"/>
      <c r="O5398" s="533"/>
      <c r="P5398" s="533"/>
      <c r="Q5398" s="79"/>
      <c r="R5398" s="78"/>
      <c r="S5398" s="81"/>
      <c r="T5398" s="529"/>
      <c r="U5398" s="529"/>
      <c r="V5398" s="82"/>
      <c r="Y5398" s="393">
        <f>+IFERROR((R5398*S5398)*Y5373,0)</f>
        <v>0</v>
      </c>
      <c r="Z5398" s="391">
        <f>Y5373*V5398</f>
        <v>0</v>
      </c>
      <c r="AA5398" s="86"/>
      <c r="AB5398" s="92">
        <f>+Y5398*T5398</f>
        <v>0</v>
      </c>
      <c r="AC5398" s="93">
        <f>+AB5398-Z5398</f>
        <v>0</v>
      </c>
      <c r="AD5398" s="94"/>
      <c r="AE5398" s="406" t="str">
        <f>+IF(V5398=0,"CERO","NO")</f>
        <v>CERO</v>
      </c>
    </row>
    <row r="5399" spans="3:31" s="260" customFormat="1" ht="15.75" thickBot="1" x14ac:dyDescent="0.3">
      <c r="C5399" s="84"/>
      <c r="D5399" s="375" t="s">
        <v>128</v>
      </c>
      <c r="E5399" s="376" t="s">
        <v>129</v>
      </c>
      <c r="F5399" s="376" t="s">
        <v>130</v>
      </c>
      <c r="G5399" s="376" t="s">
        <v>131</v>
      </c>
      <c r="H5399" s="376" t="s">
        <v>132</v>
      </c>
      <c r="I5399" s="376" t="s">
        <v>133</v>
      </c>
      <c r="J5399" s="377" t="s">
        <v>134</v>
      </c>
      <c r="K5399" s="88"/>
      <c r="M5399" s="534"/>
      <c r="N5399" s="536" t="s">
        <v>113</v>
      </c>
      <c r="O5399" s="536"/>
      <c r="P5399" s="536"/>
      <c r="Q5399" s="536"/>
      <c r="R5399" s="536"/>
      <c r="S5399" s="536"/>
      <c r="T5399" s="536"/>
      <c r="U5399" s="536"/>
      <c r="V5399" s="411">
        <f>+SUM(V5395:V5398)</f>
        <v>0</v>
      </c>
      <c r="Y5399" s="398" t="s">
        <v>135</v>
      </c>
      <c r="Z5399" s="397">
        <f>+SUM(Z5395:Z5398)</f>
        <v>0</v>
      </c>
      <c r="AA5399" s="86"/>
      <c r="AB5399" s="384"/>
      <c r="AC5399" s="385"/>
      <c r="AD5399" s="94"/>
      <c r="AE5399" s="399"/>
    </row>
    <row r="5400" spans="3:31" s="260" customFormat="1" ht="15.75" thickBot="1" x14ac:dyDescent="0.3">
      <c r="C5400" s="84"/>
      <c r="D5400" s="355"/>
      <c r="E5400" s="367"/>
      <c r="F5400" s="412">
        <f>+E5392</f>
        <v>5.0999999999999996</v>
      </c>
      <c r="G5400" s="367"/>
      <c r="H5400" s="367"/>
      <c r="I5400" s="367"/>
      <c r="J5400" s="368"/>
      <c r="K5400" s="88"/>
      <c r="M5400" s="535"/>
      <c r="N5400" s="537" t="s">
        <v>114</v>
      </c>
      <c r="O5400" s="537"/>
      <c r="P5400" s="537"/>
      <c r="Q5400" s="537"/>
      <c r="R5400" s="537"/>
      <c r="S5400" s="537"/>
      <c r="T5400" s="537"/>
      <c r="U5400" s="537"/>
      <c r="V5400" s="413">
        <f>+ROUND(V5399,$AA$5)</f>
        <v>0</v>
      </c>
      <c r="Y5400" s="401" t="s">
        <v>136</v>
      </c>
      <c r="Z5400" s="402">
        <f>+ROUND(Z5399,$AA$5)</f>
        <v>0</v>
      </c>
      <c r="AA5400" s="86"/>
      <c r="AB5400" s="403">
        <f>+V5400*Y5373</f>
        <v>0</v>
      </c>
      <c r="AC5400" s="414"/>
      <c r="AD5400" s="94"/>
      <c r="AE5400" s="405"/>
    </row>
    <row r="5401" spans="3:31" s="260" customFormat="1" ht="15.75" thickBot="1" x14ac:dyDescent="0.3">
      <c r="C5401" s="84"/>
      <c r="D5401" s="415"/>
      <c r="E5401" s="416"/>
      <c r="F5401" s="416"/>
      <c r="G5401" s="416"/>
      <c r="H5401" s="416"/>
      <c r="I5401" s="416"/>
      <c r="J5401" s="417"/>
      <c r="K5401" s="88"/>
      <c r="M5401" s="538" t="s">
        <v>115</v>
      </c>
      <c r="N5401" s="539"/>
      <c r="O5401" s="539"/>
      <c r="P5401" s="539"/>
      <c r="Q5401" s="539"/>
      <c r="R5401" s="539"/>
      <c r="S5401" s="539"/>
      <c r="T5401" s="539"/>
      <c r="U5401" s="539"/>
      <c r="V5401" s="540"/>
      <c r="Y5401" s="378"/>
      <c r="Z5401" s="121"/>
      <c r="AA5401" s="86"/>
      <c r="AB5401" s="409"/>
      <c r="AC5401" s="121"/>
      <c r="AD5401" s="94"/>
      <c r="AE5401" s="126"/>
    </row>
    <row r="5402" spans="3:31" s="260" customFormat="1" ht="15.75" thickBot="1" x14ac:dyDescent="0.3">
      <c r="C5402" s="84"/>
      <c r="D5402" s="375" t="s">
        <v>128</v>
      </c>
      <c r="E5402" s="376" t="s">
        <v>129</v>
      </c>
      <c r="F5402" s="376" t="s">
        <v>130</v>
      </c>
      <c r="G5402" s="376" t="s">
        <v>131</v>
      </c>
      <c r="H5402" s="376" t="s">
        <v>132</v>
      </c>
      <c r="I5402" s="376" t="s">
        <v>133</v>
      </c>
      <c r="J5402" s="377" t="s">
        <v>134</v>
      </c>
      <c r="K5402" s="88"/>
      <c r="M5402" s="99" t="s">
        <v>94</v>
      </c>
      <c r="N5402" s="98" t="s">
        <v>95</v>
      </c>
      <c r="O5402" s="95" t="s">
        <v>96</v>
      </c>
      <c r="P5402" s="359" t="s">
        <v>104</v>
      </c>
      <c r="Q5402" s="95" t="s">
        <v>116</v>
      </c>
      <c r="R5402" s="418" t="s">
        <v>117</v>
      </c>
      <c r="S5402" s="95" t="s">
        <v>347</v>
      </c>
      <c r="T5402" s="419" t="s">
        <v>118</v>
      </c>
      <c r="U5402" s="189" t="s">
        <v>119</v>
      </c>
      <c r="V5402" s="100" t="s">
        <v>98</v>
      </c>
      <c r="Y5402" s="383" t="s">
        <v>104</v>
      </c>
      <c r="Z5402" s="119" t="s">
        <v>9</v>
      </c>
      <c r="AA5402" s="86"/>
      <c r="AB5402" s="384"/>
      <c r="AC5402" s="385"/>
      <c r="AD5402" s="94"/>
      <c r="AE5402" s="410"/>
    </row>
    <row r="5403" spans="3:31" s="260" customFormat="1" ht="25.5" x14ac:dyDescent="0.25">
      <c r="C5403" s="84"/>
      <c r="D5403" s="354"/>
      <c r="E5403" s="96"/>
      <c r="F5403" s="96"/>
      <c r="G5403" s="96"/>
      <c r="H5403" s="96"/>
      <c r="I5403" s="96"/>
      <c r="J5403" s="420">
        <f>+F5400</f>
        <v>5.0999999999999996</v>
      </c>
      <c r="K5403" s="88"/>
      <c r="M5403" s="102">
        <v>207</v>
      </c>
      <c r="N5403" s="347" t="str">
        <f>IFERROR(VLOOKUP(M5403,INSUMOS!$C$8:$K$928,2,0),"-----")</f>
        <v>Oficial Hidrosanitario</v>
      </c>
      <c r="O5403" s="78" t="str">
        <f>IFERROR(VLOOKUP(M5403,INSUMOS!$C$8:$K$928,3,0),"-----")</f>
        <v>JORNAL+PS</v>
      </c>
      <c r="P5403" s="80">
        <v>1</v>
      </c>
      <c r="Q5403" s="79">
        <v>20</v>
      </c>
      <c r="R5403" s="190">
        <f>IFERROR(VLOOKUP(M5403,INSUMOS!$C$8:$K$928,4,0),"-----")</f>
        <v>92983</v>
      </c>
      <c r="S5403" s="190">
        <f>IFERROR(VLOOKUP(M5403,INSUMOS!$C$8:$K$928,6,0),"-----")</f>
        <v>74386</v>
      </c>
      <c r="T5403" s="190">
        <f>IFERROR(VLOOKUP(M5403,INSUMOS!$C$8:$K$928,5,0),"-----")</f>
        <v>0</v>
      </c>
      <c r="U5403" s="388">
        <f>SUM(R5403:T5403)</f>
        <v>167369</v>
      </c>
      <c r="V5403" s="82">
        <f>+IFERROR((P5403/Q5403)*U5403,0)</f>
        <v>8368.4500000000007</v>
      </c>
      <c r="Y5403" s="393">
        <f>+IFERROR((Y5373/Q5403*P5403),0)</f>
        <v>0.45</v>
      </c>
      <c r="Z5403" s="391">
        <f>Y5373*V5403</f>
        <v>75316.05</v>
      </c>
      <c r="AA5403" s="86"/>
      <c r="AB5403" s="92">
        <f>+(U5403)*Y5403</f>
        <v>75316.05</v>
      </c>
      <c r="AC5403" s="93">
        <f>+AB5403-Z5403</f>
        <v>0</v>
      </c>
      <c r="AD5403" s="421"/>
      <c r="AE5403" s="410" t="str">
        <f>+IF(V5403=0,"CERO","NO")</f>
        <v>NO</v>
      </c>
    </row>
    <row r="5404" spans="3:31" s="260" customFormat="1" ht="26.25" thickBot="1" x14ac:dyDescent="0.3">
      <c r="C5404" s="84"/>
      <c r="D5404" s="355"/>
      <c r="E5404" s="367"/>
      <c r="F5404" s="367"/>
      <c r="G5404" s="367"/>
      <c r="H5404" s="367"/>
      <c r="I5404" s="367"/>
      <c r="J5404" s="422">
        <f>+J5403</f>
        <v>5.0999999999999996</v>
      </c>
      <c r="K5404" s="88"/>
      <c r="M5404" s="102">
        <v>208</v>
      </c>
      <c r="N5404" s="347" t="str">
        <f>IFERROR(VLOOKUP(M5404,INSUMOS!$C$8:$K$928,2,0),"-----")</f>
        <v>Ayudante Hidrosanitario</v>
      </c>
      <c r="O5404" s="78" t="str">
        <f>IFERROR(VLOOKUP(M5404,INSUMOS!$C$8:$K$928,3,0),"-----")</f>
        <v>JORNAL+PS</v>
      </c>
      <c r="P5404" s="80">
        <v>1</v>
      </c>
      <c r="Q5404" s="79">
        <v>20</v>
      </c>
      <c r="R5404" s="190">
        <f>IFERROR(VLOOKUP(M5404,INSUMOS!$C$8:$K$928,4,0),"-----")</f>
        <v>69172</v>
      </c>
      <c r="S5404" s="190">
        <f>IFERROR(VLOOKUP(M5404,INSUMOS!$C$8:$K$928,6,0),"-----")</f>
        <v>55337</v>
      </c>
      <c r="T5404" s="190">
        <f>IFERROR(VLOOKUP(M5404,INSUMOS!$C$8:$K$928,5,0),"-----")</f>
        <v>0</v>
      </c>
      <c r="U5404" s="388">
        <f>SUM(R5404:T5404)</f>
        <v>124509</v>
      </c>
      <c r="V5404" s="82">
        <f>+IFERROR((P5404/Q5404)*U5404,0)</f>
        <v>6225.4500000000007</v>
      </c>
      <c r="Y5404" s="393">
        <f>+IFERROR((Y5373/Q5404*P5404),0)</f>
        <v>0.45</v>
      </c>
      <c r="Z5404" s="391">
        <f>Y5373*V5404</f>
        <v>56029.05</v>
      </c>
      <c r="AA5404" s="86"/>
      <c r="AB5404" s="92">
        <f>+U5404*Y5404</f>
        <v>56029.05</v>
      </c>
      <c r="AC5404" s="93">
        <f>+AB5404-Z5404</f>
        <v>0</v>
      </c>
      <c r="AD5404" s="94"/>
      <c r="AE5404" s="410" t="str">
        <f>+IF(V5404=0,"CERO","NO")</f>
        <v>NO</v>
      </c>
    </row>
    <row r="5405" spans="3:31" s="260" customFormat="1" ht="15.75" thickBot="1" x14ac:dyDescent="0.3">
      <c r="C5405" s="84"/>
      <c r="D5405" s="380"/>
      <c r="E5405" s="381"/>
      <c r="F5405" s="381"/>
      <c r="G5405" s="381"/>
      <c r="H5405" s="381"/>
      <c r="I5405" s="381"/>
      <c r="J5405" s="382"/>
      <c r="K5405" s="88"/>
      <c r="M5405" s="102">
        <v>0</v>
      </c>
      <c r="N5405" s="347"/>
      <c r="O5405" s="79"/>
      <c r="P5405" s="423"/>
      <c r="Q5405" s="81"/>
      <c r="R5405" s="111"/>
      <c r="S5405" s="357"/>
      <c r="T5405" s="111"/>
      <c r="U5405" s="388"/>
      <c r="V5405" s="426"/>
      <c r="Y5405" s="393">
        <f>+IFERROR((Y5373/Q5405*P5405),0)</f>
        <v>0</v>
      </c>
      <c r="Z5405" s="391">
        <f>Y5373*V5405</f>
        <v>0</v>
      </c>
      <c r="AA5405" s="86"/>
      <c r="AB5405" s="92">
        <f>+(U5405)*Y5405*P5405</f>
        <v>0</v>
      </c>
      <c r="AC5405" s="93">
        <f>+AB5405-Z5405</f>
        <v>0</v>
      </c>
      <c r="AD5405" s="94"/>
      <c r="AE5405" s="410" t="str">
        <f>+IF(V5405=0,"CERO","NO")</f>
        <v>CERO</v>
      </c>
    </row>
    <row r="5406" spans="3:31" s="260" customFormat="1" ht="15.75" thickBot="1" x14ac:dyDescent="0.3">
      <c r="C5406" s="84"/>
      <c r="D5406" s="375" t="s">
        <v>128</v>
      </c>
      <c r="E5406" s="376" t="s">
        <v>129</v>
      </c>
      <c r="F5406" s="376" t="s">
        <v>130</v>
      </c>
      <c r="G5406" s="376" t="s">
        <v>131</v>
      </c>
      <c r="H5406" s="376" t="s">
        <v>132</v>
      </c>
      <c r="I5406" s="376" t="s">
        <v>133</v>
      </c>
      <c r="J5406" s="377" t="s">
        <v>134</v>
      </c>
      <c r="K5406" s="88"/>
      <c r="M5406" s="534"/>
      <c r="N5406" s="536" t="s">
        <v>120</v>
      </c>
      <c r="O5406" s="536"/>
      <c r="P5406" s="536"/>
      <c r="Q5406" s="536"/>
      <c r="R5406" s="536"/>
      <c r="S5406" s="536"/>
      <c r="T5406" s="536"/>
      <c r="U5406" s="536"/>
      <c r="V5406" s="82">
        <f>+SUM(V5403:V5405)</f>
        <v>14593.900000000001</v>
      </c>
      <c r="Y5406" s="398" t="s">
        <v>135</v>
      </c>
      <c r="Z5406" s="397">
        <f>+SUM(Z5403:Z5405)</f>
        <v>131345.1</v>
      </c>
      <c r="AA5406" s="86"/>
      <c r="AB5406" s="384"/>
      <c r="AC5406" s="385"/>
      <c r="AD5406" s="94"/>
      <c r="AE5406" s="399"/>
    </row>
    <row r="5407" spans="3:31" s="260" customFormat="1" ht="15.75" thickBot="1" x14ac:dyDescent="0.3">
      <c r="C5407" s="84"/>
      <c r="D5407" s="354"/>
      <c r="E5407" s="96"/>
      <c r="F5407" s="96"/>
      <c r="G5407" s="107">
        <f>+F5400</f>
        <v>5.0999999999999996</v>
      </c>
      <c r="H5407" s="96"/>
      <c r="I5407" s="96"/>
      <c r="J5407" s="427"/>
      <c r="K5407" s="88"/>
      <c r="M5407" s="535"/>
      <c r="N5407" s="537" t="s">
        <v>121</v>
      </c>
      <c r="O5407" s="537"/>
      <c r="P5407" s="537"/>
      <c r="Q5407" s="537"/>
      <c r="R5407" s="537"/>
      <c r="S5407" s="537"/>
      <c r="T5407" s="537"/>
      <c r="U5407" s="537"/>
      <c r="V5407" s="413">
        <f>+ROUND(V5406,$AA$5)</f>
        <v>14593.9</v>
      </c>
      <c r="Y5407" s="401" t="s">
        <v>136</v>
      </c>
      <c r="Z5407" s="402">
        <f>+ROUND(Z5406,$AA$5)</f>
        <v>131345.1</v>
      </c>
      <c r="AA5407" s="86"/>
      <c r="AB5407" s="403">
        <f>+V5407*Y5373</f>
        <v>131345.1</v>
      </c>
      <c r="AC5407" s="404">
        <f>+AB5407-Z5407</f>
        <v>0</v>
      </c>
      <c r="AD5407" s="94"/>
      <c r="AE5407" s="405"/>
    </row>
    <row r="5408" spans="3:31" s="260" customFormat="1" ht="15.75" thickBot="1" x14ac:dyDescent="0.3">
      <c r="C5408" s="84"/>
      <c r="D5408" s="375" t="s">
        <v>128</v>
      </c>
      <c r="E5408" s="376" t="s">
        <v>129</v>
      </c>
      <c r="F5408" s="376" t="s">
        <v>130</v>
      </c>
      <c r="G5408" s="376" t="s">
        <v>131</v>
      </c>
      <c r="H5408" s="376" t="s">
        <v>132</v>
      </c>
      <c r="I5408" s="376" t="s">
        <v>133</v>
      </c>
      <c r="J5408" s="377" t="s">
        <v>134</v>
      </c>
      <c r="K5408" s="88"/>
      <c r="M5408" s="541"/>
      <c r="N5408" s="542"/>
      <c r="O5408" s="542"/>
      <c r="P5408" s="542"/>
      <c r="Q5408" s="542"/>
      <c r="R5408" s="542"/>
      <c r="S5408" s="542"/>
      <c r="T5408" s="542"/>
      <c r="U5408" s="542"/>
      <c r="V5408" s="543"/>
      <c r="Y5408" s="378"/>
      <c r="Z5408" s="121"/>
      <c r="AA5408" s="86"/>
      <c r="AB5408" s="409"/>
      <c r="AC5408" s="121"/>
      <c r="AD5408" s="94"/>
      <c r="AE5408" s="428"/>
    </row>
    <row r="5409" spans="3:31" s="260" customFormat="1" ht="15.75" thickBot="1" x14ac:dyDescent="0.3">
      <c r="C5409" s="84"/>
      <c r="D5409" s="355"/>
      <c r="E5409" s="367"/>
      <c r="F5409" s="367"/>
      <c r="G5409" s="367"/>
      <c r="H5409" s="412">
        <f>G5407</f>
        <v>5.0999999999999996</v>
      </c>
      <c r="I5409" s="412"/>
      <c r="J5409" s="422"/>
      <c r="K5409" s="88"/>
      <c r="M5409" s="544" t="s">
        <v>122</v>
      </c>
      <c r="N5409" s="537"/>
      <c r="O5409" s="537"/>
      <c r="P5409" s="537"/>
      <c r="Q5409" s="537"/>
      <c r="R5409" s="537"/>
      <c r="S5409" s="537"/>
      <c r="T5409" s="537"/>
      <c r="U5409" s="545">
        <f>+V5407+V5400+V5392+V5383</f>
        <v>110047.84999999999</v>
      </c>
      <c r="V5409" s="546"/>
      <c r="Y5409" s="429"/>
      <c r="Z5409" s="430">
        <f>+Z5407+Z5400+Z5392+Z5383</f>
        <v>990430.61</v>
      </c>
      <c r="AA5409" s="86"/>
      <c r="AB5409" s="431">
        <f>+AB5407+AB5400+AB5392+AB5383</f>
        <v>990430.65</v>
      </c>
      <c r="AC5409" s="404">
        <f>+AB5409-Z5409</f>
        <v>4.0000000037252903E-2</v>
      </c>
      <c r="AD5409" s="94"/>
      <c r="AE5409" s="432"/>
    </row>
    <row r="5410" spans="3:31" s="260" customFormat="1" ht="15.75" thickBot="1" x14ac:dyDescent="0.3"/>
    <row r="5411" spans="3:31" s="260" customFormat="1" x14ac:dyDescent="0.25">
      <c r="M5411" s="547" t="s">
        <v>348</v>
      </c>
      <c r="N5411" s="548"/>
      <c r="O5411" s="548"/>
      <c r="P5411" s="548"/>
      <c r="Q5411" s="548"/>
      <c r="R5411" s="548"/>
      <c r="S5411" s="548"/>
      <c r="T5411" s="548"/>
      <c r="U5411" s="548"/>
      <c r="V5411" s="549"/>
      <c r="Y5411" s="378"/>
      <c r="Z5411" s="121"/>
      <c r="AA5411" s="86"/>
      <c r="AB5411" s="94"/>
      <c r="AC5411" s="94"/>
      <c r="AD5411" s="94"/>
      <c r="AE5411" s="126" t="s">
        <v>133</v>
      </c>
    </row>
    <row r="5412" spans="3:31" s="260" customFormat="1" x14ac:dyDescent="0.25">
      <c r="M5412" s="515" t="s">
        <v>138</v>
      </c>
      <c r="N5412" s="516"/>
      <c r="O5412" s="516"/>
      <c r="P5412" s="516"/>
      <c r="Q5412" s="516"/>
      <c r="R5412" s="516"/>
      <c r="S5412" s="516"/>
      <c r="T5412" s="437">
        <v>0</v>
      </c>
      <c r="U5412" s="517">
        <f>+ROUND(U5409*T5412,$AA$5)</f>
        <v>0</v>
      </c>
      <c r="V5412" s="518"/>
      <c r="Y5412" s="390"/>
      <c r="Z5412" s="438">
        <f>+Z5409*T5412</f>
        <v>0</v>
      </c>
      <c r="AA5412" s="86"/>
      <c r="AB5412" s="94"/>
      <c r="AC5412" s="94"/>
      <c r="AD5412" s="94"/>
      <c r="AE5412" s="386" t="s">
        <v>133</v>
      </c>
    </row>
    <row r="5413" spans="3:31" s="260" customFormat="1" x14ac:dyDescent="0.25">
      <c r="M5413" s="515" t="s">
        <v>19</v>
      </c>
      <c r="N5413" s="516"/>
      <c r="O5413" s="516"/>
      <c r="P5413" s="516"/>
      <c r="Q5413" s="516"/>
      <c r="R5413" s="516"/>
      <c r="S5413" s="516"/>
      <c r="T5413" s="437">
        <v>0.05</v>
      </c>
      <c r="U5413" s="517">
        <f>+ROUND(U5409*T5413,$AA$5)</f>
        <v>5502.39</v>
      </c>
      <c r="V5413" s="518"/>
      <c r="Y5413" s="390"/>
      <c r="Z5413" s="438">
        <f>+Z5409*T5413</f>
        <v>49521.530500000001</v>
      </c>
      <c r="AA5413" s="86"/>
      <c r="AB5413" s="94"/>
      <c r="AC5413" s="94"/>
      <c r="AD5413" s="94"/>
      <c r="AE5413" s="386" t="s">
        <v>133</v>
      </c>
    </row>
    <row r="5414" spans="3:31" s="260" customFormat="1" x14ac:dyDescent="0.25">
      <c r="M5414" s="515" t="s">
        <v>20</v>
      </c>
      <c r="N5414" s="516"/>
      <c r="O5414" s="516"/>
      <c r="P5414" s="516"/>
      <c r="Q5414" s="516"/>
      <c r="R5414" s="516"/>
      <c r="S5414" s="516"/>
      <c r="T5414" s="437">
        <v>0</v>
      </c>
      <c r="U5414" s="517">
        <f>+ROUND(U5409*T5414,$AA$5)</f>
        <v>0</v>
      </c>
      <c r="V5414" s="518"/>
      <c r="Y5414" s="390"/>
      <c r="Z5414" s="438">
        <f>+Z5409*T5414</f>
        <v>0</v>
      </c>
      <c r="AA5414" s="86"/>
      <c r="AB5414" s="94"/>
      <c r="AC5414" s="94"/>
      <c r="AD5414" s="94"/>
      <c r="AE5414" s="386" t="s">
        <v>133</v>
      </c>
    </row>
    <row r="5415" spans="3:31" s="260" customFormat="1" x14ac:dyDescent="0.25">
      <c r="M5415" s="515" t="s">
        <v>21</v>
      </c>
      <c r="N5415" s="516"/>
      <c r="O5415" s="516"/>
      <c r="P5415" s="516"/>
      <c r="Q5415" s="516"/>
      <c r="R5415" s="516"/>
      <c r="S5415" s="516"/>
      <c r="T5415" s="437">
        <f>$AA$9</f>
        <v>0</v>
      </c>
      <c r="U5415" s="517">
        <f>+ROUND(U5409*T5415,$AA$5)</f>
        <v>0</v>
      </c>
      <c r="V5415" s="518"/>
      <c r="Y5415" s="390"/>
      <c r="Z5415" s="438">
        <f>+Z5414*T5415</f>
        <v>0</v>
      </c>
      <c r="AA5415" s="86"/>
      <c r="AB5415" s="94"/>
      <c r="AC5415" s="94"/>
      <c r="AD5415" s="94"/>
      <c r="AE5415" s="386" t="s">
        <v>133</v>
      </c>
    </row>
    <row r="5416" spans="3:31" s="260" customFormat="1" ht="15.75" thickBot="1" x14ac:dyDescent="0.3">
      <c r="M5416" s="519" t="s">
        <v>349</v>
      </c>
      <c r="N5416" s="520"/>
      <c r="O5416" s="520"/>
      <c r="P5416" s="520"/>
      <c r="Q5416" s="520"/>
      <c r="R5416" s="520"/>
      <c r="S5416" s="520"/>
      <c r="T5416" s="520"/>
      <c r="U5416" s="521">
        <f>+SUM(U5412:V5415)</f>
        <v>5502.39</v>
      </c>
      <c r="V5416" s="522"/>
      <c r="Y5416" s="390"/>
      <c r="Z5416" s="439">
        <f>+SUM(Z5412:Z5415)</f>
        <v>49521.530500000001</v>
      </c>
      <c r="AA5416" s="86"/>
      <c r="AB5416" s="94"/>
      <c r="AC5416" s="94"/>
      <c r="AD5416" s="94"/>
      <c r="AE5416" s="386" t="s">
        <v>133</v>
      </c>
    </row>
    <row r="5417" spans="3:31" s="260" customFormat="1" ht="15.75" thickBot="1" x14ac:dyDescent="0.3">
      <c r="D5417" s="375" t="s">
        <v>128</v>
      </c>
      <c r="E5417" s="376" t="s">
        <v>129</v>
      </c>
      <c r="F5417" s="376" t="s">
        <v>130</v>
      </c>
      <c r="G5417" s="376" t="s">
        <v>131</v>
      </c>
      <c r="H5417" s="376" t="s">
        <v>132</v>
      </c>
      <c r="I5417" s="376" t="s">
        <v>133</v>
      </c>
      <c r="J5417" s="377" t="s">
        <v>134</v>
      </c>
      <c r="M5417" s="86"/>
      <c r="N5417" s="94"/>
      <c r="O5417" s="94"/>
      <c r="P5417" s="94"/>
      <c r="Q5417" s="86"/>
      <c r="R5417" s="86"/>
      <c r="S5417" s="86"/>
      <c r="T5417" s="440"/>
      <c r="U5417" s="523"/>
      <c r="V5417" s="523"/>
      <c r="Y5417" s="390"/>
      <c r="Z5417" s="385"/>
      <c r="AA5417" s="86"/>
      <c r="AB5417" s="94"/>
      <c r="AC5417" s="94"/>
      <c r="AD5417" s="94"/>
      <c r="AE5417" s="386" t="s">
        <v>133</v>
      </c>
    </row>
    <row r="5418" spans="3:31" s="260" customFormat="1" ht="15.75" thickBot="1" x14ac:dyDescent="0.3">
      <c r="D5418" s="355"/>
      <c r="E5418" s="367"/>
      <c r="F5418" s="367"/>
      <c r="G5418" s="367"/>
      <c r="H5418" s="412"/>
      <c r="I5418" s="412">
        <f>H5409</f>
        <v>5.0999999999999996</v>
      </c>
      <c r="J5418" s="422"/>
      <c r="M5418" s="524" t="s">
        <v>11</v>
      </c>
      <c r="N5418" s="525"/>
      <c r="O5418" s="525"/>
      <c r="P5418" s="525"/>
      <c r="Q5418" s="525"/>
      <c r="R5418" s="525"/>
      <c r="S5418" s="525"/>
      <c r="T5418" s="526"/>
      <c r="U5418" s="527">
        <f>+U5416+U5409</f>
        <v>115550.23999999999</v>
      </c>
      <c r="V5418" s="528"/>
      <c r="Y5418" s="429"/>
      <c r="Z5418" s="441">
        <f>+Z5416+Z5409</f>
        <v>1039952.1405</v>
      </c>
      <c r="AA5418" s="86"/>
      <c r="AB5418" s="94"/>
      <c r="AC5418" s="94"/>
      <c r="AD5418" s="94"/>
      <c r="AE5418" s="405" t="s">
        <v>133</v>
      </c>
    </row>
    <row r="5419" spans="3:31" s="260" customFormat="1" x14ac:dyDescent="0.25"/>
    <row r="5420" spans="3:31" s="260" customFormat="1" ht="15.75" thickBot="1" x14ac:dyDescent="0.3"/>
    <row r="5421" spans="3:31" s="260" customFormat="1" ht="15.75" thickBot="1" x14ac:dyDescent="0.3">
      <c r="M5421" s="363" t="s">
        <v>88</v>
      </c>
      <c r="N5421" s="436" t="s">
        <v>42</v>
      </c>
      <c r="O5421" s="550" t="str">
        <f>IFERROR(VLOOKUP(N5421,PPTO!C:H,2,0),"----")</f>
        <v>RED DE DRENAJE</v>
      </c>
      <c r="P5421" s="551"/>
      <c r="Q5421" s="551"/>
      <c r="R5421" s="551"/>
      <c r="S5421" s="551"/>
      <c r="T5421" s="551"/>
      <c r="U5421" s="552"/>
      <c r="V5421" s="74" t="s">
        <v>91</v>
      </c>
      <c r="Y5421" s="365" t="s">
        <v>104</v>
      </c>
      <c r="Z5421" s="94"/>
      <c r="AA5421" s="188"/>
      <c r="AB5421" s="553"/>
      <c r="AC5421" s="553"/>
      <c r="AD5421" s="553"/>
      <c r="AE5421" s="94"/>
    </row>
    <row r="5422" spans="3:31" s="260" customFormat="1" ht="15.75" thickBot="1" x14ac:dyDescent="0.3">
      <c r="C5422" s="369">
        <f>+N5422</f>
        <v>6.01</v>
      </c>
      <c r="D5422" s="86"/>
      <c r="E5422" s="86"/>
      <c r="F5422" s="86"/>
      <c r="G5422" s="86"/>
      <c r="H5422" s="86"/>
      <c r="I5422" s="86"/>
      <c r="J5422" s="86"/>
      <c r="K5422" s="370"/>
      <c r="M5422" s="75" t="s">
        <v>92</v>
      </c>
      <c r="N5422" s="371">
        <v>6.01</v>
      </c>
      <c r="O5422" s="554" t="str">
        <f>IFERROR(VLOOKUP(N5422,PPTO!C:H,2,0),"----")</f>
        <v>Cajas de inspeccion</v>
      </c>
      <c r="P5422" s="555"/>
      <c r="Q5422" s="555"/>
      <c r="R5422" s="555"/>
      <c r="S5422" s="555"/>
      <c r="T5422" s="555"/>
      <c r="U5422" s="556"/>
      <c r="V5422" s="76" t="str">
        <f>IFERROR(VLOOKUP(N5422,PPTO!C:H,3,0),"----")</f>
        <v>UND</v>
      </c>
      <c r="Y5422" s="373">
        <f>SUMIFS(PPTO!F:F,PPTO!C:C,APUS!N5422)</f>
        <v>6</v>
      </c>
      <c r="Z5422" s="94"/>
      <c r="AA5422" s="86"/>
      <c r="AB5422" s="94"/>
      <c r="AC5422" s="94"/>
      <c r="AD5422" s="94"/>
      <c r="AE5422" s="94"/>
    </row>
    <row r="5423" spans="3:31" s="260" customFormat="1" ht="15.75" thickBot="1" x14ac:dyDescent="0.3">
      <c r="C5423" s="84"/>
      <c r="D5423" s="86"/>
      <c r="E5423" s="86"/>
      <c r="F5423" s="86"/>
      <c r="G5423" s="86"/>
      <c r="H5423" s="86"/>
      <c r="I5423" s="86"/>
      <c r="J5423" s="86"/>
      <c r="K5423" s="88"/>
      <c r="M5423" s="557"/>
      <c r="N5423" s="557"/>
      <c r="O5423" s="557"/>
      <c r="P5423" s="557"/>
      <c r="Q5423" s="557"/>
      <c r="R5423" s="557"/>
      <c r="S5423" s="557"/>
      <c r="T5423" s="557"/>
      <c r="U5423" s="557"/>
      <c r="V5423" s="557"/>
      <c r="Y5423" s="374"/>
      <c r="Z5423" s="94"/>
      <c r="AA5423" s="86"/>
      <c r="AB5423" s="94"/>
      <c r="AC5423" s="94"/>
      <c r="AD5423" s="94"/>
      <c r="AE5423" s="94"/>
    </row>
    <row r="5424" spans="3:31" s="260" customFormat="1" ht="15.75" thickBot="1" x14ac:dyDescent="0.3">
      <c r="C5424" s="84"/>
      <c r="D5424" s="375" t="s">
        <v>128</v>
      </c>
      <c r="E5424" s="376" t="s">
        <v>129</v>
      </c>
      <c r="F5424" s="376" t="s">
        <v>130</v>
      </c>
      <c r="G5424" s="376" t="s">
        <v>131</v>
      </c>
      <c r="H5424" s="376" t="s">
        <v>132</v>
      </c>
      <c r="I5424" s="376" t="s">
        <v>133</v>
      </c>
      <c r="J5424" s="377" t="s">
        <v>134</v>
      </c>
      <c r="K5424" s="88"/>
      <c r="M5424" s="558" t="s">
        <v>93</v>
      </c>
      <c r="N5424" s="559"/>
      <c r="O5424" s="559"/>
      <c r="P5424" s="559"/>
      <c r="Q5424" s="559"/>
      <c r="R5424" s="559"/>
      <c r="S5424" s="559"/>
      <c r="T5424" s="559"/>
      <c r="U5424" s="559"/>
      <c r="V5424" s="560"/>
      <c r="Y5424" s="378"/>
      <c r="Z5424" s="121"/>
      <c r="AA5424" s="86"/>
      <c r="AB5424" s="513"/>
      <c r="AC5424" s="514"/>
      <c r="AD5424" s="94"/>
      <c r="AE5424" s="379"/>
    </row>
    <row r="5425" spans="3:31" s="260" customFormat="1" x14ac:dyDescent="0.25">
      <c r="C5425" s="84"/>
      <c r="D5425" s="380"/>
      <c r="E5425" s="381"/>
      <c r="F5425" s="381"/>
      <c r="G5425" s="381"/>
      <c r="H5425" s="381"/>
      <c r="I5425" s="381"/>
      <c r="J5425" s="382"/>
      <c r="K5425" s="88"/>
      <c r="M5425" s="99" t="s">
        <v>94</v>
      </c>
      <c r="N5425" s="561" t="s">
        <v>95</v>
      </c>
      <c r="O5425" s="561"/>
      <c r="P5425" s="561"/>
      <c r="Q5425" s="561"/>
      <c r="R5425" s="95" t="s">
        <v>96</v>
      </c>
      <c r="S5425" s="95" t="s">
        <v>97</v>
      </c>
      <c r="T5425" s="562" t="s">
        <v>8</v>
      </c>
      <c r="U5425" s="562"/>
      <c r="V5425" s="100" t="s">
        <v>98</v>
      </c>
      <c r="Y5425" s="383" t="s">
        <v>104</v>
      </c>
      <c r="Z5425" s="119" t="s">
        <v>9</v>
      </c>
      <c r="AA5425" s="86"/>
      <c r="AB5425" s="384"/>
      <c r="AC5425" s="385"/>
      <c r="AD5425" s="94"/>
      <c r="AE5425" s="386"/>
    </row>
    <row r="5426" spans="3:31" s="260" customFormat="1" x14ac:dyDescent="0.25">
      <c r="C5426" s="84"/>
      <c r="D5426" s="85"/>
      <c r="E5426" s="86"/>
      <c r="F5426" s="86"/>
      <c r="G5426" s="86"/>
      <c r="H5426" s="86"/>
      <c r="I5426" s="86"/>
      <c r="J5426" s="87"/>
      <c r="K5426" s="88"/>
      <c r="M5426" s="102"/>
      <c r="N5426" s="533" t="s">
        <v>99</v>
      </c>
      <c r="O5426" s="533"/>
      <c r="P5426" s="533"/>
      <c r="Q5426" s="533"/>
      <c r="R5426" s="78" t="s">
        <v>100</v>
      </c>
      <c r="S5426" s="387">
        <f>+$AA$10</f>
        <v>0.05</v>
      </c>
      <c r="T5426" s="563">
        <f>V5456</f>
        <v>89175.67</v>
      </c>
      <c r="U5426" s="563"/>
      <c r="V5426" s="389">
        <f>+IFERROR(T5426*S5426,0)</f>
        <v>4458.7835000000005</v>
      </c>
      <c r="Y5426" s="390"/>
      <c r="Z5426" s="391">
        <f>Y5422*V5426</f>
        <v>26752.701000000001</v>
      </c>
      <c r="AA5426" s="86"/>
      <c r="AB5426" s="384"/>
      <c r="AC5426" s="385"/>
      <c r="AD5426" s="94"/>
      <c r="AE5426" s="386" t="str">
        <f>+IF(V5426=0,"CERO","NO")</f>
        <v>NO</v>
      </c>
    </row>
    <row r="5427" spans="3:31" s="260" customFormat="1" x14ac:dyDescent="0.25">
      <c r="C5427" s="84"/>
      <c r="D5427" s="85"/>
      <c r="E5427" s="86"/>
      <c r="F5427" s="86"/>
      <c r="G5427" s="86"/>
      <c r="H5427" s="86"/>
      <c r="I5427" s="86"/>
      <c r="J5427" s="87"/>
      <c r="K5427" s="88"/>
      <c r="M5427" s="106"/>
      <c r="N5427" s="533" t="str">
        <f>IFERROR(VLOOKUP(M5427,INSUMOS!$C$8:$K$928,2,0),"-----")</f>
        <v>-----</v>
      </c>
      <c r="O5427" s="533"/>
      <c r="P5427" s="533"/>
      <c r="Q5427" s="533"/>
      <c r="R5427" s="78" t="str">
        <f>IFERROR(VLOOKUP(M5427,INSUMOS!$C$8:$K$928,6,0),"-----")</f>
        <v>-----</v>
      </c>
      <c r="S5427" s="392"/>
      <c r="T5427" s="529" t="str">
        <f>IFERROR(VLOOKUP(M5427,INSUMOS!$C$8:$K$928,7,0),"0")</f>
        <v>0</v>
      </c>
      <c r="U5427" s="529"/>
      <c r="V5427" s="389">
        <f>+IFERROR(T5427*S5427,0)</f>
        <v>0</v>
      </c>
      <c r="Y5427" s="393">
        <f>+IFERROR(Y5422*S5427,0)</f>
        <v>0</v>
      </c>
      <c r="Z5427" s="391">
        <f>Y5422*V5427</f>
        <v>0</v>
      </c>
      <c r="AA5427" s="394"/>
      <c r="AB5427" s="395">
        <f>+Y5427*T5427</f>
        <v>0</v>
      </c>
      <c r="AC5427" s="93">
        <f>+AB5427-Z5427</f>
        <v>0</v>
      </c>
      <c r="AD5427" s="94"/>
      <c r="AE5427" s="386" t="str">
        <f>+IF(V5427=0,"CERO","NO")</f>
        <v>CERO</v>
      </c>
    </row>
    <row r="5428" spans="3:31" s="260" customFormat="1" x14ac:dyDescent="0.25">
      <c r="C5428" s="84"/>
      <c r="D5428" s="85"/>
      <c r="E5428" s="86"/>
      <c r="F5428" s="86"/>
      <c r="G5428" s="86"/>
      <c r="H5428" s="86"/>
      <c r="I5428" s="86"/>
      <c r="J5428" s="87"/>
      <c r="K5428" s="88"/>
      <c r="M5428" s="102">
        <v>0</v>
      </c>
      <c r="N5428" s="533"/>
      <c r="O5428" s="533"/>
      <c r="P5428" s="533"/>
      <c r="Q5428" s="533"/>
      <c r="R5428" s="78"/>
      <c r="S5428" s="396"/>
      <c r="T5428" s="529"/>
      <c r="U5428" s="529"/>
      <c r="V5428" s="397"/>
      <c r="Y5428" s="393">
        <f>+IFERROR(Y5422*S5428,0)</f>
        <v>0</v>
      </c>
      <c r="Z5428" s="391">
        <f>Y5422*V5428</f>
        <v>0</v>
      </c>
      <c r="AA5428" s="394"/>
      <c r="AB5428" s="395">
        <f>+Y5428*T5428</f>
        <v>0</v>
      </c>
      <c r="AC5428" s="93">
        <f>+AB5428-Z5428</f>
        <v>0</v>
      </c>
      <c r="AD5428" s="94"/>
      <c r="AE5428" s="386" t="str">
        <f>+IF(V5428=0,"CERO","NO")</f>
        <v>CERO</v>
      </c>
    </row>
    <row r="5429" spans="3:31" s="260" customFormat="1" x14ac:dyDescent="0.25">
      <c r="C5429" s="84"/>
      <c r="D5429" s="85"/>
      <c r="E5429" s="86"/>
      <c r="F5429" s="86"/>
      <c r="G5429" s="86"/>
      <c r="H5429" s="86"/>
      <c r="I5429" s="86"/>
      <c r="J5429" s="87"/>
      <c r="K5429" s="88"/>
      <c r="M5429" s="102">
        <v>0</v>
      </c>
      <c r="N5429" s="533"/>
      <c r="O5429" s="533"/>
      <c r="P5429" s="533"/>
      <c r="Q5429" s="533"/>
      <c r="R5429" s="78"/>
      <c r="S5429" s="396"/>
      <c r="T5429" s="529"/>
      <c r="U5429" s="529"/>
      <c r="V5429" s="397"/>
      <c r="Y5429" s="393">
        <f>+IFERROR(Y5422*S5429,0)</f>
        <v>0</v>
      </c>
      <c r="Z5429" s="391">
        <f>Y5422*V5429</f>
        <v>0</v>
      </c>
      <c r="AA5429" s="394"/>
      <c r="AB5429" s="395">
        <f>+Y5429*T5429</f>
        <v>0</v>
      </c>
      <c r="AC5429" s="93">
        <f>+AB5429-Z5429</f>
        <v>0</v>
      </c>
      <c r="AD5429" s="94"/>
      <c r="AE5429" s="386" t="str">
        <f>+IF(V5429=0,"CERO","NO")</f>
        <v>CERO</v>
      </c>
    </row>
    <row r="5430" spans="3:31" s="260" customFormat="1" ht="15.75" thickBot="1" x14ac:dyDescent="0.3">
      <c r="C5430" s="84"/>
      <c r="D5430" s="85"/>
      <c r="E5430" s="86"/>
      <c r="F5430" s="86"/>
      <c r="G5430" s="86"/>
      <c r="H5430" s="86"/>
      <c r="I5430" s="86"/>
      <c r="J5430" s="87"/>
      <c r="K5430" s="88"/>
      <c r="M5430" s="102">
        <v>0</v>
      </c>
      <c r="N5430" s="564"/>
      <c r="O5430" s="564"/>
      <c r="P5430" s="564"/>
      <c r="Q5430" s="564"/>
      <c r="R5430" s="96"/>
      <c r="S5430" s="96"/>
      <c r="T5430" s="565"/>
      <c r="U5430" s="565"/>
      <c r="V5430" s="101"/>
      <c r="Y5430" s="393">
        <f>+IFERROR(Y5422*S5430,0)</f>
        <v>0</v>
      </c>
      <c r="Z5430" s="391">
        <f>Y5422*V5430</f>
        <v>0</v>
      </c>
      <c r="AA5430" s="394"/>
      <c r="AB5430" s="395">
        <f>+Y5430*T5430</f>
        <v>0</v>
      </c>
      <c r="AC5430" s="93">
        <f>+AB5430-Z5430</f>
        <v>0</v>
      </c>
      <c r="AD5430" s="94"/>
      <c r="AE5430" s="386" t="str">
        <f>+IF(V5430=0,"CERO","NO")</f>
        <v>CERO</v>
      </c>
    </row>
    <row r="5431" spans="3:31" s="260" customFormat="1" ht="15.75" thickBot="1" x14ac:dyDescent="0.3">
      <c r="C5431" s="84"/>
      <c r="D5431" s="375" t="s">
        <v>128</v>
      </c>
      <c r="E5431" s="376" t="s">
        <v>129</v>
      </c>
      <c r="F5431" s="376" t="s">
        <v>130</v>
      </c>
      <c r="G5431" s="376" t="s">
        <v>131</v>
      </c>
      <c r="H5431" s="376" t="s">
        <v>132</v>
      </c>
      <c r="I5431" s="376" t="s">
        <v>133</v>
      </c>
      <c r="J5431" s="377" t="s">
        <v>134</v>
      </c>
      <c r="K5431" s="88"/>
      <c r="M5431" s="534"/>
      <c r="N5431" s="536" t="s">
        <v>101</v>
      </c>
      <c r="O5431" s="536"/>
      <c r="P5431" s="536"/>
      <c r="Q5431" s="536"/>
      <c r="R5431" s="536"/>
      <c r="S5431" s="536"/>
      <c r="T5431" s="536"/>
      <c r="U5431" s="536"/>
      <c r="V5431" s="389">
        <f>+SUM(V5426:V5430)</f>
        <v>4458.7835000000005</v>
      </c>
      <c r="Y5431" s="398" t="s">
        <v>135</v>
      </c>
      <c r="Z5431" s="397">
        <f>+SUM(Z5426:Z5430)</f>
        <v>26752.701000000001</v>
      </c>
      <c r="AA5431" s="86"/>
      <c r="AB5431" s="384"/>
      <c r="AC5431" s="385"/>
      <c r="AD5431" s="94"/>
      <c r="AE5431" s="399"/>
    </row>
    <row r="5432" spans="3:31" s="260" customFormat="1" ht="15.75" thickBot="1" x14ac:dyDescent="0.3">
      <c r="C5432" s="84"/>
      <c r="D5432" s="375">
        <f>C5422</f>
        <v>6.01</v>
      </c>
      <c r="E5432" s="376"/>
      <c r="F5432" s="376"/>
      <c r="G5432" s="376"/>
      <c r="H5432" s="376"/>
      <c r="I5432" s="376"/>
      <c r="J5432" s="377"/>
      <c r="K5432" s="88"/>
      <c r="M5432" s="566"/>
      <c r="N5432" s="567" t="s">
        <v>102</v>
      </c>
      <c r="O5432" s="567"/>
      <c r="P5432" s="567"/>
      <c r="Q5432" s="567"/>
      <c r="R5432" s="567"/>
      <c r="S5432" s="567"/>
      <c r="T5432" s="567"/>
      <c r="U5432" s="567"/>
      <c r="V5432" s="400">
        <f>+ROUND(V5431,$AA$5)</f>
        <v>4458.78</v>
      </c>
      <c r="Y5432" s="401" t="s">
        <v>136</v>
      </c>
      <c r="Z5432" s="402">
        <f>+ROUND(Z5431,$AA$5)</f>
        <v>26752.7</v>
      </c>
      <c r="AA5432" s="86"/>
      <c r="AB5432" s="403">
        <f>+V5432*Y5422</f>
        <v>26752.68</v>
      </c>
      <c r="AC5432" s="404">
        <f>+AB5432-Z5432</f>
        <v>-2.0000000000436557E-2</v>
      </c>
      <c r="AD5432" s="94"/>
      <c r="AE5432" s="405"/>
    </row>
    <row r="5433" spans="3:31" s="260" customFormat="1" x14ac:dyDescent="0.25">
      <c r="C5433" s="84"/>
      <c r="D5433" s="380"/>
      <c r="E5433" s="381"/>
      <c r="F5433" s="381"/>
      <c r="G5433" s="381"/>
      <c r="H5433" s="381"/>
      <c r="I5433" s="381"/>
      <c r="J5433" s="382"/>
      <c r="K5433" s="88"/>
      <c r="M5433" s="510" t="s">
        <v>103</v>
      </c>
      <c r="N5433" s="511"/>
      <c r="O5433" s="511"/>
      <c r="P5433" s="511"/>
      <c r="Q5433" s="511"/>
      <c r="R5433" s="511"/>
      <c r="S5433" s="511"/>
      <c r="T5433" s="511"/>
      <c r="U5433" s="511"/>
      <c r="V5433" s="512"/>
      <c r="Y5433" s="378"/>
      <c r="Z5433" s="121"/>
      <c r="AA5433" s="86"/>
      <c r="AB5433" s="513"/>
      <c r="AC5433" s="514"/>
      <c r="AD5433" s="94"/>
      <c r="AE5433" s="126"/>
    </row>
    <row r="5434" spans="3:31" s="260" customFormat="1" x14ac:dyDescent="0.25">
      <c r="C5434" s="84"/>
      <c r="D5434" s="85"/>
      <c r="E5434" s="86"/>
      <c r="F5434" s="86"/>
      <c r="G5434" s="86"/>
      <c r="H5434" s="86"/>
      <c r="I5434" s="86"/>
      <c r="J5434" s="87"/>
      <c r="K5434" s="88"/>
      <c r="M5434" s="99" t="s">
        <v>94</v>
      </c>
      <c r="N5434" s="561" t="s">
        <v>95</v>
      </c>
      <c r="O5434" s="561"/>
      <c r="P5434" s="561"/>
      <c r="Q5434" s="561"/>
      <c r="R5434" s="95" t="s">
        <v>96</v>
      </c>
      <c r="S5434" s="95" t="s">
        <v>104</v>
      </c>
      <c r="T5434" s="356" t="s">
        <v>105</v>
      </c>
      <c r="U5434" s="356" t="s">
        <v>8</v>
      </c>
      <c r="V5434" s="100" t="s">
        <v>98</v>
      </c>
      <c r="Y5434" s="383" t="s">
        <v>104</v>
      </c>
      <c r="Z5434" s="119" t="s">
        <v>9</v>
      </c>
      <c r="AA5434" s="86"/>
      <c r="AB5434" s="384"/>
      <c r="AC5434" s="385"/>
      <c r="AD5434" s="94"/>
      <c r="AE5434" s="406"/>
    </row>
    <row r="5435" spans="3:31" s="260" customFormat="1" x14ac:dyDescent="0.25">
      <c r="C5435" s="84"/>
      <c r="D5435" s="85"/>
      <c r="E5435" s="86"/>
      <c r="F5435" s="86"/>
      <c r="G5435" s="86"/>
      <c r="H5435" s="86"/>
      <c r="I5435" s="86"/>
      <c r="J5435" s="87"/>
      <c r="K5435" s="88"/>
      <c r="M5435" s="102"/>
      <c r="N5435" s="571" t="str">
        <f>IFERROR(VLOOKUP(M5435,INSUMOS!$C$8:$K$928,2,0),"-----")</f>
        <v>-----</v>
      </c>
      <c r="O5435" s="571"/>
      <c r="P5435" s="571"/>
      <c r="Q5435" s="571"/>
      <c r="R5435" s="78" t="str">
        <f>IFERROR(VLOOKUP(M5435,INSUMOS!$C$8:$K$928,6,0),"-----")</f>
        <v>-----</v>
      </c>
      <c r="S5435" s="396"/>
      <c r="T5435" s="387">
        <v>0</v>
      </c>
      <c r="U5435" s="388" t="str">
        <f>IFERROR(VLOOKUP(M5435,INSUMOS!$C$8:$K$928,7,0),"0")</f>
        <v>0</v>
      </c>
      <c r="V5435" s="389">
        <f>+IFERROR(U5435*(S5435*(1+T5435)),0)</f>
        <v>0</v>
      </c>
      <c r="Y5435" s="393">
        <f>+IFERROR(Y5422*(S5435*(1+T5435)),0)</f>
        <v>0</v>
      </c>
      <c r="Z5435" s="391">
        <f>Y5422*V5435</f>
        <v>0</v>
      </c>
      <c r="AA5435" s="394"/>
      <c r="AB5435" s="395">
        <f>+Y5435*U5435</f>
        <v>0</v>
      </c>
      <c r="AC5435" s="93">
        <f>+AB5435-Z5435</f>
        <v>0</v>
      </c>
      <c r="AD5435" s="94"/>
      <c r="AE5435" s="406" t="str">
        <f>+IF(V5435=0,"CERO","NO")</f>
        <v>CERO</v>
      </c>
    </row>
    <row r="5436" spans="3:31" s="260" customFormat="1" x14ac:dyDescent="0.25">
      <c r="C5436" s="84"/>
      <c r="D5436" s="85"/>
      <c r="E5436" s="86"/>
      <c r="F5436" s="86"/>
      <c r="G5436" s="86"/>
      <c r="H5436" s="86"/>
      <c r="I5436" s="86"/>
      <c r="J5436" s="87"/>
      <c r="K5436" s="88"/>
      <c r="M5436" s="102" t="s">
        <v>633</v>
      </c>
      <c r="N5436" s="571" t="str">
        <f>IFERROR(VLOOKUP(M5436,INSUMOS!$C$8:$K$928,2,0),"-----")</f>
        <v>CONCRETO DE 3.000 PSI</v>
      </c>
      <c r="O5436" s="571"/>
      <c r="P5436" s="571"/>
      <c r="Q5436" s="571"/>
      <c r="R5436" s="78" t="str">
        <f>IFERROR(VLOOKUP(M5436,INSUMOS!$C$8:$K$928,6,0),"-----")</f>
        <v>m3</v>
      </c>
      <c r="S5436" s="396">
        <v>0.6</v>
      </c>
      <c r="T5436" s="387">
        <v>0.02</v>
      </c>
      <c r="U5436" s="388">
        <f>IFERROR(VLOOKUP(M5436,INSUMOS!$C$8:$K$928,7,0),"0")</f>
        <v>789152.76</v>
      </c>
      <c r="V5436" s="389">
        <f>+IFERROR(U5436*(S5436*(1+T5436)),0)</f>
        <v>482961.48911999998</v>
      </c>
      <c r="Y5436" s="393">
        <f>+IFERROR(Y5422*(S5436*(1+T5436)),0)</f>
        <v>3.6719999999999997</v>
      </c>
      <c r="Z5436" s="391">
        <f>Y5422*V5436</f>
        <v>2897768.9347199998</v>
      </c>
      <c r="AA5436" s="394"/>
      <c r="AB5436" s="395">
        <f>+Y5436*U5436</f>
        <v>2897768.9347199998</v>
      </c>
      <c r="AC5436" s="93">
        <f>+AB5436-Z5436</f>
        <v>0</v>
      </c>
      <c r="AD5436" s="94"/>
      <c r="AE5436" s="406" t="str">
        <f>+IF(V5436=0,"CERO","NO")</f>
        <v>NO</v>
      </c>
    </row>
    <row r="5437" spans="3:31" s="260" customFormat="1" x14ac:dyDescent="0.25">
      <c r="C5437" s="84"/>
      <c r="D5437" s="85"/>
      <c r="E5437" s="86"/>
      <c r="F5437" s="86"/>
      <c r="G5437" s="86"/>
      <c r="H5437" s="86"/>
      <c r="I5437" s="86"/>
      <c r="J5437" s="87"/>
      <c r="K5437" s="88"/>
      <c r="M5437" s="102">
        <v>440</v>
      </c>
      <c r="N5437" s="571" t="str">
        <f>IFERROR(VLOOKUP(M5437,INSUMOS!$C$8:$K$928,2,0),"-----")</f>
        <v>ACERO DE REFUERZO fy 420</v>
      </c>
      <c r="O5437" s="571"/>
      <c r="P5437" s="571"/>
      <c r="Q5437" s="571"/>
      <c r="R5437" s="78" t="str">
        <f>IFERROR(VLOOKUP(M5437,INSUMOS!$C$8:$K$928,6,0),"-----")</f>
        <v>kg</v>
      </c>
      <c r="S5437" s="396">
        <v>71</v>
      </c>
      <c r="T5437" s="387">
        <v>0.02</v>
      </c>
      <c r="U5437" s="388">
        <f>IFERROR(VLOOKUP(M5437,INSUMOS!$C$8:$K$928,7,0),"0")</f>
        <v>4477.0000000000009</v>
      </c>
      <c r="V5437" s="389">
        <f>+IFERROR(U5437*(S5437*(1+T5437)),0)</f>
        <v>324224.34000000008</v>
      </c>
      <c r="Y5437" s="393">
        <f>+IFERROR(Y5422*(S5437*(1+T5437)),0)</f>
        <v>434.52</v>
      </c>
      <c r="Z5437" s="391">
        <f>Y5422*V5437</f>
        <v>1945346.0400000005</v>
      </c>
      <c r="AA5437" s="394"/>
      <c r="AB5437" s="395">
        <f>+Y5437*U5437</f>
        <v>1945346.0400000003</v>
      </c>
      <c r="AC5437" s="93">
        <f>+AB5437-Z5437</f>
        <v>0</v>
      </c>
      <c r="AD5437" s="94"/>
      <c r="AE5437" s="406" t="str">
        <f>+IF(V5437=0,"CERO","NO")</f>
        <v>NO</v>
      </c>
    </row>
    <row r="5438" spans="3:31" s="260" customFormat="1" x14ac:dyDescent="0.25">
      <c r="C5438" s="84"/>
      <c r="D5438" s="85"/>
      <c r="E5438" s="86"/>
      <c r="F5438" s="86"/>
      <c r="G5438" s="86"/>
      <c r="H5438" s="86"/>
      <c r="I5438" s="86"/>
      <c r="J5438" s="87"/>
      <c r="K5438" s="88"/>
      <c r="M5438" s="102"/>
      <c r="N5438" s="571" t="str">
        <f>IFERROR(VLOOKUP(M5438,INSUMOS!$C$8:$K$928,2,0),"-----")</f>
        <v>-----</v>
      </c>
      <c r="O5438" s="571"/>
      <c r="P5438" s="571"/>
      <c r="Q5438" s="571"/>
      <c r="R5438" s="78" t="str">
        <f>IFERROR(VLOOKUP(M5438,INSUMOS!$C$8:$K$928,6,0),"-----")</f>
        <v>-----</v>
      </c>
      <c r="S5438" s="396"/>
      <c r="T5438" s="387">
        <v>0.02</v>
      </c>
      <c r="U5438" s="388" t="str">
        <f>IFERROR(VLOOKUP(M5438,INSUMOS!$C$8:$K$928,7,0),"0")</f>
        <v>0</v>
      </c>
      <c r="V5438" s="389">
        <f>+IFERROR(U5438*(S5438*(1+T5438)),0)</f>
        <v>0</v>
      </c>
      <c r="Y5438" s="393">
        <f>+IFERROR(Y5422*(S5438*(1+T5438)),0)</f>
        <v>0</v>
      </c>
      <c r="Z5438" s="391">
        <f>Y5422*V5438</f>
        <v>0</v>
      </c>
      <c r="AA5438" s="394"/>
      <c r="AB5438" s="395">
        <f>+Y5438*U5438</f>
        <v>0</v>
      </c>
      <c r="AC5438" s="93">
        <f>+AB5438-Z5438</f>
        <v>0</v>
      </c>
      <c r="AD5438" s="94"/>
      <c r="AE5438" s="406" t="str">
        <f>+IF(V5438=0,"CERO","NO")</f>
        <v>CERO</v>
      </c>
    </row>
    <row r="5439" spans="3:31" s="260" customFormat="1" ht="15.75" thickBot="1" x14ac:dyDescent="0.3">
      <c r="C5439" s="84"/>
      <c r="D5439" s="85"/>
      <c r="E5439" s="86"/>
      <c r="F5439" s="86"/>
      <c r="G5439" s="86"/>
      <c r="H5439" s="86"/>
      <c r="I5439" s="86"/>
      <c r="J5439" s="87"/>
      <c r="K5439" s="88"/>
      <c r="M5439" s="102">
        <v>0</v>
      </c>
      <c r="N5439" s="564"/>
      <c r="O5439" s="564"/>
      <c r="P5439" s="564"/>
      <c r="Q5439" s="564"/>
      <c r="R5439" s="96"/>
      <c r="S5439" s="79"/>
      <c r="T5439" s="97"/>
      <c r="U5439" s="358"/>
      <c r="V5439" s="397"/>
      <c r="Y5439" s="393">
        <f>+IFERROR(Y5422*(S5439*(1+T5439)),0)</f>
        <v>0</v>
      </c>
      <c r="Z5439" s="391">
        <f>Y5422*V5439</f>
        <v>0</v>
      </c>
      <c r="AA5439" s="394"/>
      <c r="AB5439" s="395">
        <f>+Y5439*U5439</f>
        <v>0</v>
      </c>
      <c r="AC5439" s="93">
        <f>+AB5439-Z5439</f>
        <v>0</v>
      </c>
      <c r="AD5439" s="94"/>
      <c r="AE5439" s="406" t="str">
        <f>+IF(V5439=0,"CERO","NO")</f>
        <v>CERO</v>
      </c>
    </row>
    <row r="5440" spans="3:31" s="260" customFormat="1" ht="15.75" thickBot="1" x14ac:dyDescent="0.3">
      <c r="C5440" s="84"/>
      <c r="D5440" s="375" t="s">
        <v>128</v>
      </c>
      <c r="E5440" s="376" t="s">
        <v>129</v>
      </c>
      <c r="F5440" s="376" t="s">
        <v>130</v>
      </c>
      <c r="G5440" s="376" t="s">
        <v>131</v>
      </c>
      <c r="H5440" s="376" t="s">
        <v>132</v>
      </c>
      <c r="I5440" s="376" t="s">
        <v>133</v>
      </c>
      <c r="J5440" s="377" t="s">
        <v>134</v>
      </c>
      <c r="K5440" s="88"/>
      <c r="M5440" s="534"/>
      <c r="N5440" s="536" t="s">
        <v>106</v>
      </c>
      <c r="O5440" s="536"/>
      <c r="P5440" s="536"/>
      <c r="Q5440" s="536"/>
      <c r="R5440" s="536"/>
      <c r="S5440" s="536"/>
      <c r="T5440" s="536"/>
      <c r="U5440" s="536"/>
      <c r="V5440" s="389">
        <f>+SUM(V5435:V5439)</f>
        <v>807185.82912000013</v>
      </c>
      <c r="Y5440" s="398" t="s">
        <v>135</v>
      </c>
      <c r="Z5440" s="397">
        <f>+SUM(Z5435:Z5439)</f>
        <v>4843114.9747200003</v>
      </c>
      <c r="AA5440" s="86"/>
      <c r="AB5440" s="384"/>
      <c r="AC5440" s="385"/>
      <c r="AD5440" s="94"/>
      <c r="AE5440" s="399"/>
    </row>
    <row r="5441" spans="3:31" s="260" customFormat="1" ht="15.75" thickBot="1" x14ac:dyDescent="0.3">
      <c r="C5441" s="84"/>
      <c r="D5441" s="375"/>
      <c r="E5441" s="407">
        <f>+D5432</f>
        <v>6.01</v>
      </c>
      <c r="F5441" s="376"/>
      <c r="G5441" s="376"/>
      <c r="H5441" s="376"/>
      <c r="I5441" s="376"/>
      <c r="J5441" s="377"/>
      <c r="K5441" s="88"/>
      <c r="M5441" s="535"/>
      <c r="N5441" s="537" t="s">
        <v>107</v>
      </c>
      <c r="O5441" s="537"/>
      <c r="P5441" s="537"/>
      <c r="Q5441" s="537"/>
      <c r="R5441" s="537"/>
      <c r="S5441" s="537"/>
      <c r="T5441" s="537"/>
      <c r="U5441" s="537"/>
      <c r="V5441" s="408">
        <f>+ROUND(V5440,$AA$5)</f>
        <v>807185.83</v>
      </c>
      <c r="Y5441" s="401" t="s">
        <v>136</v>
      </c>
      <c r="Z5441" s="402">
        <f>+ROUND(Z5440,$AA$5)</f>
        <v>4843114.97</v>
      </c>
      <c r="AA5441" s="86"/>
      <c r="AB5441" s="403">
        <f>+V5441*Y5422</f>
        <v>4843114.9799999995</v>
      </c>
      <c r="AC5441" s="404">
        <f>+AB5441-Z5441</f>
        <v>9.9999997764825821E-3</v>
      </c>
      <c r="AD5441" s="94"/>
      <c r="AE5441" s="405"/>
    </row>
    <row r="5442" spans="3:31" s="260" customFormat="1" x14ac:dyDescent="0.25">
      <c r="C5442" s="84"/>
      <c r="D5442" s="380"/>
      <c r="E5442" s="381"/>
      <c r="F5442" s="381"/>
      <c r="G5442" s="381"/>
      <c r="H5442" s="381"/>
      <c r="I5442" s="381"/>
      <c r="J5442" s="382"/>
      <c r="K5442" s="88"/>
      <c r="M5442" s="568" t="s">
        <v>108</v>
      </c>
      <c r="N5442" s="569"/>
      <c r="O5442" s="569"/>
      <c r="P5442" s="569"/>
      <c r="Q5442" s="569"/>
      <c r="R5442" s="569"/>
      <c r="S5442" s="569"/>
      <c r="T5442" s="569"/>
      <c r="U5442" s="569"/>
      <c r="V5442" s="570"/>
      <c r="Y5442" s="378"/>
      <c r="Z5442" s="121"/>
      <c r="AA5442" s="86"/>
      <c r="AB5442" s="409"/>
      <c r="AC5442" s="121"/>
      <c r="AD5442" s="94"/>
      <c r="AE5442" s="126"/>
    </row>
    <row r="5443" spans="3:31" s="260" customFormat="1" ht="25.5" x14ac:dyDescent="0.25">
      <c r="C5443" s="84"/>
      <c r="D5443" s="85"/>
      <c r="E5443" s="86"/>
      <c r="F5443" s="86"/>
      <c r="G5443" s="86"/>
      <c r="H5443" s="86"/>
      <c r="I5443" s="86"/>
      <c r="J5443" s="87"/>
      <c r="K5443" s="88"/>
      <c r="M5443" s="99" t="s">
        <v>94</v>
      </c>
      <c r="N5443" s="561" t="s">
        <v>95</v>
      </c>
      <c r="O5443" s="561"/>
      <c r="P5443" s="561"/>
      <c r="Q5443" s="95" t="s">
        <v>109</v>
      </c>
      <c r="R5443" s="95" t="s">
        <v>110</v>
      </c>
      <c r="S5443" s="95" t="s">
        <v>111</v>
      </c>
      <c r="T5443" s="562" t="s">
        <v>112</v>
      </c>
      <c r="U5443" s="562"/>
      <c r="V5443" s="100" t="s">
        <v>98</v>
      </c>
      <c r="Y5443" s="383" t="s">
        <v>104</v>
      </c>
      <c r="Z5443" s="119" t="s">
        <v>9</v>
      </c>
      <c r="AA5443" s="86"/>
      <c r="AB5443" s="384"/>
      <c r="AC5443" s="385"/>
      <c r="AD5443" s="94"/>
      <c r="AE5443" s="410"/>
    </row>
    <row r="5444" spans="3:31" s="260" customFormat="1" x14ac:dyDescent="0.25">
      <c r="C5444" s="84"/>
      <c r="D5444" s="85"/>
      <c r="E5444" s="86"/>
      <c r="F5444" s="86"/>
      <c r="G5444" s="86"/>
      <c r="H5444" s="86"/>
      <c r="I5444" s="86"/>
      <c r="J5444" s="87"/>
      <c r="K5444" s="88"/>
      <c r="M5444" s="102"/>
      <c r="N5444" s="530" t="str">
        <f>IFERROR(VLOOKUP(M5444,INSUMOS!$C$8:$K$928,2,0),"-----")</f>
        <v>-----</v>
      </c>
      <c r="O5444" s="531"/>
      <c r="P5444" s="532"/>
      <c r="Q5444" s="78" t="str">
        <f>IFERROR(VLOOKUP(M5444,INSUMOS!$C$8:$K$928,5,0),"-----")</f>
        <v>-----</v>
      </c>
      <c r="R5444" s="80"/>
      <c r="S5444" s="80" t="str">
        <f>IFERROR(VLOOKUP(M5444,INSUMOS!$C$8:$K$928,6,0),"0")</f>
        <v>0</v>
      </c>
      <c r="T5444" s="529" t="str">
        <f>IFERROR(VLOOKUP(M5444,INSUMOS!$C$8:$K$928,7,0),"0")</f>
        <v>0</v>
      </c>
      <c r="U5444" s="529"/>
      <c r="V5444" s="82">
        <f>+T5444*S5444*R5444</f>
        <v>0</v>
      </c>
      <c r="Y5444" s="393">
        <f>+IFERROR((R5444*S5444)*Y5422,0)</f>
        <v>0</v>
      </c>
      <c r="Z5444" s="391">
        <f>Y5422*V5444</f>
        <v>0</v>
      </c>
      <c r="AA5444" s="86"/>
      <c r="AB5444" s="92">
        <f>+Y5444*T5444</f>
        <v>0</v>
      </c>
      <c r="AC5444" s="93">
        <f>+AB5444-Z5444</f>
        <v>0</v>
      </c>
      <c r="AD5444" s="94"/>
      <c r="AE5444" s="406" t="str">
        <f>+IF(V5444=0,"CERO","NO")</f>
        <v>CERO</v>
      </c>
    </row>
    <row r="5445" spans="3:31" s="260" customFormat="1" x14ac:dyDescent="0.25">
      <c r="C5445" s="84"/>
      <c r="D5445" s="85"/>
      <c r="E5445" s="86"/>
      <c r="F5445" s="86"/>
      <c r="G5445" s="86"/>
      <c r="H5445" s="86"/>
      <c r="I5445" s="86"/>
      <c r="J5445" s="87"/>
      <c r="K5445" s="88"/>
      <c r="M5445" s="102">
        <v>0</v>
      </c>
      <c r="N5445" s="530" t="str">
        <f>IFERROR(VLOOKUP(M5445,INSUMOS!$C$8:$K$928,2,0),"-----")</f>
        <v>-----</v>
      </c>
      <c r="O5445" s="531"/>
      <c r="P5445" s="532"/>
      <c r="Q5445" s="78" t="str">
        <f>IFERROR(VLOOKUP(M5445,INSUMOS!$C$8:$K$928,5,0),"-----")</f>
        <v>-----</v>
      </c>
      <c r="R5445" s="80"/>
      <c r="S5445" s="80" t="str">
        <f>IFERROR(VLOOKUP(M5445,INSUMOS!$C$8:$K$928,6,0),"0")</f>
        <v>0</v>
      </c>
      <c r="T5445" s="529" t="str">
        <f>IFERROR(VLOOKUP(M5445,INSUMOS!$C$8:$K$928,7,0),"0")</f>
        <v>0</v>
      </c>
      <c r="U5445" s="529"/>
      <c r="V5445" s="82">
        <f>+T5445*S5445*R5445</f>
        <v>0</v>
      </c>
      <c r="Y5445" s="393">
        <f>+IFERROR((R5445*S5445)*Y5422,0)</f>
        <v>0</v>
      </c>
      <c r="Z5445" s="391">
        <f>Y5422*V5445</f>
        <v>0</v>
      </c>
      <c r="AA5445" s="86"/>
      <c r="AB5445" s="92">
        <f>+Y5445*T5445</f>
        <v>0</v>
      </c>
      <c r="AC5445" s="93">
        <f>+AB5445-Z5445</f>
        <v>0</v>
      </c>
      <c r="AD5445" s="94"/>
      <c r="AE5445" s="406" t="str">
        <f>+IF(V5445=0,"CERO","NO")</f>
        <v>CERO</v>
      </c>
    </row>
    <row r="5446" spans="3:31" s="260" customFormat="1" x14ac:dyDescent="0.25">
      <c r="C5446" s="84"/>
      <c r="D5446" s="85"/>
      <c r="E5446" s="86"/>
      <c r="F5446" s="86"/>
      <c r="G5446" s="86"/>
      <c r="H5446" s="86"/>
      <c r="I5446" s="86"/>
      <c r="J5446" s="87"/>
      <c r="K5446" s="88"/>
      <c r="M5446" s="102">
        <v>0</v>
      </c>
      <c r="N5446" s="530" t="str">
        <f>IFERROR(VLOOKUP(M5446,INSUMOS!$C$8:$K$928,2,0),"-----")</f>
        <v>-----</v>
      </c>
      <c r="O5446" s="531"/>
      <c r="P5446" s="532"/>
      <c r="Q5446" s="78" t="str">
        <f>IFERROR(VLOOKUP(M5446,INSUMOS!$C$8:$K$928,5,0),"-----")</f>
        <v>-----</v>
      </c>
      <c r="R5446" s="80"/>
      <c r="S5446" s="80" t="str">
        <f>IFERROR(VLOOKUP(M5446,INSUMOS!$C$8:$K$928,6,0),"0")</f>
        <v>0</v>
      </c>
      <c r="T5446" s="529" t="str">
        <f>IFERROR(VLOOKUP(M5446,INSUMOS!$C$8:$K$928,7,0),"0")</f>
        <v>0</v>
      </c>
      <c r="U5446" s="529"/>
      <c r="V5446" s="82">
        <f>+T5446*S5446*R5446</f>
        <v>0</v>
      </c>
      <c r="Y5446" s="393">
        <f>+IFERROR((R5446*S5446)*Y5422,0)</f>
        <v>0</v>
      </c>
      <c r="Z5446" s="391">
        <f>Y5422*V5446</f>
        <v>0</v>
      </c>
      <c r="AA5446" s="86"/>
      <c r="AB5446" s="92">
        <f>+Y5446*T5446</f>
        <v>0</v>
      </c>
      <c r="AC5446" s="93">
        <f>+AB5446-Z5446</f>
        <v>0</v>
      </c>
      <c r="AD5446" s="94"/>
      <c r="AE5446" s="406" t="str">
        <f>+IF(V5446=0,"CERO","NO")</f>
        <v>CERO</v>
      </c>
    </row>
    <row r="5447" spans="3:31" s="260" customFormat="1" ht="15.75" thickBot="1" x14ac:dyDescent="0.3">
      <c r="C5447" s="84"/>
      <c r="D5447" s="89"/>
      <c r="E5447" s="90"/>
      <c r="F5447" s="90"/>
      <c r="G5447" s="90"/>
      <c r="H5447" s="90"/>
      <c r="I5447" s="90"/>
      <c r="J5447" s="91"/>
      <c r="K5447" s="88"/>
      <c r="M5447" s="102">
        <v>0</v>
      </c>
      <c r="N5447" s="533"/>
      <c r="O5447" s="533"/>
      <c r="P5447" s="533"/>
      <c r="Q5447" s="79"/>
      <c r="R5447" s="78"/>
      <c r="S5447" s="81"/>
      <c r="T5447" s="529"/>
      <c r="U5447" s="529"/>
      <c r="V5447" s="82"/>
      <c r="Y5447" s="393">
        <f>+IFERROR((R5447*S5447)*Y5422,0)</f>
        <v>0</v>
      </c>
      <c r="Z5447" s="391">
        <f>Y5422*V5447</f>
        <v>0</v>
      </c>
      <c r="AA5447" s="86"/>
      <c r="AB5447" s="92">
        <f>+Y5447*T5447</f>
        <v>0</v>
      </c>
      <c r="AC5447" s="93">
        <f>+AB5447-Z5447</f>
        <v>0</v>
      </c>
      <c r="AD5447" s="94"/>
      <c r="AE5447" s="406" t="str">
        <f>+IF(V5447=0,"CERO","NO")</f>
        <v>CERO</v>
      </c>
    </row>
    <row r="5448" spans="3:31" s="260" customFormat="1" ht="15.75" thickBot="1" x14ac:dyDescent="0.3">
      <c r="C5448" s="84"/>
      <c r="D5448" s="375" t="s">
        <v>128</v>
      </c>
      <c r="E5448" s="376" t="s">
        <v>129</v>
      </c>
      <c r="F5448" s="376" t="s">
        <v>130</v>
      </c>
      <c r="G5448" s="376" t="s">
        <v>131</v>
      </c>
      <c r="H5448" s="376" t="s">
        <v>132</v>
      </c>
      <c r="I5448" s="376" t="s">
        <v>133</v>
      </c>
      <c r="J5448" s="377" t="s">
        <v>134</v>
      </c>
      <c r="K5448" s="88"/>
      <c r="M5448" s="534"/>
      <c r="N5448" s="536" t="s">
        <v>113</v>
      </c>
      <c r="O5448" s="536"/>
      <c r="P5448" s="536"/>
      <c r="Q5448" s="536"/>
      <c r="R5448" s="536"/>
      <c r="S5448" s="536"/>
      <c r="T5448" s="536"/>
      <c r="U5448" s="536"/>
      <c r="V5448" s="411">
        <f>+SUM(V5444:V5447)</f>
        <v>0</v>
      </c>
      <c r="Y5448" s="398" t="s">
        <v>135</v>
      </c>
      <c r="Z5448" s="397">
        <f>+SUM(Z5444:Z5447)</f>
        <v>0</v>
      </c>
      <c r="AA5448" s="86"/>
      <c r="AB5448" s="384"/>
      <c r="AC5448" s="385"/>
      <c r="AD5448" s="94"/>
      <c r="AE5448" s="399"/>
    </row>
    <row r="5449" spans="3:31" s="260" customFormat="1" ht="15.75" thickBot="1" x14ac:dyDescent="0.3">
      <c r="C5449" s="84"/>
      <c r="D5449" s="355"/>
      <c r="E5449" s="367"/>
      <c r="F5449" s="412">
        <f>+E5441</f>
        <v>6.01</v>
      </c>
      <c r="G5449" s="367"/>
      <c r="H5449" s="367"/>
      <c r="I5449" s="367"/>
      <c r="J5449" s="368"/>
      <c r="K5449" s="88"/>
      <c r="M5449" s="535"/>
      <c r="N5449" s="537" t="s">
        <v>114</v>
      </c>
      <c r="O5449" s="537"/>
      <c r="P5449" s="537"/>
      <c r="Q5449" s="537"/>
      <c r="R5449" s="537"/>
      <c r="S5449" s="537"/>
      <c r="T5449" s="537"/>
      <c r="U5449" s="537"/>
      <c r="V5449" s="413">
        <f>+ROUND(V5448,$AA$5)</f>
        <v>0</v>
      </c>
      <c r="Y5449" s="401" t="s">
        <v>136</v>
      </c>
      <c r="Z5449" s="402">
        <f>+ROUND(Z5448,$AA$5)</f>
        <v>0</v>
      </c>
      <c r="AA5449" s="86"/>
      <c r="AB5449" s="403">
        <f>+V5449*Y5422</f>
        <v>0</v>
      </c>
      <c r="AC5449" s="414"/>
      <c r="AD5449" s="94"/>
      <c r="AE5449" s="405"/>
    </row>
    <row r="5450" spans="3:31" s="260" customFormat="1" ht="15.75" thickBot="1" x14ac:dyDescent="0.3">
      <c r="C5450" s="84"/>
      <c r="D5450" s="415"/>
      <c r="E5450" s="416"/>
      <c r="F5450" s="416"/>
      <c r="G5450" s="416"/>
      <c r="H5450" s="416"/>
      <c r="I5450" s="416"/>
      <c r="J5450" s="417"/>
      <c r="K5450" s="88"/>
      <c r="M5450" s="538" t="s">
        <v>115</v>
      </c>
      <c r="N5450" s="539"/>
      <c r="O5450" s="539"/>
      <c r="P5450" s="539"/>
      <c r="Q5450" s="539"/>
      <c r="R5450" s="539"/>
      <c r="S5450" s="539"/>
      <c r="T5450" s="539"/>
      <c r="U5450" s="539"/>
      <c r="V5450" s="540"/>
      <c r="Y5450" s="378"/>
      <c r="Z5450" s="121"/>
      <c r="AA5450" s="86"/>
      <c r="AB5450" s="409"/>
      <c r="AC5450" s="121"/>
      <c r="AD5450" s="94"/>
      <c r="AE5450" s="126"/>
    </row>
    <row r="5451" spans="3:31" s="260" customFormat="1" ht="15.75" thickBot="1" x14ac:dyDescent="0.3">
      <c r="C5451" s="84"/>
      <c r="D5451" s="375" t="s">
        <v>128</v>
      </c>
      <c r="E5451" s="376" t="s">
        <v>129</v>
      </c>
      <c r="F5451" s="376" t="s">
        <v>130</v>
      </c>
      <c r="G5451" s="376" t="s">
        <v>131</v>
      </c>
      <c r="H5451" s="376" t="s">
        <v>132</v>
      </c>
      <c r="I5451" s="376" t="s">
        <v>133</v>
      </c>
      <c r="J5451" s="377" t="s">
        <v>134</v>
      </c>
      <c r="K5451" s="88"/>
      <c r="M5451" s="99" t="s">
        <v>94</v>
      </c>
      <c r="N5451" s="98" t="s">
        <v>95</v>
      </c>
      <c r="O5451" s="95" t="s">
        <v>96</v>
      </c>
      <c r="P5451" s="359" t="s">
        <v>104</v>
      </c>
      <c r="Q5451" s="95" t="s">
        <v>116</v>
      </c>
      <c r="R5451" s="418" t="s">
        <v>117</v>
      </c>
      <c r="S5451" s="95" t="s">
        <v>347</v>
      </c>
      <c r="T5451" s="419" t="s">
        <v>118</v>
      </c>
      <c r="U5451" s="189" t="s">
        <v>119</v>
      </c>
      <c r="V5451" s="100" t="s">
        <v>98</v>
      </c>
      <c r="Y5451" s="383" t="s">
        <v>104</v>
      </c>
      <c r="Z5451" s="119" t="s">
        <v>9</v>
      </c>
      <c r="AA5451" s="86"/>
      <c r="AB5451" s="384"/>
      <c r="AC5451" s="385"/>
      <c r="AD5451" s="94"/>
      <c r="AE5451" s="410"/>
    </row>
    <row r="5452" spans="3:31" s="260" customFormat="1" ht="25.5" x14ac:dyDescent="0.25">
      <c r="C5452" s="84"/>
      <c r="D5452" s="354"/>
      <c r="E5452" s="96"/>
      <c r="F5452" s="96"/>
      <c r="G5452" s="96"/>
      <c r="H5452" s="96"/>
      <c r="I5452" s="96"/>
      <c r="J5452" s="420">
        <f>+F5449</f>
        <v>6.01</v>
      </c>
      <c r="K5452" s="88"/>
      <c r="M5452" s="102">
        <v>201</v>
      </c>
      <c r="N5452" s="347" t="str">
        <f>IFERROR(VLOOKUP(M5452,INSUMOS!$C$8:$K$928,2,0),"-----")</f>
        <v>Oficial Albañileria</v>
      </c>
      <c r="O5452" s="78" t="str">
        <f>IFERROR(VLOOKUP(M5452,INSUMOS!$C$8:$K$928,3,0),"-----")</f>
        <v>JORNAL+PS</v>
      </c>
      <c r="P5452" s="80">
        <v>1</v>
      </c>
      <c r="Q5452" s="79">
        <v>3</v>
      </c>
      <c r="R5452" s="190">
        <f>IFERROR(VLOOKUP(M5452,INSUMOS!$C$8:$K$928,4,0),"-----")</f>
        <v>85136</v>
      </c>
      <c r="S5452" s="190">
        <f>IFERROR(VLOOKUP(M5452,INSUMOS!$C$8:$K$928,6,0),"-----")</f>
        <v>68109</v>
      </c>
      <c r="T5452" s="190">
        <f>IFERROR(VLOOKUP(M5452,INSUMOS!$C$8:$K$928,5,0),"-----")</f>
        <v>0</v>
      </c>
      <c r="U5452" s="388">
        <f>SUM(R5452:T5452)</f>
        <v>153245</v>
      </c>
      <c r="V5452" s="82">
        <f>+IFERROR((P5452/Q5452)*U5452,0)</f>
        <v>51081.666666666664</v>
      </c>
      <c r="Y5452" s="393">
        <f>+IFERROR((Y5422/Q5452*P5452),0)</f>
        <v>2</v>
      </c>
      <c r="Z5452" s="391">
        <f>Y5422*V5452</f>
        <v>306490</v>
      </c>
      <c r="AA5452" s="86"/>
      <c r="AB5452" s="92">
        <f>+(U5452)*Y5452</f>
        <v>306490</v>
      </c>
      <c r="AC5452" s="93">
        <f>+AB5452-Z5452</f>
        <v>0</v>
      </c>
      <c r="AD5452" s="421"/>
      <c r="AE5452" s="410" t="str">
        <f>+IF(V5452=0,"CERO","NO")</f>
        <v>NO</v>
      </c>
    </row>
    <row r="5453" spans="3:31" s="260" customFormat="1" ht="26.25" thickBot="1" x14ac:dyDescent="0.3">
      <c r="C5453" s="84"/>
      <c r="D5453" s="355"/>
      <c r="E5453" s="367"/>
      <c r="F5453" s="367"/>
      <c r="G5453" s="367"/>
      <c r="H5453" s="367"/>
      <c r="I5453" s="367"/>
      <c r="J5453" s="422">
        <f>+J5452</f>
        <v>6.01</v>
      </c>
      <c r="K5453" s="88"/>
      <c r="M5453" s="102">
        <v>202</v>
      </c>
      <c r="N5453" s="347" t="str">
        <f>IFERROR(VLOOKUP(M5453,INSUMOS!$C$8:$K$928,2,0),"-----")</f>
        <v>Ayudante Albañileria</v>
      </c>
      <c r="O5453" s="78" t="str">
        <f>IFERROR(VLOOKUP(M5453,INSUMOS!$C$8:$K$928,3,0),"-----")</f>
        <v>JORNAL+PS</v>
      </c>
      <c r="P5453" s="80">
        <v>1</v>
      </c>
      <c r="Q5453" s="79">
        <v>3</v>
      </c>
      <c r="R5453" s="190">
        <f>IFERROR(VLOOKUP(M5453,INSUMOS!$C$8:$K$928,4,0),"-----")</f>
        <v>63490</v>
      </c>
      <c r="S5453" s="190">
        <f>IFERROR(VLOOKUP(M5453,INSUMOS!$C$8:$K$928,6,0),"-----")</f>
        <v>50792</v>
      </c>
      <c r="T5453" s="190">
        <f>IFERROR(VLOOKUP(M5453,INSUMOS!$C$8:$K$928,5,0),"-----")</f>
        <v>0</v>
      </c>
      <c r="U5453" s="388">
        <f>SUM(R5453:T5453)</f>
        <v>114282</v>
      </c>
      <c r="V5453" s="82">
        <f>+IFERROR((P5453/Q5453)*U5453,0)</f>
        <v>38094</v>
      </c>
      <c r="Y5453" s="393">
        <f>+IFERROR((Y5422/Q5453*P5453),0)</f>
        <v>2</v>
      </c>
      <c r="Z5453" s="391">
        <f>Y5422*V5453</f>
        <v>228564</v>
      </c>
      <c r="AA5453" s="86"/>
      <c r="AB5453" s="92">
        <f>+U5453*Y5453</f>
        <v>228564</v>
      </c>
      <c r="AC5453" s="93">
        <f>+AB5453-Z5453</f>
        <v>0</v>
      </c>
      <c r="AD5453" s="94"/>
      <c r="AE5453" s="410" t="str">
        <f>+IF(V5453=0,"CERO","NO")</f>
        <v>NO</v>
      </c>
    </row>
    <row r="5454" spans="3:31" s="260" customFormat="1" ht="15.75" thickBot="1" x14ac:dyDescent="0.3">
      <c r="C5454" s="84"/>
      <c r="D5454" s="380"/>
      <c r="E5454" s="381"/>
      <c r="F5454" s="381"/>
      <c r="G5454" s="381"/>
      <c r="H5454" s="381"/>
      <c r="I5454" s="381"/>
      <c r="J5454" s="382"/>
      <c r="K5454" s="88"/>
      <c r="M5454" s="102">
        <v>0</v>
      </c>
      <c r="N5454" s="347"/>
      <c r="O5454" s="79"/>
      <c r="P5454" s="423"/>
      <c r="Q5454" s="81"/>
      <c r="R5454" s="111"/>
      <c r="S5454" s="357"/>
      <c r="T5454" s="111"/>
      <c r="U5454" s="388"/>
      <c r="V5454" s="426"/>
      <c r="Y5454" s="393">
        <f>+IFERROR((Y5422/Q5454*P5454),0)</f>
        <v>0</v>
      </c>
      <c r="Z5454" s="391">
        <f>Y5422*V5454</f>
        <v>0</v>
      </c>
      <c r="AA5454" s="86"/>
      <c r="AB5454" s="92">
        <f>+(U5454)*Y5454*P5454</f>
        <v>0</v>
      </c>
      <c r="AC5454" s="93">
        <f>+AB5454-Z5454</f>
        <v>0</v>
      </c>
      <c r="AD5454" s="94"/>
      <c r="AE5454" s="410" t="str">
        <f>+IF(V5454=0,"CERO","NO")</f>
        <v>CERO</v>
      </c>
    </row>
    <row r="5455" spans="3:31" s="260" customFormat="1" ht="15.75" thickBot="1" x14ac:dyDescent="0.3">
      <c r="C5455" s="84"/>
      <c r="D5455" s="375" t="s">
        <v>128</v>
      </c>
      <c r="E5455" s="376" t="s">
        <v>129</v>
      </c>
      <c r="F5455" s="376" t="s">
        <v>130</v>
      </c>
      <c r="G5455" s="376" t="s">
        <v>131</v>
      </c>
      <c r="H5455" s="376" t="s">
        <v>132</v>
      </c>
      <c r="I5455" s="376" t="s">
        <v>133</v>
      </c>
      <c r="J5455" s="377" t="s">
        <v>134</v>
      </c>
      <c r="K5455" s="88"/>
      <c r="M5455" s="534"/>
      <c r="N5455" s="536" t="s">
        <v>120</v>
      </c>
      <c r="O5455" s="536"/>
      <c r="P5455" s="536"/>
      <c r="Q5455" s="536"/>
      <c r="R5455" s="536"/>
      <c r="S5455" s="536"/>
      <c r="T5455" s="536"/>
      <c r="U5455" s="536"/>
      <c r="V5455" s="82">
        <f>+SUM(V5452:V5454)</f>
        <v>89175.666666666657</v>
      </c>
      <c r="Y5455" s="398" t="s">
        <v>135</v>
      </c>
      <c r="Z5455" s="397">
        <f>+SUM(Z5452:Z5454)</f>
        <v>535054</v>
      </c>
      <c r="AA5455" s="86"/>
      <c r="AB5455" s="384"/>
      <c r="AC5455" s="385"/>
      <c r="AD5455" s="94"/>
      <c r="AE5455" s="399"/>
    </row>
    <row r="5456" spans="3:31" s="260" customFormat="1" ht="15.75" thickBot="1" x14ac:dyDescent="0.3">
      <c r="C5456" s="84"/>
      <c r="D5456" s="354"/>
      <c r="E5456" s="96"/>
      <c r="F5456" s="96"/>
      <c r="G5456" s="107">
        <f>+F5449</f>
        <v>6.01</v>
      </c>
      <c r="H5456" s="96"/>
      <c r="I5456" s="96"/>
      <c r="J5456" s="427"/>
      <c r="K5456" s="88"/>
      <c r="M5456" s="535"/>
      <c r="N5456" s="537" t="s">
        <v>121</v>
      </c>
      <c r="O5456" s="537"/>
      <c r="P5456" s="537"/>
      <c r="Q5456" s="537"/>
      <c r="R5456" s="537"/>
      <c r="S5456" s="537"/>
      <c r="T5456" s="537"/>
      <c r="U5456" s="537"/>
      <c r="V5456" s="413">
        <f>+ROUND(V5455,$AA$5)</f>
        <v>89175.67</v>
      </c>
      <c r="Y5456" s="401" t="s">
        <v>136</v>
      </c>
      <c r="Z5456" s="402">
        <f>+ROUND(Z5455,$AA$5)</f>
        <v>535054</v>
      </c>
      <c r="AA5456" s="86"/>
      <c r="AB5456" s="403">
        <f>+V5456*Y5422</f>
        <v>535054.02</v>
      </c>
      <c r="AC5456" s="404">
        <f>+AB5456-Z5456</f>
        <v>2.0000000018626451E-2</v>
      </c>
      <c r="AD5456" s="94"/>
      <c r="AE5456" s="405"/>
    </row>
    <row r="5457" spans="3:31" s="260" customFormat="1" ht="15.75" thickBot="1" x14ac:dyDescent="0.3">
      <c r="C5457" s="84"/>
      <c r="D5457" s="375" t="s">
        <v>128</v>
      </c>
      <c r="E5457" s="376" t="s">
        <v>129</v>
      </c>
      <c r="F5457" s="376" t="s">
        <v>130</v>
      </c>
      <c r="G5457" s="376" t="s">
        <v>131</v>
      </c>
      <c r="H5457" s="376" t="s">
        <v>132</v>
      </c>
      <c r="I5457" s="376" t="s">
        <v>133</v>
      </c>
      <c r="J5457" s="377" t="s">
        <v>134</v>
      </c>
      <c r="K5457" s="88"/>
      <c r="M5457" s="541"/>
      <c r="N5457" s="542"/>
      <c r="O5457" s="542"/>
      <c r="P5457" s="542"/>
      <c r="Q5457" s="542"/>
      <c r="R5457" s="542"/>
      <c r="S5457" s="542"/>
      <c r="T5457" s="542"/>
      <c r="U5457" s="542"/>
      <c r="V5457" s="543"/>
      <c r="Y5457" s="378"/>
      <c r="Z5457" s="121"/>
      <c r="AA5457" s="86"/>
      <c r="AB5457" s="409"/>
      <c r="AC5457" s="121"/>
      <c r="AD5457" s="94"/>
      <c r="AE5457" s="428"/>
    </row>
    <row r="5458" spans="3:31" s="260" customFormat="1" ht="15.75" thickBot="1" x14ac:dyDescent="0.3">
      <c r="C5458" s="84"/>
      <c r="D5458" s="355"/>
      <c r="E5458" s="367"/>
      <c r="F5458" s="367"/>
      <c r="G5458" s="367"/>
      <c r="H5458" s="412">
        <f>G5456</f>
        <v>6.01</v>
      </c>
      <c r="I5458" s="412"/>
      <c r="J5458" s="422"/>
      <c r="K5458" s="88"/>
      <c r="M5458" s="544" t="s">
        <v>122</v>
      </c>
      <c r="N5458" s="537"/>
      <c r="O5458" s="537"/>
      <c r="P5458" s="537"/>
      <c r="Q5458" s="537"/>
      <c r="R5458" s="537"/>
      <c r="S5458" s="537"/>
      <c r="T5458" s="537"/>
      <c r="U5458" s="545">
        <f>+V5456+V5449+V5441+V5432</f>
        <v>900820.28</v>
      </c>
      <c r="V5458" s="546"/>
      <c r="Y5458" s="429"/>
      <c r="Z5458" s="430">
        <f>+Z5456+Z5449+Z5441+Z5432</f>
        <v>5404921.6699999999</v>
      </c>
      <c r="AA5458" s="86"/>
      <c r="AB5458" s="431">
        <f>+AB5456+AB5449+AB5441+AB5432</f>
        <v>5404921.6799999997</v>
      </c>
      <c r="AC5458" s="404">
        <f>+AB5458-Z5458</f>
        <v>9.9999997764825821E-3</v>
      </c>
      <c r="AD5458" s="94"/>
      <c r="AE5458" s="432"/>
    </row>
    <row r="5459" spans="3:31" s="260" customFormat="1" ht="15.75" thickBot="1" x14ac:dyDescent="0.3"/>
    <row r="5460" spans="3:31" s="260" customFormat="1" x14ac:dyDescent="0.25">
      <c r="M5460" s="547" t="s">
        <v>348</v>
      </c>
      <c r="N5460" s="548"/>
      <c r="O5460" s="548"/>
      <c r="P5460" s="548"/>
      <c r="Q5460" s="548"/>
      <c r="R5460" s="548"/>
      <c r="S5460" s="548"/>
      <c r="T5460" s="548"/>
      <c r="U5460" s="548"/>
      <c r="V5460" s="549"/>
      <c r="Y5460" s="378"/>
      <c r="Z5460" s="121"/>
      <c r="AA5460" s="86"/>
      <c r="AB5460" s="94"/>
      <c r="AC5460" s="94"/>
      <c r="AD5460" s="94"/>
      <c r="AE5460" s="126" t="s">
        <v>133</v>
      </c>
    </row>
    <row r="5461" spans="3:31" s="260" customFormat="1" x14ac:dyDescent="0.25">
      <c r="M5461" s="515" t="s">
        <v>138</v>
      </c>
      <c r="N5461" s="516"/>
      <c r="O5461" s="516"/>
      <c r="P5461" s="516"/>
      <c r="Q5461" s="516"/>
      <c r="R5461" s="516"/>
      <c r="S5461" s="516"/>
      <c r="T5461" s="437">
        <v>0</v>
      </c>
      <c r="U5461" s="517">
        <f>+ROUND(U5458*T5461,$AA$5)</f>
        <v>0</v>
      </c>
      <c r="V5461" s="518"/>
      <c r="Y5461" s="390"/>
      <c r="Z5461" s="438">
        <f>+Z5458*T5461</f>
        <v>0</v>
      </c>
      <c r="AA5461" s="86"/>
      <c r="AB5461" s="94"/>
      <c r="AC5461" s="94"/>
      <c r="AD5461" s="94"/>
      <c r="AE5461" s="386" t="s">
        <v>133</v>
      </c>
    </row>
    <row r="5462" spans="3:31" s="260" customFormat="1" x14ac:dyDescent="0.25">
      <c r="M5462" s="515" t="s">
        <v>19</v>
      </c>
      <c r="N5462" s="516"/>
      <c r="O5462" s="516"/>
      <c r="P5462" s="516"/>
      <c r="Q5462" s="516"/>
      <c r="R5462" s="516"/>
      <c r="S5462" s="516"/>
      <c r="T5462" s="437">
        <v>0.05</v>
      </c>
      <c r="U5462" s="517">
        <f>+ROUND(U5458*T5462,$AA$5)</f>
        <v>45041.01</v>
      </c>
      <c r="V5462" s="518"/>
      <c r="Y5462" s="390"/>
      <c r="Z5462" s="438">
        <f>+Z5458*T5462</f>
        <v>270246.08350000001</v>
      </c>
      <c r="AA5462" s="86"/>
      <c r="AB5462" s="94"/>
      <c r="AC5462" s="94"/>
      <c r="AD5462" s="94"/>
      <c r="AE5462" s="386" t="s">
        <v>133</v>
      </c>
    </row>
    <row r="5463" spans="3:31" s="260" customFormat="1" x14ac:dyDescent="0.25">
      <c r="M5463" s="515" t="s">
        <v>20</v>
      </c>
      <c r="N5463" s="516"/>
      <c r="O5463" s="516"/>
      <c r="P5463" s="516"/>
      <c r="Q5463" s="516"/>
      <c r="R5463" s="516"/>
      <c r="S5463" s="516"/>
      <c r="T5463" s="437">
        <v>0</v>
      </c>
      <c r="U5463" s="517">
        <f>+ROUND(U5458*T5463,$AA$5)</f>
        <v>0</v>
      </c>
      <c r="V5463" s="518"/>
      <c r="Y5463" s="390"/>
      <c r="Z5463" s="438">
        <f>+Z5458*T5463</f>
        <v>0</v>
      </c>
      <c r="AA5463" s="86"/>
      <c r="AB5463" s="94"/>
      <c r="AC5463" s="94"/>
      <c r="AD5463" s="94"/>
      <c r="AE5463" s="386" t="s">
        <v>133</v>
      </c>
    </row>
    <row r="5464" spans="3:31" s="260" customFormat="1" x14ac:dyDescent="0.25">
      <c r="M5464" s="515" t="s">
        <v>21</v>
      </c>
      <c r="N5464" s="516"/>
      <c r="O5464" s="516"/>
      <c r="P5464" s="516"/>
      <c r="Q5464" s="516"/>
      <c r="R5464" s="516"/>
      <c r="S5464" s="516"/>
      <c r="T5464" s="437">
        <f>$AA$9</f>
        <v>0</v>
      </c>
      <c r="U5464" s="517">
        <f>+ROUND(U5458*T5464,$AA$5)</f>
        <v>0</v>
      </c>
      <c r="V5464" s="518"/>
      <c r="Y5464" s="390"/>
      <c r="Z5464" s="438">
        <f>+Z5463*T5464</f>
        <v>0</v>
      </c>
      <c r="AA5464" s="86"/>
      <c r="AB5464" s="94"/>
      <c r="AC5464" s="94"/>
      <c r="AD5464" s="94"/>
      <c r="AE5464" s="386" t="s">
        <v>133</v>
      </c>
    </row>
    <row r="5465" spans="3:31" s="260" customFormat="1" ht="15.75" thickBot="1" x14ac:dyDescent="0.3">
      <c r="M5465" s="519" t="s">
        <v>349</v>
      </c>
      <c r="N5465" s="520"/>
      <c r="O5465" s="520"/>
      <c r="P5465" s="520"/>
      <c r="Q5465" s="520"/>
      <c r="R5465" s="520"/>
      <c r="S5465" s="520"/>
      <c r="T5465" s="520"/>
      <c r="U5465" s="521">
        <f>+SUM(U5461:V5464)</f>
        <v>45041.01</v>
      </c>
      <c r="V5465" s="522"/>
      <c r="Y5465" s="390"/>
      <c r="Z5465" s="439">
        <f>+SUM(Z5461:Z5464)</f>
        <v>270246.08350000001</v>
      </c>
      <c r="AA5465" s="86"/>
      <c r="AB5465" s="94"/>
      <c r="AC5465" s="94"/>
      <c r="AD5465" s="94"/>
      <c r="AE5465" s="386" t="s">
        <v>133</v>
      </c>
    </row>
    <row r="5466" spans="3:31" s="260" customFormat="1" ht="15.75" thickBot="1" x14ac:dyDescent="0.3">
      <c r="D5466" s="375" t="s">
        <v>128</v>
      </c>
      <c r="E5466" s="376" t="s">
        <v>129</v>
      </c>
      <c r="F5466" s="376" t="s">
        <v>130</v>
      </c>
      <c r="G5466" s="376" t="s">
        <v>131</v>
      </c>
      <c r="H5466" s="376" t="s">
        <v>132</v>
      </c>
      <c r="I5466" s="376" t="s">
        <v>133</v>
      </c>
      <c r="J5466" s="377" t="s">
        <v>134</v>
      </c>
      <c r="M5466" s="86"/>
      <c r="N5466" s="94"/>
      <c r="O5466" s="94"/>
      <c r="P5466" s="94"/>
      <c r="Q5466" s="86"/>
      <c r="R5466" s="86"/>
      <c r="S5466" s="86"/>
      <c r="T5466" s="440"/>
      <c r="U5466" s="523"/>
      <c r="V5466" s="523"/>
      <c r="Y5466" s="390"/>
      <c r="Z5466" s="385"/>
      <c r="AA5466" s="86"/>
      <c r="AB5466" s="94"/>
      <c r="AC5466" s="94"/>
      <c r="AD5466" s="94"/>
      <c r="AE5466" s="386" t="s">
        <v>133</v>
      </c>
    </row>
    <row r="5467" spans="3:31" s="260" customFormat="1" ht="15.75" thickBot="1" x14ac:dyDescent="0.3">
      <c r="D5467" s="355"/>
      <c r="E5467" s="367"/>
      <c r="F5467" s="367"/>
      <c r="G5467" s="367"/>
      <c r="H5467" s="412"/>
      <c r="I5467" s="412">
        <f>H5458</f>
        <v>6.01</v>
      </c>
      <c r="J5467" s="422"/>
      <c r="M5467" s="524" t="s">
        <v>11</v>
      </c>
      <c r="N5467" s="525"/>
      <c r="O5467" s="525"/>
      <c r="P5467" s="525"/>
      <c r="Q5467" s="525"/>
      <c r="R5467" s="525"/>
      <c r="S5467" s="525"/>
      <c r="T5467" s="526"/>
      <c r="U5467" s="527">
        <f>+U5465+U5458</f>
        <v>945861.29</v>
      </c>
      <c r="V5467" s="528"/>
      <c r="Y5467" s="429"/>
      <c r="Z5467" s="441">
        <f>+Z5465+Z5458</f>
        <v>5675167.7534999996</v>
      </c>
      <c r="AA5467" s="86"/>
      <c r="AB5467" s="94"/>
      <c r="AC5467" s="94"/>
      <c r="AD5467" s="94"/>
      <c r="AE5467" s="405" t="s">
        <v>133</v>
      </c>
    </row>
    <row r="5468" spans="3:31" s="260" customFormat="1" x14ac:dyDescent="0.25"/>
    <row r="5469" spans="3:31" s="260" customFormat="1" ht="15.75" thickBot="1" x14ac:dyDescent="0.3"/>
    <row r="5470" spans="3:31" s="260" customFormat="1" ht="15.75" thickBot="1" x14ac:dyDescent="0.3">
      <c r="M5470" s="363" t="s">
        <v>88</v>
      </c>
      <c r="N5470" s="436" t="str">
        <f>+N5421</f>
        <v>CAP.6</v>
      </c>
      <c r="O5470" s="550" t="str">
        <f>IFERROR(VLOOKUP(N5470,PPTO!C:H,2,0),"----")</f>
        <v>RED DE DRENAJE</v>
      </c>
      <c r="P5470" s="551"/>
      <c r="Q5470" s="551"/>
      <c r="R5470" s="551"/>
      <c r="S5470" s="551"/>
      <c r="T5470" s="551"/>
      <c r="U5470" s="552"/>
      <c r="V5470" s="74" t="s">
        <v>91</v>
      </c>
      <c r="Y5470" s="365" t="s">
        <v>104</v>
      </c>
      <c r="Z5470" s="94"/>
      <c r="AA5470" s="188"/>
      <c r="AB5470" s="553"/>
      <c r="AC5470" s="553"/>
      <c r="AD5470" s="553"/>
      <c r="AE5470" s="94"/>
    </row>
    <row r="5471" spans="3:31" s="260" customFormat="1" ht="15.75" thickBot="1" x14ac:dyDescent="0.3">
      <c r="C5471" s="369">
        <f>+N5471</f>
        <v>6.02</v>
      </c>
      <c r="D5471" s="86"/>
      <c r="E5471" s="86"/>
      <c r="F5471" s="86"/>
      <c r="G5471" s="86"/>
      <c r="H5471" s="86"/>
      <c r="I5471" s="86"/>
      <c r="J5471" s="86"/>
      <c r="K5471" s="370"/>
      <c r="M5471" s="75" t="s">
        <v>92</v>
      </c>
      <c r="N5471" s="371">
        <f>+ROUNDUP(N5422+0.01,2)</f>
        <v>6.02</v>
      </c>
      <c r="O5471" s="554" t="str">
        <f>IFERROR(VLOOKUP(N5471,PPTO!C:H,2,0),"----")</f>
        <v>Estacion de bombeo (incluye accesorios)</v>
      </c>
      <c r="P5471" s="555"/>
      <c r="Q5471" s="555"/>
      <c r="R5471" s="555"/>
      <c r="S5471" s="555"/>
      <c r="T5471" s="555"/>
      <c r="U5471" s="556"/>
      <c r="V5471" s="76" t="str">
        <f>IFERROR(VLOOKUP(N5471,PPTO!C:H,3,0),"----")</f>
        <v>UND</v>
      </c>
      <c r="Y5471" s="373">
        <f>SUMIFS(PPTO!F:F,PPTO!C:C,APUS!N5471)</f>
        <v>1</v>
      </c>
      <c r="Z5471" s="94"/>
      <c r="AA5471" s="86"/>
      <c r="AB5471" s="94"/>
      <c r="AC5471" s="94"/>
      <c r="AD5471" s="94"/>
      <c r="AE5471" s="94"/>
    </row>
    <row r="5472" spans="3:31" s="260" customFormat="1" ht="15.75" thickBot="1" x14ac:dyDescent="0.3">
      <c r="C5472" s="84"/>
      <c r="D5472" s="86"/>
      <c r="E5472" s="86"/>
      <c r="F5472" s="86"/>
      <c r="G5472" s="86"/>
      <c r="H5472" s="86"/>
      <c r="I5472" s="86"/>
      <c r="J5472" s="86"/>
      <c r="K5472" s="88"/>
      <c r="M5472" s="557"/>
      <c r="N5472" s="557"/>
      <c r="O5472" s="557"/>
      <c r="P5472" s="557"/>
      <c r="Q5472" s="557"/>
      <c r="R5472" s="557"/>
      <c r="S5472" s="557"/>
      <c r="T5472" s="557"/>
      <c r="U5472" s="557"/>
      <c r="V5472" s="557"/>
      <c r="Y5472" s="374"/>
      <c r="Z5472" s="94"/>
      <c r="AA5472" s="86"/>
      <c r="AB5472" s="94"/>
      <c r="AC5472" s="94"/>
      <c r="AD5472" s="94"/>
      <c r="AE5472" s="94"/>
    </row>
    <row r="5473" spans="3:31" s="260" customFormat="1" ht="15.75" thickBot="1" x14ac:dyDescent="0.3">
      <c r="C5473" s="84"/>
      <c r="D5473" s="375" t="s">
        <v>128</v>
      </c>
      <c r="E5473" s="376" t="s">
        <v>129</v>
      </c>
      <c r="F5473" s="376" t="s">
        <v>130</v>
      </c>
      <c r="G5473" s="376" t="s">
        <v>131</v>
      </c>
      <c r="H5473" s="376" t="s">
        <v>132</v>
      </c>
      <c r="I5473" s="376" t="s">
        <v>133</v>
      </c>
      <c r="J5473" s="377" t="s">
        <v>134</v>
      </c>
      <c r="K5473" s="88"/>
      <c r="M5473" s="558" t="s">
        <v>93</v>
      </c>
      <c r="N5473" s="559"/>
      <c r="O5473" s="559"/>
      <c r="P5473" s="559"/>
      <c r="Q5473" s="559"/>
      <c r="R5473" s="559"/>
      <c r="S5473" s="559"/>
      <c r="T5473" s="559"/>
      <c r="U5473" s="559"/>
      <c r="V5473" s="560"/>
      <c r="Y5473" s="378"/>
      <c r="Z5473" s="121"/>
      <c r="AA5473" s="86"/>
      <c r="AB5473" s="513"/>
      <c r="AC5473" s="514"/>
      <c r="AD5473" s="94"/>
      <c r="AE5473" s="379"/>
    </row>
    <row r="5474" spans="3:31" s="260" customFormat="1" x14ac:dyDescent="0.25">
      <c r="C5474" s="84"/>
      <c r="D5474" s="380"/>
      <c r="E5474" s="381"/>
      <c r="F5474" s="381"/>
      <c r="G5474" s="381"/>
      <c r="H5474" s="381"/>
      <c r="I5474" s="381"/>
      <c r="J5474" s="382"/>
      <c r="K5474" s="88"/>
      <c r="M5474" s="99" t="s">
        <v>94</v>
      </c>
      <c r="N5474" s="561" t="s">
        <v>95</v>
      </c>
      <c r="O5474" s="561"/>
      <c r="P5474" s="561"/>
      <c r="Q5474" s="561"/>
      <c r="R5474" s="95" t="s">
        <v>96</v>
      </c>
      <c r="S5474" s="95" t="s">
        <v>97</v>
      </c>
      <c r="T5474" s="562" t="s">
        <v>8</v>
      </c>
      <c r="U5474" s="562"/>
      <c r="V5474" s="100" t="s">
        <v>98</v>
      </c>
      <c r="Y5474" s="383" t="s">
        <v>104</v>
      </c>
      <c r="Z5474" s="119" t="s">
        <v>9</v>
      </c>
      <c r="AA5474" s="86"/>
      <c r="AB5474" s="384"/>
      <c r="AC5474" s="385"/>
      <c r="AD5474" s="94"/>
      <c r="AE5474" s="386"/>
    </row>
    <row r="5475" spans="3:31" s="260" customFormat="1" x14ac:dyDescent="0.25">
      <c r="C5475" s="84"/>
      <c r="D5475" s="85"/>
      <c r="E5475" s="86"/>
      <c r="F5475" s="86"/>
      <c r="G5475" s="86"/>
      <c r="H5475" s="86"/>
      <c r="I5475" s="86"/>
      <c r="J5475" s="87"/>
      <c r="K5475" s="88"/>
      <c r="M5475" s="102"/>
      <c r="N5475" s="533" t="s">
        <v>99</v>
      </c>
      <c r="O5475" s="533"/>
      <c r="P5475" s="533"/>
      <c r="Q5475" s="533"/>
      <c r="R5475" s="78" t="s">
        <v>100</v>
      </c>
      <c r="S5475" s="387">
        <f>+$AA$10</f>
        <v>0.05</v>
      </c>
      <c r="T5475" s="563">
        <f>V5501</f>
        <v>1167512</v>
      </c>
      <c r="U5475" s="563"/>
      <c r="V5475" s="389">
        <f>+IFERROR(T5475*S5475,0)</f>
        <v>58375.600000000006</v>
      </c>
      <c r="Y5475" s="390"/>
      <c r="Z5475" s="391">
        <f>Y5471*V5475</f>
        <v>58375.600000000006</v>
      </c>
      <c r="AA5475" s="86"/>
      <c r="AB5475" s="384"/>
      <c r="AC5475" s="385"/>
      <c r="AD5475" s="94"/>
      <c r="AE5475" s="386" t="str">
        <f>+IF(V5475=0,"CERO","NO")</f>
        <v>NO</v>
      </c>
    </row>
    <row r="5476" spans="3:31" s="260" customFormat="1" ht="15.75" thickBot="1" x14ac:dyDescent="0.3">
      <c r="C5476" s="84"/>
      <c r="D5476" s="85"/>
      <c r="E5476" s="86"/>
      <c r="F5476" s="86"/>
      <c r="G5476" s="86"/>
      <c r="H5476" s="86"/>
      <c r="I5476" s="86"/>
      <c r="J5476" s="87"/>
      <c r="K5476" s="88"/>
      <c r="M5476" s="106"/>
      <c r="N5476" s="533" t="str">
        <f>IFERROR(VLOOKUP(M5476,INSUMOS!$C$8:$K$928,2,0),"-----")</f>
        <v>-----</v>
      </c>
      <c r="O5476" s="533"/>
      <c r="P5476" s="533"/>
      <c r="Q5476" s="533"/>
      <c r="R5476" s="78" t="str">
        <f>IFERROR(VLOOKUP(M5476,INSUMOS!$C$8:$K$928,6,0),"-----")</f>
        <v>-----</v>
      </c>
      <c r="S5476" s="392"/>
      <c r="T5476" s="529" t="str">
        <f>IFERROR(VLOOKUP(M5476,INSUMOS!$C$8:$K$928,7,0),"0")</f>
        <v>0</v>
      </c>
      <c r="U5476" s="529"/>
      <c r="V5476" s="389">
        <f>+IFERROR(T5476*S5476,0)</f>
        <v>0</v>
      </c>
      <c r="Y5476" s="393">
        <f>+IFERROR(Y5471*S5476,0)</f>
        <v>0</v>
      </c>
      <c r="Z5476" s="391">
        <f>Y5471*V5476</f>
        <v>0</v>
      </c>
      <c r="AA5476" s="394"/>
      <c r="AB5476" s="395">
        <f>+Y5476*T5476</f>
        <v>0</v>
      </c>
      <c r="AC5476" s="93">
        <f>+AB5476-Z5476</f>
        <v>0</v>
      </c>
      <c r="AD5476" s="94"/>
      <c r="AE5476" s="386" t="str">
        <f>+IF(V5476=0,"CERO","NO")</f>
        <v>CERO</v>
      </c>
    </row>
    <row r="5477" spans="3:31" s="260" customFormat="1" ht="15.75" thickBot="1" x14ac:dyDescent="0.3">
      <c r="C5477" s="84"/>
      <c r="D5477" s="375" t="s">
        <v>128</v>
      </c>
      <c r="E5477" s="376" t="s">
        <v>129</v>
      </c>
      <c r="F5477" s="376" t="s">
        <v>130</v>
      </c>
      <c r="G5477" s="376" t="s">
        <v>131</v>
      </c>
      <c r="H5477" s="376" t="s">
        <v>132</v>
      </c>
      <c r="I5477" s="376" t="s">
        <v>133</v>
      </c>
      <c r="J5477" s="377" t="s">
        <v>134</v>
      </c>
      <c r="K5477" s="88"/>
      <c r="M5477" s="534"/>
      <c r="N5477" s="536" t="s">
        <v>101</v>
      </c>
      <c r="O5477" s="536"/>
      <c r="P5477" s="536"/>
      <c r="Q5477" s="536"/>
      <c r="R5477" s="536"/>
      <c r="S5477" s="536"/>
      <c r="T5477" s="536"/>
      <c r="U5477" s="536"/>
      <c r="V5477" s="389">
        <f>+SUM(V5475:V5476)</f>
        <v>58375.600000000006</v>
      </c>
      <c r="Y5477" s="398" t="s">
        <v>135</v>
      </c>
      <c r="Z5477" s="397">
        <f>+SUM(Z5475:Z5476)</f>
        <v>58375.600000000006</v>
      </c>
      <c r="AA5477" s="86"/>
      <c r="AB5477" s="384"/>
      <c r="AC5477" s="385"/>
      <c r="AD5477" s="94"/>
      <c r="AE5477" s="399"/>
    </row>
    <row r="5478" spans="3:31" s="260" customFormat="1" ht="15.75" thickBot="1" x14ac:dyDescent="0.3">
      <c r="C5478" s="84"/>
      <c r="D5478" s="375">
        <f>C5471</f>
        <v>6.02</v>
      </c>
      <c r="E5478" s="376"/>
      <c r="F5478" s="376"/>
      <c r="G5478" s="376"/>
      <c r="H5478" s="376"/>
      <c r="I5478" s="376"/>
      <c r="J5478" s="377"/>
      <c r="K5478" s="88"/>
      <c r="M5478" s="566"/>
      <c r="N5478" s="567" t="s">
        <v>102</v>
      </c>
      <c r="O5478" s="567"/>
      <c r="P5478" s="567"/>
      <c r="Q5478" s="567"/>
      <c r="R5478" s="567"/>
      <c r="S5478" s="567"/>
      <c r="T5478" s="567"/>
      <c r="U5478" s="567"/>
      <c r="V5478" s="400">
        <f>+ROUND(V5477,$AA$5)</f>
        <v>58375.6</v>
      </c>
      <c r="Y5478" s="401" t="s">
        <v>136</v>
      </c>
      <c r="Z5478" s="402">
        <f>+ROUND(Z5477,$AA$5)</f>
        <v>58375.6</v>
      </c>
      <c r="AA5478" s="86"/>
      <c r="AB5478" s="403">
        <f>+V5478*Y5471</f>
        <v>58375.6</v>
      </c>
      <c r="AC5478" s="404">
        <f>+AB5478-Z5478</f>
        <v>0</v>
      </c>
      <c r="AD5478" s="94"/>
      <c r="AE5478" s="405"/>
    </row>
    <row r="5479" spans="3:31" s="260" customFormat="1" x14ac:dyDescent="0.25">
      <c r="C5479" s="84"/>
      <c r="D5479" s="380"/>
      <c r="E5479" s="381"/>
      <c r="F5479" s="381"/>
      <c r="G5479" s="381"/>
      <c r="H5479" s="381"/>
      <c r="I5479" s="381"/>
      <c r="J5479" s="382"/>
      <c r="K5479" s="88"/>
      <c r="M5479" s="510" t="s">
        <v>103</v>
      </c>
      <c r="N5479" s="511"/>
      <c r="O5479" s="511"/>
      <c r="P5479" s="511"/>
      <c r="Q5479" s="511"/>
      <c r="R5479" s="511"/>
      <c r="S5479" s="511"/>
      <c r="T5479" s="511"/>
      <c r="U5479" s="511"/>
      <c r="V5479" s="512"/>
      <c r="Y5479" s="378"/>
      <c r="Z5479" s="121"/>
      <c r="AA5479" s="86"/>
      <c r="AB5479" s="513"/>
      <c r="AC5479" s="514"/>
      <c r="AD5479" s="94"/>
      <c r="AE5479" s="126"/>
    </row>
    <row r="5480" spans="3:31" s="260" customFormat="1" x14ac:dyDescent="0.25">
      <c r="C5480" s="84"/>
      <c r="D5480" s="85"/>
      <c r="E5480" s="86"/>
      <c r="F5480" s="86"/>
      <c r="G5480" s="86"/>
      <c r="H5480" s="86"/>
      <c r="I5480" s="86"/>
      <c r="J5480" s="87"/>
      <c r="K5480" s="88"/>
      <c r="M5480" s="99" t="s">
        <v>94</v>
      </c>
      <c r="N5480" s="561" t="s">
        <v>95</v>
      </c>
      <c r="O5480" s="561"/>
      <c r="P5480" s="561"/>
      <c r="Q5480" s="561"/>
      <c r="R5480" s="95" t="s">
        <v>96</v>
      </c>
      <c r="S5480" s="95" t="s">
        <v>104</v>
      </c>
      <c r="T5480" s="356" t="s">
        <v>105</v>
      </c>
      <c r="U5480" s="356" t="s">
        <v>8</v>
      </c>
      <c r="V5480" s="100" t="s">
        <v>98</v>
      </c>
      <c r="Y5480" s="383" t="s">
        <v>104</v>
      </c>
      <c r="Z5480" s="119" t="s">
        <v>9</v>
      </c>
      <c r="AA5480" s="86"/>
      <c r="AB5480" s="384"/>
      <c r="AC5480" s="385"/>
      <c r="AD5480" s="94"/>
      <c r="AE5480" s="406"/>
    </row>
    <row r="5481" spans="3:31" s="260" customFormat="1" x14ac:dyDescent="0.25">
      <c r="C5481" s="84"/>
      <c r="D5481" s="85"/>
      <c r="E5481" s="86"/>
      <c r="F5481" s="86"/>
      <c r="G5481" s="86"/>
      <c r="H5481" s="86"/>
      <c r="I5481" s="86"/>
      <c r="J5481" s="87"/>
      <c r="K5481" s="88"/>
      <c r="M5481" s="102">
        <v>815</v>
      </c>
      <c r="N5481" s="533" t="str">
        <f>IFERROR(VLOOKUP(M5481,INSUMOS!$C$8:$K$928,2,0),"-----")</f>
        <v xml:space="preserve">BOMBA SUMERGIBLE 7,5HP </v>
      </c>
      <c r="O5481" s="533"/>
      <c r="P5481" s="533"/>
      <c r="Q5481" s="533"/>
      <c r="R5481" s="78" t="str">
        <f>IFERROR(VLOOKUP(M5481,INSUMOS!$C$8:$K$928,6,0),"-----")</f>
        <v>und</v>
      </c>
      <c r="S5481" s="396">
        <v>2</v>
      </c>
      <c r="T5481" s="387">
        <v>0</v>
      </c>
      <c r="U5481" s="388">
        <f>IFERROR(VLOOKUP(M5481,INSUMOS!$C$8:$K$928,7,0),"0")</f>
        <v>17940440</v>
      </c>
      <c r="V5481" s="389">
        <f>+IFERROR(U5481*(S5481*(1+T5481)),0)</f>
        <v>35880880</v>
      </c>
      <c r="Y5481" s="393">
        <f>+IFERROR($Y$5471*(S5481*(1+T5481)),0)</f>
        <v>2</v>
      </c>
      <c r="Z5481" s="391">
        <f>$Y$5471*V5481</f>
        <v>35880880</v>
      </c>
      <c r="AA5481" s="394"/>
      <c r="AB5481" s="395">
        <f>+Y5481*U5481</f>
        <v>35880880</v>
      </c>
      <c r="AC5481" s="93">
        <f>+AB5481-Z5481</f>
        <v>0</v>
      </c>
      <c r="AD5481" s="94"/>
      <c r="AE5481" s="406" t="str">
        <f>+IF(V5481=0,"CERO","NO")</f>
        <v>NO</v>
      </c>
    </row>
    <row r="5482" spans="3:31" s="260" customFormat="1" x14ac:dyDescent="0.25">
      <c r="C5482" s="84"/>
      <c r="D5482" s="85"/>
      <c r="E5482" s="86"/>
      <c r="F5482" s="86"/>
      <c r="G5482" s="86"/>
      <c r="H5482" s="86"/>
      <c r="I5482" s="86"/>
      <c r="J5482" s="87"/>
      <c r="K5482" s="88"/>
      <c r="M5482" s="102">
        <v>855</v>
      </c>
      <c r="N5482" s="533" t="str">
        <f>IFERROR(VLOOKUP(M5482,INSUMOS!$C$8:$K$928,2,0),"-----")</f>
        <v>CODO 90 EXTREMOS BRIDADOS 4"</v>
      </c>
      <c r="O5482" s="533"/>
      <c r="P5482" s="533"/>
      <c r="Q5482" s="533"/>
      <c r="R5482" s="78" t="str">
        <f>IFERROR(VLOOKUP(M5482,INSUMOS!$C$8:$K$928,6,0),"-----")</f>
        <v>und</v>
      </c>
      <c r="S5482" s="396">
        <v>2</v>
      </c>
      <c r="T5482" s="387">
        <v>0</v>
      </c>
      <c r="U5482" s="388">
        <f>IFERROR(VLOOKUP(M5482,INSUMOS!$C$8:$K$928,7,0),"0")</f>
        <v>498610</v>
      </c>
      <c r="V5482" s="389">
        <f>+IFERROR(U5482*(S5482*(1+T5482)),0)</f>
        <v>997220</v>
      </c>
      <c r="Y5482" s="393">
        <f t="shared" ref="Y5482:Y5488" si="40">+IFERROR($Y$5471*(S5482*(1+T5482)),0)</f>
        <v>2</v>
      </c>
      <c r="Z5482" s="391">
        <f t="shared" ref="Z5482:Z5488" si="41">$Y$5471*V5482</f>
        <v>997220</v>
      </c>
      <c r="AA5482" s="394"/>
      <c r="AB5482" s="395">
        <f>+Y5482*U5482</f>
        <v>997220</v>
      </c>
      <c r="AC5482" s="93">
        <f>+AB5482-Z5482</f>
        <v>0</v>
      </c>
      <c r="AD5482" s="94"/>
      <c r="AE5482" s="406" t="str">
        <f>+IF(V5482=0,"CERO","NO")</f>
        <v>NO</v>
      </c>
    </row>
    <row r="5483" spans="3:31" s="260" customFormat="1" x14ac:dyDescent="0.25">
      <c r="C5483" s="84"/>
      <c r="D5483" s="85"/>
      <c r="E5483" s="86"/>
      <c r="F5483" s="86"/>
      <c r="G5483" s="86"/>
      <c r="H5483" s="86"/>
      <c r="I5483" s="86"/>
      <c r="J5483" s="87"/>
      <c r="K5483" s="88"/>
      <c r="M5483" s="102">
        <v>813</v>
      </c>
      <c r="N5483" s="533" t="str">
        <f>IFERROR(VLOOKUP(M5483,INSUMOS!$C$8:$K$928,2,0),"-----")</f>
        <v>REDUCCION 6" a 4" EXTREMOS BRIDADOS</v>
      </c>
      <c r="O5483" s="533"/>
      <c r="P5483" s="533"/>
      <c r="Q5483" s="533"/>
      <c r="R5483" s="78" t="str">
        <f>IFERROR(VLOOKUP(M5483,INSUMOS!$C$8:$K$928,6,0),"-----")</f>
        <v>und</v>
      </c>
      <c r="S5483" s="396">
        <v>2</v>
      </c>
      <c r="T5483" s="387">
        <v>0</v>
      </c>
      <c r="U5483" s="388">
        <f>IFERROR(VLOOKUP(M5483,INSUMOS!$C$8:$K$928,7,0),"0")</f>
        <v>573580</v>
      </c>
      <c r="V5483" s="389">
        <f>+IFERROR(U5483*(S5483*(1+T5483)),0)</f>
        <v>1147160</v>
      </c>
      <c r="Y5483" s="393">
        <f t="shared" si="40"/>
        <v>2</v>
      </c>
      <c r="Z5483" s="391">
        <f t="shared" si="41"/>
        <v>1147160</v>
      </c>
      <c r="AA5483" s="394"/>
      <c r="AB5483" s="395">
        <f>+Y5483*U5483</f>
        <v>1147160</v>
      </c>
      <c r="AC5483" s="93">
        <f>+AB5483-Z5483</f>
        <v>0</v>
      </c>
      <c r="AD5483" s="94"/>
      <c r="AE5483" s="406" t="str">
        <f>+IF(V5483=0,"CERO","NO")</f>
        <v>NO</v>
      </c>
    </row>
    <row r="5484" spans="3:31" s="260" customFormat="1" x14ac:dyDescent="0.25">
      <c r="C5484" s="84"/>
      <c r="D5484" s="85"/>
      <c r="E5484" s="86"/>
      <c r="F5484" s="86"/>
      <c r="G5484" s="86"/>
      <c r="H5484" s="86"/>
      <c r="I5484" s="86"/>
      <c r="J5484" s="87"/>
      <c r="K5484" s="88"/>
      <c r="M5484" s="102">
        <v>822</v>
      </c>
      <c r="N5484" s="533" t="str">
        <f>IFERROR(VLOOKUP(M5484,INSUMOS!$C$8:$K$928,2,0),"-----")</f>
        <v>UNION 6" BRIDA x UNIVERSAL</v>
      </c>
      <c r="O5484" s="533"/>
      <c r="P5484" s="533"/>
      <c r="Q5484" s="533"/>
      <c r="R5484" s="78" t="str">
        <f>IFERROR(VLOOKUP(M5484,INSUMOS!$C$8:$K$928,6,0),"-----")</f>
        <v>und</v>
      </c>
      <c r="S5484" s="396">
        <v>4</v>
      </c>
      <c r="T5484" s="387">
        <v>0</v>
      </c>
      <c r="U5484" s="388">
        <f>IFERROR(VLOOKUP(M5484,INSUMOS!$C$8:$K$928,7,0),"0")</f>
        <v>327250</v>
      </c>
      <c r="V5484" s="389">
        <f>+IFERROR(U5484*(S5484*(1+T5484)),0)</f>
        <v>1309000</v>
      </c>
      <c r="Y5484" s="393">
        <f t="shared" si="40"/>
        <v>4</v>
      </c>
      <c r="Z5484" s="391">
        <f t="shared" si="41"/>
        <v>1309000</v>
      </c>
      <c r="AA5484" s="394"/>
      <c r="AB5484" s="395">
        <f>+Y5484*U5484</f>
        <v>1309000</v>
      </c>
      <c r="AC5484" s="93">
        <f>+AB5484-Z5484</f>
        <v>0</v>
      </c>
      <c r="AD5484" s="94"/>
      <c r="AE5484" s="406" t="str">
        <f>+IF(V5484=0,"CERO","NO")</f>
        <v>NO</v>
      </c>
    </row>
    <row r="5485" spans="3:31" s="260" customFormat="1" x14ac:dyDescent="0.25">
      <c r="C5485" s="84"/>
      <c r="D5485" s="85"/>
      <c r="E5485" s="86"/>
      <c r="F5485" s="86"/>
      <c r="G5485" s="86"/>
      <c r="H5485" s="86"/>
      <c r="I5485" s="86"/>
      <c r="J5485" s="87"/>
      <c r="K5485" s="88"/>
      <c r="M5485" s="102">
        <v>818</v>
      </c>
      <c r="N5485" s="533" t="str">
        <f>IFERROR(VLOOKUP(M5485,INSUMOS!$C$8:$K$928,2,0),"-----")</f>
        <v>TEE EXTREMOS BRIDADOS 6"</v>
      </c>
      <c r="O5485" s="533"/>
      <c r="P5485" s="533"/>
      <c r="Q5485" s="533"/>
      <c r="R5485" s="78" t="str">
        <f>IFERROR(VLOOKUP(M5485,INSUMOS!$C$8:$K$928,6,0),"-----")</f>
        <v>und</v>
      </c>
      <c r="S5485" s="396">
        <v>1</v>
      </c>
      <c r="T5485" s="387">
        <v>0</v>
      </c>
      <c r="U5485" s="388">
        <f>IFERROR(VLOOKUP(M5485,INSUMOS!$C$8:$K$928,7,0),"0")</f>
        <v>1224510</v>
      </c>
      <c r="V5485" s="389">
        <f>+IFERROR(U5485*(S5485*(1+T5485)),0)</f>
        <v>1224510</v>
      </c>
      <c r="Y5485" s="393">
        <f t="shared" si="40"/>
        <v>1</v>
      </c>
      <c r="Z5485" s="391">
        <f t="shared" si="41"/>
        <v>1224510</v>
      </c>
      <c r="AA5485" s="394"/>
      <c r="AB5485" s="395">
        <f>+Y5485*U5485</f>
        <v>1224510</v>
      </c>
      <c r="AC5485" s="93">
        <f>+AB5485-Z5485</f>
        <v>0</v>
      </c>
      <c r="AD5485" s="94"/>
      <c r="AE5485" s="406" t="str">
        <f>+IF(V5485=0,"CERO","NO")</f>
        <v>NO</v>
      </c>
    </row>
    <row r="5486" spans="3:31" s="260" customFormat="1" x14ac:dyDescent="0.25">
      <c r="C5486" s="84"/>
      <c r="D5486" s="85"/>
      <c r="E5486" s="86"/>
      <c r="F5486" s="86"/>
      <c r="G5486" s="86"/>
      <c r="H5486" s="86"/>
      <c r="I5486" s="86"/>
      <c r="J5486" s="87"/>
      <c r="K5486" s="88"/>
      <c r="M5486" s="102">
        <v>817</v>
      </c>
      <c r="N5486" s="533" t="str">
        <f>IFERROR(VLOOKUP(M5486,INSUMOS!$C$8:$K$928,2,0),"-----")</f>
        <v>VÁLVULA DE RETENCIÓN ESTREMO BRIDA HD 6"</v>
      </c>
      <c r="O5486" s="533"/>
      <c r="P5486" s="533"/>
      <c r="Q5486" s="533"/>
      <c r="R5486" s="78" t="str">
        <f>IFERROR(VLOOKUP(M5486,INSUMOS!$C$8:$K$928,6,0),"-----")</f>
        <v>und</v>
      </c>
      <c r="S5486" s="396">
        <v>1</v>
      </c>
      <c r="T5486" s="387">
        <v>0</v>
      </c>
      <c r="U5486" s="388">
        <f>IFERROR(VLOOKUP(M5486,INSUMOS!$C$8:$K$928,7,0),"0")</f>
        <v>1342000</v>
      </c>
      <c r="V5486" s="389">
        <f t="shared" ref="V5486:V5488" si="42">+IFERROR(U5486*(S5486*(1+T5486)),0)</f>
        <v>1342000</v>
      </c>
      <c r="Y5486" s="393">
        <f t="shared" si="40"/>
        <v>1</v>
      </c>
      <c r="Z5486" s="391">
        <f t="shared" si="41"/>
        <v>1342000</v>
      </c>
      <c r="AA5486" s="394"/>
      <c r="AB5486" s="395">
        <f t="shared" ref="AB5486:AB5488" si="43">+Y5486*U5486</f>
        <v>1342000</v>
      </c>
      <c r="AC5486" s="93">
        <f t="shared" ref="AC5486:AC5488" si="44">+AB5486-Z5486</f>
        <v>0</v>
      </c>
      <c r="AD5486" s="94"/>
      <c r="AE5486" s="406" t="str">
        <f t="shared" ref="AE5486:AE5488" si="45">+IF(V5486=0,"CERO","NO")</f>
        <v>NO</v>
      </c>
    </row>
    <row r="5487" spans="3:31" s="260" customFormat="1" x14ac:dyDescent="0.25">
      <c r="C5487" s="84"/>
      <c r="D5487" s="85"/>
      <c r="E5487" s="86"/>
      <c r="F5487" s="86"/>
      <c r="G5487" s="86"/>
      <c r="H5487" s="86"/>
      <c r="I5487" s="86"/>
      <c r="J5487" s="87"/>
      <c r="K5487" s="88"/>
      <c r="M5487" s="102">
        <v>816</v>
      </c>
      <c r="N5487" s="533" t="str">
        <f>IFERROR(VLOOKUP(M5487,INSUMOS!$C$8:$K$928,2,0),"-----")</f>
        <v>VALVULA DE COMPUERTA ELASTICA BRIDADA 6"</v>
      </c>
      <c r="O5487" s="533"/>
      <c r="P5487" s="533"/>
      <c r="Q5487" s="533"/>
      <c r="R5487" s="78" t="str">
        <f>IFERROR(VLOOKUP(M5487,INSUMOS!$C$8:$K$928,6,0),"-----")</f>
        <v>und</v>
      </c>
      <c r="S5487" s="396">
        <v>1</v>
      </c>
      <c r="T5487" s="387">
        <v>0</v>
      </c>
      <c r="U5487" s="388">
        <f>IFERROR(VLOOKUP(M5487,INSUMOS!$C$8:$K$928,7,0),"0")</f>
        <v>2327640</v>
      </c>
      <c r="V5487" s="389">
        <f t="shared" si="42"/>
        <v>2327640</v>
      </c>
      <c r="Y5487" s="393">
        <f t="shared" si="40"/>
        <v>1</v>
      </c>
      <c r="Z5487" s="391">
        <f t="shared" si="41"/>
        <v>2327640</v>
      </c>
      <c r="AA5487" s="394"/>
      <c r="AB5487" s="395">
        <f t="shared" si="43"/>
        <v>2327640</v>
      </c>
      <c r="AC5487" s="93">
        <f t="shared" si="44"/>
        <v>0</v>
      </c>
      <c r="AD5487" s="94"/>
      <c r="AE5487" s="406" t="str">
        <f t="shared" si="45"/>
        <v>NO</v>
      </c>
    </row>
    <row r="5488" spans="3:31" s="260" customFormat="1" ht="15.75" thickBot="1" x14ac:dyDescent="0.3">
      <c r="C5488" s="84"/>
      <c r="D5488" s="85"/>
      <c r="E5488" s="86"/>
      <c r="F5488" s="86"/>
      <c r="G5488" s="86"/>
      <c r="H5488" s="86"/>
      <c r="I5488" s="86"/>
      <c r="J5488" s="87"/>
      <c r="K5488" s="88"/>
      <c r="M5488" s="102">
        <v>819</v>
      </c>
      <c r="N5488" s="533" t="str">
        <f>IFERROR(VLOOKUP(M5488,INSUMOS!$C$8:$K$928,2,0),"-----")</f>
        <v>CODO 90 EXTREMOS BRIDADOS 6"</v>
      </c>
      <c r="O5488" s="533"/>
      <c r="P5488" s="533"/>
      <c r="Q5488" s="533"/>
      <c r="R5488" s="78" t="str">
        <f>IFERROR(VLOOKUP(M5488,INSUMOS!$C$8:$K$928,6,0),"-----")</f>
        <v>und</v>
      </c>
      <c r="S5488" s="396">
        <v>1</v>
      </c>
      <c r="T5488" s="387">
        <v>0</v>
      </c>
      <c r="U5488" s="388">
        <f>IFERROR(VLOOKUP(M5488,INSUMOS!$C$8:$K$928,7,0),"0")</f>
        <v>822290</v>
      </c>
      <c r="V5488" s="389">
        <f t="shared" si="42"/>
        <v>822290</v>
      </c>
      <c r="Y5488" s="393">
        <f t="shared" si="40"/>
        <v>1</v>
      </c>
      <c r="Z5488" s="391">
        <f t="shared" si="41"/>
        <v>822290</v>
      </c>
      <c r="AA5488" s="394"/>
      <c r="AB5488" s="395">
        <f t="shared" si="43"/>
        <v>822290</v>
      </c>
      <c r="AC5488" s="93">
        <f t="shared" si="44"/>
        <v>0</v>
      </c>
      <c r="AD5488" s="94"/>
      <c r="AE5488" s="406" t="str">
        <f t="shared" si="45"/>
        <v>NO</v>
      </c>
    </row>
    <row r="5489" spans="3:31" s="260" customFormat="1" ht="15.75" thickBot="1" x14ac:dyDescent="0.3">
      <c r="C5489" s="84"/>
      <c r="D5489" s="375" t="s">
        <v>128</v>
      </c>
      <c r="E5489" s="376" t="s">
        <v>129</v>
      </c>
      <c r="F5489" s="376" t="s">
        <v>130</v>
      </c>
      <c r="G5489" s="376" t="s">
        <v>131</v>
      </c>
      <c r="H5489" s="376" t="s">
        <v>132</v>
      </c>
      <c r="I5489" s="376" t="s">
        <v>133</v>
      </c>
      <c r="J5489" s="377" t="s">
        <v>134</v>
      </c>
      <c r="K5489" s="88"/>
      <c r="M5489" s="534"/>
      <c r="N5489" s="536" t="s">
        <v>106</v>
      </c>
      <c r="O5489" s="536"/>
      <c r="P5489" s="536"/>
      <c r="Q5489" s="536"/>
      <c r="R5489" s="536"/>
      <c r="S5489" s="536"/>
      <c r="T5489" s="536"/>
      <c r="U5489" s="536"/>
      <c r="V5489" s="389">
        <f>+SUM(V5481:V5488)</f>
        <v>45050700</v>
      </c>
      <c r="Y5489" s="398" t="s">
        <v>135</v>
      </c>
      <c r="Z5489" s="397">
        <f>+SUM(Z5481:Z5488)</f>
        <v>45050700</v>
      </c>
      <c r="AA5489" s="86"/>
      <c r="AB5489" s="384"/>
      <c r="AC5489" s="385"/>
      <c r="AD5489" s="94"/>
      <c r="AE5489" s="399"/>
    </row>
    <row r="5490" spans="3:31" s="260" customFormat="1" ht="15.75" thickBot="1" x14ac:dyDescent="0.3">
      <c r="C5490" s="84"/>
      <c r="D5490" s="375"/>
      <c r="E5490" s="407">
        <f>+D5478</f>
        <v>6.02</v>
      </c>
      <c r="F5490" s="376"/>
      <c r="G5490" s="376"/>
      <c r="H5490" s="376"/>
      <c r="I5490" s="376"/>
      <c r="J5490" s="377"/>
      <c r="K5490" s="88"/>
      <c r="M5490" s="535"/>
      <c r="N5490" s="537" t="s">
        <v>107</v>
      </c>
      <c r="O5490" s="537"/>
      <c r="P5490" s="537"/>
      <c r="Q5490" s="537"/>
      <c r="R5490" s="537"/>
      <c r="S5490" s="537"/>
      <c r="T5490" s="537"/>
      <c r="U5490" s="537"/>
      <c r="V5490" s="408">
        <f>+ROUND(V5489,$AA$5)</f>
        <v>45050700</v>
      </c>
      <c r="Y5490" s="401" t="s">
        <v>136</v>
      </c>
      <c r="Z5490" s="402">
        <f>+ROUND(Z5489,$AA$5)</f>
        <v>45050700</v>
      </c>
      <c r="AA5490" s="86"/>
      <c r="AB5490" s="403">
        <f>+V5490*Y5471</f>
        <v>45050700</v>
      </c>
      <c r="AC5490" s="404">
        <f>+AB5490-Z5490</f>
        <v>0</v>
      </c>
      <c r="AD5490" s="94"/>
      <c r="AE5490" s="405"/>
    </row>
    <row r="5491" spans="3:31" s="260" customFormat="1" x14ac:dyDescent="0.25">
      <c r="C5491" s="84"/>
      <c r="D5491" s="380"/>
      <c r="E5491" s="381"/>
      <c r="F5491" s="381"/>
      <c r="G5491" s="381"/>
      <c r="H5491" s="381"/>
      <c r="I5491" s="381"/>
      <c r="J5491" s="382"/>
      <c r="K5491" s="88"/>
      <c r="M5491" s="568" t="s">
        <v>108</v>
      </c>
      <c r="N5491" s="569"/>
      <c r="O5491" s="569"/>
      <c r="P5491" s="569"/>
      <c r="Q5491" s="569"/>
      <c r="R5491" s="569"/>
      <c r="S5491" s="569"/>
      <c r="T5491" s="569"/>
      <c r="U5491" s="569"/>
      <c r="V5491" s="570"/>
      <c r="Y5491" s="378"/>
      <c r="Z5491" s="121"/>
      <c r="AA5491" s="86"/>
      <c r="AB5491" s="409"/>
      <c r="AC5491" s="121"/>
      <c r="AD5491" s="94"/>
      <c r="AE5491" s="126"/>
    </row>
    <row r="5492" spans="3:31" s="260" customFormat="1" ht="25.5" x14ac:dyDescent="0.25">
      <c r="C5492" s="84"/>
      <c r="D5492" s="85"/>
      <c r="E5492" s="86"/>
      <c r="F5492" s="86"/>
      <c r="G5492" s="86"/>
      <c r="H5492" s="86"/>
      <c r="I5492" s="86"/>
      <c r="J5492" s="87"/>
      <c r="K5492" s="88"/>
      <c r="M5492" s="99" t="s">
        <v>94</v>
      </c>
      <c r="N5492" s="561" t="s">
        <v>95</v>
      </c>
      <c r="O5492" s="561"/>
      <c r="P5492" s="561"/>
      <c r="Q5492" s="95" t="s">
        <v>109</v>
      </c>
      <c r="R5492" s="95" t="s">
        <v>110</v>
      </c>
      <c r="S5492" s="95" t="s">
        <v>111</v>
      </c>
      <c r="T5492" s="562" t="s">
        <v>112</v>
      </c>
      <c r="U5492" s="562"/>
      <c r="V5492" s="100" t="s">
        <v>98</v>
      </c>
      <c r="Y5492" s="383" t="s">
        <v>104</v>
      </c>
      <c r="Z5492" s="119" t="s">
        <v>9</v>
      </c>
      <c r="AA5492" s="86"/>
      <c r="AB5492" s="384"/>
      <c r="AC5492" s="385"/>
      <c r="AD5492" s="94"/>
      <c r="AE5492" s="410"/>
    </row>
    <row r="5493" spans="3:31" s="260" customFormat="1" ht="15.75" thickBot="1" x14ac:dyDescent="0.3">
      <c r="C5493" s="84"/>
      <c r="D5493" s="85"/>
      <c r="E5493" s="86"/>
      <c r="F5493" s="86"/>
      <c r="G5493" s="86"/>
      <c r="H5493" s="86"/>
      <c r="I5493" s="86"/>
      <c r="J5493" s="87"/>
      <c r="K5493" s="88"/>
      <c r="M5493" s="102">
        <v>129</v>
      </c>
      <c r="N5493" s="530" t="str">
        <f>IFERROR(VLOOKUP(M5493,INSUMOS!$C$8:$K$928,2,0),"-----")</f>
        <v>transporte materiales en general</v>
      </c>
      <c r="O5493" s="531"/>
      <c r="P5493" s="532"/>
      <c r="Q5493" s="78" t="str">
        <f>IFERROR(VLOOKUP(M5493,INSUMOS!$C$8:$K$928,5,0),"-----")</f>
        <v>Km</v>
      </c>
      <c r="R5493" s="80">
        <v>7</v>
      </c>
      <c r="S5493" s="80">
        <f>IFERROR(VLOOKUP(M5493,INSUMOS!$C$8:$K$928,6,0),"0")</f>
        <v>348</v>
      </c>
      <c r="T5493" s="529">
        <f>IFERROR(VLOOKUP(M5493,INSUMOS!$C$8:$K$928,7,0),"0")</f>
        <v>0.99776362060288992</v>
      </c>
      <c r="U5493" s="529"/>
      <c r="V5493" s="82">
        <f>+T5493*S5493*R5493</f>
        <v>2430.5521797886399</v>
      </c>
      <c r="Y5493" s="393">
        <f>+IFERROR((R5493*S5493)*Y5471,0)</f>
        <v>2436</v>
      </c>
      <c r="Z5493" s="391">
        <f>Y5471*V5493</f>
        <v>2430.5521797886399</v>
      </c>
      <c r="AA5493" s="86"/>
      <c r="AB5493" s="92">
        <f>+Y5493*T5493</f>
        <v>2430.5521797886399</v>
      </c>
      <c r="AC5493" s="93">
        <f>+AB5493-Z5493</f>
        <v>0</v>
      </c>
      <c r="AD5493" s="94"/>
      <c r="AE5493" s="406" t="str">
        <f>+IF(V5493=0,"CERO","NO")</f>
        <v>NO</v>
      </c>
    </row>
    <row r="5494" spans="3:31" s="260" customFormat="1" ht="15.75" thickBot="1" x14ac:dyDescent="0.3">
      <c r="C5494" s="84"/>
      <c r="D5494" s="375" t="s">
        <v>128</v>
      </c>
      <c r="E5494" s="376" t="s">
        <v>129</v>
      </c>
      <c r="F5494" s="376" t="s">
        <v>130</v>
      </c>
      <c r="G5494" s="376" t="s">
        <v>131</v>
      </c>
      <c r="H5494" s="376" t="s">
        <v>132</v>
      </c>
      <c r="I5494" s="376" t="s">
        <v>133</v>
      </c>
      <c r="J5494" s="377" t="s">
        <v>134</v>
      </c>
      <c r="K5494" s="88"/>
      <c r="M5494" s="534"/>
      <c r="N5494" s="536" t="s">
        <v>113</v>
      </c>
      <c r="O5494" s="536"/>
      <c r="P5494" s="536"/>
      <c r="Q5494" s="536"/>
      <c r="R5494" s="536"/>
      <c r="S5494" s="536"/>
      <c r="T5494" s="536"/>
      <c r="U5494" s="536"/>
      <c r="V5494" s="411">
        <f>+SUM(V5493:V5493)</f>
        <v>2430.5521797886399</v>
      </c>
      <c r="Y5494" s="398" t="s">
        <v>135</v>
      </c>
      <c r="Z5494" s="397">
        <f>+SUM(Z5493:Z5493)</f>
        <v>2430.5521797886399</v>
      </c>
      <c r="AA5494" s="86"/>
      <c r="AB5494" s="384"/>
      <c r="AC5494" s="385"/>
      <c r="AD5494" s="94"/>
      <c r="AE5494" s="399"/>
    </row>
    <row r="5495" spans="3:31" s="260" customFormat="1" ht="15.75" thickBot="1" x14ac:dyDescent="0.3">
      <c r="C5495" s="84"/>
      <c r="D5495" s="355"/>
      <c r="E5495" s="367"/>
      <c r="F5495" s="412">
        <f>+E5490</f>
        <v>6.02</v>
      </c>
      <c r="G5495" s="367"/>
      <c r="H5495" s="367"/>
      <c r="I5495" s="367"/>
      <c r="J5495" s="368"/>
      <c r="K5495" s="88"/>
      <c r="M5495" s="535"/>
      <c r="N5495" s="537" t="s">
        <v>114</v>
      </c>
      <c r="O5495" s="537"/>
      <c r="P5495" s="537"/>
      <c r="Q5495" s="537"/>
      <c r="R5495" s="537"/>
      <c r="S5495" s="537"/>
      <c r="T5495" s="537"/>
      <c r="U5495" s="537"/>
      <c r="V5495" s="413">
        <f>+ROUND(V5494,$AA$5)</f>
        <v>2430.5500000000002</v>
      </c>
      <c r="Y5495" s="401" t="s">
        <v>136</v>
      </c>
      <c r="Z5495" s="402">
        <f>+ROUND(Z5494,$AA$5)</f>
        <v>2430.5500000000002</v>
      </c>
      <c r="AA5495" s="86"/>
      <c r="AB5495" s="403">
        <f>+V5495*Y5471</f>
        <v>2430.5500000000002</v>
      </c>
      <c r="AC5495" s="414"/>
      <c r="AD5495" s="94"/>
      <c r="AE5495" s="405"/>
    </row>
    <row r="5496" spans="3:31" s="260" customFormat="1" ht="15.75" thickBot="1" x14ac:dyDescent="0.3">
      <c r="C5496" s="84"/>
      <c r="D5496" s="415"/>
      <c r="E5496" s="416"/>
      <c r="F5496" s="416"/>
      <c r="G5496" s="416"/>
      <c r="H5496" s="416"/>
      <c r="I5496" s="416"/>
      <c r="J5496" s="417"/>
      <c r="K5496" s="88"/>
      <c r="M5496" s="538" t="s">
        <v>115</v>
      </c>
      <c r="N5496" s="539"/>
      <c r="O5496" s="539"/>
      <c r="P5496" s="539"/>
      <c r="Q5496" s="539"/>
      <c r="R5496" s="539"/>
      <c r="S5496" s="539"/>
      <c r="T5496" s="539"/>
      <c r="U5496" s="539"/>
      <c r="V5496" s="540"/>
      <c r="Y5496" s="378"/>
      <c r="Z5496" s="121"/>
      <c r="AA5496" s="86"/>
      <c r="AB5496" s="409"/>
      <c r="AC5496" s="121"/>
      <c r="AD5496" s="94"/>
      <c r="AE5496" s="126"/>
    </row>
    <row r="5497" spans="3:31" s="260" customFormat="1" ht="15.75" thickBot="1" x14ac:dyDescent="0.3">
      <c r="C5497" s="84"/>
      <c r="D5497" s="375" t="s">
        <v>128</v>
      </c>
      <c r="E5497" s="376" t="s">
        <v>129</v>
      </c>
      <c r="F5497" s="376" t="s">
        <v>130</v>
      </c>
      <c r="G5497" s="376" t="s">
        <v>131</v>
      </c>
      <c r="H5497" s="376" t="s">
        <v>132</v>
      </c>
      <c r="I5497" s="376" t="s">
        <v>133</v>
      </c>
      <c r="J5497" s="377" t="s">
        <v>134</v>
      </c>
      <c r="K5497" s="88"/>
      <c r="M5497" s="99" t="s">
        <v>94</v>
      </c>
      <c r="N5497" s="98" t="s">
        <v>95</v>
      </c>
      <c r="O5497" s="95" t="s">
        <v>96</v>
      </c>
      <c r="P5497" s="359" t="s">
        <v>104</v>
      </c>
      <c r="Q5497" s="95" t="s">
        <v>116</v>
      </c>
      <c r="R5497" s="418" t="s">
        <v>117</v>
      </c>
      <c r="S5497" s="95" t="s">
        <v>347</v>
      </c>
      <c r="T5497" s="419" t="s">
        <v>118</v>
      </c>
      <c r="U5497" s="189" t="s">
        <v>119</v>
      </c>
      <c r="V5497" s="100" t="s">
        <v>98</v>
      </c>
      <c r="Y5497" s="383" t="s">
        <v>104</v>
      </c>
      <c r="Z5497" s="119" t="s">
        <v>9</v>
      </c>
      <c r="AA5497" s="86"/>
      <c r="AB5497" s="384"/>
      <c r="AC5497" s="385"/>
      <c r="AD5497" s="94"/>
      <c r="AE5497" s="410"/>
    </row>
    <row r="5498" spans="3:31" s="260" customFormat="1" ht="25.5" x14ac:dyDescent="0.25">
      <c r="C5498" s="84"/>
      <c r="D5498" s="354"/>
      <c r="E5498" s="96"/>
      <c r="F5498" s="96"/>
      <c r="G5498" s="96"/>
      <c r="H5498" s="96"/>
      <c r="I5498" s="96"/>
      <c r="J5498" s="420">
        <f>+F5495</f>
        <v>6.02</v>
      </c>
      <c r="K5498" s="88"/>
      <c r="M5498" s="102">
        <v>207</v>
      </c>
      <c r="N5498" s="347" t="str">
        <f>IFERROR(VLOOKUP(M5498,INSUMOS!$C$8:$K$928,2,0),"-----")</f>
        <v>Oficial Hidrosanitario</v>
      </c>
      <c r="O5498" s="78" t="str">
        <f>IFERROR(VLOOKUP(M5498,INSUMOS!$C$8:$K$928,3,0),"-----")</f>
        <v>JORNAL+PS</v>
      </c>
      <c r="P5498" s="80">
        <v>1</v>
      </c>
      <c r="Q5498" s="79">
        <v>0.25</v>
      </c>
      <c r="R5498" s="190">
        <f>IFERROR(VLOOKUP(M5498,INSUMOS!$C$8:$K$928,4,0),"-----")</f>
        <v>92983</v>
      </c>
      <c r="S5498" s="190">
        <f>IFERROR(VLOOKUP(M5498,INSUMOS!$C$8:$K$928,6,0),"-----")</f>
        <v>74386</v>
      </c>
      <c r="T5498" s="190">
        <f>IFERROR(VLOOKUP(M5498,INSUMOS!$C$8:$K$928,5,0),"-----")</f>
        <v>0</v>
      </c>
      <c r="U5498" s="388">
        <f>SUM(R5498:T5498)</f>
        <v>167369</v>
      </c>
      <c r="V5498" s="82">
        <f>+IFERROR((P5498/Q5498)*U5498,0)</f>
        <v>669476</v>
      </c>
      <c r="Y5498" s="393">
        <f>+IFERROR((Y5471/Q5498*P5498),0)</f>
        <v>4</v>
      </c>
      <c r="Z5498" s="391">
        <f>Y5471*V5498</f>
        <v>669476</v>
      </c>
      <c r="AA5498" s="86"/>
      <c r="AB5498" s="92">
        <f>+(U5498)*Y5498</f>
        <v>669476</v>
      </c>
      <c r="AC5498" s="93">
        <f>+AB5498-Z5498</f>
        <v>0</v>
      </c>
      <c r="AD5498" s="421"/>
      <c r="AE5498" s="410" t="str">
        <f>+IF(V5498=0,"CERO","NO")</f>
        <v>NO</v>
      </c>
    </row>
    <row r="5499" spans="3:31" s="260" customFormat="1" ht="26.25" thickBot="1" x14ac:dyDescent="0.3">
      <c r="C5499" s="84"/>
      <c r="D5499" s="355"/>
      <c r="E5499" s="367"/>
      <c r="F5499" s="367"/>
      <c r="G5499" s="367"/>
      <c r="H5499" s="367"/>
      <c r="I5499" s="367"/>
      <c r="J5499" s="422">
        <f>+J5498</f>
        <v>6.02</v>
      </c>
      <c r="K5499" s="88"/>
      <c r="M5499" s="102">
        <v>208</v>
      </c>
      <c r="N5499" s="347" t="str">
        <f>IFERROR(VLOOKUP(M5499,INSUMOS!$C$8:$K$928,2,0),"-----")</f>
        <v>Ayudante Hidrosanitario</v>
      </c>
      <c r="O5499" s="78" t="str">
        <f>IFERROR(VLOOKUP(M5499,INSUMOS!$C$8:$K$928,3,0),"-----")</f>
        <v>JORNAL+PS</v>
      </c>
      <c r="P5499" s="80">
        <v>1</v>
      </c>
      <c r="Q5499" s="79">
        <v>0.25</v>
      </c>
      <c r="R5499" s="190">
        <f>IFERROR(VLOOKUP(M5499,INSUMOS!$C$8:$K$928,4,0),"-----")</f>
        <v>69172</v>
      </c>
      <c r="S5499" s="190">
        <f>IFERROR(VLOOKUP(M5499,INSUMOS!$C$8:$K$928,6,0),"-----")</f>
        <v>55337</v>
      </c>
      <c r="T5499" s="190">
        <f>IFERROR(VLOOKUP(M5499,INSUMOS!$C$8:$K$928,5,0),"-----")</f>
        <v>0</v>
      </c>
      <c r="U5499" s="388">
        <f>SUM(R5499:T5499)</f>
        <v>124509</v>
      </c>
      <c r="V5499" s="82">
        <f>+IFERROR((P5499/Q5499)*U5499,0)</f>
        <v>498036</v>
      </c>
      <c r="Y5499" s="393">
        <f>+IFERROR((Y5471/Q5499*P5499),0)</f>
        <v>4</v>
      </c>
      <c r="Z5499" s="391">
        <f>Y5471*V5499</f>
        <v>498036</v>
      </c>
      <c r="AA5499" s="86"/>
      <c r="AB5499" s="92">
        <f>+U5499*Y5499</f>
        <v>498036</v>
      </c>
      <c r="AC5499" s="93">
        <f>+AB5499-Z5499</f>
        <v>0</v>
      </c>
      <c r="AD5499" s="94"/>
      <c r="AE5499" s="410" t="str">
        <f>+IF(V5499=0,"CERO","NO")</f>
        <v>NO</v>
      </c>
    </row>
    <row r="5500" spans="3:31" s="260" customFormat="1" ht="15.75" thickBot="1" x14ac:dyDescent="0.3">
      <c r="C5500" s="84"/>
      <c r="D5500" s="375" t="s">
        <v>128</v>
      </c>
      <c r="E5500" s="376" t="s">
        <v>129</v>
      </c>
      <c r="F5500" s="376" t="s">
        <v>130</v>
      </c>
      <c r="G5500" s="376" t="s">
        <v>131</v>
      </c>
      <c r="H5500" s="376" t="s">
        <v>132</v>
      </c>
      <c r="I5500" s="376" t="s">
        <v>133</v>
      </c>
      <c r="J5500" s="377" t="s">
        <v>134</v>
      </c>
      <c r="K5500" s="88"/>
      <c r="M5500" s="534"/>
      <c r="N5500" s="536" t="s">
        <v>120</v>
      </c>
      <c r="O5500" s="536"/>
      <c r="P5500" s="536"/>
      <c r="Q5500" s="536"/>
      <c r="R5500" s="536"/>
      <c r="S5500" s="536"/>
      <c r="T5500" s="536"/>
      <c r="U5500" s="536"/>
      <c r="V5500" s="82">
        <f>+SUM(V5498:V5499)</f>
        <v>1167512</v>
      </c>
      <c r="Y5500" s="398" t="s">
        <v>135</v>
      </c>
      <c r="Z5500" s="397">
        <f>+SUM(Z5498:Z5499)</f>
        <v>1167512</v>
      </c>
      <c r="AA5500" s="86"/>
      <c r="AB5500" s="384"/>
      <c r="AC5500" s="385"/>
      <c r="AD5500" s="94"/>
      <c r="AE5500" s="399"/>
    </row>
    <row r="5501" spans="3:31" s="260" customFormat="1" ht="15.75" thickBot="1" x14ac:dyDescent="0.3">
      <c r="C5501" s="84"/>
      <c r="D5501" s="354"/>
      <c r="E5501" s="96"/>
      <c r="F5501" s="96"/>
      <c r="G5501" s="107">
        <f>+F5495</f>
        <v>6.02</v>
      </c>
      <c r="H5501" s="96"/>
      <c r="I5501" s="96"/>
      <c r="J5501" s="427"/>
      <c r="K5501" s="88"/>
      <c r="M5501" s="535"/>
      <c r="N5501" s="537" t="s">
        <v>121</v>
      </c>
      <c r="O5501" s="537"/>
      <c r="P5501" s="537"/>
      <c r="Q5501" s="537"/>
      <c r="R5501" s="537"/>
      <c r="S5501" s="537"/>
      <c r="T5501" s="537"/>
      <c r="U5501" s="537"/>
      <c r="V5501" s="413">
        <f>+ROUND(V5500,$AA$5)</f>
        <v>1167512</v>
      </c>
      <c r="Y5501" s="401" t="s">
        <v>136</v>
      </c>
      <c r="Z5501" s="402">
        <f>+ROUND(Z5500,$AA$5)</f>
        <v>1167512</v>
      </c>
      <c r="AA5501" s="86"/>
      <c r="AB5501" s="403">
        <f>+V5501*Y5471</f>
        <v>1167512</v>
      </c>
      <c r="AC5501" s="404">
        <f>+AB5501-Z5501</f>
        <v>0</v>
      </c>
      <c r="AD5501" s="94"/>
      <c r="AE5501" s="405"/>
    </row>
    <row r="5502" spans="3:31" s="260" customFormat="1" ht="15.75" thickBot="1" x14ac:dyDescent="0.3">
      <c r="C5502" s="84"/>
      <c r="D5502" s="375" t="s">
        <v>128</v>
      </c>
      <c r="E5502" s="376" t="s">
        <v>129</v>
      </c>
      <c r="F5502" s="376" t="s">
        <v>130</v>
      </c>
      <c r="G5502" s="376" t="s">
        <v>131</v>
      </c>
      <c r="H5502" s="376" t="s">
        <v>132</v>
      </c>
      <c r="I5502" s="376" t="s">
        <v>133</v>
      </c>
      <c r="J5502" s="377" t="s">
        <v>134</v>
      </c>
      <c r="K5502" s="88"/>
      <c r="M5502" s="541"/>
      <c r="N5502" s="542"/>
      <c r="O5502" s="542"/>
      <c r="P5502" s="542"/>
      <c r="Q5502" s="542"/>
      <c r="R5502" s="542"/>
      <c r="S5502" s="542"/>
      <c r="T5502" s="542"/>
      <c r="U5502" s="542"/>
      <c r="V5502" s="543"/>
      <c r="Y5502" s="378"/>
      <c r="Z5502" s="121"/>
      <c r="AA5502" s="86"/>
      <c r="AB5502" s="409"/>
      <c r="AC5502" s="121"/>
      <c r="AD5502" s="94"/>
      <c r="AE5502" s="428"/>
    </row>
    <row r="5503" spans="3:31" s="260" customFormat="1" ht="15.75" thickBot="1" x14ac:dyDescent="0.3">
      <c r="C5503" s="84"/>
      <c r="D5503" s="355"/>
      <c r="E5503" s="367"/>
      <c r="F5503" s="367"/>
      <c r="G5503" s="367"/>
      <c r="H5503" s="412">
        <f>G5501</f>
        <v>6.02</v>
      </c>
      <c r="I5503" s="412"/>
      <c r="J5503" s="422"/>
      <c r="K5503" s="88"/>
      <c r="M5503" s="544" t="s">
        <v>122</v>
      </c>
      <c r="N5503" s="537"/>
      <c r="O5503" s="537"/>
      <c r="P5503" s="537"/>
      <c r="Q5503" s="537"/>
      <c r="R5503" s="537"/>
      <c r="S5503" s="537"/>
      <c r="T5503" s="537"/>
      <c r="U5503" s="545">
        <f>+V5501+V5495+V5490+V5478</f>
        <v>46279018.149999999</v>
      </c>
      <c r="V5503" s="546"/>
      <c r="Y5503" s="429"/>
      <c r="Z5503" s="430">
        <f>+Z5501+Z5495+Z5490+Z5478</f>
        <v>46279018.149999999</v>
      </c>
      <c r="AA5503" s="86"/>
      <c r="AB5503" s="431">
        <f>+AB5501+AB5495+AB5490+AB5478</f>
        <v>46279018.149999999</v>
      </c>
      <c r="AC5503" s="404">
        <f>+AB5503-Z5503</f>
        <v>0</v>
      </c>
      <c r="AD5503" s="94"/>
      <c r="AE5503" s="432"/>
    </row>
    <row r="5504" spans="3:31" s="260" customFormat="1" ht="15.75" thickBot="1" x14ac:dyDescent="0.3"/>
    <row r="5505" spans="3:31" s="260" customFormat="1" x14ac:dyDescent="0.25">
      <c r="M5505" s="547" t="s">
        <v>348</v>
      </c>
      <c r="N5505" s="548"/>
      <c r="O5505" s="548"/>
      <c r="P5505" s="548"/>
      <c r="Q5505" s="548"/>
      <c r="R5505" s="548"/>
      <c r="S5505" s="548"/>
      <c r="T5505" s="548"/>
      <c r="U5505" s="548"/>
      <c r="V5505" s="549"/>
      <c r="Y5505" s="378"/>
      <c r="Z5505" s="121"/>
      <c r="AA5505" s="86"/>
      <c r="AB5505" s="94"/>
      <c r="AC5505" s="94"/>
      <c r="AD5505" s="94"/>
      <c r="AE5505" s="126" t="s">
        <v>133</v>
      </c>
    </row>
    <row r="5506" spans="3:31" s="260" customFormat="1" x14ac:dyDescent="0.25">
      <c r="M5506" s="515" t="s">
        <v>138</v>
      </c>
      <c r="N5506" s="516"/>
      <c r="O5506" s="516"/>
      <c r="P5506" s="516"/>
      <c r="Q5506" s="516"/>
      <c r="R5506" s="516"/>
      <c r="S5506" s="516"/>
      <c r="T5506" s="437">
        <v>0</v>
      </c>
      <c r="U5506" s="517">
        <f>+ROUND(U5503*T5506,$AA$5)</f>
        <v>0</v>
      </c>
      <c r="V5506" s="518"/>
      <c r="Y5506" s="390"/>
      <c r="Z5506" s="438">
        <f>+Z5503*T5506</f>
        <v>0</v>
      </c>
      <c r="AA5506" s="86"/>
      <c r="AB5506" s="94"/>
      <c r="AC5506" s="94"/>
      <c r="AD5506" s="94"/>
      <c r="AE5506" s="386" t="s">
        <v>133</v>
      </c>
    </row>
    <row r="5507" spans="3:31" s="260" customFormat="1" x14ac:dyDescent="0.25">
      <c r="M5507" s="515" t="s">
        <v>19</v>
      </c>
      <c r="N5507" s="516"/>
      <c r="O5507" s="516"/>
      <c r="P5507" s="516"/>
      <c r="Q5507" s="516"/>
      <c r="R5507" s="516"/>
      <c r="S5507" s="516"/>
      <c r="T5507" s="437">
        <v>0.05</v>
      </c>
      <c r="U5507" s="517">
        <f>+ROUND(U5503*T5507,$AA$5)</f>
        <v>2313950.91</v>
      </c>
      <c r="V5507" s="518"/>
      <c r="Y5507" s="390"/>
      <c r="Z5507" s="438">
        <f>+Z5503*T5507</f>
        <v>2313950.9075000002</v>
      </c>
      <c r="AA5507" s="86"/>
      <c r="AB5507" s="94"/>
      <c r="AC5507" s="94"/>
      <c r="AD5507" s="94"/>
      <c r="AE5507" s="386" t="s">
        <v>133</v>
      </c>
    </row>
    <row r="5508" spans="3:31" s="260" customFormat="1" x14ac:dyDescent="0.25">
      <c r="M5508" s="515" t="s">
        <v>20</v>
      </c>
      <c r="N5508" s="516"/>
      <c r="O5508" s="516"/>
      <c r="P5508" s="516"/>
      <c r="Q5508" s="516"/>
      <c r="R5508" s="516"/>
      <c r="S5508" s="516"/>
      <c r="T5508" s="437">
        <v>0</v>
      </c>
      <c r="U5508" s="517">
        <f>+ROUND(U5503*T5508,$AA$5)</f>
        <v>0</v>
      </c>
      <c r="V5508" s="518"/>
      <c r="Y5508" s="390"/>
      <c r="Z5508" s="438">
        <f>+Z5503*T5508</f>
        <v>0</v>
      </c>
      <c r="AA5508" s="86"/>
      <c r="AB5508" s="94"/>
      <c r="AC5508" s="94"/>
      <c r="AD5508" s="94"/>
      <c r="AE5508" s="386" t="s">
        <v>133</v>
      </c>
    </row>
    <row r="5509" spans="3:31" s="260" customFormat="1" x14ac:dyDescent="0.25">
      <c r="M5509" s="515" t="s">
        <v>21</v>
      </c>
      <c r="N5509" s="516"/>
      <c r="O5509" s="516"/>
      <c r="P5509" s="516"/>
      <c r="Q5509" s="516"/>
      <c r="R5509" s="516"/>
      <c r="S5509" s="516"/>
      <c r="T5509" s="437">
        <f>$AA$9</f>
        <v>0</v>
      </c>
      <c r="U5509" s="517">
        <f>+ROUND(U5503*T5509,$AA$5)</f>
        <v>0</v>
      </c>
      <c r="V5509" s="518"/>
      <c r="Y5509" s="390"/>
      <c r="Z5509" s="438">
        <f>+Z5508*T5509</f>
        <v>0</v>
      </c>
      <c r="AA5509" s="86"/>
      <c r="AB5509" s="94"/>
      <c r="AC5509" s="94"/>
      <c r="AD5509" s="94"/>
      <c r="AE5509" s="386" t="s">
        <v>133</v>
      </c>
    </row>
    <row r="5510" spans="3:31" s="260" customFormat="1" ht="15.75" thickBot="1" x14ac:dyDescent="0.3">
      <c r="M5510" s="519" t="s">
        <v>349</v>
      </c>
      <c r="N5510" s="520"/>
      <c r="O5510" s="520"/>
      <c r="P5510" s="520"/>
      <c r="Q5510" s="520"/>
      <c r="R5510" s="520"/>
      <c r="S5510" s="520"/>
      <c r="T5510" s="520"/>
      <c r="U5510" s="521">
        <f>+SUM(U5506:V5509)</f>
        <v>2313950.91</v>
      </c>
      <c r="V5510" s="522"/>
      <c r="Y5510" s="390"/>
      <c r="Z5510" s="439">
        <f>+SUM(Z5506:Z5509)</f>
        <v>2313950.9075000002</v>
      </c>
      <c r="AA5510" s="86"/>
      <c r="AB5510" s="94"/>
      <c r="AC5510" s="94"/>
      <c r="AD5510" s="94"/>
      <c r="AE5510" s="386" t="s">
        <v>133</v>
      </c>
    </row>
    <row r="5511" spans="3:31" s="260" customFormat="1" ht="15.75" thickBot="1" x14ac:dyDescent="0.3">
      <c r="D5511" s="375" t="s">
        <v>128</v>
      </c>
      <c r="E5511" s="376" t="s">
        <v>129</v>
      </c>
      <c r="F5511" s="376" t="s">
        <v>130</v>
      </c>
      <c r="G5511" s="376" t="s">
        <v>131</v>
      </c>
      <c r="H5511" s="376" t="s">
        <v>132</v>
      </c>
      <c r="I5511" s="376" t="s">
        <v>133</v>
      </c>
      <c r="J5511" s="377" t="s">
        <v>134</v>
      </c>
      <c r="M5511" s="86"/>
      <c r="N5511" s="94"/>
      <c r="O5511" s="94"/>
      <c r="P5511" s="94"/>
      <c r="Q5511" s="86"/>
      <c r="R5511" s="86"/>
      <c r="S5511" s="86"/>
      <c r="T5511" s="440"/>
      <c r="U5511" s="523"/>
      <c r="V5511" s="523"/>
      <c r="Y5511" s="390"/>
      <c r="Z5511" s="385"/>
      <c r="AA5511" s="86"/>
      <c r="AB5511" s="94"/>
      <c r="AC5511" s="94"/>
      <c r="AD5511" s="94"/>
      <c r="AE5511" s="386" t="s">
        <v>133</v>
      </c>
    </row>
    <row r="5512" spans="3:31" s="260" customFormat="1" ht="15.75" thickBot="1" x14ac:dyDescent="0.3">
      <c r="D5512" s="355"/>
      <c r="E5512" s="367"/>
      <c r="F5512" s="367"/>
      <c r="G5512" s="367"/>
      <c r="H5512" s="412"/>
      <c r="I5512" s="412">
        <f>H5503</f>
        <v>6.02</v>
      </c>
      <c r="J5512" s="422"/>
      <c r="M5512" s="524" t="s">
        <v>11</v>
      </c>
      <c r="N5512" s="525"/>
      <c r="O5512" s="525"/>
      <c r="P5512" s="525"/>
      <c r="Q5512" s="525"/>
      <c r="R5512" s="525"/>
      <c r="S5512" s="525"/>
      <c r="T5512" s="526"/>
      <c r="U5512" s="527">
        <f>+U5510+U5503</f>
        <v>48592969.060000002</v>
      </c>
      <c r="V5512" s="528"/>
      <c r="Y5512" s="429"/>
      <c r="Z5512" s="441">
        <f>+Z5510+Z5503</f>
        <v>48592969.057499997</v>
      </c>
      <c r="AA5512" s="86"/>
      <c r="AB5512" s="94"/>
      <c r="AC5512" s="94"/>
      <c r="AD5512" s="94"/>
      <c r="AE5512" s="405" t="s">
        <v>133</v>
      </c>
    </row>
    <row r="5513" spans="3:31" s="260" customFormat="1" x14ac:dyDescent="0.25"/>
    <row r="5514" spans="3:31" s="260" customFormat="1" ht="15.75" thickBot="1" x14ac:dyDescent="0.3"/>
    <row r="5515" spans="3:31" s="260" customFormat="1" ht="15.75" thickBot="1" x14ac:dyDescent="0.3">
      <c r="M5515" s="363" t="s">
        <v>88</v>
      </c>
      <c r="N5515" s="436" t="str">
        <f>+N5470</f>
        <v>CAP.6</v>
      </c>
      <c r="O5515" s="550" t="str">
        <f>IFERROR(VLOOKUP(N5515,PPTO!C:H,2,0),"----")</f>
        <v>RED DE DRENAJE</v>
      </c>
      <c r="P5515" s="551"/>
      <c r="Q5515" s="551"/>
      <c r="R5515" s="551"/>
      <c r="S5515" s="551"/>
      <c r="T5515" s="551"/>
      <c r="U5515" s="552"/>
      <c r="V5515" s="74" t="s">
        <v>91</v>
      </c>
      <c r="Y5515" s="365" t="s">
        <v>104</v>
      </c>
      <c r="Z5515" s="94"/>
      <c r="AA5515" s="188"/>
      <c r="AB5515" s="553"/>
      <c r="AC5515" s="553"/>
      <c r="AD5515" s="553"/>
      <c r="AE5515" s="94"/>
    </row>
    <row r="5516" spans="3:31" s="260" customFormat="1" ht="15.75" thickBot="1" x14ac:dyDescent="0.3">
      <c r="C5516" s="369">
        <f>+N5516</f>
        <v>6.03</v>
      </c>
      <c r="D5516" s="86"/>
      <c r="E5516" s="86"/>
      <c r="F5516" s="86"/>
      <c r="G5516" s="86"/>
      <c r="H5516" s="86"/>
      <c r="I5516" s="86"/>
      <c r="J5516" s="86"/>
      <c r="K5516" s="370"/>
      <c r="M5516" s="75" t="s">
        <v>92</v>
      </c>
      <c r="N5516" s="371">
        <f>+ROUNDUP(N5471+0.01,2)</f>
        <v>6.03</v>
      </c>
      <c r="O5516" s="554" t="str">
        <f>IFERROR(VLOOKUP(N5516,PPTO!C:H,2,0),"----")</f>
        <v>Excavacion en material comun</v>
      </c>
      <c r="P5516" s="555"/>
      <c r="Q5516" s="555"/>
      <c r="R5516" s="555"/>
      <c r="S5516" s="555"/>
      <c r="T5516" s="555"/>
      <c r="U5516" s="556"/>
      <c r="V5516" s="76" t="str">
        <f>IFERROR(VLOOKUP(N5516,PPTO!C:H,3,0),"----")</f>
        <v>M3</v>
      </c>
      <c r="Y5516" s="373">
        <f>SUMIFS(PPTO!F:F,PPTO!C:C,APUS!N5516)</f>
        <v>127.35</v>
      </c>
      <c r="Z5516" s="94"/>
      <c r="AA5516" s="86"/>
      <c r="AB5516" s="94"/>
      <c r="AC5516" s="94"/>
      <c r="AD5516" s="94"/>
      <c r="AE5516" s="94"/>
    </row>
    <row r="5517" spans="3:31" s="260" customFormat="1" ht="15.75" thickBot="1" x14ac:dyDescent="0.3">
      <c r="C5517" s="84"/>
      <c r="D5517" s="86"/>
      <c r="E5517" s="86"/>
      <c r="F5517" s="86"/>
      <c r="G5517" s="86"/>
      <c r="H5517" s="86"/>
      <c r="I5517" s="86"/>
      <c r="J5517" s="86"/>
      <c r="K5517" s="88"/>
      <c r="M5517" s="557"/>
      <c r="N5517" s="557"/>
      <c r="O5517" s="557"/>
      <c r="P5517" s="557"/>
      <c r="Q5517" s="557"/>
      <c r="R5517" s="557"/>
      <c r="S5517" s="557"/>
      <c r="T5517" s="557"/>
      <c r="U5517" s="557"/>
      <c r="V5517" s="557"/>
      <c r="Y5517" s="374"/>
      <c r="Z5517" s="94"/>
      <c r="AA5517" s="86"/>
      <c r="AB5517" s="94"/>
      <c r="AC5517" s="94"/>
      <c r="AD5517" s="94"/>
      <c r="AE5517" s="94"/>
    </row>
    <row r="5518" spans="3:31" s="260" customFormat="1" ht="15.75" thickBot="1" x14ac:dyDescent="0.3">
      <c r="C5518" s="84"/>
      <c r="D5518" s="375" t="s">
        <v>128</v>
      </c>
      <c r="E5518" s="376" t="s">
        <v>129</v>
      </c>
      <c r="F5518" s="376" t="s">
        <v>130</v>
      </c>
      <c r="G5518" s="376" t="s">
        <v>131</v>
      </c>
      <c r="H5518" s="376" t="s">
        <v>132</v>
      </c>
      <c r="I5518" s="376" t="s">
        <v>133</v>
      </c>
      <c r="J5518" s="377" t="s">
        <v>134</v>
      </c>
      <c r="K5518" s="88"/>
      <c r="M5518" s="558" t="s">
        <v>93</v>
      </c>
      <c r="N5518" s="559"/>
      <c r="O5518" s="559"/>
      <c r="P5518" s="559"/>
      <c r="Q5518" s="559"/>
      <c r="R5518" s="559"/>
      <c r="S5518" s="559"/>
      <c r="T5518" s="559"/>
      <c r="U5518" s="559"/>
      <c r="V5518" s="560"/>
      <c r="Y5518" s="378"/>
      <c r="Z5518" s="121"/>
      <c r="AA5518" s="86"/>
      <c r="AB5518" s="513"/>
      <c r="AC5518" s="514"/>
      <c r="AD5518" s="94"/>
      <c r="AE5518" s="379"/>
    </row>
    <row r="5519" spans="3:31" s="260" customFormat="1" x14ac:dyDescent="0.25">
      <c r="C5519" s="84"/>
      <c r="D5519" s="380"/>
      <c r="E5519" s="381"/>
      <c r="F5519" s="381"/>
      <c r="G5519" s="381"/>
      <c r="H5519" s="381"/>
      <c r="I5519" s="381"/>
      <c r="J5519" s="382"/>
      <c r="K5519" s="88"/>
      <c r="M5519" s="99" t="s">
        <v>94</v>
      </c>
      <c r="N5519" s="561" t="s">
        <v>95</v>
      </c>
      <c r="O5519" s="561"/>
      <c r="P5519" s="561"/>
      <c r="Q5519" s="561"/>
      <c r="R5519" s="95" t="s">
        <v>96</v>
      </c>
      <c r="S5519" s="95" t="s">
        <v>97</v>
      </c>
      <c r="T5519" s="562" t="s">
        <v>8</v>
      </c>
      <c r="U5519" s="562"/>
      <c r="V5519" s="100" t="s">
        <v>98</v>
      </c>
      <c r="Y5519" s="383" t="s">
        <v>104</v>
      </c>
      <c r="Z5519" s="119" t="s">
        <v>9</v>
      </c>
      <c r="AA5519" s="86"/>
      <c r="AB5519" s="384"/>
      <c r="AC5519" s="385"/>
      <c r="AD5519" s="94"/>
      <c r="AE5519" s="386"/>
    </row>
    <row r="5520" spans="3:31" s="260" customFormat="1" x14ac:dyDescent="0.25">
      <c r="C5520" s="84"/>
      <c r="D5520" s="85"/>
      <c r="E5520" s="86"/>
      <c r="F5520" s="86"/>
      <c r="G5520" s="86"/>
      <c r="H5520" s="86"/>
      <c r="I5520" s="86"/>
      <c r="J5520" s="87"/>
      <c r="K5520" s="88"/>
      <c r="M5520" s="102"/>
      <c r="N5520" s="533" t="s">
        <v>99</v>
      </c>
      <c r="O5520" s="533"/>
      <c r="P5520" s="533"/>
      <c r="Q5520" s="533"/>
      <c r="R5520" s="78" t="s">
        <v>100</v>
      </c>
      <c r="S5520" s="387">
        <f>+$AA$10</f>
        <v>0.05</v>
      </c>
      <c r="T5520" s="563">
        <f>V5550</f>
        <v>57141</v>
      </c>
      <c r="U5520" s="563"/>
      <c r="V5520" s="389">
        <f>+IFERROR(T5520*S5520,0)</f>
        <v>2857.05</v>
      </c>
      <c r="Y5520" s="390"/>
      <c r="Z5520" s="391">
        <f>Y5516*V5520</f>
        <v>363845.3175</v>
      </c>
      <c r="AA5520" s="86"/>
      <c r="AB5520" s="384"/>
      <c r="AC5520" s="385"/>
      <c r="AD5520" s="94"/>
      <c r="AE5520" s="386" t="str">
        <f>+IF(V5520=0,"CERO","NO")</f>
        <v>NO</v>
      </c>
    </row>
    <row r="5521" spans="3:31" s="260" customFormat="1" x14ac:dyDescent="0.25">
      <c r="C5521" s="84"/>
      <c r="D5521" s="85"/>
      <c r="E5521" s="86"/>
      <c r="F5521" s="86"/>
      <c r="G5521" s="86"/>
      <c r="H5521" s="86"/>
      <c r="I5521" s="86"/>
      <c r="J5521" s="87"/>
      <c r="K5521" s="88"/>
      <c r="M5521" s="106"/>
      <c r="N5521" s="533" t="str">
        <f>IFERROR(VLOOKUP(M5521,INSUMOS!$C$8:$K$928,2,0),"-----")</f>
        <v>-----</v>
      </c>
      <c r="O5521" s="533"/>
      <c r="P5521" s="533"/>
      <c r="Q5521" s="533"/>
      <c r="R5521" s="78" t="str">
        <f>IFERROR(VLOOKUP(M5521,INSUMOS!$C$8:$K$928,6,0),"-----")</f>
        <v>-----</v>
      </c>
      <c r="S5521" s="392"/>
      <c r="T5521" s="529" t="str">
        <f>IFERROR(VLOOKUP(M5521,INSUMOS!$C$8:$K$928,7,0),"0")</f>
        <v>0</v>
      </c>
      <c r="U5521" s="529"/>
      <c r="V5521" s="389">
        <f>+IFERROR(T5521*S5521,0)</f>
        <v>0</v>
      </c>
      <c r="Y5521" s="393">
        <f>+IFERROR(Y5516*S5521,0)</f>
        <v>0</v>
      </c>
      <c r="Z5521" s="391">
        <f>Y5516*V5521</f>
        <v>0</v>
      </c>
      <c r="AA5521" s="394"/>
      <c r="AB5521" s="395">
        <f>+Y5521*T5521</f>
        <v>0</v>
      </c>
      <c r="AC5521" s="93">
        <f>+AB5521-Z5521</f>
        <v>0</v>
      </c>
      <c r="AD5521" s="94"/>
      <c r="AE5521" s="386" t="str">
        <f>+IF(V5521=0,"CERO","NO")</f>
        <v>CERO</v>
      </c>
    </row>
    <row r="5522" spans="3:31" s="260" customFormat="1" x14ac:dyDescent="0.25">
      <c r="C5522" s="84"/>
      <c r="D5522" s="85"/>
      <c r="E5522" s="86"/>
      <c r="F5522" s="86"/>
      <c r="G5522" s="86"/>
      <c r="H5522" s="86"/>
      <c r="I5522" s="86"/>
      <c r="J5522" s="87"/>
      <c r="K5522" s="88"/>
      <c r="M5522" s="102">
        <v>0</v>
      </c>
      <c r="N5522" s="533"/>
      <c r="O5522" s="533"/>
      <c r="P5522" s="533"/>
      <c r="Q5522" s="533"/>
      <c r="R5522" s="78"/>
      <c r="S5522" s="396"/>
      <c r="T5522" s="529"/>
      <c r="U5522" s="529"/>
      <c r="V5522" s="397"/>
      <c r="Y5522" s="393">
        <f>+IFERROR(Y5516*S5522,0)</f>
        <v>0</v>
      </c>
      <c r="Z5522" s="391">
        <f>Y5516*V5522</f>
        <v>0</v>
      </c>
      <c r="AA5522" s="394"/>
      <c r="AB5522" s="395">
        <f>+Y5522*T5522</f>
        <v>0</v>
      </c>
      <c r="AC5522" s="93">
        <f>+AB5522-Z5522</f>
        <v>0</v>
      </c>
      <c r="AD5522" s="94"/>
      <c r="AE5522" s="386" t="str">
        <f>+IF(V5522=0,"CERO","NO")</f>
        <v>CERO</v>
      </c>
    </row>
    <row r="5523" spans="3:31" s="260" customFormat="1" x14ac:dyDescent="0.25">
      <c r="C5523" s="84"/>
      <c r="D5523" s="85"/>
      <c r="E5523" s="86"/>
      <c r="F5523" s="86"/>
      <c r="G5523" s="86"/>
      <c r="H5523" s="86"/>
      <c r="I5523" s="86"/>
      <c r="J5523" s="87"/>
      <c r="K5523" s="88"/>
      <c r="M5523" s="102">
        <v>0</v>
      </c>
      <c r="N5523" s="533"/>
      <c r="O5523" s="533"/>
      <c r="P5523" s="533"/>
      <c r="Q5523" s="533"/>
      <c r="R5523" s="78"/>
      <c r="S5523" s="396"/>
      <c r="T5523" s="529"/>
      <c r="U5523" s="529"/>
      <c r="V5523" s="397"/>
      <c r="Y5523" s="393">
        <f>+IFERROR(Y5516*S5523,0)</f>
        <v>0</v>
      </c>
      <c r="Z5523" s="391">
        <f>Y5516*V5523</f>
        <v>0</v>
      </c>
      <c r="AA5523" s="394"/>
      <c r="AB5523" s="395">
        <f>+Y5523*T5523</f>
        <v>0</v>
      </c>
      <c r="AC5523" s="93">
        <f>+AB5523-Z5523</f>
        <v>0</v>
      </c>
      <c r="AD5523" s="94"/>
      <c r="AE5523" s="386" t="str">
        <f>+IF(V5523=0,"CERO","NO")</f>
        <v>CERO</v>
      </c>
    </row>
    <row r="5524" spans="3:31" s="260" customFormat="1" ht="15.75" thickBot="1" x14ac:dyDescent="0.3">
      <c r="C5524" s="84"/>
      <c r="D5524" s="85"/>
      <c r="E5524" s="86"/>
      <c r="F5524" s="86"/>
      <c r="G5524" s="86"/>
      <c r="H5524" s="86"/>
      <c r="I5524" s="86"/>
      <c r="J5524" s="87"/>
      <c r="K5524" s="88"/>
      <c r="M5524" s="102">
        <v>0</v>
      </c>
      <c r="N5524" s="564"/>
      <c r="O5524" s="564"/>
      <c r="P5524" s="564"/>
      <c r="Q5524" s="564"/>
      <c r="R5524" s="96"/>
      <c r="S5524" s="96"/>
      <c r="T5524" s="565"/>
      <c r="U5524" s="565"/>
      <c r="V5524" s="101"/>
      <c r="Y5524" s="393">
        <f>+IFERROR(Y5516*S5524,0)</f>
        <v>0</v>
      </c>
      <c r="Z5524" s="391">
        <f>Y5516*V5524</f>
        <v>0</v>
      </c>
      <c r="AA5524" s="394"/>
      <c r="AB5524" s="395">
        <f>+Y5524*T5524</f>
        <v>0</v>
      </c>
      <c r="AC5524" s="93">
        <f>+AB5524-Z5524</f>
        <v>0</v>
      </c>
      <c r="AD5524" s="94"/>
      <c r="AE5524" s="386" t="str">
        <f>+IF(V5524=0,"CERO","NO")</f>
        <v>CERO</v>
      </c>
    </row>
    <row r="5525" spans="3:31" s="260" customFormat="1" ht="15.75" thickBot="1" x14ac:dyDescent="0.3">
      <c r="C5525" s="84"/>
      <c r="D5525" s="375" t="s">
        <v>128</v>
      </c>
      <c r="E5525" s="376" t="s">
        <v>129</v>
      </c>
      <c r="F5525" s="376" t="s">
        <v>130</v>
      </c>
      <c r="G5525" s="376" t="s">
        <v>131</v>
      </c>
      <c r="H5525" s="376" t="s">
        <v>132</v>
      </c>
      <c r="I5525" s="376" t="s">
        <v>133</v>
      </c>
      <c r="J5525" s="377" t="s">
        <v>134</v>
      </c>
      <c r="K5525" s="88"/>
      <c r="M5525" s="534"/>
      <c r="N5525" s="536" t="s">
        <v>101</v>
      </c>
      <c r="O5525" s="536"/>
      <c r="P5525" s="536"/>
      <c r="Q5525" s="536"/>
      <c r="R5525" s="536"/>
      <c r="S5525" s="536"/>
      <c r="T5525" s="536"/>
      <c r="U5525" s="536"/>
      <c r="V5525" s="389">
        <f>+SUM(V5520:V5524)</f>
        <v>2857.05</v>
      </c>
      <c r="Y5525" s="398" t="s">
        <v>135</v>
      </c>
      <c r="Z5525" s="397">
        <f>+SUM(Z5520:Z5524)</f>
        <v>363845.3175</v>
      </c>
      <c r="AA5525" s="86"/>
      <c r="AB5525" s="384"/>
      <c r="AC5525" s="385"/>
      <c r="AD5525" s="94"/>
      <c r="AE5525" s="399"/>
    </row>
    <row r="5526" spans="3:31" s="260" customFormat="1" ht="15.75" thickBot="1" x14ac:dyDescent="0.3">
      <c r="C5526" s="84"/>
      <c r="D5526" s="375">
        <f>C5516</f>
        <v>6.03</v>
      </c>
      <c r="E5526" s="376"/>
      <c r="F5526" s="376"/>
      <c r="G5526" s="376"/>
      <c r="H5526" s="376"/>
      <c r="I5526" s="376"/>
      <c r="J5526" s="377"/>
      <c r="K5526" s="88"/>
      <c r="M5526" s="566"/>
      <c r="N5526" s="567" t="s">
        <v>102</v>
      </c>
      <c r="O5526" s="567"/>
      <c r="P5526" s="567"/>
      <c r="Q5526" s="567"/>
      <c r="R5526" s="567"/>
      <c r="S5526" s="567"/>
      <c r="T5526" s="567"/>
      <c r="U5526" s="567"/>
      <c r="V5526" s="400">
        <f>+ROUND(V5525,$AA$5)</f>
        <v>2857.05</v>
      </c>
      <c r="Y5526" s="401" t="s">
        <v>136</v>
      </c>
      <c r="Z5526" s="402">
        <f>+ROUND(Z5525,$AA$5)</f>
        <v>363845.32</v>
      </c>
      <c r="AA5526" s="86"/>
      <c r="AB5526" s="403">
        <f>+V5526*Y5516</f>
        <v>363845.3175</v>
      </c>
      <c r="AC5526" s="404">
        <f>+AB5526-Z5526</f>
        <v>-2.5000000023283064E-3</v>
      </c>
      <c r="AD5526" s="94"/>
      <c r="AE5526" s="405"/>
    </row>
    <row r="5527" spans="3:31" s="260" customFormat="1" x14ac:dyDescent="0.25">
      <c r="C5527" s="84"/>
      <c r="D5527" s="380"/>
      <c r="E5527" s="381"/>
      <c r="F5527" s="381"/>
      <c r="G5527" s="381"/>
      <c r="H5527" s="381"/>
      <c r="I5527" s="381"/>
      <c r="J5527" s="382"/>
      <c r="K5527" s="88"/>
      <c r="M5527" s="510" t="s">
        <v>103</v>
      </c>
      <c r="N5527" s="511"/>
      <c r="O5527" s="511"/>
      <c r="P5527" s="511"/>
      <c r="Q5527" s="511"/>
      <c r="R5527" s="511"/>
      <c r="S5527" s="511"/>
      <c r="T5527" s="511"/>
      <c r="U5527" s="511"/>
      <c r="V5527" s="512"/>
      <c r="Y5527" s="378"/>
      <c r="Z5527" s="121"/>
      <c r="AA5527" s="86"/>
      <c r="AB5527" s="513"/>
      <c r="AC5527" s="514"/>
      <c r="AD5527" s="94"/>
      <c r="AE5527" s="126"/>
    </row>
    <row r="5528" spans="3:31" s="260" customFormat="1" x14ac:dyDescent="0.25">
      <c r="C5528" s="84"/>
      <c r="D5528" s="85"/>
      <c r="E5528" s="86"/>
      <c r="F5528" s="86"/>
      <c r="G5528" s="86"/>
      <c r="H5528" s="86"/>
      <c r="I5528" s="86"/>
      <c r="J5528" s="87"/>
      <c r="K5528" s="88"/>
      <c r="M5528" s="99" t="s">
        <v>94</v>
      </c>
      <c r="N5528" s="561" t="s">
        <v>95</v>
      </c>
      <c r="O5528" s="561"/>
      <c r="P5528" s="561"/>
      <c r="Q5528" s="561"/>
      <c r="R5528" s="95" t="s">
        <v>96</v>
      </c>
      <c r="S5528" s="95" t="s">
        <v>104</v>
      </c>
      <c r="T5528" s="356" t="s">
        <v>105</v>
      </c>
      <c r="U5528" s="356" t="s">
        <v>8</v>
      </c>
      <c r="V5528" s="100" t="s">
        <v>98</v>
      </c>
      <c r="Y5528" s="383" t="s">
        <v>104</v>
      </c>
      <c r="Z5528" s="119" t="s">
        <v>9</v>
      </c>
      <c r="AA5528" s="86"/>
      <c r="AB5528" s="384"/>
      <c r="AC5528" s="385"/>
      <c r="AD5528" s="94"/>
      <c r="AE5528" s="406"/>
    </row>
    <row r="5529" spans="3:31" s="260" customFormat="1" x14ac:dyDescent="0.25">
      <c r="C5529" s="84"/>
      <c r="D5529" s="85"/>
      <c r="E5529" s="86"/>
      <c r="F5529" s="86"/>
      <c r="G5529" s="86"/>
      <c r="H5529" s="86"/>
      <c r="I5529" s="86"/>
      <c r="J5529" s="87"/>
      <c r="K5529" s="88"/>
      <c r="M5529" s="102"/>
      <c r="N5529" s="533" t="str">
        <f>IFERROR(VLOOKUP(M5529,INSUMOS!$C$8:$K$928,2,0),"-----")</f>
        <v>-----</v>
      </c>
      <c r="O5529" s="533"/>
      <c r="P5529" s="533"/>
      <c r="Q5529" s="533"/>
      <c r="R5529" s="78" t="str">
        <f>IFERROR(VLOOKUP(M5529,INSUMOS!$C$8:$K$928,6,0),"-----")</f>
        <v>-----</v>
      </c>
      <c r="S5529" s="396"/>
      <c r="T5529" s="387">
        <v>0</v>
      </c>
      <c r="U5529" s="388" t="str">
        <f>IFERROR(VLOOKUP(M5529,INSUMOS!$C$8:$K$928,7,0),"0")</f>
        <v>0</v>
      </c>
      <c r="V5529" s="389">
        <f>+IFERROR(U5529*(S5529*(1+T5529)),0)</f>
        <v>0</v>
      </c>
      <c r="Y5529" s="393">
        <f>+IFERROR(Y5516*(S5529*(1+T5529)),0)</f>
        <v>0</v>
      </c>
      <c r="Z5529" s="391">
        <f>Y5516*V5529</f>
        <v>0</v>
      </c>
      <c r="AA5529" s="394"/>
      <c r="AB5529" s="395">
        <f>+Y5529*U5529</f>
        <v>0</v>
      </c>
      <c r="AC5529" s="93">
        <f>+AB5529-Z5529</f>
        <v>0</v>
      </c>
      <c r="AD5529" s="94"/>
      <c r="AE5529" s="406" t="str">
        <f>+IF(V5529=0,"CERO","NO")</f>
        <v>CERO</v>
      </c>
    </row>
    <row r="5530" spans="3:31" s="260" customFormat="1" x14ac:dyDescent="0.25">
      <c r="C5530" s="84"/>
      <c r="D5530" s="85"/>
      <c r="E5530" s="86"/>
      <c r="F5530" s="86"/>
      <c r="G5530" s="86"/>
      <c r="H5530" s="86"/>
      <c r="I5530" s="86"/>
      <c r="J5530" s="87"/>
      <c r="K5530" s="88"/>
      <c r="M5530" s="102"/>
      <c r="N5530" s="533" t="str">
        <f>IFERROR(VLOOKUP(M5530,INSUMOS!$C$8:$K$928,2,0),"-----")</f>
        <v>-----</v>
      </c>
      <c r="O5530" s="533"/>
      <c r="P5530" s="533"/>
      <c r="Q5530" s="533"/>
      <c r="R5530" s="78" t="str">
        <f>IFERROR(VLOOKUP(M5530,INSUMOS!$C$8:$K$928,6,0),"-----")</f>
        <v>-----</v>
      </c>
      <c r="S5530" s="396"/>
      <c r="T5530" s="387">
        <v>0</v>
      </c>
      <c r="U5530" s="388" t="str">
        <f>IFERROR(VLOOKUP(M5530,INSUMOS!$C$8:$K$928,7,0),"0")</f>
        <v>0</v>
      </c>
      <c r="V5530" s="389">
        <f>+IFERROR(U5530*(S5530*(1+T5530)),0)</f>
        <v>0</v>
      </c>
      <c r="Y5530" s="393">
        <f>+IFERROR(Y5516*(S5530*(1+T5530)),0)</f>
        <v>0</v>
      </c>
      <c r="Z5530" s="391">
        <f>Y5516*V5530</f>
        <v>0</v>
      </c>
      <c r="AA5530" s="394"/>
      <c r="AB5530" s="395">
        <f>+Y5530*U5530</f>
        <v>0</v>
      </c>
      <c r="AC5530" s="93">
        <f>+AB5530-Z5530</f>
        <v>0</v>
      </c>
      <c r="AD5530" s="94"/>
      <c r="AE5530" s="406" t="str">
        <f>+IF(V5530=0,"CERO","NO")</f>
        <v>CERO</v>
      </c>
    </row>
    <row r="5531" spans="3:31" s="260" customFormat="1" x14ac:dyDescent="0.25">
      <c r="C5531" s="84"/>
      <c r="D5531" s="85"/>
      <c r="E5531" s="86"/>
      <c r="F5531" s="86"/>
      <c r="G5531" s="86"/>
      <c r="H5531" s="86"/>
      <c r="I5531" s="86"/>
      <c r="J5531" s="87"/>
      <c r="K5531" s="88"/>
      <c r="M5531" s="102"/>
      <c r="N5531" s="533" t="str">
        <f>IFERROR(VLOOKUP(M5531,INSUMOS!$C$8:$K$928,2,0),"-----")</f>
        <v>-----</v>
      </c>
      <c r="O5531" s="533"/>
      <c r="P5531" s="533"/>
      <c r="Q5531" s="533"/>
      <c r="R5531" s="78" t="str">
        <f>IFERROR(VLOOKUP(M5531,INSUMOS!$C$8:$K$928,6,0),"-----")</f>
        <v>-----</v>
      </c>
      <c r="S5531" s="396"/>
      <c r="T5531" s="387">
        <v>0</v>
      </c>
      <c r="U5531" s="388" t="str">
        <f>IFERROR(VLOOKUP(M5531,INSUMOS!$C$8:$K$928,7,0),"0")</f>
        <v>0</v>
      </c>
      <c r="V5531" s="389">
        <f>+IFERROR(U5531*(S5531*(1+T5531)),0)</f>
        <v>0</v>
      </c>
      <c r="Y5531" s="393">
        <f>+IFERROR(Y5516*(S5531*(1+T5531)),0)</f>
        <v>0</v>
      </c>
      <c r="Z5531" s="391">
        <f>Y5516*V5531</f>
        <v>0</v>
      </c>
      <c r="AA5531" s="394"/>
      <c r="AB5531" s="395">
        <f>+Y5531*U5531</f>
        <v>0</v>
      </c>
      <c r="AC5531" s="93">
        <f>+AB5531-Z5531</f>
        <v>0</v>
      </c>
      <c r="AD5531" s="94"/>
      <c r="AE5531" s="406" t="str">
        <f>+IF(V5531=0,"CERO","NO")</f>
        <v>CERO</v>
      </c>
    </row>
    <row r="5532" spans="3:31" s="260" customFormat="1" x14ac:dyDescent="0.25">
      <c r="C5532" s="84"/>
      <c r="D5532" s="85"/>
      <c r="E5532" s="86"/>
      <c r="F5532" s="86"/>
      <c r="G5532" s="86"/>
      <c r="H5532" s="86"/>
      <c r="I5532" s="86"/>
      <c r="J5532" s="87"/>
      <c r="K5532" s="88"/>
      <c r="M5532" s="102"/>
      <c r="N5532" s="533" t="str">
        <f>IFERROR(VLOOKUP(M5532,INSUMOS!$C$8:$K$928,2,0),"-----")</f>
        <v>-----</v>
      </c>
      <c r="O5532" s="533"/>
      <c r="P5532" s="533"/>
      <c r="Q5532" s="533"/>
      <c r="R5532" s="78" t="str">
        <f>IFERROR(VLOOKUP(M5532,INSUMOS!$C$8:$K$928,6,0),"-----")</f>
        <v>-----</v>
      </c>
      <c r="S5532" s="396"/>
      <c r="T5532" s="387">
        <v>0</v>
      </c>
      <c r="U5532" s="388" t="str">
        <f>IFERROR(VLOOKUP(M5532,INSUMOS!$C$8:$K$928,7,0),"0")</f>
        <v>0</v>
      </c>
      <c r="V5532" s="389">
        <f>+IFERROR(U5532*(S5532*(1+T5532)),0)</f>
        <v>0</v>
      </c>
      <c r="Y5532" s="393">
        <f>+IFERROR(Y5516*(S5532*(1+T5532)),0)</f>
        <v>0</v>
      </c>
      <c r="Z5532" s="391">
        <f>Y5516*V5532</f>
        <v>0</v>
      </c>
      <c r="AA5532" s="394"/>
      <c r="AB5532" s="395">
        <f>+Y5532*U5532</f>
        <v>0</v>
      </c>
      <c r="AC5532" s="93">
        <f>+AB5532-Z5532</f>
        <v>0</v>
      </c>
      <c r="AD5532" s="94"/>
      <c r="AE5532" s="406" t="str">
        <f>+IF(V5532=0,"CERO","NO")</f>
        <v>CERO</v>
      </c>
    </row>
    <row r="5533" spans="3:31" s="260" customFormat="1" ht="15.75" thickBot="1" x14ac:dyDescent="0.3">
      <c r="C5533" s="84"/>
      <c r="D5533" s="85"/>
      <c r="E5533" s="86"/>
      <c r="F5533" s="86"/>
      <c r="G5533" s="86"/>
      <c r="H5533" s="86"/>
      <c r="I5533" s="86"/>
      <c r="J5533" s="87"/>
      <c r="K5533" s="88"/>
      <c r="M5533" s="102">
        <v>0</v>
      </c>
      <c r="N5533" s="564"/>
      <c r="O5533" s="564"/>
      <c r="P5533" s="564"/>
      <c r="Q5533" s="564"/>
      <c r="R5533" s="96"/>
      <c r="S5533" s="79"/>
      <c r="T5533" s="97"/>
      <c r="U5533" s="358"/>
      <c r="V5533" s="397"/>
      <c r="Y5533" s="393">
        <f>+IFERROR(Y5516*(S5533*(1+T5533)),0)</f>
        <v>0</v>
      </c>
      <c r="Z5533" s="391">
        <f>Y5516*V5533</f>
        <v>0</v>
      </c>
      <c r="AA5533" s="394"/>
      <c r="AB5533" s="395">
        <f>+Y5533*U5533</f>
        <v>0</v>
      </c>
      <c r="AC5533" s="93">
        <f>+AB5533-Z5533</f>
        <v>0</v>
      </c>
      <c r="AD5533" s="94"/>
      <c r="AE5533" s="406" t="str">
        <f>+IF(V5533=0,"CERO","NO")</f>
        <v>CERO</v>
      </c>
    </row>
    <row r="5534" spans="3:31" s="260" customFormat="1" ht="15.75" thickBot="1" x14ac:dyDescent="0.3">
      <c r="C5534" s="84"/>
      <c r="D5534" s="375" t="s">
        <v>128</v>
      </c>
      <c r="E5534" s="376" t="s">
        <v>129</v>
      </c>
      <c r="F5534" s="376" t="s">
        <v>130</v>
      </c>
      <c r="G5534" s="376" t="s">
        <v>131</v>
      </c>
      <c r="H5534" s="376" t="s">
        <v>132</v>
      </c>
      <c r="I5534" s="376" t="s">
        <v>133</v>
      </c>
      <c r="J5534" s="377" t="s">
        <v>134</v>
      </c>
      <c r="K5534" s="88"/>
      <c r="M5534" s="534"/>
      <c r="N5534" s="536" t="s">
        <v>106</v>
      </c>
      <c r="O5534" s="536"/>
      <c r="P5534" s="536"/>
      <c r="Q5534" s="536"/>
      <c r="R5534" s="536"/>
      <c r="S5534" s="536"/>
      <c r="T5534" s="536"/>
      <c r="U5534" s="536"/>
      <c r="V5534" s="389">
        <f>+SUM(V5529:V5533)</f>
        <v>0</v>
      </c>
      <c r="Y5534" s="398" t="s">
        <v>135</v>
      </c>
      <c r="Z5534" s="397">
        <f>+SUM(Z5529:Z5533)</f>
        <v>0</v>
      </c>
      <c r="AA5534" s="86"/>
      <c r="AB5534" s="384"/>
      <c r="AC5534" s="385"/>
      <c r="AD5534" s="94"/>
      <c r="AE5534" s="399"/>
    </row>
    <row r="5535" spans="3:31" s="260" customFormat="1" ht="15.75" thickBot="1" x14ac:dyDescent="0.3">
      <c r="C5535" s="84"/>
      <c r="D5535" s="375"/>
      <c r="E5535" s="407">
        <f>+D5526</f>
        <v>6.03</v>
      </c>
      <c r="F5535" s="376"/>
      <c r="G5535" s="376"/>
      <c r="H5535" s="376"/>
      <c r="I5535" s="376"/>
      <c r="J5535" s="377"/>
      <c r="K5535" s="88"/>
      <c r="M5535" s="535"/>
      <c r="N5535" s="537" t="s">
        <v>107</v>
      </c>
      <c r="O5535" s="537"/>
      <c r="P5535" s="537"/>
      <c r="Q5535" s="537"/>
      <c r="R5535" s="537"/>
      <c r="S5535" s="537"/>
      <c r="T5535" s="537"/>
      <c r="U5535" s="537"/>
      <c r="V5535" s="408">
        <f>+ROUND(V5534,$AA$5)</f>
        <v>0</v>
      </c>
      <c r="Y5535" s="401" t="s">
        <v>136</v>
      </c>
      <c r="Z5535" s="402">
        <f>+ROUND(Z5534,$AA$5)</f>
        <v>0</v>
      </c>
      <c r="AA5535" s="86"/>
      <c r="AB5535" s="403">
        <f>+V5535*Y5516</f>
        <v>0</v>
      </c>
      <c r="AC5535" s="404">
        <f>+AB5535-Z5535</f>
        <v>0</v>
      </c>
      <c r="AD5535" s="94"/>
      <c r="AE5535" s="405"/>
    </row>
    <row r="5536" spans="3:31" s="260" customFormat="1" x14ac:dyDescent="0.25">
      <c r="C5536" s="84"/>
      <c r="D5536" s="380"/>
      <c r="E5536" s="381"/>
      <c r="F5536" s="381"/>
      <c r="G5536" s="381"/>
      <c r="H5536" s="381"/>
      <c r="I5536" s="381"/>
      <c r="J5536" s="382"/>
      <c r="K5536" s="88"/>
      <c r="M5536" s="568" t="s">
        <v>108</v>
      </c>
      <c r="N5536" s="569"/>
      <c r="O5536" s="569"/>
      <c r="P5536" s="569"/>
      <c r="Q5536" s="569"/>
      <c r="R5536" s="569"/>
      <c r="S5536" s="569"/>
      <c r="T5536" s="569"/>
      <c r="U5536" s="569"/>
      <c r="V5536" s="570"/>
      <c r="Y5536" s="378"/>
      <c r="Z5536" s="121"/>
      <c r="AA5536" s="86"/>
      <c r="AB5536" s="409"/>
      <c r="AC5536" s="121"/>
      <c r="AD5536" s="94"/>
      <c r="AE5536" s="126"/>
    </row>
    <row r="5537" spans="3:31" s="260" customFormat="1" ht="25.5" x14ac:dyDescent="0.25">
      <c r="C5537" s="84"/>
      <c r="D5537" s="85"/>
      <c r="E5537" s="86"/>
      <c r="F5537" s="86"/>
      <c r="G5537" s="86"/>
      <c r="H5537" s="86"/>
      <c r="I5537" s="86"/>
      <c r="J5537" s="87"/>
      <c r="K5537" s="88"/>
      <c r="M5537" s="99" t="s">
        <v>94</v>
      </c>
      <c r="N5537" s="561" t="s">
        <v>95</v>
      </c>
      <c r="O5537" s="561"/>
      <c r="P5537" s="561"/>
      <c r="Q5537" s="95" t="s">
        <v>109</v>
      </c>
      <c r="R5537" s="95" t="s">
        <v>110</v>
      </c>
      <c r="S5537" s="95" t="s">
        <v>111</v>
      </c>
      <c r="T5537" s="562" t="s">
        <v>112</v>
      </c>
      <c r="U5537" s="562"/>
      <c r="V5537" s="100" t="s">
        <v>98</v>
      </c>
      <c r="Y5537" s="383" t="s">
        <v>104</v>
      </c>
      <c r="Z5537" s="119" t="s">
        <v>9</v>
      </c>
      <c r="AA5537" s="86"/>
      <c r="AB5537" s="384"/>
      <c r="AC5537" s="385"/>
      <c r="AD5537" s="94"/>
      <c r="AE5537" s="410"/>
    </row>
    <row r="5538" spans="3:31" s="260" customFormat="1" x14ac:dyDescent="0.25">
      <c r="C5538" s="84"/>
      <c r="D5538" s="85"/>
      <c r="E5538" s="86"/>
      <c r="F5538" s="86"/>
      <c r="G5538" s="86"/>
      <c r="H5538" s="86"/>
      <c r="I5538" s="86"/>
      <c r="J5538" s="87"/>
      <c r="K5538" s="88"/>
      <c r="M5538" s="102"/>
      <c r="N5538" s="530" t="str">
        <f>IFERROR(VLOOKUP(M5538,INSUMOS!$C$8:$K$928,2,0),"-----")</f>
        <v>-----</v>
      </c>
      <c r="O5538" s="531"/>
      <c r="P5538" s="532"/>
      <c r="Q5538" s="78" t="str">
        <f>IFERROR(VLOOKUP(M5538,INSUMOS!$C$8:$K$928,5,0),"-----")</f>
        <v>-----</v>
      </c>
      <c r="R5538" s="80"/>
      <c r="S5538" s="80" t="str">
        <f>IFERROR(VLOOKUP(M5538,INSUMOS!$C$8:$K$928,6,0),"0")</f>
        <v>0</v>
      </c>
      <c r="T5538" s="529" t="str">
        <f>IFERROR(VLOOKUP(M5538,INSUMOS!$C$8:$K$928,7,0),"0")</f>
        <v>0</v>
      </c>
      <c r="U5538" s="529"/>
      <c r="V5538" s="82">
        <f>+T5538*S5538*R5538</f>
        <v>0</v>
      </c>
      <c r="Y5538" s="393">
        <f>+IFERROR((R5538*S5538)*Y5516,0)</f>
        <v>0</v>
      </c>
      <c r="Z5538" s="391">
        <f>Y5516*V5538</f>
        <v>0</v>
      </c>
      <c r="AA5538" s="86"/>
      <c r="AB5538" s="92">
        <f>+Y5538*T5538</f>
        <v>0</v>
      </c>
      <c r="AC5538" s="93">
        <f>+AB5538-Z5538</f>
        <v>0</v>
      </c>
      <c r="AD5538" s="94"/>
      <c r="AE5538" s="406" t="str">
        <f>+IF(V5538=0,"CERO","NO")</f>
        <v>CERO</v>
      </c>
    </row>
    <row r="5539" spans="3:31" s="260" customFormat="1" x14ac:dyDescent="0.25">
      <c r="C5539" s="84"/>
      <c r="D5539" s="85"/>
      <c r="E5539" s="86"/>
      <c r="F5539" s="86"/>
      <c r="G5539" s="86"/>
      <c r="H5539" s="86"/>
      <c r="I5539" s="86"/>
      <c r="J5539" s="87"/>
      <c r="K5539" s="88"/>
      <c r="M5539" s="102">
        <v>0</v>
      </c>
      <c r="N5539" s="530" t="str">
        <f>IFERROR(VLOOKUP(M5539,INSUMOS!$C$8:$K$928,2,0),"-----")</f>
        <v>-----</v>
      </c>
      <c r="O5539" s="531"/>
      <c r="P5539" s="532"/>
      <c r="Q5539" s="78" t="str">
        <f>IFERROR(VLOOKUP(M5539,INSUMOS!$C$8:$K$928,5,0),"-----")</f>
        <v>-----</v>
      </c>
      <c r="R5539" s="80"/>
      <c r="S5539" s="80" t="str">
        <f>IFERROR(VLOOKUP(M5539,INSUMOS!$C$8:$K$928,6,0),"0")</f>
        <v>0</v>
      </c>
      <c r="T5539" s="529" t="str">
        <f>IFERROR(VLOOKUP(M5539,INSUMOS!$C$8:$K$928,7,0),"0")</f>
        <v>0</v>
      </c>
      <c r="U5539" s="529"/>
      <c r="V5539" s="82">
        <f>+T5539*S5539*R5539</f>
        <v>0</v>
      </c>
      <c r="Y5539" s="393">
        <f>+IFERROR((R5539*S5539)*Y5516,0)</f>
        <v>0</v>
      </c>
      <c r="Z5539" s="391">
        <f>Y5516*V5539</f>
        <v>0</v>
      </c>
      <c r="AA5539" s="86"/>
      <c r="AB5539" s="92">
        <f>+Y5539*T5539</f>
        <v>0</v>
      </c>
      <c r="AC5539" s="93">
        <f>+AB5539-Z5539</f>
        <v>0</v>
      </c>
      <c r="AD5539" s="94"/>
      <c r="AE5539" s="406" t="str">
        <f>+IF(V5539=0,"CERO","NO")</f>
        <v>CERO</v>
      </c>
    </row>
    <row r="5540" spans="3:31" s="260" customFormat="1" x14ac:dyDescent="0.25">
      <c r="C5540" s="84"/>
      <c r="D5540" s="85"/>
      <c r="E5540" s="86"/>
      <c r="F5540" s="86"/>
      <c r="G5540" s="86"/>
      <c r="H5540" s="86"/>
      <c r="I5540" s="86"/>
      <c r="J5540" s="87"/>
      <c r="K5540" s="88"/>
      <c r="M5540" s="102">
        <v>0</v>
      </c>
      <c r="N5540" s="530" t="str">
        <f>IFERROR(VLOOKUP(M5540,INSUMOS!$C$8:$K$928,2,0),"-----")</f>
        <v>-----</v>
      </c>
      <c r="O5540" s="531"/>
      <c r="P5540" s="532"/>
      <c r="Q5540" s="78" t="str">
        <f>IFERROR(VLOOKUP(M5540,INSUMOS!$C$8:$K$928,5,0),"-----")</f>
        <v>-----</v>
      </c>
      <c r="R5540" s="80"/>
      <c r="S5540" s="80" t="str">
        <f>IFERROR(VLOOKUP(M5540,INSUMOS!$C$8:$K$928,6,0),"0")</f>
        <v>0</v>
      </c>
      <c r="T5540" s="529" t="str">
        <f>IFERROR(VLOOKUP(M5540,INSUMOS!$C$8:$K$928,7,0),"0")</f>
        <v>0</v>
      </c>
      <c r="U5540" s="529"/>
      <c r="V5540" s="82">
        <f>+T5540*S5540*R5540</f>
        <v>0</v>
      </c>
      <c r="Y5540" s="393">
        <f>+IFERROR((R5540*S5540)*Y5516,0)</f>
        <v>0</v>
      </c>
      <c r="Z5540" s="391">
        <f>Y5516*V5540</f>
        <v>0</v>
      </c>
      <c r="AA5540" s="86"/>
      <c r="AB5540" s="92">
        <f>+Y5540*T5540</f>
        <v>0</v>
      </c>
      <c r="AC5540" s="93">
        <f>+AB5540-Z5540</f>
        <v>0</v>
      </c>
      <c r="AD5540" s="94"/>
      <c r="AE5540" s="406" t="str">
        <f>+IF(V5540=0,"CERO","NO")</f>
        <v>CERO</v>
      </c>
    </row>
    <row r="5541" spans="3:31" s="260" customFormat="1" ht="15.75" thickBot="1" x14ac:dyDescent="0.3">
      <c r="C5541" s="84"/>
      <c r="D5541" s="89"/>
      <c r="E5541" s="90"/>
      <c r="F5541" s="90"/>
      <c r="G5541" s="90"/>
      <c r="H5541" s="90"/>
      <c r="I5541" s="90"/>
      <c r="J5541" s="91"/>
      <c r="K5541" s="88"/>
      <c r="M5541" s="102">
        <v>0</v>
      </c>
      <c r="N5541" s="533"/>
      <c r="O5541" s="533"/>
      <c r="P5541" s="533"/>
      <c r="Q5541" s="79"/>
      <c r="R5541" s="78"/>
      <c r="S5541" s="81"/>
      <c r="T5541" s="529"/>
      <c r="U5541" s="529"/>
      <c r="V5541" s="82"/>
      <c r="Y5541" s="393">
        <f>+IFERROR((R5541*S5541)*Y5516,0)</f>
        <v>0</v>
      </c>
      <c r="Z5541" s="391">
        <f>Y5516*V5541</f>
        <v>0</v>
      </c>
      <c r="AA5541" s="86"/>
      <c r="AB5541" s="92">
        <f>+Y5541*T5541</f>
        <v>0</v>
      </c>
      <c r="AC5541" s="93">
        <f>+AB5541-Z5541</f>
        <v>0</v>
      </c>
      <c r="AD5541" s="94"/>
      <c r="AE5541" s="406" t="str">
        <f>+IF(V5541=0,"CERO","NO")</f>
        <v>CERO</v>
      </c>
    </row>
    <row r="5542" spans="3:31" s="260" customFormat="1" ht="15.75" thickBot="1" x14ac:dyDescent="0.3">
      <c r="C5542" s="84"/>
      <c r="D5542" s="375" t="s">
        <v>128</v>
      </c>
      <c r="E5542" s="376" t="s">
        <v>129</v>
      </c>
      <c r="F5542" s="376" t="s">
        <v>130</v>
      </c>
      <c r="G5542" s="376" t="s">
        <v>131</v>
      </c>
      <c r="H5542" s="376" t="s">
        <v>132</v>
      </c>
      <c r="I5542" s="376" t="s">
        <v>133</v>
      </c>
      <c r="J5542" s="377" t="s">
        <v>134</v>
      </c>
      <c r="K5542" s="88"/>
      <c r="M5542" s="534"/>
      <c r="N5542" s="536" t="s">
        <v>113</v>
      </c>
      <c r="O5542" s="536"/>
      <c r="P5542" s="536"/>
      <c r="Q5542" s="536"/>
      <c r="R5542" s="536"/>
      <c r="S5542" s="536"/>
      <c r="T5542" s="536"/>
      <c r="U5542" s="536"/>
      <c r="V5542" s="411">
        <f>+SUM(V5538:V5541)</f>
        <v>0</v>
      </c>
      <c r="Y5542" s="398" t="s">
        <v>135</v>
      </c>
      <c r="Z5542" s="397">
        <f>+SUM(Z5538:Z5541)</f>
        <v>0</v>
      </c>
      <c r="AA5542" s="86"/>
      <c r="AB5542" s="384"/>
      <c r="AC5542" s="385"/>
      <c r="AD5542" s="94"/>
      <c r="AE5542" s="399"/>
    </row>
    <row r="5543" spans="3:31" s="260" customFormat="1" ht="15.75" thickBot="1" x14ac:dyDescent="0.3">
      <c r="C5543" s="84"/>
      <c r="D5543" s="355"/>
      <c r="E5543" s="367"/>
      <c r="F5543" s="412">
        <f>+E5535</f>
        <v>6.03</v>
      </c>
      <c r="G5543" s="367"/>
      <c r="H5543" s="367"/>
      <c r="I5543" s="367"/>
      <c r="J5543" s="368"/>
      <c r="K5543" s="88"/>
      <c r="M5543" s="535"/>
      <c r="N5543" s="537" t="s">
        <v>114</v>
      </c>
      <c r="O5543" s="537"/>
      <c r="P5543" s="537"/>
      <c r="Q5543" s="537"/>
      <c r="R5543" s="537"/>
      <c r="S5543" s="537"/>
      <c r="T5543" s="537"/>
      <c r="U5543" s="537"/>
      <c r="V5543" s="413">
        <f>+ROUND(V5542,$AA$5)</f>
        <v>0</v>
      </c>
      <c r="Y5543" s="401" t="s">
        <v>136</v>
      </c>
      <c r="Z5543" s="402">
        <f>+ROUND(Z5542,$AA$5)</f>
        <v>0</v>
      </c>
      <c r="AA5543" s="86"/>
      <c r="AB5543" s="403">
        <f>+V5543*Y5516</f>
        <v>0</v>
      </c>
      <c r="AC5543" s="414"/>
      <c r="AD5543" s="94"/>
      <c r="AE5543" s="405"/>
    </row>
    <row r="5544" spans="3:31" s="260" customFormat="1" ht="15.75" thickBot="1" x14ac:dyDescent="0.3">
      <c r="C5544" s="84"/>
      <c r="D5544" s="415"/>
      <c r="E5544" s="416"/>
      <c r="F5544" s="416"/>
      <c r="G5544" s="416"/>
      <c r="H5544" s="416"/>
      <c r="I5544" s="416"/>
      <c r="J5544" s="417"/>
      <c r="K5544" s="88"/>
      <c r="M5544" s="538" t="s">
        <v>115</v>
      </c>
      <c r="N5544" s="539"/>
      <c r="O5544" s="539"/>
      <c r="P5544" s="539"/>
      <c r="Q5544" s="539"/>
      <c r="R5544" s="539"/>
      <c r="S5544" s="539"/>
      <c r="T5544" s="539"/>
      <c r="U5544" s="539"/>
      <c r="V5544" s="540"/>
      <c r="Y5544" s="378"/>
      <c r="Z5544" s="121"/>
      <c r="AA5544" s="86"/>
      <c r="AB5544" s="409"/>
      <c r="AC5544" s="121"/>
      <c r="AD5544" s="94"/>
      <c r="AE5544" s="126"/>
    </row>
    <row r="5545" spans="3:31" s="260" customFormat="1" ht="15.75" thickBot="1" x14ac:dyDescent="0.3">
      <c r="C5545" s="84"/>
      <c r="D5545" s="375" t="s">
        <v>128</v>
      </c>
      <c r="E5545" s="376" t="s">
        <v>129</v>
      </c>
      <c r="F5545" s="376" t="s">
        <v>130</v>
      </c>
      <c r="G5545" s="376" t="s">
        <v>131</v>
      </c>
      <c r="H5545" s="376" t="s">
        <v>132</v>
      </c>
      <c r="I5545" s="376" t="s">
        <v>133</v>
      </c>
      <c r="J5545" s="377" t="s">
        <v>134</v>
      </c>
      <c r="K5545" s="88"/>
      <c r="M5545" s="99" t="s">
        <v>94</v>
      </c>
      <c r="N5545" s="98" t="s">
        <v>95</v>
      </c>
      <c r="O5545" s="95" t="s">
        <v>96</v>
      </c>
      <c r="P5545" s="359" t="s">
        <v>104</v>
      </c>
      <c r="Q5545" s="95" t="s">
        <v>116</v>
      </c>
      <c r="R5545" s="418" t="s">
        <v>117</v>
      </c>
      <c r="S5545" s="95" t="s">
        <v>347</v>
      </c>
      <c r="T5545" s="419" t="s">
        <v>118</v>
      </c>
      <c r="U5545" s="189" t="s">
        <v>119</v>
      </c>
      <c r="V5545" s="100" t="s">
        <v>98</v>
      </c>
      <c r="Y5545" s="383" t="s">
        <v>104</v>
      </c>
      <c r="Z5545" s="119" t="s">
        <v>9</v>
      </c>
      <c r="AA5545" s="86"/>
      <c r="AB5545" s="384"/>
      <c r="AC5545" s="385"/>
      <c r="AD5545" s="94"/>
      <c r="AE5545" s="410"/>
    </row>
    <row r="5546" spans="3:31" s="260" customFormat="1" ht="25.5" x14ac:dyDescent="0.25">
      <c r="C5546" s="84"/>
      <c r="D5546" s="354"/>
      <c r="E5546" s="96"/>
      <c r="F5546" s="96"/>
      <c r="G5546" s="96"/>
      <c r="H5546" s="96"/>
      <c r="I5546" s="96"/>
      <c r="J5546" s="420">
        <f>+F5543</f>
        <v>6.03</v>
      </c>
      <c r="K5546" s="88"/>
      <c r="M5546" s="102">
        <v>202</v>
      </c>
      <c r="N5546" s="347" t="str">
        <f>IFERROR(VLOOKUP(M5546,INSUMOS!$C$8:$K$928,2,0),"-----")</f>
        <v>Ayudante Albañileria</v>
      </c>
      <c r="O5546" s="78" t="str">
        <f>IFERROR(VLOOKUP(M5546,INSUMOS!$C$8:$K$928,3,0),"-----")</f>
        <v>JORNAL+PS</v>
      </c>
      <c r="P5546" s="80">
        <v>2</v>
      </c>
      <c r="Q5546" s="79">
        <v>4</v>
      </c>
      <c r="R5546" s="190">
        <f>IFERROR(VLOOKUP(M5546,INSUMOS!$C$8:$K$928,4,0),"-----")</f>
        <v>63490</v>
      </c>
      <c r="S5546" s="190">
        <f>IFERROR(VLOOKUP(M5546,INSUMOS!$C$8:$K$928,6,0),"-----")</f>
        <v>50792</v>
      </c>
      <c r="T5546" s="190">
        <f>IFERROR(VLOOKUP(M5546,INSUMOS!$C$8:$K$928,5,0),"-----")</f>
        <v>0</v>
      </c>
      <c r="U5546" s="388">
        <f>SUM(R5546:T5546)</f>
        <v>114282</v>
      </c>
      <c r="V5546" s="82">
        <f>+IFERROR((P5546/Q5546)*U5546,0)</f>
        <v>57141</v>
      </c>
      <c r="Y5546" s="393">
        <f>+IFERROR((Y5516/Q5546*P5546),0)</f>
        <v>63.674999999999997</v>
      </c>
      <c r="Z5546" s="391">
        <f>Y5516*V5546</f>
        <v>7276906.3499999996</v>
      </c>
      <c r="AA5546" s="86"/>
      <c r="AB5546" s="92">
        <f>+(U5546)*Y5546</f>
        <v>7276906.3499999996</v>
      </c>
      <c r="AC5546" s="93">
        <f>+AB5546-Z5546</f>
        <v>0</v>
      </c>
      <c r="AD5546" s="421"/>
      <c r="AE5546" s="410" t="str">
        <f>+IF(V5546=0,"CERO","NO")</f>
        <v>NO</v>
      </c>
    </row>
    <row r="5547" spans="3:31" s="260" customFormat="1" ht="15.75" thickBot="1" x14ac:dyDescent="0.3">
      <c r="C5547" s="84"/>
      <c r="D5547" s="355"/>
      <c r="E5547" s="367"/>
      <c r="F5547" s="367"/>
      <c r="G5547" s="367"/>
      <c r="H5547" s="367"/>
      <c r="I5547" s="367"/>
      <c r="J5547" s="422">
        <f>+J5546</f>
        <v>6.03</v>
      </c>
      <c r="K5547" s="88"/>
      <c r="M5547" s="102"/>
      <c r="N5547" s="347" t="str">
        <f>IFERROR(VLOOKUP(M5547,INSUMOS!$C$8:$K$928,2,0),"-----")</f>
        <v>-----</v>
      </c>
      <c r="O5547" s="78" t="str">
        <f>IFERROR(VLOOKUP(M5547,INSUMOS!$C$8:$K$928,3,0),"-----")</f>
        <v>-----</v>
      </c>
      <c r="P5547" s="80"/>
      <c r="Q5547" s="79"/>
      <c r="R5547" s="190" t="str">
        <f>IFERROR(VLOOKUP(M5547,INSUMOS!$C$8:$K$928,4,0),"-----")</f>
        <v>-----</v>
      </c>
      <c r="S5547" s="190" t="str">
        <f>IFERROR(VLOOKUP(M5547,INSUMOS!$C$8:$K$928,6,0),"-----")</f>
        <v>-----</v>
      </c>
      <c r="T5547" s="190" t="str">
        <f>IFERROR(VLOOKUP(M5547,INSUMOS!$C$8:$K$928,5,0),"-----")</f>
        <v>-----</v>
      </c>
      <c r="U5547" s="388">
        <f>SUM(R5547:T5547)</f>
        <v>0</v>
      </c>
      <c r="V5547" s="82">
        <f>+IFERROR((P5547/Q5547)*U5547,0)</f>
        <v>0</v>
      </c>
      <c r="Y5547" s="393">
        <f>+IFERROR((Y5516/Q5547*P5547),0)</f>
        <v>0</v>
      </c>
      <c r="Z5547" s="391">
        <f>Y5516*V5547</f>
        <v>0</v>
      </c>
      <c r="AA5547" s="86"/>
      <c r="AB5547" s="92">
        <f>+U5547*Y5547</f>
        <v>0</v>
      </c>
      <c r="AC5547" s="93">
        <f>+AB5547-Z5547</f>
        <v>0</v>
      </c>
      <c r="AD5547" s="94"/>
      <c r="AE5547" s="410" t="str">
        <f>+IF(V5547=0,"CERO","NO")</f>
        <v>CERO</v>
      </c>
    </row>
    <row r="5548" spans="3:31" s="260" customFormat="1" ht="15.75" thickBot="1" x14ac:dyDescent="0.3">
      <c r="C5548" s="84"/>
      <c r="D5548" s="380"/>
      <c r="E5548" s="381"/>
      <c r="F5548" s="381"/>
      <c r="G5548" s="381"/>
      <c r="H5548" s="381"/>
      <c r="I5548" s="381"/>
      <c r="J5548" s="382"/>
      <c r="K5548" s="88"/>
      <c r="M5548" s="102">
        <v>0</v>
      </c>
      <c r="N5548" s="347"/>
      <c r="O5548" s="79"/>
      <c r="P5548" s="423"/>
      <c r="Q5548" s="81"/>
      <c r="R5548" s="111"/>
      <c r="S5548" s="357"/>
      <c r="T5548" s="111"/>
      <c r="U5548" s="388"/>
      <c r="V5548" s="426"/>
      <c r="Y5548" s="393">
        <f>+IFERROR((Y5516/Q5548*P5548),0)</f>
        <v>0</v>
      </c>
      <c r="Z5548" s="391">
        <f>Y5516*V5548</f>
        <v>0</v>
      </c>
      <c r="AA5548" s="86"/>
      <c r="AB5548" s="92">
        <f>+(U5548)*Y5548*P5548</f>
        <v>0</v>
      </c>
      <c r="AC5548" s="93">
        <f>+AB5548-Z5548</f>
        <v>0</v>
      </c>
      <c r="AD5548" s="94"/>
      <c r="AE5548" s="410" t="str">
        <f>+IF(V5548=0,"CERO","NO")</f>
        <v>CERO</v>
      </c>
    </row>
    <row r="5549" spans="3:31" s="260" customFormat="1" ht="15.75" thickBot="1" x14ac:dyDescent="0.3">
      <c r="C5549" s="84"/>
      <c r="D5549" s="375" t="s">
        <v>128</v>
      </c>
      <c r="E5549" s="376" t="s">
        <v>129</v>
      </c>
      <c r="F5549" s="376" t="s">
        <v>130</v>
      </c>
      <c r="G5549" s="376" t="s">
        <v>131</v>
      </c>
      <c r="H5549" s="376" t="s">
        <v>132</v>
      </c>
      <c r="I5549" s="376" t="s">
        <v>133</v>
      </c>
      <c r="J5549" s="377" t="s">
        <v>134</v>
      </c>
      <c r="K5549" s="88"/>
      <c r="M5549" s="534"/>
      <c r="N5549" s="536" t="s">
        <v>120</v>
      </c>
      <c r="O5549" s="536"/>
      <c r="P5549" s="536"/>
      <c r="Q5549" s="536"/>
      <c r="R5549" s="536"/>
      <c r="S5549" s="536"/>
      <c r="T5549" s="536"/>
      <c r="U5549" s="536"/>
      <c r="V5549" s="82">
        <f>+SUM(V5546:V5548)</f>
        <v>57141</v>
      </c>
      <c r="Y5549" s="398" t="s">
        <v>135</v>
      </c>
      <c r="Z5549" s="397">
        <f>+SUM(Z5546:Z5548)</f>
        <v>7276906.3499999996</v>
      </c>
      <c r="AA5549" s="86"/>
      <c r="AB5549" s="384"/>
      <c r="AC5549" s="385"/>
      <c r="AD5549" s="94"/>
      <c r="AE5549" s="399"/>
    </row>
    <row r="5550" spans="3:31" s="260" customFormat="1" ht="15.75" thickBot="1" x14ac:dyDescent="0.3">
      <c r="C5550" s="84"/>
      <c r="D5550" s="354"/>
      <c r="E5550" s="96"/>
      <c r="F5550" s="96"/>
      <c r="G5550" s="107">
        <f>+F5543</f>
        <v>6.03</v>
      </c>
      <c r="H5550" s="96"/>
      <c r="I5550" s="96"/>
      <c r="J5550" s="427"/>
      <c r="K5550" s="88"/>
      <c r="M5550" s="535"/>
      <c r="N5550" s="537" t="s">
        <v>121</v>
      </c>
      <c r="O5550" s="537"/>
      <c r="P5550" s="537"/>
      <c r="Q5550" s="537"/>
      <c r="R5550" s="537"/>
      <c r="S5550" s="537"/>
      <c r="T5550" s="537"/>
      <c r="U5550" s="537"/>
      <c r="V5550" s="413">
        <f>+ROUND(V5549,$AA$5)</f>
        <v>57141</v>
      </c>
      <c r="Y5550" s="401" t="s">
        <v>136</v>
      </c>
      <c r="Z5550" s="402">
        <f>+ROUND(Z5549,$AA$5)</f>
        <v>7276906.3499999996</v>
      </c>
      <c r="AA5550" s="86"/>
      <c r="AB5550" s="403">
        <f>+V5550*Y5516</f>
        <v>7276906.3499999996</v>
      </c>
      <c r="AC5550" s="404">
        <f>+AB5550-Z5550</f>
        <v>0</v>
      </c>
      <c r="AD5550" s="94"/>
      <c r="AE5550" s="405"/>
    </row>
    <row r="5551" spans="3:31" s="260" customFormat="1" ht="15.75" thickBot="1" x14ac:dyDescent="0.3">
      <c r="C5551" s="84"/>
      <c r="D5551" s="375" t="s">
        <v>128</v>
      </c>
      <c r="E5551" s="376" t="s">
        <v>129</v>
      </c>
      <c r="F5551" s="376" t="s">
        <v>130</v>
      </c>
      <c r="G5551" s="376" t="s">
        <v>131</v>
      </c>
      <c r="H5551" s="376" t="s">
        <v>132</v>
      </c>
      <c r="I5551" s="376" t="s">
        <v>133</v>
      </c>
      <c r="J5551" s="377" t="s">
        <v>134</v>
      </c>
      <c r="K5551" s="88"/>
      <c r="M5551" s="541"/>
      <c r="N5551" s="542"/>
      <c r="O5551" s="542"/>
      <c r="P5551" s="542"/>
      <c r="Q5551" s="542"/>
      <c r="R5551" s="542"/>
      <c r="S5551" s="542"/>
      <c r="T5551" s="542"/>
      <c r="U5551" s="542"/>
      <c r="V5551" s="543"/>
      <c r="Y5551" s="378"/>
      <c r="Z5551" s="121"/>
      <c r="AA5551" s="86"/>
      <c r="AB5551" s="409"/>
      <c r="AC5551" s="121"/>
      <c r="AD5551" s="94"/>
      <c r="AE5551" s="428"/>
    </row>
    <row r="5552" spans="3:31" s="260" customFormat="1" ht="15.75" thickBot="1" x14ac:dyDescent="0.3">
      <c r="C5552" s="84"/>
      <c r="D5552" s="355"/>
      <c r="E5552" s="367"/>
      <c r="F5552" s="367"/>
      <c r="G5552" s="367"/>
      <c r="H5552" s="412">
        <f>G5550</f>
        <v>6.03</v>
      </c>
      <c r="I5552" s="412"/>
      <c r="J5552" s="422"/>
      <c r="K5552" s="88"/>
      <c r="M5552" s="544" t="s">
        <v>122</v>
      </c>
      <c r="N5552" s="537"/>
      <c r="O5552" s="537"/>
      <c r="P5552" s="537"/>
      <c r="Q5552" s="537"/>
      <c r="R5552" s="537"/>
      <c r="S5552" s="537"/>
      <c r="T5552" s="537"/>
      <c r="U5552" s="545">
        <f>+V5550+V5543+V5535+V5526</f>
        <v>59998.05</v>
      </c>
      <c r="V5552" s="546"/>
      <c r="Y5552" s="429"/>
      <c r="Z5552" s="430">
        <f>+Z5550+Z5543+Z5535+Z5526</f>
        <v>7640751.6699999999</v>
      </c>
      <c r="AA5552" s="86"/>
      <c r="AB5552" s="431">
        <f>+AB5550+AB5543+AB5535+AB5526</f>
        <v>7640751.6674999995</v>
      </c>
      <c r="AC5552" s="404">
        <f>+AB5552-Z5552</f>
        <v>-2.5000004097819328E-3</v>
      </c>
      <c r="AD5552" s="94"/>
      <c r="AE5552" s="432"/>
    </row>
    <row r="5553" spans="3:31" s="260" customFormat="1" ht="15.75" thickBot="1" x14ac:dyDescent="0.3"/>
    <row r="5554" spans="3:31" s="260" customFormat="1" x14ac:dyDescent="0.25">
      <c r="M5554" s="547" t="s">
        <v>348</v>
      </c>
      <c r="N5554" s="548"/>
      <c r="O5554" s="548"/>
      <c r="P5554" s="548"/>
      <c r="Q5554" s="548"/>
      <c r="R5554" s="548"/>
      <c r="S5554" s="548"/>
      <c r="T5554" s="548"/>
      <c r="U5554" s="548"/>
      <c r="V5554" s="549"/>
      <c r="Y5554" s="378"/>
      <c r="Z5554" s="121"/>
      <c r="AA5554" s="86"/>
      <c r="AB5554" s="94"/>
      <c r="AC5554" s="94"/>
      <c r="AD5554" s="94"/>
      <c r="AE5554" s="126" t="s">
        <v>133</v>
      </c>
    </row>
    <row r="5555" spans="3:31" s="260" customFormat="1" x14ac:dyDescent="0.25">
      <c r="M5555" s="515" t="s">
        <v>138</v>
      </c>
      <c r="N5555" s="516"/>
      <c r="O5555" s="516"/>
      <c r="P5555" s="516"/>
      <c r="Q5555" s="516"/>
      <c r="R5555" s="516"/>
      <c r="S5555" s="516"/>
      <c r="T5555" s="437">
        <v>0</v>
      </c>
      <c r="U5555" s="517">
        <f>+ROUND(U5552*T5555,$AA$5)</f>
        <v>0</v>
      </c>
      <c r="V5555" s="518"/>
      <c r="Y5555" s="390"/>
      <c r="Z5555" s="438">
        <f>+Z5552*T5555</f>
        <v>0</v>
      </c>
      <c r="AA5555" s="86"/>
      <c r="AB5555" s="94"/>
      <c r="AC5555" s="94"/>
      <c r="AD5555" s="94"/>
      <c r="AE5555" s="386" t="s">
        <v>133</v>
      </c>
    </row>
    <row r="5556" spans="3:31" s="260" customFormat="1" x14ac:dyDescent="0.25">
      <c r="M5556" s="515" t="s">
        <v>19</v>
      </c>
      <c r="N5556" s="516"/>
      <c r="O5556" s="516"/>
      <c r="P5556" s="516"/>
      <c r="Q5556" s="516"/>
      <c r="R5556" s="516"/>
      <c r="S5556" s="516"/>
      <c r="T5556" s="437">
        <v>0.05</v>
      </c>
      <c r="U5556" s="517">
        <f>+ROUND(U5552*T5556,$AA$5)</f>
        <v>2999.9</v>
      </c>
      <c r="V5556" s="518"/>
      <c r="Y5556" s="390"/>
      <c r="Z5556" s="438">
        <f>+Z5552*T5556</f>
        <v>382037.58350000001</v>
      </c>
      <c r="AA5556" s="86"/>
      <c r="AB5556" s="94"/>
      <c r="AC5556" s="94"/>
      <c r="AD5556" s="94"/>
      <c r="AE5556" s="386" t="s">
        <v>133</v>
      </c>
    </row>
    <row r="5557" spans="3:31" s="260" customFormat="1" x14ac:dyDescent="0.25">
      <c r="M5557" s="515" t="s">
        <v>20</v>
      </c>
      <c r="N5557" s="516"/>
      <c r="O5557" s="516"/>
      <c r="P5557" s="516"/>
      <c r="Q5557" s="516"/>
      <c r="R5557" s="516"/>
      <c r="S5557" s="516"/>
      <c r="T5557" s="437">
        <v>0</v>
      </c>
      <c r="U5557" s="517">
        <f>+ROUND(U5552*T5557,$AA$5)</f>
        <v>0</v>
      </c>
      <c r="V5557" s="518"/>
      <c r="Y5557" s="390"/>
      <c r="Z5557" s="438">
        <f>+Z5552*T5557</f>
        <v>0</v>
      </c>
      <c r="AA5557" s="86"/>
      <c r="AB5557" s="94"/>
      <c r="AC5557" s="94"/>
      <c r="AD5557" s="94"/>
      <c r="AE5557" s="386" t="s">
        <v>133</v>
      </c>
    </row>
    <row r="5558" spans="3:31" s="260" customFormat="1" x14ac:dyDescent="0.25">
      <c r="M5558" s="515" t="s">
        <v>21</v>
      </c>
      <c r="N5558" s="516"/>
      <c r="O5558" s="516"/>
      <c r="P5558" s="516"/>
      <c r="Q5558" s="516"/>
      <c r="R5558" s="516"/>
      <c r="S5558" s="516"/>
      <c r="T5558" s="437">
        <f>$AA$9</f>
        <v>0</v>
      </c>
      <c r="U5558" s="517">
        <f>+ROUND(U5552*T5558,$AA$5)</f>
        <v>0</v>
      </c>
      <c r="V5558" s="518"/>
      <c r="Y5558" s="390"/>
      <c r="Z5558" s="438">
        <f>+Z5557*T5558</f>
        <v>0</v>
      </c>
      <c r="AA5558" s="86"/>
      <c r="AB5558" s="94"/>
      <c r="AC5558" s="94"/>
      <c r="AD5558" s="94"/>
      <c r="AE5558" s="386" t="s">
        <v>133</v>
      </c>
    </row>
    <row r="5559" spans="3:31" s="260" customFormat="1" ht="15.75" thickBot="1" x14ac:dyDescent="0.3">
      <c r="M5559" s="519" t="s">
        <v>349</v>
      </c>
      <c r="N5559" s="520"/>
      <c r="O5559" s="520"/>
      <c r="P5559" s="520"/>
      <c r="Q5559" s="520"/>
      <c r="R5559" s="520"/>
      <c r="S5559" s="520"/>
      <c r="T5559" s="520"/>
      <c r="U5559" s="521">
        <f>+SUM(U5555:V5558)</f>
        <v>2999.9</v>
      </c>
      <c r="V5559" s="522"/>
      <c r="Y5559" s="390"/>
      <c r="Z5559" s="439">
        <f>+SUM(Z5555:Z5558)</f>
        <v>382037.58350000001</v>
      </c>
      <c r="AA5559" s="86"/>
      <c r="AB5559" s="94"/>
      <c r="AC5559" s="94"/>
      <c r="AD5559" s="94"/>
      <c r="AE5559" s="386" t="s">
        <v>133</v>
      </c>
    </row>
    <row r="5560" spans="3:31" s="260" customFormat="1" ht="15.75" thickBot="1" x14ac:dyDescent="0.3">
      <c r="D5560" s="375" t="s">
        <v>128</v>
      </c>
      <c r="E5560" s="376" t="s">
        <v>129</v>
      </c>
      <c r="F5560" s="376" t="s">
        <v>130</v>
      </c>
      <c r="G5560" s="376" t="s">
        <v>131</v>
      </c>
      <c r="H5560" s="376" t="s">
        <v>132</v>
      </c>
      <c r="I5560" s="376" t="s">
        <v>133</v>
      </c>
      <c r="J5560" s="377" t="s">
        <v>134</v>
      </c>
      <c r="M5560" s="86"/>
      <c r="N5560" s="94"/>
      <c r="O5560" s="94"/>
      <c r="P5560" s="94"/>
      <c r="Q5560" s="86"/>
      <c r="R5560" s="86"/>
      <c r="S5560" s="86"/>
      <c r="T5560" s="440"/>
      <c r="U5560" s="523"/>
      <c r="V5560" s="523"/>
      <c r="Y5560" s="390"/>
      <c r="Z5560" s="385"/>
      <c r="AA5560" s="86"/>
      <c r="AB5560" s="94"/>
      <c r="AC5560" s="94"/>
      <c r="AD5560" s="94"/>
      <c r="AE5560" s="386" t="s">
        <v>133</v>
      </c>
    </row>
    <row r="5561" spans="3:31" s="260" customFormat="1" ht="15.75" thickBot="1" x14ac:dyDescent="0.3">
      <c r="D5561" s="355"/>
      <c r="E5561" s="367"/>
      <c r="F5561" s="367"/>
      <c r="G5561" s="367"/>
      <c r="H5561" s="412"/>
      <c r="I5561" s="412">
        <f>H5552</f>
        <v>6.03</v>
      </c>
      <c r="J5561" s="422"/>
      <c r="M5561" s="524" t="s">
        <v>11</v>
      </c>
      <c r="N5561" s="525"/>
      <c r="O5561" s="525"/>
      <c r="P5561" s="525"/>
      <c r="Q5561" s="525"/>
      <c r="R5561" s="525"/>
      <c r="S5561" s="525"/>
      <c r="T5561" s="526"/>
      <c r="U5561" s="527">
        <f>+U5559+U5552</f>
        <v>62997.950000000004</v>
      </c>
      <c r="V5561" s="528"/>
      <c r="Y5561" s="429"/>
      <c r="Z5561" s="441">
        <f>+Z5559+Z5552</f>
        <v>8022789.2534999996</v>
      </c>
      <c r="AA5561" s="86"/>
      <c r="AB5561" s="94"/>
      <c r="AC5561" s="94"/>
      <c r="AD5561" s="94"/>
      <c r="AE5561" s="405" t="s">
        <v>133</v>
      </c>
    </row>
    <row r="5562" spans="3:31" s="260" customFormat="1" x14ac:dyDescent="0.25">
      <c r="D5562" s="86"/>
      <c r="E5562" s="86"/>
      <c r="F5562" s="86"/>
      <c r="G5562" s="86"/>
      <c r="H5562" s="182"/>
      <c r="I5562" s="182"/>
      <c r="J5562" s="182"/>
      <c r="M5562" s="442"/>
      <c r="N5562" s="442"/>
      <c r="O5562" s="442"/>
      <c r="P5562" s="442"/>
      <c r="Q5562" s="442"/>
      <c r="R5562" s="442"/>
      <c r="S5562" s="442"/>
      <c r="T5562" s="442"/>
      <c r="U5562" s="443"/>
      <c r="V5562" s="443"/>
      <c r="Y5562" s="374"/>
      <c r="Z5562" s="444"/>
      <c r="AA5562" s="86"/>
      <c r="AB5562" s="94"/>
      <c r="AC5562" s="94"/>
      <c r="AD5562" s="94"/>
      <c r="AE5562" s="86"/>
    </row>
    <row r="5563" spans="3:31" s="260" customFormat="1" ht="15.75" thickBot="1" x14ac:dyDescent="0.3"/>
    <row r="5564" spans="3:31" s="260" customFormat="1" ht="15.75" thickBot="1" x14ac:dyDescent="0.3">
      <c r="M5564" s="363" t="s">
        <v>88</v>
      </c>
      <c r="N5564" s="436" t="str">
        <f>+N5515</f>
        <v>CAP.6</v>
      </c>
      <c r="O5564" s="550" t="str">
        <f>IFERROR(VLOOKUP(N5564,PPTO!C:H,2,0),"----")</f>
        <v>RED DE DRENAJE</v>
      </c>
      <c r="P5564" s="551"/>
      <c r="Q5564" s="551"/>
      <c r="R5564" s="551"/>
      <c r="S5564" s="551"/>
      <c r="T5564" s="551"/>
      <c r="U5564" s="552"/>
      <c r="V5564" s="74" t="s">
        <v>91</v>
      </c>
      <c r="Y5564" s="365" t="s">
        <v>104</v>
      </c>
      <c r="Z5564" s="94"/>
      <c r="AA5564" s="188"/>
      <c r="AB5564" s="553"/>
      <c r="AC5564" s="553"/>
      <c r="AD5564" s="553"/>
      <c r="AE5564" s="94"/>
    </row>
    <row r="5565" spans="3:31" s="260" customFormat="1" ht="15.75" thickBot="1" x14ac:dyDescent="0.3">
      <c r="C5565" s="369">
        <f>+N5565</f>
        <v>6.04</v>
      </c>
      <c r="D5565" s="86"/>
      <c r="E5565" s="86"/>
      <c r="F5565" s="86"/>
      <c r="G5565" s="86"/>
      <c r="H5565" s="86"/>
      <c r="I5565" s="86"/>
      <c r="J5565" s="86"/>
      <c r="K5565" s="370"/>
      <c r="M5565" s="75" t="s">
        <v>92</v>
      </c>
      <c r="N5565" s="371">
        <f>+ROUNDUP(N5516+0.01,2)</f>
        <v>6.04</v>
      </c>
      <c r="O5565" s="554" t="str">
        <f>IFERROR(VLOOKUP(N5565,PPTO!C:H,2,0),"----")</f>
        <v>Retiro de material sobrante</v>
      </c>
      <c r="P5565" s="555"/>
      <c r="Q5565" s="555"/>
      <c r="R5565" s="555"/>
      <c r="S5565" s="555"/>
      <c r="T5565" s="555"/>
      <c r="U5565" s="556"/>
      <c r="V5565" s="76" t="str">
        <f>IFERROR(VLOOKUP(N5565,PPTO!C:H,3,0),"----")</f>
        <v>M3</v>
      </c>
      <c r="Y5565" s="373">
        <f>SUMIFS(PPTO!F:F,PPTO!C:C,APUS!N5565)</f>
        <v>52.28</v>
      </c>
      <c r="Z5565" s="94"/>
      <c r="AA5565" s="86"/>
      <c r="AB5565" s="94"/>
      <c r="AC5565" s="94"/>
      <c r="AD5565" s="94"/>
      <c r="AE5565" s="94"/>
    </row>
    <row r="5566" spans="3:31" s="260" customFormat="1" ht="15.75" thickBot="1" x14ac:dyDescent="0.3">
      <c r="C5566" s="84"/>
      <c r="D5566" s="86"/>
      <c r="E5566" s="86"/>
      <c r="F5566" s="86"/>
      <c r="G5566" s="86"/>
      <c r="H5566" s="86"/>
      <c r="I5566" s="86"/>
      <c r="J5566" s="86"/>
      <c r="K5566" s="88"/>
      <c r="M5566" s="557"/>
      <c r="N5566" s="557"/>
      <c r="O5566" s="557"/>
      <c r="P5566" s="557"/>
      <c r="Q5566" s="557"/>
      <c r="R5566" s="557"/>
      <c r="S5566" s="557"/>
      <c r="T5566" s="557"/>
      <c r="U5566" s="557"/>
      <c r="V5566" s="557"/>
      <c r="Y5566" s="374"/>
      <c r="Z5566" s="94"/>
      <c r="AA5566" s="86"/>
      <c r="AB5566" s="94"/>
      <c r="AC5566" s="94"/>
      <c r="AD5566" s="94"/>
      <c r="AE5566" s="94"/>
    </row>
    <row r="5567" spans="3:31" s="260" customFormat="1" ht="15.75" thickBot="1" x14ac:dyDescent="0.3">
      <c r="C5567" s="84"/>
      <c r="D5567" s="375" t="s">
        <v>128</v>
      </c>
      <c r="E5567" s="376" t="s">
        <v>129</v>
      </c>
      <c r="F5567" s="376" t="s">
        <v>130</v>
      </c>
      <c r="G5567" s="376" t="s">
        <v>131</v>
      </c>
      <c r="H5567" s="376" t="s">
        <v>132</v>
      </c>
      <c r="I5567" s="376" t="s">
        <v>133</v>
      </c>
      <c r="J5567" s="377" t="s">
        <v>134</v>
      </c>
      <c r="K5567" s="88"/>
      <c r="M5567" s="558" t="s">
        <v>93</v>
      </c>
      <c r="N5567" s="559"/>
      <c r="O5567" s="559"/>
      <c r="P5567" s="559"/>
      <c r="Q5567" s="559"/>
      <c r="R5567" s="559"/>
      <c r="S5567" s="559"/>
      <c r="T5567" s="559"/>
      <c r="U5567" s="559"/>
      <c r="V5567" s="560"/>
      <c r="Y5567" s="378"/>
      <c r="Z5567" s="121"/>
      <c r="AA5567" s="86"/>
      <c r="AB5567" s="513"/>
      <c r="AC5567" s="514"/>
      <c r="AD5567" s="94"/>
      <c r="AE5567" s="379"/>
    </row>
    <row r="5568" spans="3:31" s="260" customFormat="1" x14ac:dyDescent="0.25">
      <c r="C5568" s="84"/>
      <c r="D5568" s="380"/>
      <c r="E5568" s="381"/>
      <c r="F5568" s="381"/>
      <c r="G5568" s="381"/>
      <c r="H5568" s="381"/>
      <c r="I5568" s="381"/>
      <c r="J5568" s="382"/>
      <c r="K5568" s="88"/>
      <c r="M5568" s="99" t="s">
        <v>94</v>
      </c>
      <c r="N5568" s="561" t="s">
        <v>95</v>
      </c>
      <c r="O5568" s="561"/>
      <c r="P5568" s="561"/>
      <c r="Q5568" s="561"/>
      <c r="R5568" s="95" t="s">
        <v>96</v>
      </c>
      <c r="S5568" s="95" t="s">
        <v>97</v>
      </c>
      <c r="T5568" s="562" t="s">
        <v>8</v>
      </c>
      <c r="U5568" s="562"/>
      <c r="V5568" s="100" t="s">
        <v>98</v>
      </c>
      <c r="Y5568" s="383" t="s">
        <v>104</v>
      </c>
      <c r="Z5568" s="119" t="s">
        <v>9</v>
      </c>
      <c r="AA5568" s="86"/>
      <c r="AB5568" s="384"/>
      <c r="AC5568" s="385"/>
      <c r="AD5568" s="94"/>
      <c r="AE5568" s="386"/>
    </row>
    <row r="5569" spans="3:31" s="260" customFormat="1" x14ac:dyDescent="0.25">
      <c r="C5569" s="84"/>
      <c r="D5569" s="85"/>
      <c r="E5569" s="86"/>
      <c r="F5569" s="86"/>
      <c r="G5569" s="86"/>
      <c r="H5569" s="86"/>
      <c r="I5569" s="86"/>
      <c r="J5569" s="87"/>
      <c r="K5569" s="88"/>
      <c r="M5569" s="102"/>
      <c r="N5569" s="533" t="s">
        <v>99</v>
      </c>
      <c r="O5569" s="533"/>
      <c r="P5569" s="533"/>
      <c r="Q5569" s="533"/>
      <c r="R5569" s="78" t="s">
        <v>100</v>
      </c>
      <c r="S5569" s="387">
        <f>+$AA$10</f>
        <v>0.05</v>
      </c>
      <c r="T5569" s="563">
        <f>V5599</f>
        <v>22856.400000000001</v>
      </c>
      <c r="U5569" s="563"/>
      <c r="V5569" s="389">
        <f>+IFERROR(T5569*S5569,0)</f>
        <v>1142.8200000000002</v>
      </c>
      <c r="Y5569" s="390"/>
      <c r="Z5569" s="391">
        <f>Y5565*V5569</f>
        <v>59746.629600000007</v>
      </c>
      <c r="AA5569" s="86"/>
      <c r="AB5569" s="384"/>
      <c r="AC5569" s="385"/>
      <c r="AD5569" s="94"/>
      <c r="AE5569" s="386" t="str">
        <f>+IF(V5569=0,"CERO","NO")</f>
        <v>NO</v>
      </c>
    </row>
    <row r="5570" spans="3:31" s="260" customFormat="1" x14ac:dyDescent="0.25">
      <c r="C5570" s="84"/>
      <c r="D5570" s="85"/>
      <c r="E5570" s="86"/>
      <c r="F5570" s="86"/>
      <c r="G5570" s="86"/>
      <c r="H5570" s="86"/>
      <c r="I5570" s="86"/>
      <c r="J5570" s="87"/>
      <c r="K5570" s="88"/>
      <c r="M5570" s="106"/>
      <c r="N5570" s="533" t="str">
        <f>IFERROR(VLOOKUP(M5570,INSUMOS!$C$8:$K$928,2,0),"-----")</f>
        <v>-----</v>
      </c>
      <c r="O5570" s="533"/>
      <c r="P5570" s="533"/>
      <c r="Q5570" s="533"/>
      <c r="R5570" s="78" t="str">
        <f>IFERROR(VLOOKUP(M5570,INSUMOS!$C$8:$K$928,6,0),"-----")</f>
        <v>-----</v>
      </c>
      <c r="S5570" s="392"/>
      <c r="T5570" s="529" t="str">
        <f>IFERROR(VLOOKUP(M5570,INSUMOS!$C$8:$K$928,7,0),"0")</f>
        <v>0</v>
      </c>
      <c r="U5570" s="529"/>
      <c r="V5570" s="389">
        <f>+IFERROR(T5570*S5570,0)</f>
        <v>0</v>
      </c>
      <c r="Y5570" s="393">
        <f>+IFERROR(Y5565*S5570,0)</f>
        <v>0</v>
      </c>
      <c r="Z5570" s="391">
        <f>Y5565*V5570</f>
        <v>0</v>
      </c>
      <c r="AA5570" s="394"/>
      <c r="AB5570" s="395">
        <f>+Y5570*T5570</f>
        <v>0</v>
      </c>
      <c r="AC5570" s="93">
        <f>+AB5570-Z5570</f>
        <v>0</v>
      </c>
      <c r="AD5570" s="94"/>
      <c r="AE5570" s="386" t="str">
        <f>+IF(V5570=0,"CERO","NO")</f>
        <v>CERO</v>
      </c>
    </row>
    <row r="5571" spans="3:31" s="260" customFormat="1" x14ac:dyDescent="0.25">
      <c r="C5571" s="84"/>
      <c r="D5571" s="85"/>
      <c r="E5571" s="86"/>
      <c r="F5571" s="86"/>
      <c r="G5571" s="86"/>
      <c r="H5571" s="86"/>
      <c r="I5571" s="86"/>
      <c r="J5571" s="87"/>
      <c r="K5571" s="88"/>
      <c r="M5571" s="102">
        <v>0</v>
      </c>
      <c r="N5571" s="533"/>
      <c r="O5571" s="533"/>
      <c r="P5571" s="533"/>
      <c r="Q5571" s="533"/>
      <c r="R5571" s="78"/>
      <c r="S5571" s="396"/>
      <c r="T5571" s="529"/>
      <c r="U5571" s="529"/>
      <c r="V5571" s="397"/>
      <c r="Y5571" s="393">
        <f>+IFERROR(Y5565*S5571,0)</f>
        <v>0</v>
      </c>
      <c r="Z5571" s="391">
        <f>Y5565*V5571</f>
        <v>0</v>
      </c>
      <c r="AA5571" s="394"/>
      <c r="AB5571" s="395">
        <f>+Y5571*T5571</f>
        <v>0</v>
      </c>
      <c r="AC5571" s="93">
        <f>+AB5571-Z5571</f>
        <v>0</v>
      </c>
      <c r="AD5571" s="94"/>
      <c r="AE5571" s="386" t="str">
        <f>+IF(V5571=0,"CERO","NO")</f>
        <v>CERO</v>
      </c>
    </row>
    <row r="5572" spans="3:31" s="260" customFormat="1" x14ac:dyDescent="0.25">
      <c r="C5572" s="84"/>
      <c r="D5572" s="85"/>
      <c r="E5572" s="86"/>
      <c r="F5572" s="86"/>
      <c r="G5572" s="86"/>
      <c r="H5572" s="86"/>
      <c r="I5572" s="86"/>
      <c r="J5572" s="87"/>
      <c r="K5572" s="88"/>
      <c r="M5572" s="102">
        <v>0</v>
      </c>
      <c r="N5572" s="533"/>
      <c r="O5572" s="533"/>
      <c r="P5572" s="533"/>
      <c r="Q5572" s="533"/>
      <c r="R5572" s="78"/>
      <c r="S5572" s="396"/>
      <c r="T5572" s="529"/>
      <c r="U5572" s="529"/>
      <c r="V5572" s="397"/>
      <c r="Y5572" s="393">
        <f>+IFERROR(Y5565*S5572,0)</f>
        <v>0</v>
      </c>
      <c r="Z5572" s="391">
        <f>Y5565*V5572</f>
        <v>0</v>
      </c>
      <c r="AA5572" s="394"/>
      <c r="AB5572" s="395">
        <f>+Y5572*T5572</f>
        <v>0</v>
      </c>
      <c r="AC5572" s="93">
        <f>+AB5572-Z5572</f>
        <v>0</v>
      </c>
      <c r="AD5572" s="94"/>
      <c r="AE5572" s="386" t="str">
        <f>+IF(V5572=0,"CERO","NO")</f>
        <v>CERO</v>
      </c>
    </row>
    <row r="5573" spans="3:31" s="260" customFormat="1" ht="15.75" thickBot="1" x14ac:dyDescent="0.3">
      <c r="C5573" s="84"/>
      <c r="D5573" s="85"/>
      <c r="E5573" s="86"/>
      <c r="F5573" s="86"/>
      <c r="G5573" s="86"/>
      <c r="H5573" s="86"/>
      <c r="I5573" s="86"/>
      <c r="J5573" s="87"/>
      <c r="K5573" s="88"/>
      <c r="M5573" s="102">
        <v>0</v>
      </c>
      <c r="N5573" s="564"/>
      <c r="O5573" s="564"/>
      <c r="P5573" s="564"/>
      <c r="Q5573" s="564"/>
      <c r="R5573" s="96"/>
      <c r="S5573" s="96"/>
      <c r="T5573" s="565"/>
      <c r="U5573" s="565"/>
      <c r="V5573" s="101"/>
      <c r="Y5573" s="393">
        <f>+IFERROR(Y5565*S5573,0)</f>
        <v>0</v>
      </c>
      <c r="Z5573" s="391">
        <f>Y5565*V5573</f>
        <v>0</v>
      </c>
      <c r="AA5573" s="394"/>
      <c r="AB5573" s="395">
        <f>+Y5573*T5573</f>
        <v>0</v>
      </c>
      <c r="AC5573" s="93">
        <f>+AB5573-Z5573</f>
        <v>0</v>
      </c>
      <c r="AD5573" s="94"/>
      <c r="AE5573" s="386" t="str">
        <f>+IF(V5573=0,"CERO","NO")</f>
        <v>CERO</v>
      </c>
    </row>
    <row r="5574" spans="3:31" s="260" customFormat="1" ht="15.75" thickBot="1" x14ac:dyDescent="0.3">
      <c r="C5574" s="84"/>
      <c r="D5574" s="375" t="s">
        <v>128</v>
      </c>
      <c r="E5574" s="376" t="s">
        <v>129</v>
      </c>
      <c r="F5574" s="376" t="s">
        <v>130</v>
      </c>
      <c r="G5574" s="376" t="s">
        <v>131</v>
      </c>
      <c r="H5574" s="376" t="s">
        <v>132</v>
      </c>
      <c r="I5574" s="376" t="s">
        <v>133</v>
      </c>
      <c r="J5574" s="377" t="s">
        <v>134</v>
      </c>
      <c r="K5574" s="88"/>
      <c r="M5574" s="534"/>
      <c r="N5574" s="536" t="s">
        <v>101</v>
      </c>
      <c r="O5574" s="536"/>
      <c r="P5574" s="536"/>
      <c r="Q5574" s="536"/>
      <c r="R5574" s="536"/>
      <c r="S5574" s="536"/>
      <c r="T5574" s="536"/>
      <c r="U5574" s="536"/>
      <c r="V5574" s="389">
        <f>+SUM(V5569:V5573)</f>
        <v>1142.8200000000002</v>
      </c>
      <c r="Y5574" s="398" t="s">
        <v>135</v>
      </c>
      <c r="Z5574" s="397">
        <f>+SUM(Z5569:Z5573)</f>
        <v>59746.629600000007</v>
      </c>
      <c r="AA5574" s="86"/>
      <c r="AB5574" s="384"/>
      <c r="AC5574" s="385"/>
      <c r="AD5574" s="94"/>
      <c r="AE5574" s="399"/>
    </row>
    <row r="5575" spans="3:31" s="260" customFormat="1" ht="15.75" thickBot="1" x14ac:dyDescent="0.3">
      <c r="C5575" s="84"/>
      <c r="D5575" s="375">
        <f>C5565</f>
        <v>6.04</v>
      </c>
      <c r="E5575" s="376"/>
      <c r="F5575" s="376"/>
      <c r="G5575" s="376"/>
      <c r="H5575" s="376"/>
      <c r="I5575" s="376"/>
      <c r="J5575" s="377"/>
      <c r="K5575" s="88"/>
      <c r="M5575" s="566"/>
      <c r="N5575" s="567" t="s">
        <v>102</v>
      </c>
      <c r="O5575" s="567"/>
      <c r="P5575" s="567"/>
      <c r="Q5575" s="567"/>
      <c r="R5575" s="567"/>
      <c r="S5575" s="567"/>
      <c r="T5575" s="567"/>
      <c r="U5575" s="567"/>
      <c r="V5575" s="400">
        <f>+ROUND(V5574,$AA$5)</f>
        <v>1142.82</v>
      </c>
      <c r="Y5575" s="401" t="s">
        <v>136</v>
      </c>
      <c r="Z5575" s="402">
        <f>+ROUND(Z5574,$AA$5)</f>
        <v>59746.63</v>
      </c>
      <c r="AA5575" s="86"/>
      <c r="AB5575" s="403">
        <f>+V5575*Y5565</f>
        <v>59746.6296</v>
      </c>
      <c r="AC5575" s="404">
        <f>+AB5575-Z5575</f>
        <v>-3.9999999717110768E-4</v>
      </c>
      <c r="AD5575" s="94"/>
      <c r="AE5575" s="405"/>
    </row>
    <row r="5576" spans="3:31" s="260" customFormat="1" x14ac:dyDescent="0.25">
      <c r="C5576" s="84"/>
      <c r="D5576" s="380"/>
      <c r="E5576" s="381"/>
      <c r="F5576" s="381"/>
      <c r="G5576" s="381"/>
      <c r="H5576" s="381"/>
      <c r="I5576" s="381"/>
      <c r="J5576" s="382"/>
      <c r="K5576" s="88"/>
      <c r="M5576" s="510" t="s">
        <v>103</v>
      </c>
      <c r="N5576" s="511"/>
      <c r="O5576" s="511"/>
      <c r="P5576" s="511"/>
      <c r="Q5576" s="511"/>
      <c r="R5576" s="511"/>
      <c r="S5576" s="511"/>
      <c r="T5576" s="511"/>
      <c r="U5576" s="511"/>
      <c r="V5576" s="512"/>
      <c r="Y5576" s="378"/>
      <c r="Z5576" s="121"/>
      <c r="AA5576" s="86"/>
      <c r="AB5576" s="513"/>
      <c r="AC5576" s="514"/>
      <c r="AD5576" s="94"/>
      <c r="AE5576" s="126"/>
    </row>
    <row r="5577" spans="3:31" s="260" customFormat="1" x14ac:dyDescent="0.25">
      <c r="C5577" s="84"/>
      <c r="D5577" s="85"/>
      <c r="E5577" s="86"/>
      <c r="F5577" s="86"/>
      <c r="G5577" s="86"/>
      <c r="H5577" s="86"/>
      <c r="I5577" s="86"/>
      <c r="J5577" s="87"/>
      <c r="K5577" s="88"/>
      <c r="M5577" s="99" t="s">
        <v>94</v>
      </c>
      <c r="N5577" s="561" t="s">
        <v>95</v>
      </c>
      <c r="O5577" s="561"/>
      <c r="P5577" s="561"/>
      <c r="Q5577" s="561"/>
      <c r="R5577" s="95" t="s">
        <v>96</v>
      </c>
      <c r="S5577" s="95" t="s">
        <v>104</v>
      </c>
      <c r="T5577" s="356" t="s">
        <v>105</v>
      </c>
      <c r="U5577" s="356" t="s">
        <v>8</v>
      </c>
      <c r="V5577" s="100" t="s">
        <v>98</v>
      </c>
      <c r="Y5577" s="383" t="s">
        <v>104</v>
      </c>
      <c r="Z5577" s="119" t="s">
        <v>9</v>
      </c>
      <c r="AA5577" s="86"/>
      <c r="AB5577" s="384"/>
      <c r="AC5577" s="385"/>
      <c r="AD5577" s="94"/>
      <c r="AE5577" s="406"/>
    </row>
    <row r="5578" spans="3:31" s="260" customFormat="1" x14ac:dyDescent="0.25">
      <c r="C5578" s="84"/>
      <c r="D5578" s="85"/>
      <c r="E5578" s="86"/>
      <c r="F5578" s="86"/>
      <c r="G5578" s="86"/>
      <c r="H5578" s="86"/>
      <c r="I5578" s="86"/>
      <c r="J5578" s="87"/>
      <c r="K5578" s="88"/>
      <c r="M5578" s="102"/>
      <c r="N5578" s="533" t="str">
        <f>IFERROR(VLOOKUP(M5578,INSUMOS!$C$8:$K$928,2,0),"-----")</f>
        <v>-----</v>
      </c>
      <c r="O5578" s="533"/>
      <c r="P5578" s="533"/>
      <c r="Q5578" s="533"/>
      <c r="R5578" s="78" t="str">
        <f>IFERROR(VLOOKUP(M5578,INSUMOS!$C$8:$K$928,6,0),"-----")</f>
        <v>-----</v>
      </c>
      <c r="S5578" s="396"/>
      <c r="T5578" s="387"/>
      <c r="U5578" s="388" t="str">
        <f>IFERROR(VLOOKUP(M5578,INSUMOS!$C$8:$K$928,7,0),"0")</f>
        <v>0</v>
      </c>
      <c r="V5578" s="389">
        <f>+IFERROR(U5578*(S5578*(1+T5578)),0)</f>
        <v>0</v>
      </c>
      <c r="Y5578" s="393">
        <f>+IFERROR(Y5565*(S5578*(1+T5578)),0)</f>
        <v>0</v>
      </c>
      <c r="Z5578" s="391">
        <f>Y5565*V5578</f>
        <v>0</v>
      </c>
      <c r="AA5578" s="394"/>
      <c r="AB5578" s="395">
        <f>+Y5578*U5578</f>
        <v>0</v>
      </c>
      <c r="AC5578" s="93">
        <f>+AB5578-Z5578</f>
        <v>0</v>
      </c>
      <c r="AD5578" s="94"/>
      <c r="AE5578" s="406" t="str">
        <f>+IF(V5578=0,"CERO","NO")</f>
        <v>CERO</v>
      </c>
    </row>
    <row r="5579" spans="3:31" s="260" customFormat="1" x14ac:dyDescent="0.25">
      <c r="C5579" s="84"/>
      <c r="D5579" s="85"/>
      <c r="E5579" s="86"/>
      <c r="F5579" s="86"/>
      <c r="G5579" s="86"/>
      <c r="H5579" s="86"/>
      <c r="I5579" s="86"/>
      <c r="J5579" s="87"/>
      <c r="K5579" s="88"/>
      <c r="M5579" s="102"/>
      <c r="N5579" s="533" t="str">
        <f>IFERROR(VLOOKUP(M5579,INSUMOS!$C$8:$K$928,2,0),"-----")</f>
        <v>-----</v>
      </c>
      <c r="O5579" s="533"/>
      <c r="P5579" s="533"/>
      <c r="Q5579" s="533"/>
      <c r="R5579" s="78" t="str">
        <f>IFERROR(VLOOKUP(M5579,INSUMOS!$C$8:$K$928,6,0),"-----")</f>
        <v>-----</v>
      </c>
      <c r="S5579" s="396"/>
      <c r="T5579" s="387"/>
      <c r="U5579" s="388" t="str">
        <f>IFERROR(VLOOKUP(M5579,INSUMOS!$C$8:$K$928,7,0),"0")</f>
        <v>0</v>
      </c>
      <c r="V5579" s="389">
        <f>+IFERROR(U5579*(S5579*(1+T5579)),0)</f>
        <v>0</v>
      </c>
      <c r="Y5579" s="393">
        <f>+IFERROR(Y5565*(S5579*(1+T5579)),0)</f>
        <v>0</v>
      </c>
      <c r="Z5579" s="391">
        <f>Y5565*V5579</f>
        <v>0</v>
      </c>
      <c r="AA5579" s="394"/>
      <c r="AB5579" s="395">
        <f>+Y5579*U5579</f>
        <v>0</v>
      </c>
      <c r="AC5579" s="93">
        <f>+AB5579-Z5579</f>
        <v>0</v>
      </c>
      <c r="AD5579" s="94"/>
      <c r="AE5579" s="406" t="str">
        <f>+IF(V5579=0,"CERO","NO")</f>
        <v>CERO</v>
      </c>
    </row>
    <row r="5580" spans="3:31" s="260" customFormat="1" x14ac:dyDescent="0.25">
      <c r="C5580" s="84"/>
      <c r="D5580" s="85"/>
      <c r="E5580" s="86"/>
      <c r="F5580" s="86"/>
      <c r="G5580" s="86"/>
      <c r="H5580" s="86"/>
      <c r="I5580" s="86"/>
      <c r="J5580" s="87"/>
      <c r="K5580" s="88"/>
      <c r="M5580" s="102"/>
      <c r="N5580" s="533" t="str">
        <f>IFERROR(VLOOKUP(M5580,INSUMOS!$C$8:$K$928,2,0),"-----")</f>
        <v>-----</v>
      </c>
      <c r="O5580" s="533"/>
      <c r="P5580" s="533"/>
      <c r="Q5580" s="533"/>
      <c r="R5580" s="78" t="str">
        <f>IFERROR(VLOOKUP(M5580,INSUMOS!$C$8:$K$928,6,0),"-----")</f>
        <v>-----</v>
      </c>
      <c r="S5580" s="396"/>
      <c r="T5580" s="387"/>
      <c r="U5580" s="388" t="str">
        <f>IFERROR(VLOOKUP(M5580,INSUMOS!$C$8:$K$928,7,0),"0")</f>
        <v>0</v>
      </c>
      <c r="V5580" s="389">
        <f>+IFERROR(U5580*(S5580*(1+T5580)),0)</f>
        <v>0</v>
      </c>
      <c r="Y5580" s="393">
        <f>+IFERROR(Y5565*(S5580*(1+T5580)),0)</f>
        <v>0</v>
      </c>
      <c r="Z5580" s="391">
        <f>Y5565*V5580</f>
        <v>0</v>
      </c>
      <c r="AA5580" s="394"/>
      <c r="AB5580" s="395">
        <f>+Y5580*U5580</f>
        <v>0</v>
      </c>
      <c r="AC5580" s="93">
        <f>+AB5580-Z5580</f>
        <v>0</v>
      </c>
      <c r="AD5580" s="94"/>
      <c r="AE5580" s="406" t="str">
        <f>+IF(V5580=0,"CERO","NO")</f>
        <v>CERO</v>
      </c>
    </row>
    <row r="5581" spans="3:31" s="260" customFormat="1" x14ac:dyDescent="0.25">
      <c r="C5581" s="84"/>
      <c r="D5581" s="85"/>
      <c r="E5581" s="86"/>
      <c r="F5581" s="86"/>
      <c r="G5581" s="86"/>
      <c r="H5581" s="86"/>
      <c r="I5581" s="86"/>
      <c r="J5581" s="87"/>
      <c r="K5581" s="88"/>
      <c r="M5581" s="102"/>
      <c r="N5581" s="533" t="str">
        <f>IFERROR(VLOOKUP(M5581,INSUMOS!$C$8:$K$928,2,0),"-----")</f>
        <v>-----</v>
      </c>
      <c r="O5581" s="533"/>
      <c r="P5581" s="533"/>
      <c r="Q5581" s="533"/>
      <c r="R5581" s="78" t="str">
        <f>IFERROR(VLOOKUP(M5581,INSUMOS!$C$8:$K$928,6,0),"-----")</f>
        <v>-----</v>
      </c>
      <c r="S5581" s="396"/>
      <c r="T5581" s="387"/>
      <c r="U5581" s="388" t="str">
        <f>IFERROR(VLOOKUP(M5581,INSUMOS!$C$8:$K$928,7,0),"0")</f>
        <v>0</v>
      </c>
      <c r="V5581" s="389">
        <f>+IFERROR(U5581*(S5581*(1+T5581)),0)</f>
        <v>0</v>
      </c>
      <c r="Y5581" s="393">
        <f>+IFERROR(Y5565*(S5581*(1+T5581)),0)</f>
        <v>0</v>
      </c>
      <c r="Z5581" s="391">
        <f>Y5565*V5581</f>
        <v>0</v>
      </c>
      <c r="AA5581" s="394"/>
      <c r="AB5581" s="395">
        <f>+Y5581*U5581</f>
        <v>0</v>
      </c>
      <c r="AC5581" s="93">
        <f>+AB5581-Z5581</f>
        <v>0</v>
      </c>
      <c r="AD5581" s="94"/>
      <c r="AE5581" s="406" t="str">
        <f>+IF(V5581=0,"CERO","NO")</f>
        <v>CERO</v>
      </c>
    </row>
    <row r="5582" spans="3:31" s="260" customFormat="1" ht="15.75" thickBot="1" x14ac:dyDescent="0.3">
      <c r="C5582" s="84"/>
      <c r="D5582" s="85"/>
      <c r="E5582" s="86"/>
      <c r="F5582" s="86"/>
      <c r="G5582" s="86"/>
      <c r="H5582" s="86"/>
      <c r="I5582" s="86"/>
      <c r="J5582" s="87"/>
      <c r="K5582" s="88"/>
      <c r="M5582" s="102">
        <v>0</v>
      </c>
      <c r="N5582" s="564"/>
      <c r="O5582" s="564"/>
      <c r="P5582" s="564"/>
      <c r="Q5582" s="564"/>
      <c r="R5582" s="96"/>
      <c r="S5582" s="79"/>
      <c r="T5582" s="97"/>
      <c r="U5582" s="358"/>
      <c r="V5582" s="397"/>
      <c r="Y5582" s="393">
        <f>+IFERROR(Y5565*(S5582*(1+T5582)),0)</f>
        <v>0</v>
      </c>
      <c r="Z5582" s="391">
        <f>Y5565*V5582</f>
        <v>0</v>
      </c>
      <c r="AA5582" s="394"/>
      <c r="AB5582" s="395">
        <f>+Y5582*U5582</f>
        <v>0</v>
      </c>
      <c r="AC5582" s="93">
        <f>+AB5582-Z5582</f>
        <v>0</v>
      </c>
      <c r="AD5582" s="94"/>
      <c r="AE5582" s="406" t="str">
        <f>+IF(V5582=0,"CERO","NO")</f>
        <v>CERO</v>
      </c>
    </row>
    <row r="5583" spans="3:31" s="260" customFormat="1" ht="15.75" thickBot="1" x14ac:dyDescent="0.3">
      <c r="C5583" s="84"/>
      <c r="D5583" s="375" t="s">
        <v>128</v>
      </c>
      <c r="E5583" s="376" t="s">
        <v>129</v>
      </c>
      <c r="F5583" s="376" t="s">
        <v>130</v>
      </c>
      <c r="G5583" s="376" t="s">
        <v>131</v>
      </c>
      <c r="H5583" s="376" t="s">
        <v>132</v>
      </c>
      <c r="I5583" s="376" t="s">
        <v>133</v>
      </c>
      <c r="J5583" s="377" t="s">
        <v>134</v>
      </c>
      <c r="K5583" s="88"/>
      <c r="M5583" s="534"/>
      <c r="N5583" s="536" t="s">
        <v>106</v>
      </c>
      <c r="O5583" s="536"/>
      <c r="P5583" s="536"/>
      <c r="Q5583" s="536"/>
      <c r="R5583" s="536"/>
      <c r="S5583" s="536"/>
      <c r="T5583" s="536"/>
      <c r="U5583" s="536"/>
      <c r="V5583" s="389">
        <f>+SUM(V5578:V5582)</f>
        <v>0</v>
      </c>
      <c r="Y5583" s="398" t="s">
        <v>135</v>
      </c>
      <c r="Z5583" s="397">
        <f>+SUM(Z5578:Z5582)</f>
        <v>0</v>
      </c>
      <c r="AA5583" s="86"/>
      <c r="AB5583" s="384"/>
      <c r="AC5583" s="385"/>
      <c r="AD5583" s="94"/>
      <c r="AE5583" s="399"/>
    </row>
    <row r="5584" spans="3:31" s="260" customFormat="1" ht="15.75" thickBot="1" x14ac:dyDescent="0.3">
      <c r="C5584" s="84"/>
      <c r="D5584" s="375"/>
      <c r="E5584" s="407">
        <f>+D5575</f>
        <v>6.04</v>
      </c>
      <c r="F5584" s="376"/>
      <c r="G5584" s="376"/>
      <c r="H5584" s="376"/>
      <c r="I5584" s="376"/>
      <c r="J5584" s="377"/>
      <c r="K5584" s="88"/>
      <c r="M5584" s="535"/>
      <c r="N5584" s="537" t="s">
        <v>107</v>
      </c>
      <c r="O5584" s="537"/>
      <c r="P5584" s="537"/>
      <c r="Q5584" s="537"/>
      <c r="R5584" s="537"/>
      <c r="S5584" s="537"/>
      <c r="T5584" s="537"/>
      <c r="U5584" s="537"/>
      <c r="V5584" s="408">
        <f>+ROUND(V5583,$AA$5)</f>
        <v>0</v>
      </c>
      <c r="Y5584" s="401" t="s">
        <v>136</v>
      </c>
      <c r="Z5584" s="402">
        <f>+ROUND(Z5583,$AA$5)</f>
        <v>0</v>
      </c>
      <c r="AA5584" s="86"/>
      <c r="AB5584" s="403">
        <f>+V5584*Y5565</f>
        <v>0</v>
      </c>
      <c r="AC5584" s="404">
        <f>+AB5584-Z5584</f>
        <v>0</v>
      </c>
      <c r="AD5584" s="94"/>
      <c r="AE5584" s="405"/>
    </row>
    <row r="5585" spans="3:31" s="260" customFormat="1" x14ac:dyDescent="0.25">
      <c r="C5585" s="84"/>
      <c r="D5585" s="380"/>
      <c r="E5585" s="381"/>
      <c r="F5585" s="381"/>
      <c r="G5585" s="381"/>
      <c r="H5585" s="381"/>
      <c r="I5585" s="381"/>
      <c r="J5585" s="382"/>
      <c r="K5585" s="88"/>
      <c r="M5585" s="568" t="s">
        <v>108</v>
      </c>
      <c r="N5585" s="569"/>
      <c r="O5585" s="569"/>
      <c r="P5585" s="569"/>
      <c r="Q5585" s="569"/>
      <c r="R5585" s="569"/>
      <c r="S5585" s="569"/>
      <c r="T5585" s="569"/>
      <c r="U5585" s="569"/>
      <c r="V5585" s="570"/>
      <c r="Y5585" s="378"/>
      <c r="Z5585" s="121"/>
      <c r="AA5585" s="86"/>
      <c r="AB5585" s="409"/>
      <c r="AC5585" s="121"/>
      <c r="AD5585" s="94"/>
      <c r="AE5585" s="126"/>
    </row>
    <row r="5586" spans="3:31" s="260" customFormat="1" ht="25.5" x14ac:dyDescent="0.25">
      <c r="C5586" s="84"/>
      <c r="D5586" s="85"/>
      <c r="E5586" s="86"/>
      <c r="F5586" s="86"/>
      <c r="G5586" s="86"/>
      <c r="H5586" s="86"/>
      <c r="I5586" s="86"/>
      <c r="J5586" s="87"/>
      <c r="K5586" s="88"/>
      <c r="M5586" s="99" t="s">
        <v>94</v>
      </c>
      <c r="N5586" s="561" t="s">
        <v>95</v>
      </c>
      <c r="O5586" s="561"/>
      <c r="P5586" s="561"/>
      <c r="Q5586" s="95" t="s">
        <v>109</v>
      </c>
      <c r="R5586" s="95" t="s">
        <v>110</v>
      </c>
      <c r="S5586" s="95" t="s">
        <v>111</v>
      </c>
      <c r="T5586" s="562" t="s">
        <v>112</v>
      </c>
      <c r="U5586" s="562"/>
      <c r="V5586" s="100" t="s">
        <v>98</v>
      </c>
      <c r="Y5586" s="383" t="s">
        <v>104</v>
      </c>
      <c r="Z5586" s="119" t="s">
        <v>9</v>
      </c>
      <c r="AA5586" s="86"/>
      <c r="AB5586" s="384"/>
      <c r="AC5586" s="385"/>
      <c r="AD5586" s="94"/>
      <c r="AE5586" s="410"/>
    </row>
    <row r="5587" spans="3:31" s="260" customFormat="1" ht="32.25" customHeight="1" x14ac:dyDescent="0.25">
      <c r="C5587" s="84"/>
      <c r="D5587" s="85"/>
      <c r="E5587" s="86"/>
      <c r="F5587" s="86"/>
      <c r="G5587" s="86"/>
      <c r="H5587" s="86"/>
      <c r="I5587" s="86"/>
      <c r="J5587" s="87"/>
      <c r="K5587" s="88"/>
      <c r="M5587" s="102">
        <v>105</v>
      </c>
      <c r="N5587" s="530" t="str">
        <f>IFERROR(VLOOKUP(M5587,INSUMOS!$C$8:$K$928,2,0),"-----")</f>
        <v>Transporte Retiro de material sobrante</v>
      </c>
      <c r="O5587" s="531"/>
      <c r="P5587" s="532"/>
      <c r="Q5587" s="78" t="str">
        <f>IFERROR(VLOOKUP(M5587,INSUMOS!$C$8:$K$928,5,0),"-----")</f>
        <v>m3/km</v>
      </c>
      <c r="R5587" s="80">
        <v>1</v>
      </c>
      <c r="S5587" s="80">
        <f>IFERROR(VLOOKUP(M5587,INSUMOS!$C$8:$K$928,6,0),"0")</f>
        <v>15</v>
      </c>
      <c r="T5587" s="529">
        <f>IFERROR(VLOOKUP(M5587,INSUMOS!$C$8:$K$928,7,0),"0")</f>
        <v>2000</v>
      </c>
      <c r="U5587" s="529"/>
      <c r="V5587" s="82">
        <f>+T5587*S5587*R5587</f>
        <v>30000</v>
      </c>
      <c r="Y5587" s="393">
        <f>+IFERROR((R5587*S5587)*Y5565,0)</f>
        <v>784.2</v>
      </c>
      <c r="Z5587" s="391">
        <f>Y5565*V5587</f>
        <v>1568400</v>
      </c>
      <c r="AA5587" s="86"/>
      <c r="AB5587" s="92">
        <f>+Y5587*T5587</f>
        <v>1568400</v>
      </c>
      <c r="AC5587" s="93">
        <f>+AB5587-Z5587</f>
        <v>0</v>
      </c>
      <c r="AD5587" s="94"/>
      <c r="AE5587" s="406" t="str">
        <f>+IF(V5587=0,"CERO","NO")</f>
        <v>NO</v>
      </c>
    </row>
    <row r="5588" spans="3:31" s="260" customFormat="1" x14ac:dyDescent="0.25">
      <c r="C5588" s="84"/>
      <c r="D5588" s="85"/>
      <c r="E5588" s="86"/>
      <c r="F5588" s="86"/>
      <c r="G5588" s="86"/>
      <c r="H5588" s="86"/>
      <c r="I5588" s="86"/>
      <c r="J5588" s="87"/>
      <c r="K5588" s="88"/>
      <c r="M5588" s="102">
        <v>0</v>
      </c>
      <c r="N5588" s="530" t="str">
        <f>IFERROR(VLOOKUP(M5588,INSUMOS!$C$8:$K$928,2,0),"-----")</f>
        <v>-----</v>
      </c>
      <c r="O5588" s="531"/>
      <c r="P5588" s="532"/>
      <c r="Q5588" s="78" t="str">
        <f>IFERROR(VLOOKUP(M5588,INSUMOS!$C$8:$K$928,5,0),"-----")</f>
        <v>-----</v>
      </c>
      <c r="R5588" s="80"/>
      <c r="S5588" s="80" t="str">
        <f>IFERROR(VLOOKUP(M5588,INSUMOS!$C$8:$K$928,6,0),"0")</f>
        <v>0</v>
      </c>
      <c r="T5588" s="529" t="str">
        <f>IFERROR(VLOOKUP(M5588,INSUMOS!$C$8:$K$928,7,0),"0")</f>
        <v>0</v>
      </c>
      <c r="U5588" s="529"/>
      <c r="V5588" s="82">
        <f>+T5588*S5588*R5588</f>
        <v>0</v>
      </c>
      <c r="Y5588" s="393">
        <f>+IFERROR((R5588*S5588)*Y5565,0)</f>
        <v>0</v>
      </c>
      <c r="Z5588" s="391">
        <f>Y5565*V5588</f>
        <v>0</v>
      </c>
      <c r="AA5588" s="86"/>
      <c r="AB5588" s="92">
        <f>+Y5588*T5588</f>
        <v>0</v>
      </c>
      <c r="AC5588" s="93">
        <f>+AB5588-Z5588</f>
        <v>0</v>
      </c>
      <c r="AD5588" s="94"/>
      <c r="AE5588" s="406" t="str">
        <f>+IF(V5588=0,"CERO","NO")</f>
        <v>CERO</v>
      </c>
    </row>
    <row r="5589" spans="3:31" s="260" customFormat="1" x14ac:dyDescent="0.25">
      <c r="C5589" s="84"/>
      <c r="D5589" s="85"/>
      <c r="E5589" s="86"/>
      <c r="F5589" s="86"/>
      <c r="G5589" s="86"/>
      <c r="H5589" s="86"/>
      <c r="I5589" s="86"/>
      <c r="J5589" s="87"/>
      <c r="K5589" s="88"/>
      <c r="M5589" s="102">
        <v>0</v>
      </c>
      <c r="N5589" s="530" t="str">
        <f>IFERROR(VLOOKUP(M5589,INSUMOS!$C$8:$K$928,2,0),"-----")</f>
        <v>-----</v>
      </c>
      <c r="O5589" s="531"/>
      <c r="P5589" s="532"/>
      <c r="Q5589" s="78" t="str">
        <f>IFERROR(VLOOKUP(M5589,INSUMOS!$C$8:$K$928,5,0),"-----")</f>
        <v>-----</v>
      </c>
      <c r="R5589" s="80"/>
      <c r="S5589" s="80" t="str">
        <f>IFERROR(VLOOKUP(M5589,INSUMOS!$C$8:$K$928,6,0),"0")</f>
        <v>0</v>
      </c>
      <c r="T5589" s="529" t="str">
        <f>IFERROR(VLOOKUP(M5589,INSUMOS!$C$8:$K$928,7,0),"0")</f>
        <v>0</v>
      </c>
      <c r="U5589" s="529"/>
      <c r="V5589" s="82">
        <f>+T5589*S5589*R5589</f>
        <v>0</v>
      </c>
      <c r="Y5589" s="393">
        <f>+IFERROR((R5589*S5589)*Y5565,0)</f>
        <v>0</v>
      </c>
      <c r="Z5589" s="391">
        <f>Y5565*V5589</f>
        <v>0</v>
      </c>
      <c r="AA5589" s="86"/>
      <c r="AB5589" s="92">
        <f>+Y5589*T5589</f>
        <v>0</v>
      </c>
      <c r="AC5589" s="93">
        <f>+AB5589-Z5589</f>
        <v>0</v>
      </c>
      <c r="AD5589" s="94"/>
      <c r="AE5589" s="406" t="str">
        <f>+IF(V5589=0,"CERO","NO")</f>
        <v>CERO</v>
      </c>
    </row>
    <row r="5590" spans="3:31" s="260" customFormat="1" ht="15.75" thickBot="1" x14ac:dyDescent="0.3">
      <c r="C5590" s="84"/>
      <c r="D5590" s="89"/>
      <c r="E5590" s="90"/>
      <c r="F5590" s="90"/>
      <c r="G5590" s="90"/>
      <c r="H5590" s="90"/>
      <c r="I5590" s="90"/>
      <c r="J5590" s="91"/>
      <c r="K5590" s="88"/>
      <c r="M5590" s="102">
        <v>0</v>
      </c>
      <c r="N5590" s="533"/>
      <c r="O5590" s="533"/>
      <c r="P5590" s="533"/>
      <c r="Q5590" s="79"/>
      <c r="R5590" s="78"/>
      <c r="S5590" s="81"/>
      <c r="T5590" s="529"/>
      <c r="U5590" s="529"/>
      <c r="V5590" s="82"/>
      <c r="Y5590" s="393">
        <f>+IFERROR((R5590*S5590)*Y5565,0)</f>
        <v>0</v>
      </c>
      <c r="Z5590" s="391">
        <f>Y5565*V5590</f>
        <v>0</v>
      </c>
      <c r="AA5590" s="86"/>
      <c r="AB5590" s="92">
        <f>+Y5590*T5590</f>
        <v>0</v>
      </c>
      <c r="AC5590" s="93">
        <f>+AB5590-Z5590</f>
        <v>0</v>
      </c>
      <c r="AD5590" s="94"/>
      <c r="AE5590" s="406" t="str">
        <f>+IF(V5590=0,"CERO","NO")</f>
        <v>CERO</v>
      </c>
    </row>
    <row r="5591" spans="3:31" s="260" customFormat="1" ht="15.75" thickBot="1" x14ac:dyDescent="0.3">
      <c r="C5591" s="84"/>
      <c r="D5591" s="375" t="s">
        <v>128</v>
      </c>
      <c r="E5591" s="376" t="s">
        <v>129</v>
      </c>
      <c r="F5591" s="376" t="s">
        <v>130</v>
      </c>
      <c r="G5591" s="376" t="s">
        <v>131</v>
      </c>
      <c r="H5591" s="376" t="s">
        <v>132</v>
      </c>
      <c r="I5591" s="376" t="s">
        <v>133</v>
      </c>
      <c r="J5591" s="377" t="s">
        <v>134</v>
      </c>
      <c r="K5591" s="88"/>
      <c r="M5591" s="534"/>
      <c r="N5591" s="536" t="s">
        <v>113</v>
      </c>
      <c r="O5591" s="536"/>
      <c r="P5591" s="536"/>
      <c r="Q5591" s="536"/>
      <c r="R5591" s="536"/>
      <c r="S5591" s="536"/>
      <c r="T5591" s="536"/>
      <c r="U5591" s="536"/>
      <c r="V5591" s="411">
        <f>+SUM(V5587:V5590)</f>
        <v>30000</v>
      </c>
      <c r="Y5591" s="398" t="s">
        <v>135</v>
      </c>
      <c r="Z5591" s="397">
        <f>+SUM(Z5587:Z5590)</f>
        <v>1568400</v>
      </c>
      <c r="AA5591" s="86"/>
      <c r="AB5591" s="384"/>
      <c r="AC5591" s="385"/>
      <c r="AD5591" s="94"/>
      <c r="AE5591" s="399"/>
    </row>
    <row r="5592" spans="3:31" s="260" customFormat="1" ht="15.75" thickBot="1" x14ac:dyDescent="0.3">
      <c r="C5592" s="84"/>
      <c r="D5592" s="355"/>
      <c r="E5592" s="367"/>
      <c r="F5592" s="412">
        <f>+E5584</f>
        <v>6.04</v>
      </c>
      <c r="G5592" s="367"/>
      <c r="H5592" s="367"/>
      <c r="I5592" s="367"/>
      <c r="J5592" s="368"/>
      <c r="K5592" s="88"/>
      <c r="M5592" s="535"/>
      <c r="N5592" s="537" t="s">
        <v>114</v>
      </c>
      <c r="O5592" s="537"/>
      <c r="P5592" s="537"/>
      <c r="Q5592" s="537"/>
      <c r="R5592" s="537"/>
      <c r="S5592" s="537"/>
      <c r="T5592" s="537"/>
      <c r="U5592" s="537"/>
      <c r="V5592" s="413">
        <f>+ROUND(V5591,$AA$5)</f>
        <v>30000</v>
      </c>
      <c r="Y5592" s="401" t="s">
        <v>136</v>
      </c>
      <c r="Z5592" s="402">
        <f>+ROUND(Z5591,$AA$5)</f>
        <v>1568400</v>
      </c>
      <c r="AA5592" s="86"/>
      <c r="AB5592" s="403">
        <f>+V5592*Y5565</f>
        <v>1568400</v>
      </c>
      <c r="AC5592" s="414"/>
      <c r="AD5592" s="94"/>
      <c r="AE5592" s="405"/>
    </row>
    <row r="5593" spans="3:31" s="260" customFormat="1" ht="15.75" thickBot="1" x14ac:dyDescent="0.3">
      <c r="C5593" s="84"/>
      <c r="D5593" s="415"/>
      <c r="E5593" s="416"/>
      <c r="F5593" s="416"/>
      <c r="G5593" s="416"/>
      <c r="H5593" s="416"/>
      <c r="I5593" s="416"/>
      <c r="J5593" s="417"/>
      <c r="K5593" s="88"/>
      <c r="M5593" s="538" t="s">
        <v>115</v>
      </c>
      <c r="N5593" s="539"/>
      <c r="O5593" s="539"/>
      <c r="P5593" s="539"/>
      <c r="Q5593" s="539"/>
      <c r="R5593" s="539"/>
      <c r="S5593" s="539"/>
      <c r="T5593" s="539"/>
      <c r="U5593" s="539"/>
      <c r="V5593" s="540"/>
      <c r="Y5593" s="378"/>
      <c r="Z5593" s="121"/>
      <c r="AA5593" s="86"/>
      <c r="AB5593" s="409"/>
      <c r="AC5593" s="121"/>
      <c r="AD5593" s="94"/>
      <c r="AE5593" s="126"/>
    </row>
    <row r="5594" spans="3:31" s="260" customFormat="1" ht="15.75" thickBot="1" x14ac:dyDescent="0.3">
      <c r="C5594" s="84"/>
      <c r="D5594" s="375" t="s">
        <v>128</v>
      </c>
      <c r="E5594" s="376" t="s">
        <v>129</v>
      </c>
      <c r="F5594" s="376" t="s">
        <v>130</v>
      </c>
      <c r="G5594" s="376" t="s">
        <v>131</v>
      </c>
      <c r="H5594" s="376" t="s">
        <v>132</v>
      </c>
      <c r="I5594" s="376" t="s">
        <v>133</v>
      </c>
      <c r="J5594" s="377" t="s">
        <v>134</v>
      </c>
      <c r="K5594" s="88"/>
      <c r="M5594" s="99" t="s">
        <v>94</v>
      </c>
      <c r="N5594" s="98" t="s">
        <v>95</v>
      </c>
      <c r="O5594" s="95" t="s">
        <v>96</v>
      </c>
      <c r="P5594" s="359" t="s">
        <v>104</v>
      </c>
      <c r="Q5594" s="95" t="s">
        <v>116</v>
      </c>
      <c r="R5594" s="418" t="s">
        <v>117</v>
      </c>
      <c r="S5594" s="95" t="s">
        <v>347</v>
      </c>
      <c r="T5594" s="419" t="s">
        <v>118</v>
      </c>
      <c r="U5594" s="189" t="s">
        <v>119</v>
      </c>
      <c r="V5594" s="100" t="s">
        <v>98</v>
      </c>
      <c r="Y5594" s="383" t="s">
        <v>104</v>
      </c>
      <c r="Z5594" s="119" t="s">
        <v>9</v>
      </c>
      <c r="AA5594" s="86"/>
      <c r="AB5594" s="384"/>
      <c r="AC5594" s="385"/>
      <c r="AD5594" s="94"/>
      <c r="AE5594" s="410"/>
    </row>
    <row r="5595" spans="3:31" s="260" customFormat="1" ht="25.5" x14ac:dyDescent="0.25">
      <c r="C5595" s="84"/>
      <c r="D5595" s="354"/>
      <c r="E5595" s="96"/>
      <c r="F5595" s="96"/>
      <c r="G5595" s="96"/>
      <c r="H5595" s="96"/>
      <c r="I5595" s="96"/>
      <c r="J5595" s="420">
        <f>+F5592</f>
        <v>6.04</v>
      </c>
      <c r="K5595" s="88"/>
      <c r="M5595" s="102">
        <v>202</v>
      </c>
      <c r="N5595" s="347" t="str">
        <f>IFERROR(VLOOKUP(M5595,INSUMOS!$C$8:$K$928,2,0),"-----")</f>
        <v>Ayudante Albañileria</v>
      </c>
      <c r="O5595" s="78" t="str">
        <f>IFERROR(VLOOKUP(M5595,INSUMOS!$C$8:$K$928,3,0),"-----")</f>
        <v>JORNAL+PS</v>
      </c>
      <c r="P5595" s="80">
        <v>2</v>
      </c>
      <c r="Q5595" s="79">
        <v>10</v>
      </c>
      <c r="R5595" s="190">
        <f>IFERROR(VLOOKUP(M5595,INSUMOS!$C$8:$K$928,4,0),"-----")</f>
        <v>63490</v>
      </c>
      <c r="S5595" s="190">
        <f>IFERROR(VLOOKUP(M5595,INSUMOS!$C$8:$K$928,6,0),"-----")</f>
        <v>50792</v>
      </c>
      <c r="T5595" s="190">
        <f>IFERROR(VLOOKUP(M5595,INSUMOS!$C$8:$K$928,5,0),"-----")</f>
        <v>0</v>
      </c>
      <c r="U5595" s="388">
        <f>SUM(R5595:T5595)</f>
        <v>114282</v>
      </c>
      <c r="V5595" s="82">
        <f>+IFERROR((P5595/Q5595)*U5595,0)</f>
        <v>22856.400000000001</v>
      </c>
      <c r="Y5595" s="393">
        <f>+IFERROR((Y5565/Q5595*P5595),0)</f>
        <v>10.456</v>
      </c>
      <c r="Z5595" s="391">
        <f>Y5565*V5595</f>
        <v>1194932.5920000002</v>
      </c>
      <c r="AA5595" s="86"/>
      <c r="AB5595" s="92">
        <f>+(U5595)*Y5595</f>
        <v>1194932.5919999999</v>
      </c>
      <c r="AC5595" s="93">
        <f>+AB5595-Z5595</f>
        <v>0</v>
      </c>
      <c r="AD5595" s="421"/>
      <c r="AE5595" s="410" t="str">
        <f>+IF(V5595=0,"CERO","NO")</f>
        <v>NO</v>
      </c>
    </row>
    <row r="5596" spans="3:31" s="260" customFormat="1" ht="15.75" thickBot="1" x14ac:dyDescent="0.3">
      <c r="C5596" s="84"/>
      <c r="D5596" s="355"/>
      <c r="E5596" s="367"/>
      <c r="F5596" s="367"/>
      <c r="G5596" s="367"/>
      <c r="H5596" s="367"/>
      <c r="I5596" s="367"/>
      <c r="J5596" s="422">
        <f>+J5595</f>
        <v>6.04</v>
      </c>
      <c r="K5596" s="88"/>
      <c r="M5596" s="102"/>
      <c r="N5596" s="347" t="str">
        <f>IFERROR(VLOOKUP(M5596,INSUMOS!$C$8:$K$928,2,0),"-----")</f>
        <v>-----</v>
      </c>
      <c r="O5596" s="78" t="str">
        <f>IFERROR(VLOOKUP(M5596,INSUMOS!$C$8:$K$928,3,0),"-----")</f>
        <v>-----</v>
      </c>
      <c r="P5596" s="80"/>
      <c r="Q5596" s="79"/>
      <c r="R5596" s="190" t="str">
        <f>IFERROR(VLOOKUP(M5596,INSUMOS!$C$8:$K$928,4,0),"-----")</f>
        <v>-----</v>
      </c>
      <c r="S5596" s="190" t="str">
        <f>IFERROR(VLOOKUP(M5596,INSUMOS!$C$8:$K$928,6,0),"-----")</f>
        <v>-----</v>
      </c>
      <c r="T5596" s="190" t="str">
        <f>IFERROR(VLOOKUP(M5596,INSUMOS!$C$8:$K$928,5,0),"-----")</f>
        <v>-----</v>
      </c>
      <c r="U5596" s="388">
        <f>SUM(R5596:T5596)</f>
        <v>0</v>
      </c>
      <c r="V5596" s="82">
        <f>+IFERROR((P5596/Q5596)*U5596,0)</f>
        <v>0</v>
      </c>
      <c r="Y5596" s="393">
        <f>+IFERROR((Y5565/Q5596*P5596),0)</f>
        <v>0</v>
      </c>
      <c r="Z5596" s="391">
        <f>Y5565*V5596</f>
        <v>0</v>
      </c>
      <c r="AA5596" s="86"/>
      <c r="AB5596" s="92">
        <f>+U5596*Y5596</f>
        <v>0</v>
      </c>
      <c r="AC5596" s="93">
        <f>+AB5596-Z5596</f>
        <v>0</v>
      </c>
      <c r="AD5596" s="94"/>
      <c r="AE5596" s="410" t="str">
        <f>+IF(V5596=0,"CERO","NO")</f>
        <v>CERO</v>
      </c>
    </row>
    <row r="5597" spans="3:31" s="260" customFormat="1" ht="15.75" thickBot="1" x14ac:dyDescent="0.3">
      <c r="C5597" s="84"/>
      <c r="D5597" s="380"/>
      <c r="E5597" s="381"/>
      <c r="F5597" s="381"/>
      <c r="G5597" s="381"/>
      <c r="H5597" s="381"/>
      <c r="I5597" s="381"/>
      <c r="J5597" s="382"/>
      <c r="K5597" s="88"/>
      <c r="M5597" s="102">
        <v>0</v>
      </c>
      <c r="N5597" s="347"/>
      <c r="O5597" s="79"/>
      <c r="P5597" s="423"/>
      <c r="Q5597" s="81"/>
      <c r="R5597" s="111"/>
      <c r="S5597" s="357"/>
      <c r="T5597" s="111"/>
      <c r="U5597" s="388"/>
      <c r="V5597" s="426"/>
      <c r="Y5597" s="393">
        <f>+IFERROR((Y5565/Q5597*P5597),0)</f>
        <v>0</v>
      </c>
      <c r="Z5597" s="391">
        <f>Y5565*V5597</f>
        <v>0</v>
      </c>
      <c r="AA5597" s="86"/>
      <c r="AB5597" s="92">
        <f>+(U5597)*Y5597*P5597</f>
        <v>0</v>
      </c>
      <c r="AC5597" s="93">
        <f>+AB5597-Z5597</f>
        <v>0</v>
      </c>
      <c r="AD5597" s="94"/>
      <c r="AE5597" s="410" t="str">
        <f>+IF(V5597=0,"CERO","NO")</f>
        <v>CERO</v>
      </c>
    </row>
    <row r="5598" spans="3:31" s="260" customFormat="1" ht="15.75" thickBot="1" x14ac:dyDescent="0.3">
      <c r="C5598" s="84"/>
      <c r="D5598" s="375" t="s">
        <v>128</v>
      </c>
      <c r="E5598" s="376" t="s">
        <v>129</v>
      </c>
      <c r="F5598" s="376" t="s">
        <v>130</v>
      </c>
      <c r="G5598" s="376" t="s">
        <v>131</v>
      </c>
      <c r="H5598" s="376" t="s">
        <v>132</v>
      </c>
      <c r="I5598" s="376" t="s">
        <v>133</v>
      </c>
      <c r="J5598" s="377" t="s">
        <v>134</v>
      </c>
      <c r="K5598" s="88"/>
      <c r="M5598" s="534"/>
      <c r="N5598" s="536" t="s">
        <v>120</v>
      </c>
      <c r="O5598" s="536"/>
      <c r="P5598" s="536"/>
      <c r="Q5598" s="536"/>
      <c r="R5598" s="536"/>
      <c r="S5598" s="536"/>
      <c r="T5598" s="536"/>
      <c r="U5598" s="536"/>
      <c r="V5598" s="82">
        <f>+SUM(V5595:V5597)</f>
        <v>22856.400000000001</v>
      </c>
      <c r="Y5598" s="398" t="s">
        <v>135</v>
      </c>
      <c r="Z5598" s="397">
        <f>+SUM(Z5595:Z5597)</f>
        <v>1194932.5920000002</v>
      </c>
      <c r="AA5598" s="86"/>
      <c r="AB5598" s="384"/>
      <c r="AC5598" s="385"/>
      <c r="AD5598" s="94"/>
      <c r="AE5598" s="399"/>
    </row>
    <row r="5599" spans="3:31" s="260" customFormat="1" ht="15.75" thickBot="1" x14ac:dyDescent="0.3">
      <c r="C5599" s="84"/>
      <c r="D5599" s="354"/>
      <c r="E5599" s="96"/>
      <c r="F5599" s="96"/>
      <c r="G5599" s="107">
        <f>+F5592</f>
        <v>6.04</v>
      </c>
      <c r="H5599" s="96"/>
      <c r="I5599" s="96"/>
      <c r="J5599" s="427"/>
      <c r="K5599" s="88"/>
      <c r="M5599" s="535"/>
      <c r="N5599" s="537" t="s">
        <v>121</v>
      </c>
      <c r="O5599" s="537"/>
      <c r="P5599" s="537"/>
      <c r="Q5599" s="537"/>
      <c r="R5599" s="537"/>
      <c r="S5599" s="537"/>
      <c r="T5599" s="537"/>
      <c r="U5599" s="537"/>
      <c r="V5599" s="413">
        <f>+ROUND(V5598,$AA$5)</f>
        <v>22856.400000000001</v>
      </c>
      <c r="Y5599" s="401" t="s">
        <v>136</v>
      </c>
      <c r="Z5599" s="402">
        <f>+ROUND(Z5598,$AA$5)</f>
        <v>1194932.5900000001</v>
      </c>
      <c r="AA5599" s="86"/>
      <c r="AB5599" s="403">
        <f>+V5599*Y5565</f>
        <v>1194932.5920000002</v>
      </c>
      <c r="AC5599" s="404">
        <f>+AB5599-Z5599</f>
        <v>2.0000000949949026E-3</v>
      </c>
      <c r="AD5599" s="94"/>
      <c r="AE5599" s="405"/>
    </row>
    <row r="5600" spans="3:31" s="260" customFormat="1" ht="15.75" thickBot="1" x14ac:dyDescent="0.3">
      <c r="C5600" s="84"/>
      <c r="D5600" s="375" t="s">
        <v>128</v>
      </c>
      <c r="E5600" s="376" t="s">
        <v>129</v>
      </c>
      <c r="F5600" s="376" t="s">
        <v>130</v>
      </c>
      <c r="G5600" s="376" t="s">
        <v>131</v>
      </c>
      <c r="H5600" s="376" t="s">
        <v>132</v>
      </c>
      <c r="I5600" s="376" t="s">
        <v>133</v>
      </c>
      <c r="J5600" s="377" t="s">
        <v>134</v>
      </c>
      <c r="K5600" s="88"/>
      <c r="M5600" s="541"/>
      <c r="N5600" s="542"/>
      <c r="O5600" s="542"/>
      <c r="P5600" s="542"/>
      <c r="Q5600" s="542"/>
      <c r="R5600" s="542"/>
      <c r="S5600" s="542"/>
      <c r="T5600" s="542"/>
      <c r="U5600" s="542"/>
      <c r="V5600" s="543"/>
      <c r="Y5600" s="378"/>
      <c r="Z5600" s="121"/>
      <c r="AA5600" s="86"/>
      <c r="AB5600" s="409"/>
      <c r="AC5600" s="121"/>
      <c r="AD5600" s="94"/>
      <c r="AE5600" s="428"/>
    </row>
    <row r="5601" spans="3:31" s="260" customFormat="1" ht="15.75" thickBot="1" x14ac:dyDescent="0.3">
      <c r="C5601" s="84"/>
      <c r="D5601" s="355"/>
      <c r="E5601" s="367"/>
      <c r="F5601" s="367"/>
      <c r="G5601" s="367"/>
      <c r="H5601" s="412">
        <f>G5599</f>
        <v>6.04</v>
      </c>
      <c r="I5601" s="412"/>
      <c r="J5601" s="422"/>
      <c r="K5601" s="88"/>
      <c r="M5601" s="544" t="s">
        <v>122</v>
      </c>
      <c r="N5601" s="537"/>
      <c r="O5601" s="537"/>
      <c r="P5601" s="537"/>
      <c r="Q5601" s="537"/>
      <c r="R5601" s="537"/>
      <c r="S5601" s="537"/>
      <c r="T5601" s="537"/>
      <c r="U5601" s="545">
        <f>+V5599+V5592+V5584+V5575</f>
        <v>53999.22</v>
      </c>
      <c r="V5601" s="546"/>
      <c r="Y5601" s="429"/>
      <c r="Z5601" s="430">
        <f>+Z5599+Z5592+Z5584+Z5575</f>
        <v>2823079.2199999997</v>
      </c>
      <c r="AA5601" s="86"/>
      <c r="AB5601" s="431">
        <f>+AB5599+AB5592+AB5584+AB5575</f>
        <v>2823079.2216000003</v>
      </c>
      <c r="AC5601" s="404">
        <f>+AB5601-Z5601</f>
        <v>1.6000005416572094E-3</v>
      </c>
      <c r="AD5601" s="94"/>
      <c r="AE5601" s="432"/>
    </row>
    <row r="5602" spans="3:31" s="260" customFormat="1" ht="15.75" thickBot="1" x14ac:dyDescent="0.3"/>
    <row r="5603" spans="3:31" s="260" customFormat="1" x14ac:dyDescent="0.25">
      <c r="M5603" s="547" t="s">
        <v>348</v>
      </c>
      <c r="N5603" s="548"/>
      <c r="O5603" s="548"/>
      <c r="P5603" s="548"/>
      <c r="Q5603" s="548"/>
      <c r="R5603" s="548"/>
      <c r="S5603" s="548"/>
      <c r="T5603" s="548"/>
      <c r="U5603" s="548"/>
      <c r="V5603" s="549"/>
      <c r="Y5603" s="378"/>
      <c r="Z5603" s="121"/>
      <c r="AA5603" s="86"/>
      <c r="AB5603" s="94"/>
      <c r="AC5603" s="94"/>
      <c r="AD5603" s="94"/>
      <c r="AE5603" s="126" t="s">
        <v>133</v>
      </c>
    </row>
    <row r="5604" spans="3:31" s="260" customFormat="1" x14ac:dyDescent="0.25">
      <c r="M5604" s="515" t="s">
        <v>138</v>
      </c>
      <c r="N5604" s="516"/>
      <c r="O5604" s="516"/>
      <c r="P5604" s="516"/>
      <c r="Q5604" s="516"/>
      <c r="R5604" s="516"/>
      <c r="S5604" s="516"/>
      <c r="T5604" s="437">
        <v>0</v>
      </c>
      <c r="U5604" s="517">
        <f>+ROUND(U5601*T5604,$AA$5)</f>
        <v>0</v>
      </c>
      <c r="V5604" s="518"/>
      <c r="Y5604" s="390"/>
      <c r="Z5604" s="438">
        <f>+Z5601*T5604</f>
        <v>0</v>
      </c>
      <c r="AA5604" s="86"/>
      <c r="AB5604" s="94"/>
      <c r="AC5604" s="94"/>
      <c r="AD5604" s="94"/>
      <c r="AE5604" s="386" t="s">
        <v>133</v>
      </c>
    </row>
    <row r="5605" spans="3:31" s="260" customFormat="1" x14ac:dyDescent="0.25">
      <c r="M5605" s="515" t="s">
        <v>19</v>
      </c>
      <c r="N5605" s="516"/>
      <c r="O5605" s="516"/>
      <c r="P5605" s="516"/>
      <c r="Q5605" s="516"/>
      <c r="R5605" s="516"/>
      <c r="S5605" s="516"/>
      <c r="T5605" s="437">
        <v>0.05</v>
      </c>
      <c r="U5605" s="517">
        <f>+ROUND(U5601*T5605,$AA$5)</f>
        <v>2699.96</v>
      </c>
      <c r="V5605" s="518"/>
      <c r="Y5605" s="390"/>
      <c r="Z5605" s="438">
        <f>+Z5601*T5605</f>
        <v>141153.96099999998</v>
      </c>
      <c r="AA5605" s="86"/>
      <c r="AB5605" s="94"/>
      <c r="AC5605" s="94"/>
      <c r="AD5605" s="94"/>
      <c r="AE5605" s="386" t="s">
        <v>133</v>
      </c>
    </row>
    <row r="5606" spans="3:31" s="260" customFormat="1" x14ac:dyDescent="0.25">
      <c r="M5606" s="515" t="s">
        <v>20</v>
      </c>
      <c r="N5606" s="516"/>
      <c r="O5606" s="516"/>
      <c r="P5606" s="516"/>
      <c r="Q5606" s="516"/>
      <c r="R5606" s="516"/>
      <c r="S5606" s="516"/>
      <c r="T5606" s="437">
        <v>0</v>
      </c>
      <c r="U5606" s="517">
        <f>+ROUND(U5601*T5606,$AA$5)</f>
        <v>0</v>
      </c>
      <c r="V5606" s="518"/>
      <c r="Y5606" s="390"/>
      <c r="Z5606" s="438">
        <f>+Z5601*T5606</f>
        <v>0</v>
      </c>
      <c r="AA5606" s="86"/>
      <c r="AB5606" s="94"/>
      <c r="AC5606" s="94"/>
      <c r="AD5606" s="94"/>
      <c r="AE5606" s="386" t="s">
        <v>133</v>
      </c>
    </row>
    <row r="5607" spans="3:31" s="260" customFormat="1" x14ac:dyDescent="0.25">
      <c r="M5607" s="515" t="s">
        <v>21</v>
      </c>
      <c r="N5607" s="516"/>
      <c r="O5607" s="516"/>
      <c r="P5607" s="516"/>
      <c r="Q5607" s="516"/>
      <c r="R5607" s="516"/>
      <c r="S5607" s="516"/>
      <c r="T5607" s="437">
        <f>$AA$9</f>
        <v>0</v>
      </c>
      <c r="U5607" s="517">
        <f>+ROUND(U5601*T5607,$AA$5)</f>
        <v>0</v>
      </c>
      <c r="V5607" s="518"/>
      <c r="Y5607" s="390"/>
      <c r="Z5607" s="438">
        <f>+Z5606*T5607</f>
        <v>0</v>
      </c>
      <c r="AA5607" s="86"/>
      <c r="AB5607" s="94"/>
      <c r="AC5607" s="94"/>
      <c r="AD5607" s="94"/>
      <c r="AE5607" s="386" t="s">
        <v>133</v>
      </c>
    </row>
    <row r="5608" spans="3:31" s="260" customFormat="1" ht="15.75" thickBot="1" x14ac:dyDescent="0.3">
      <c r="M5608" s="519" t="s">
        <v>349</v>
      </c>
      <c r="N5608" s="520"/>
      <c r="O5608" s="520"/>
      <c r="P5608" s="520"/>
      <c r="Q5608" s="520"/>
      <c r="R5608" s="520"/>
      <c r="S5608" s="520"/>
      <c r="T5608" s="520"/>
      <c r="U5608" s="521">
        <f>+SUM(U5604:V5607)</f>
        <v>2699.96</v>
      </c>
      <c r="V5608" s="522"/>
      <c r="Y5608" s="390"/>
      <c r="Z5608" s="439">
        <f>+SUM(Z5604:Z5607)</f>
        <v>141153.96099999998</v>
      </c>
      <c r="AA5608" s="86"/>
      <c r="AB5608" s="94"/>
      <c r="AC5608" s="94"/>
      <c r="AD5608" s="94"/>
      <c r="AE5608" s="386" t="s">
        <v>133</v>
      </c>
    </row>
    <row r="5609" spans="3:31" s="260" customFormat="1" ht="15.75" thickBot="1" x14ac:dyDescent="0.3">
      <c r="D5609" s="375" t="s">
        <v>128</v>
      </c>
      <c r="E5609" s="376" t="s">
        <v>129</v>
      </c>
      <c r="F5609" s="376" t="s">
        <v>130</v>
      </c>
      <c r="G5609" s="376" t="s">
        <v>131</v>
      </c>
      <c r="H5609" s="376" t="s">
        <v>132</v>
      </c>
      <c r="I5609" s="376" t="s">
        <v>133</v>
      </c>
      <c r="J5609" s="377" t="s">
        <v>134</v>
      </c>
      <c r="M5609" s="86"/>
      <c r="N5609" s="94"/>
      <c r="O5609" s="94"/>
      <c r="P5609" s="94"/>
      <c r="Q5609" s="86"/>
      <c r="R5609" s="86"/>
      <c r="S5609" s="86"/>
      <c r="T5609" s="440"/>
      <c r="U5609" s="523"/>
      <c r="V5609" s="523"/>
      <c r="Y5609" s="390"/>
      <c r="Z5609" s="385"/>
      <c r="AA5609" s="86"/>
      <c r="AB5609" s="94"/>
      <c r="AC5609" s="94"/>
      <c r="AD5609" s="94"/>
      <c r="AE5609" s="386" t="s">
        <v>133</v>
      </c>
    </row>
    <row r="5610" spans="3:31" s="260" customFormat="1" ht="15.75" thickBot="1" x14ac:dyDescent="0.3">
      <c r="D5610" s="355"/>
      <c r="E5610" s="367"/>
      <c r="F5610" s="367"/>
      <c r="G5610" s="367"/>
      <c r="H5610" s="412"/>
      <c r="I5610" s="412">
        <f>H5601</f>
        <v>6.04</v>
      </c>
      <c r="J5610" s="422"/>
      <c r="M5610" s="524" t="s">
        <v>11</v>
      </c>
      <c r="N5610" s="525"/>
      <c r="O5610" s="525"/>
      <c r="P5610" s="525"/>
      <c r="Q5610" s="525"/>
      <c r="R5610" s="525"/>
      <c r="S5610" s="525"/>
      <c r="T5610" s="526"/>
      <c r="U5610" s="527">
        <f>+U5608+U5601</f>
        <v>56699.18</v>
      </c>
      <c r="V5610" s="528"/>
      <c r="Y5610" s="429"/>
      <c r="Z5610" s="441">
        <f>+Z5608+Z5601</f>
        <v>2964233.1809999999</v>
      </c>
      <c r="AA5610" s="86"/>
      <c r="AB5610" s="94"/>
      <c r="AC5610" s="94"/>
      <c r="AD5610" s="94"/>
      <c r="AE5610" s="405" t="s">
        <v>133</v>
      </c>
    </row>
    <row r="5611" spans="3:31" s="260" customFormat="1" x14ac:dyDescent="0.25"/>
    <row r="5612" spans="3:31" s="260" customFormat="1" ht="15.75" thickBot="1" x14ac:dyDescent="0.3"/>
    <row r="5613" spans="3:31" s="260" customFormat="1" ht="15.75" thickBot="1" x14ac:dyDescent="0.3">
      <c r="M5613" s="363" t="s">
        <v>88</v>
      </c>
      <c r="N5613" s="436" t="str">
        <f>+N5564</f>
        <v>CAP.6</v>
      </c>
      <c r="O5613" s="550" t="str">
        <f>IFERROR(VLOOKUP(N5613,PPTO!C:H,2,0),"----")</f>
        <v>RED DE DRENAJE</v>
      </c>
      <c r="P5613" s="551"/>
      <c r="Q5613" s="551"/>
      <c r="R5613" s="551"/>
      <c r="S5613" s="551"/>
      <c r="T5613" s="551"/>
      <c r="U5613" s="552"/>
      <c r="V5613" s="74" t="s">
        <v>91</v>
      </c>
      <c r="Y5613" s="365" t="s">
        <v>104</v>
      </c>
      <c r="Z5613" s="94"/>
      <c r="AA5613" s="188"/>
      <c r="AB5613" s="553"/>
      <c r="AC5613" s="553"/>
      <c r="AD5613" s="553"/>
      <c r="AE5613" s="94"/>
    </row>
    <row r="5614" spans="3:31" s="260" customFormat="1" ht="15.75" thickBot="1" x14ac:dyDescent="0.3">
      <c r="C5614" s="369">
        <f>+N5614</f>
        <v>6.05</v>
      </c>
      <c r="D5614" s="86"/>
      <c r="E5614" s="86"/>
      <c r="F5614" s="86"/>
      <c r="G5614" s="86"/>
      <c r="H5614" s="86"/>
      <c r="I5614" s="86"/>
      <c r="J5614" s="86"/>
      <c r="K5614" s="370"/>
      <c r="M5614" s="75" t="s">
        <v>92</v>
      </c>
      <c r="N5614" s="371">
        <f>+ROUNDUP(N5565+0.01,2)</f>
        <v>6.05</v>
      </c>
      <c r="O5614" s="554" t="str">
        <f>IFERROR(VLOOKUP(N5614,PPTO!C:H,2,0),"----")</f>
        <v>Concreto fc 28 Mpa</v>
      </c>
      <c r="P5614" s="555"/>
      <c r="Q5614" s="555"/>
      <c r="R5614" s="555"/>
      <c r="S5614" s="555"/>
      <c r="T5614" s="555"/>
      <c r="U5614" s="556"/>
      <c r="V5614" s="76" t="str">
        <f>IFERROR(VLOOKUP(N5614,PPTO!C:H,3,0),"----")</f>
        <v>M3</v>
      </c>
      <c r="Y5614" s="373">
        <f>SUMIFS(PPTO!F:F,PPTO!C:C,APUS!N5614)</f>
        <v>20.88</v>
      </c>
      <c r="Z5614" s="94"/>
      <c r="AA5614" s="86"/>
      <c r="AB5614" s="94"/>
      <c r="AC5614" s="94"/>
      <c r="AD5614" s="94"/>
      <c r="AE5614" s="94"/>
    </row>
    <row r="5615" spans="3:31" s="260" customFormat="1" ht="15.75" thickBot="1" x14ac:dyDescent="0.3">
      <c r="C5615" s="84"/>
      <c r="D5615" s="86"/>
      <c r="E5615" s="86"/>
      <c r="F5615" s="86"/>
      <c r="G5615" s="86"/>
      <c r="H5615" s="86"/>
      <c r="I5615" s="86"/>
      <c r="J5615" s="86"/>
      <c r="K5615" s="88"/>
      <c r="M5615" s="557"/>
      <c r="N5615" s="557"/>
      <c r="O5615" s="557"/>
      <c r="P5615" s="557"/>
      <c r="Q5615" s="557"/>
      <c r="R5615" s="557"/>
      <c r="S5615" s="557"/>
      <c r="T5615" s="557"/>
      <c r="U5615" s="557"/>
      <c r="V5615" s="557"/>
      <c r="Y5615" s="374"/>
      <c r="Z5615" s="94"/>
      <c r="AA5615" s="86"/>
      <c r="AB5615" s="94"/>
      <c r="AC5615" s="94"/>
      <c r="AD5615" s="94"/>
      <c r="AE5615" s="94"/>
    </row>
    <row r="5616" spans="3:31" s="260" customFormat="1" ht="15.75" thickBot="1" x14ac:dyDescent="0.3">
      <c r="C5616" s="84"/>
      <c r="D5616" s="375" t="s">
        <v>128</v>
      </c>
      <c r="E5616" s="376" t="s">
        <v>129</v>
      </c>
      <c r="F5616" s="376" t="s">
        <v>130</v>
      </c>
      <c r="G5616" s="376" t="s">
        <v>131</v>
      </c>
      <c r="H5616" s="376" t="s">
        <v>132</v>
      </c>
      <c r="I5616" s="376" t="s">
        <v>133</v>
      </c>
      <c r="J5616" s="377" t="s">
        <v>134</v>
      </c>
      <c r="K5616" s="88"/>
      <c r="M5616" s="558" t="s">
        <v>93</v>
      </c>
      <c r="N5616" s="559"/>
      <c r="O5616" s="559"/>
      <c r="P5616" s="559"/>
      <c r="Q5616" s="559"/>
      <c r="R5616" s="559"/>
      <c r="S5616" s="559"/>
      <c r="T5616" s="559"/>
      <c r="U5616" s="559"/>
      <c r="V5616" s="560"/>
      <c r="Y5616" s="378"/>
      <c r="Z5616" s="121"/>
      <c r="AA5616" s="86"/>
      <c r="AB5616" s="513"/>
      <c r="AC5616" s="514"/>
      <c r="AD5616" s="94"/>
      <c r="AE5616" s="379"/>
    </row>
    <row r="5617" spans="3:31" s="260" customFormat="1" x14ac:dyDescent="0.25">
      <c r="C5617" s="84"/>
      <c r="D5617" s="380"/>
      <c r="E5617" s="381"/>
      <c r="F5617" s="381"/>
      <c r="G5617" s="381"/>
      <c r="H5617" s="381"/>
      <c r="I5617" s="381"/>
      <c r="J5617" s="382"/>
      <c r="K5617" s="88"/>
      <c r="M5617" s="99" t="s">
        <v>94</v>
      </c>
      <c r="N5617" s="561" t="s">
        <v>95</v>
      </c>
      <c r="O5617" s="561"/>
      <c r="P5617" s="561"/>
      <c r="Q5617" s="561"/>
      <c r="R5617" s="95" t="s">
        <v>96</v>
      </c>
      <c r="S5617" s="95" t="s">
        <v>97</v>
      </c>
      <c r="T5617" s="562" t="s">
        <v>8</v>
      </c>
      <c r="U5617" s="562"/>
      <c r="V5617" s="100" t="s">
        <v>98</v>
      </c>
      <c r="Y5617" s="383" t="s">
        <v>104</v>
      </c>
      <c r="Z5617" s="119" t="s">
        <v>9</v>
      </c>
      <c r="AA5617" s="86"/>
      <c r="AB5617" s="384"/>
      <c r="AC5617" s="385"/>
      <c r="AD5617" s="94"/>
      <c r="AE5617" s="386"/>
    </row>
    <row r="5618" spans="3:31" s="260" customFormat="1" x14ac:dyDescent="0.25">
      <c r="C5618" s="84"/>
      <c r="D5618" s="85"/>
      <c r="E5618" s="86"/>
      <c r="F5618" s="86"/>
      <c r="G5618" s="86"/>
      <c r="H5618" s="86"/>
      <c r="I5618" s="86"/>
      <c r="J5618" s="87"/>
      <c r="K5618" s="88"/>
      <c r="M5618" s="102"/>
      <c r="N5618" s="533" t="s">
        <v>99</v>
      </c>
      <c r="O5618" s="533"/>
      <c r="P5618" s="533"/>
      <c r="Q5618" s="533"/>
      <c r="R5618" s="78" t="s">
        <v>100</v>
      </c>
      <c r="S5618" s="387">
        <f>+$AA$10</f>
        <v>0.05</v>
      </c>
      <c r="T5618" s="563">
        <f>V5648</f>
        <v>70870.14</v>
      </c>
      <c r="U5618" s="563"/>
      <c r="V5618" s="389">
        <f>+IFERROR(T5618*S5618,0)</f>
        <v>3543.5070000000001</v>
      </c>
      <c r="Y5618" s="390"/>
      <c r="Z5618" s="391">
        <f>Y5614*V5618</f>
        <v>73988.426160000003</v>
      </c>
      <c r="AA5618" s="86"/>
      <c r="AB5618" s="384"/>
      <c r="AC5618" s="385"/>
      <c r="AD5618" s="94"/>
      <c r="AE5618" s="386" t="str">
        <f>+IF(V5618=0,"CERO","NO")</f>
        <v>NO</v>
      </c>
    </row>
    <row r="5619" spans="3:31" s="260" customFormat="1" x14ac:dyDescent="0.25">
      <c r="C5619" s="84"/>
      <c r="D5619" s="85"/>
      <c r="E5619" s="86"/>
      <c r="F5619" s="86"/>
      <c r="G5619" s="86"/>
      <c r="H5619" s="86"/>
      <c r="I5619" s="86"/>
      <c r="J5619" s="87"/>
      <c r="K5619" s="88"/>
      <c r="M5619" s="106">
        <v>2</v>
      </c>
      <c r="N5619" s="533" t="str">
        <f>IFERROR(VLOOKUP(M5619,INSUMOS!$C$8:$K$928,2,0),"-----")</f>
        <v>VIBRADOR DE CONCRETO</v>
      </c>
      <c r="O5619" s="533"/>
      <c r="P5619" s="533"/>
      <c r="Q5619" s="533"/>
      <c r="R5619" s="78" t="str">
        <f>IFERROR(VLOOKUP(M5619,INSUMOS!$C$8:$K$928,6,0),"-----")</f>
        <v>dia</v>
      </c>
      <c r="S5619" s="392">
        <f>1/Q5644</f>
        <v>0.14285714285714285</v>
      </c>
      <c r="T5619" s="529">
        <f>IFERROR(VLOOKUP(M5619,INSUMOS!$C$8:$K$928,7,0),"0")</f>
        <v>82000</v>
      </c>
      <c r="U5619" s="529"/>
      <c r="V5619" s="389">
        <f>+IFERROR(T5619*S5619,0)</f>
        <v>11714.285714285714</v>
      </c>
      <c r="Y5619" s="393">
        <f>+IFERROR(Y5614*S5619,0)</f>
        <v>2.9828571428571427</v>
      </c>
      <c r="Z5619" s="391">
        <f>Y5614*V5619</f>
        <v>244594.28571428568</v>
      </c>
      <c r="AA5619" s="394"/>
      <c r="AB5619" s="395">
        <f>+Y5619*T5619</f>
        <v>244594.28571428571</v>
      </c>
      <c r="AC5619" s="93">
        <f>+AB5619-Z5619</f>
        <v>0</v>
      </c>
      <c r="AD5619" s="94"/>
      <c r="AE5619" s="386" t="str">
        <f>+IF(V5619=0,"CERO","NO")</f>
        <v>NO</v>
      </c>
    </row>
    <row r="5620" spans="3:31" s="260" customFormat="1" x14ac:dyDescent="0.25">
      <c r="C5620" s="84"/>
      <c r="D5620" s="85"/>
      <c r="E5620" s="86"/>
      <c r="F5620" s="86"/>
      <c r="G5620" s="86"/>
      <c r="H5620" s="86"/>
      <c r="I5620" s="86"/>
      <c r="J5620" s="87"/>
      <c r="K5620" s="88"/>
      <c r="M5620" s="102">
        <v>0</v>
      </c>
      <c r="N5620" s="533"/>
      <c r="O5620" s="533"/>
      <c r="P5620" s="533"/>
      <c r="Q5620" s="533"/>
      <c r="R5620" s="78"/>
      <c r="S5620" s="396"/>
      <c r="T5620" s="529"/>
      <c r="U5620" s="529"/>
      <c r="V5620" s="397"/>
      <c r="Y5620" s="393">
        <f>+IFERROR(Y5614*S5620,0)</f>
        <v>0</v>
      </c>
      <c r="Z5620" s="391">
        <f>Y5614*V5620</f>
        <v>0</v>
      </c>
      <c r="AA5620" s="394"/>
      <c r="AB5620" s="395">
        <f>+Y5620*T5620</f>
        <v>0</v>
      </c>
      <c r="AC5620" s="93">
        <f>+AB5620-Z5620</f>
        <v>0</v>
      </c>
      <c r="AD5620" s="94"/>
      <c r="AE5620" s="386" t="str">
        <f>+IF(V5620=0,"CERO","NO")</f>
        <v>CERO</v>
      </c>
    </row>
    <row r="5621" spans="3:31" s="260" customFormat="1" x14ac:dyDescent="0.25">
      <c r="C5621" s="84"/>
      <c r="D5621" s="85"/>
      <c r="E5621" s="86"/>
      <c r="F5621" s="86"/>
      <c r="G5621" s="86"/>
      <c r="H5621" s="86"/>
      <c r="I5621" s="86"/>
      <c r="J5621" s="87"/>
      <c r="K5621" s="88"/>
      <c r="M5621" s="102">
        <v>0</v>
      </c>
      <c r="N5621" s="533"/>
      <c r="O5621" s="533"/>
      <c r="P5621" s="533"/>
      <c r="Q5621" s="533"/>
      <c r="R5621" s="78"/>
      <c r="S5621" s="396"/>
      <c r="T5621" s="529"/>
      <c r="U5621" s="529"/>
      <c r="V5621" s="397"/>
      <c r="Y5621" s="393">
        <f>+IFERROR(Y5614*S5621,0)</f>
        <v>0</v>
      </c>
      <c r="Z5621" s="391">
        <f>Y5614*V5621</f>
        <v>0</v>
      </c>
      <c r="AA5621" s="394"/>
      <c r="AB5621" s="395">
        <f>+Y5621*T5621</f>
        <v>0</v>
      </c>
      <c r="AC5621" s="93">
        <f>+AB5621-Z5621</f>
        <v>0</v>
      </c>
      <c r="AD5621" s="94"/>
      <c r="AE5621" s="386" t="str">
        <f>+IF(V5621=0,"CERO","NO")</f>
        <v>CERO</v>
      </c>
    </row>
    <row r="5622" spans="3:31" s="260" customFormat="1" ht="15.75" thickBot="1" x14ac:dyDescent="0.3">
      <c r="C5622" s="84"/>
      <c r="D5622" s="85"/>
      <c r="E5622" s="86"/>
      <c r="F5622" s="86"/>
      <c r="G5622" s="86"/>
      <c r="H5622" s="86"/>
      <c r="I5622" s="86"/>
      <c r="J5622" s="87"/>
      <c r="K5622" s="88"/>
      <c r="M5622" s="102">
        <v>0</v>
      </c>
      <c r="N5622" s="564"/>
      <c r="O5622" s="564"/>
      <c r="P5622" s="564"/>
      <c r="Q5622" s="564"/>
      <c r="R5622" s="96"/>
      <c r="S5622" s="96"/>
      <c r="T5622" s="565"/>
      <c r="U5622" s="565"/>
      <c r="V5622" s="101"/>
      <c r="Y5622" s="393">
        <f>+IFERROR(Y5614*S5622,0)</f>
        <v>0</v>
      </c>
      <c r="Z5622" s="391">
        <f>Y5614*V5622</f>
        <v>0</v>
      </c>
      <c r="AA5622" s="394"/>
      <c r="AB5622" s="395">
        <f>+Y5622*T5622</f>
        <v>0</v>
      </c>
      <c r="AC5622" s="93">
        <f>+AB5622-Z5622</f>
        <v>0</v>
      </c>
      <c r="AD5622" s="94"/>
      <c r="AE5622" s="386" t="str">
        <f>+IF(V5622=0,"CERO","NO")</f>
        <v>CERO</v>
      </c>
    </row>
    <row r="5623" spans="3:31" s="260" customFormat="1" ht="15.75" thickBot="1" x14ac:dyDescent="0.3">
      <c r="C5623" s="84"/>
      <c r="D5623" s="375" t="s">
        <v>128</v>
      </c>
      <c r="E5623" s="376" t="s">
        <v>129</v>
      </c>
      <c r="F5623" s="376" t="s">
        <v>130</v>
      </c>
      <c r="G5623" s="376" t="s">
        <v>131</v>
      </c>
      <c r="H5623" s="376" t="s">
        <v>132</v>
      </c>
      <c r="I5623" s="376" t="s">
        <v>133</v>
      </c>
      <c r="J5623" s="377" t="s">
        <v>134</v>
      </c>
      <c r="K5623" s="88"/>
      <c r="M5623" s="534"/>
      <c r="N5623" s="536" t="s">
        <v>101</v>
      </c>
      <c r="O5623" s="536"/>
      <c r="P5623" s="536"/>
      <c r="Q5623" s="536"/>
      <c r="R5623" s="536"/>
      <c r="S5623" s="536"/>
      <c r="T5623" s="536"/>
      <c r="U5623" s="536"/>
      <c r="V5623" s="389">
        <f>+SUM(V5618:V5622)</f>
        <v>15257.792714285713</v>
      </c>
      <c r="Y5623" s="398" t="s">
        <v>135</v>
      </c>
      <c r="Z5623" s="397">
        <f>+SUM(Z5618:Z5622)</f>
        <v>318582.71187428571</v>
      </c>
      <c r="AA5623" s="86"/>
      <c r="AB5623" s="384"/>
      <c r="AC5623" s="385"/>
      <c r="AD5623" s="94"/>
      <c r="AE5623" s="399"/>
    </row>
    <row r="5624" spans="3:31" s="260" customFormat="1" ht="15.75" thickBot="1" x14ac:dyDescent="0.3">
      <c r="C5624" s="84"/>
      <c r="D5624" s="375">
        <f>C5614</f>
        <v>6.05</v>
      </c>
      <c r="E5624" s="376"/>
      <c r="F5624" s="376"/>
      <c r="G5624" s="376"/>
      <c r="H5624" s="376"/>
      <c r="I5624" s="376"/>
      <c r="J5624" s="377"/>
      <c r="K5624" s="88"/>
      <c r="M5624" s="566"/>
      <c r="N5624" s="567" t="s">
        <v>102</v>
      </c>
      <c r="O5624" s="567"/>
      <c r="P5624" s="567"/>
      <c r="Q5624" s="567"/>
      <c r="R5624" s="567"/>
      <c r="S5624" s="567"/>
      <c r="T5624" s="567"/>
      <c r="U5624" s="567"/>
      <c r="V5624" s="400">
        <f>+ROUND(V5623,$AA$5)</f>
        <v>15257.79</v>
      </c>
      <c r="Y5624" s="401" t="s">
        <v>136</v>
      </c>
      <c r="Z5624" s="402">
        <f>+ROUND(Z5623,$AA$5)</f>
        <v>318582.71000000002</v>
      </c>
      <c r="AA5624" s="86"/>
      <c r="AB5624" s="403">
        <f>+V5624*Y5614</f>
        <v>318582.65519999998</v>
      </c>
      <c r="AC5624" s="404">
        <f>+AB5624-Z5624</f>
        <v>-5.4800000041723251E-2</v>
      </c>
      <c r="AD5624" s="94"/>
      <c r="AE5624" s="405"/>
    </row>
    <row r="5625" spans="3:31" s="260" customFormat="1" x14ac:dyDescent="0.25">
      <c r="C5625" s="84"/>
      <c r="D5625" s="380"/>
      <c r="E5625" s="381"/>
      <c r="F5625" s="381"/>
      <c r="G5625" s="381"/>
      <c r="H5625" s="381"/>
      <c r="I5625" s="381"/>
      <c r="J5625" s="382"/>
      <c r="K5625" s="88"/>
      <c r="M5625" s="510" t="s">
        <v>103</v>
      </c>
      <c r="N5625" s="511"/>
      <c r="O5625" s="511"/>
      <c r="P5625" s="511"/>
      <c r="Q5625" s="511"/>
      <c r="R5625" s="511"/>
      <c r="S5625" s="511"/>
      <c r="T5625" s="511"/>
      <c r="U5625" s="511"/>
      <c r="V5625" s="512"/>
      <c r="Y5625" s="378"/>
      <c r="Z5625" s="121"/>
      <c r="AA5625" s="86"/>
      <c r="AB5625" s="513"/>
      <c r="AC5625" s="514"/>
      <c r="AD5625" s="94"/>
      <c r="AE5625" s="126"/>
    </row>
    <row r="5626" spans="3:31" s="260" customFormat="1" x14ac:dyDescent="0.25">
      <c r="C5626" s="84"/>
      <c r="D5626" s="85"/>
      <c r="E5626" s="86"/>
      <c r="F5626" s="86"/>
      <c r="G5626" s="86"/>
      <c r="H5626" s="86"/>
      <c r="I5626" s="86"/>
      <c r="J5626" s="87"/>
      <c r="K5626" s="88"/>
      <c r="M5626" s="99" t="s">
        <v>94</v>
      </c>
      <c r="N5626" s="561" t="s">
        <v>95</v>
      </c>
      <c r="O5626" s="561"/>
      <c r="P5626" s="561"/>
      <c r="Q5626" s="561"/>
      <c r="R5626" s="95" t="s">
        <v>96</v>
      </c>
      <c r="S5626" s="95" t="s">
        <v>104</v>
      </c>
      <c r="T5626" s="356" t="s">
        <v>105</v>
      </c>
      <c r="U5626" s="356" t="s">
        <v>8</v>
      </c>
      <c r="V5626" s="100" t="s">
        <v>98</v>
      </c>
      <c r="Y5626" s="383" t="s">
        <v>104</v>
      </c>
      <c r="Z5626" s="119" t="s">
        <v>9</v>
      </c>
      <c r="AA5626" s="86"/>
      <c r="AB5626" s="384"/>
      <c r="AC5626" s="385"/>
      <c r="AD5626" s="94"/>
      <c r="AE5626" s="406"/>
    </row>
    <row r="5627" spans="3:31" s="260" customFormat="1" x14ac:dyDescent="0.25">
      <c r="C5627" s="84"/>
      <c r="D5627" s="85"/>
      <c r="E5627" s="86"/>
      <c r="F5627" s="86"/>
      <c r="G5627" s="86"/>
      <c r="H5627" s="86"/>
      <c r="I5627" s="86"/>
      <c r="J5627" s="87"/>
      <c r="K5627" s="88"/>
      <c r="M5627" s="102" t="s">
        <v>893</v>
      </c>
      <c r="N5627" s="533" t="str">
        <f>IFERROR(VLOOKUP(M5627,INSUMOS!$C$8:$K$928,2,0),"-----")</f>
        <v>CONCRETO DE 4.000 PSI</v>
      </c>
      <c r="O5627" s="533"/>
      <c r="P5627" s="533"/>
      <c r="Q5627" s="533"/>
      <c r="R5627" s="78" t="str">
        <f>IFERROR(VLOOKUP(M5627,INSUMOS!$C$8:$K$928,6,0),"-----")</f>
        <v>m3</v>
      </c>
      <c r="S5627" s="396">
        <v>1</v>
      </c>
      <c r="T5627" s="387">
        <v>0.02</v>
      </c>
      <c r="U5627" s="388">
        <f>IFERROR(VLOOKUP(M5627,INSUMOS!$C$8:$K$928,7,0),"0")</f>
        <v>812856.43</v>
      </c>
      <c r="V5627" s="389">
        <f>+IFERROR(U5627*(S5627*(1+T5627)),0)</f>
        <v>829113.55860000011</v>
      </c>
      <c r="Y5627" s="393">
        <f>+IFERROR(Y5614*(S5627*(1+T5627)),0)</f>
        <v>21.297599999999999</v>
      </c>
      <c r="Z5627" s="391">
        <f>Y5614*V5627</f>
        <v>17311891.103568003</v>
      </c>
      <c r="AA5627" s="394"/>
      <c r="AB5627" s="395">
        <f>+Y5627*U5627</f>
        <v>17311891.103567999</v>
      </c>
      <c r="AC5627" s="93">
        <f>+AB5627-Z5627</f>
        <v>0</v>
      </c>
      <c r="AD5627" s="94"/>
      <c r="AE5627" s="406" t="str">
        <f>+IF(V5627=0,"CERO","NO")</f>
        <v>NO</v>
      </c>
    </row>
    <row r="5628" spans="3:31" s="260" customFormat="1" x14ac:dyDescent="0.25">
      <c r="C5628" s="84"/>
      <c r="D5628" s="85"/>
      <c r="E5628" s="86"/>
      <c r="F5628" s="86"/>
      <c r="G5628" s="86"/>
      <c r="H5628" s="86"/>
      <c r="I5628" s="86"/>
      <c r="J5628" s="87"/>
      <c r="K5628" s="88"/>
      <c r="M5628" s="102"/>
      <c r="N5628" s="533" t="str">
        <f>IFERROR(VLOOKUP(M5628,INSUMOS!$C$8:$K$928,2,0),"-----")</f>
        <v>-----</v>
      </c>
      <c r="O5628" s="533"/>
      <c r="P5628" s="533"/>
      <c r="Q5628" s="533"/>
      <c r="R5628" s="78" t="str">
        <f>IFERROR(VLOOKUP(M5628,INSUMOS!$C$8:$K$928,6,0),"-----")</f>
        <v>-----</v>
      </c>
      <c r="S5628" s="396"/>
      <c r="T5628" s="387"/>
      <c r="U5628" s="388" t="str">
        <f>IFERROR(VLOOKUP(M5628,INSUMOS!$C$8:$K$928,7,0),"0")</f>
        <v>0</v>
      </c>
      <c r="V5628" s="389">
        <f>+IFERROR(U5628*(S5628*(1+T5628)),0)</f>
        <v>0</v>
      </c>
      <c r="Y5628" s="393">
        <f>+IFERROR(Y5614*(S5628*(1+T5628)),0)</f>
        <v>0</v>
      </c>
      <c r="Z5628" s="391">
        <f>Y5614*V5628</f>
        <v>0</v>
      </c>
      <c r="AA5628" s="394"/>
      <c r="AB5628" s="395">
        <f>+Y5628*U5628</f>
        <v>0</v>
      </c>
      <c r="AC5628" s="93">
        <f>+AB5628-Z5628</f>
        <v>0</v>
      </c>
      <c r="AD5628" s="94"/>
      <c r="AE5628" s="406" t="str">
        <f>+IF(V5628=0,"CERO","NO")</f>
        <v>CERO</v>
      </c>
    </row>
    <row r="5629" spans="3:31" s="260" customFormat="1" x14ac:dyDescent="0.25">
      <c r="C5629" s="84"/>
      <c r="D5629" s="85"/>
      <c r="E5629" s="86"/>
      <c r="F5629" s="86"/>
      <c r="G5629" s="86"/>
      <c r="H5629" s="86"/>
      <c r="I5629" s="86"/>
      <c r="J5629" s="87"/>
      <c r="K5629" s="88"/>
      <c r="M5629" s="102"/>
      <c r="N5629" s="533" t="str">
        <f>IFERROR(VLOOKUP(M5629,INSUMOS!$C$8:$K$928,2,0),"-----")</f>
        <v>-----</v>
      </c>
      <c r="O5629" s="533"/>
      <c r="P5629" s="533"/>
      <c r="Q5629" s="533"/>
      <c r="R5629" s="78" t="str">
        <f>IFERROR(VLOOKUP(M5629,INSUMOS!$C$8:$K$928,6,0),"-----")</f>
        <v>-----</v>
      </c>
      <c r="S5629" s="396"/>
      <c r="T5629" s="387"/>
      <c r="U5629" s="388" t="str">
        <f>IFERROR(VLOOKUP(M5629,INSUMOS!$C$8:$K$928,7,0),"0")</f>
        <v>0</v>
      </c>
      <c r="V5629" s="389">
        <f>+IFERROR(U5629*(S5629*(1+T5629)),0)</f>
        <v>0</v>
      </c>
      <c r="Y5629" s="393">
        <f>+IFERROR(Y5614*(S5629*(1+T5629)),0)</f>
        <v>0</v>
      </c>
      <c r="Z5629" s="391">
        <f>Y5614*V5629</f>
        <v>0</v>
      </c>
      <c r="AA5629" s="394"/>
      <c r="AB5629" s="395">
        <f>+Y5629*U5629</f>
        <v>0</v>
      </c>
      <c r="AC5629" s="93">
        <f>+AB5629-Z5629</f>
        <v>0</v>
      </c>
      <c r="AD5629" s="94"/>
      <c r="AE5629" s="406" t="str">
        <f>+IF(V5629=0,"CERO","NO")</f>
        <v>CERO</v>
      </c>
    </row>
    <row r="5630" spans="3:31" s="260" customFormat="1" x14ac:dyDescent="0.25">
      <c r="C5630" s="84"/>
      <c r="D5630" s="85"/>
      <c r="E5630" s="86"/>
      <c r="F5630" s="86"/>
      <c r="G5630" s="86"/>
      <c r="H5630" s="86"/>
      <c r="I5630" s="86"/>
      <c r="J5630" s="87"/>
      <c r="K5630" s="88"/>
      <c r="M5630" s="102"/>
      <c r="N5630" s="533" t="str">
        <f>IFERROR(VLOOKUP(M5630,INSUMOS!$C$8:$K$928,2,0),"-----")</f>
        <v>-----</v>
      </c>
      <c r="O5630" s="533"/>
      <c r="P5630" s="533"/>
      <c r="Q5630" s="533"/>
      <c r="R5630" s="78" t="str">
        <f>IFERROR(VLOOKUP(M5630,INSUMOS!$C$8:$K$928,6,0),"-----")</f>
        <v>-----</v>
      </c>
      <c r="S5630" s="396"/>
      <c r="T5630" s="387"/>
      <c r="U5630" s="388" t="str">
        <f>IFERROR(VLOOKUP(M5630,INSUMOS!$C$8:$K$928,7,0),"0")</f>
        <v>0</v>
      </c>
      <c r="V5630" s="389">
        <f>+IFERROR(U5630*(S5630*(1+T5630)),0)</f>
        <v>0</v>
      </c>
      <c r="Y5630" s="393">
        <f>+IFERROR(Y5614*(S5630*(1+T5630)),0)</f>
        <v>0</v>
      </c>
      <c r="Z5630" s="391">
        <f>Y5614*V5630</f>
        <v>0</v>
      </c>
      <c r="AA5630" s="394"/>
      <c r="AB5630" s="395">
        <f>+Y5630*U5630</f>
        <v>0</v>
      </c>
      <c r="AC5630" s="93">
        <f>+AB5630-Z5630</f>
        <v>0</v>
      </c>
      <c r="AD5630" s="94"/>
      <c r="AE5630" s="406" t="str">
        <f>+IF(V5630=0,"CERO","NO")</f>
        <v>CERO</v>
      </c>
    </row>
    <row r="5631" spans="3:31" s="260" customFormat="1" ht="15.75" thickBot="1" x14ac:dyDescent="0.3">
      <c r="C5631" s="84"/>
      <c r="D5631" s="85"/>
      <c r="E5631" s="86"/>
      <c r="F5631" s="86"/>
      <c r="G5631" s="86"/>
      <c r="H5631" s="86"/>
      <c r="I5631" s="86"/>
      <c r="J5631" s="87"/>
      <c r="K5631" s="88"/>
      <c r="M5631" s="102">
        <v>0</v>
      </c>
      <c r="N5631" s="564"/>
      <c r="O5631" s="564"/>
      <c r="P5631" s="564"/>
      <c r="Q5631" s="564"/>
      <c r="R5631" s="96"/>
      <c r="S5631" s="79"/>
      <c r="T5631" s="97"/>
      <c r="U5631" s="358"/>
      <c r="V5631" s="397"/>
      <c r="Y5631" s="393">
        <f>+IFERROR(Y5614*(S5631*(1+T5631)),0)</f>
        <v>0</v>
      </c>
      <c r="Z5631" s="391">
        <f>Y5614*V5631</f>
        <v>0</v>
      </c>
      <c r="AA5631" s="394"/>
      <c r="AB5631" s="395">
        <f>+Y5631*U5631</f>
        <v>0</v>
      </c>
      <c r="AC5631" s="93">
        <f>+AB5631-Z5631</f>
        <v>0</v>
      </c>
      <c r="AD5631" s="94"/>
      <c r="AE5631" s="406" t="str">
        <f>+IF(V5631=0,"CERO","NO")</f>
        <v>CERO</v>
      </c>
    </row>
    <row r="5632" spans="3:31" s="260" customFormat="1" ht="15.75" thickBot="1" x14ac:dyDescent="0.3">
      <c r="C5632" s="84"/>
      <c r="D5632" s="375" t="s">
        <v>128</v>
      </c>
      <c r="E5632" s="376" t="s">
        <v>129</v>
      </c>
      <c r="F5632" s="376" t="s">
        <v>130</v>
      </c>
      <c r="G5632" s="376" t="s">
        <v>131</v>
      </c>
      <c r="H5632" s="376" t="s">
        <v>132</v>
      </c>
      <c r="I5632" s="376" t="s">
        <v>133</v>
      </c>
      <c r="J5632" s="377" t="s">
        <v>134</v>
      </c>
      <c r="K5632" s="88"/>
      <c r="M5632" s="534"/>
      <c r="N5632" s="536" t="s">
        <v>106</v>
      </c>
      <c r="O5632" s="536"/>
      <c r="P5632" s="536"/>
      <c r="Q5632" s="536"/>
      <c r="R5632" s="536"/>
      <c r="S5632" s="536"/>
      <c r="T5632" s="536"/>
      <c r="U5632" s="536"/>
      <c r="V5632" s="389">
        <f>+SUM(V5627:V5631)</f>
        <v>829113.55860000011</v>
      </c>
      <c r="Y5632" s="398" t="s">
        <v>135</v>
      </c>
      <c r="Z5632" s="397">
        <f>+SUM(Z5627:Z5631)</f>
        <v>17311891.103568003</v>
      </c>
      <c r="AA5632" s="86"/>
      <c r="AB5632" s="384"/>
      <c r="AC5632" s="385"/>
      <c r="AD5632" s="94"/>
      <c r="AE5632" s="399"/>
    </row>
    <row r="5633" spans="3:31" s="260" customFormat="1" ht="15.75" thickBot="1" x14ac:dyDescent="0.3">
      <c r="C5633" s="84"/>
      <c r="D5633" s="375"/>
      <c r="E5633" s="407">
        <f>+D5624</f>
        <v>6.05</v>
      </c>
      <c r="F5633" s="376"/>
      <c r="G5633" s="376"/>
      <c r="H5633" s="376"/>
      <c r="I5633" s="376"/>
      <c r="J5633" s="377"/>
      <c r="K5633" s="88"/>
      <c r="M5633" s="535"/>
      <c r="N5633" s="537" t="s">
        <v>107</v>
      </c>
      <c r="O5633" s="537"/>
      <c r="P5633" s="537"/>
      <c r="Q5633" s="537"/>
      <c r="R5633" s="537"/>
      <c r="S5633" s="537"/>
      <c r="T5633" s="537"/>
      <c r="U5633" s="537"/>
      <c r="V5633" s="408">
        <f>+ROUND(V5632,$AA$5)</f>
        <v>829113.56</v>
      </c>
      <c r="Y5633" s="401" t="s">
        <v>136</v>
      </c>
      <c r="Z5633" s="402">
        <f>+ROUND(Z5632,$AA$5)</f>
        <v>17311891.100000001</v>
      </c>
      <c r="AA5633" s="86"/>
      <c r="AB5633" s="403">
        <f>+V5633*Y5614</f>
        <v>17311891.132800002</v>
      </c>
      <c r="AC5633" s="404">
        <f>+AB5633-Z5633</f>
        <v>3.2800000160932541E-2</v>
      </c>
      <c r="AD5633" s="94"/>
      <c r="AE5633" s="405"/>
    </row>
    <row r="5634" spans="3:31" s="260" customFormat="1" x14ac:dyDescent="0.25">
      <c r="C5634" s="84"/>
      <c r="D5634" s="380"/>
      <c r="E5634" s="381"/>
      <c r="F5634" s="381"/>
      <c r="G5634" s="381"/>
      <c r="H5634" s="381"/>
      <c r="I5634" s="381"/>
      <c r="J5634" s="382"/>
      <c r="K5634" s="88"/>
      <c r="M5634" s="568" t="s">
        <v>108</v>
      </c>
      <c r="N5634" s="569"/>
      <c r="O5634" s="569"/>
      <c r="P5634" s="569"/>
      <c r="Q5634" s="569"/>
      <c r="R5634" s="569"/>
      <c r="S5634" s="569"/>
      <c r="T5634" s="569"/>
      <c r="U5634" s="569"/>
      <c r="V5634" s="570"/>
      <c r="Y5634" s="378"/>
      <c r="Z5634" s="121"/>
      <c r="AA5634" s="86"/>
      <c r="AB5634" s="409"/>
      <c r="AC5634" s="121"/>
      <c r="AD5634" s="94"/>
      <c r="AE5634" s="126"/>
    </row>
    <row r="5635" spans="3:31" s="260" customFormat="1" ht="25.5" x14ac:dyDescent="0.25">
      <c r="C5635" s="84"/>
      <c r="D5635" s="85"/>
      <c r="E5635" s="86"/>
      <c r="F5635" s="86"/>
      <c r="G5635" s="86"/>
      <c r="H5635" s="86"/>
      <c r="I5635" s="86"/>
      <c r="J5635" s="87"/>
      <c r="K5635" s="88"/>
      <c r="M5635" s="99" t="s">
        <v>94</v>
      </c>
      <c r="N5635" s="561" t="s">
        <v>95</v>
      </c>
      <c r="O5635" s="561"/>
      <c r="P5635" s="561"/>
      <c r="Q5635" s="95" t="s">
        <v>109</v>
      </c>
      <c r="R5635" s="95" t="s">
        <v>110</v>
      </c>
      <c r="S5635" s="95" t="s">
        <v>111</v>
      </c>
      <c r="T5635" s="562" t="s">
        <v>112</v>
      </c>
      <c r="U5635" s="562"/>
      <c r="V5635" s="100" t="s">
        <v>98</v>
      </c>
      <c r="Y5635" s="383" t="s">
        <v>104</v>
      </c>
      <c r="Z5635" s="119" t="s">
        <v>9</v>
      </c>
      <c r="AA5635" s="86"/>
      <c r="AB5635" s="384"/>
      <c r="AC5635" s="385"/>
      <c r="AD5635" s="94"/>
      <c r="AE5635" s="410"/>
    </row>
    <row r="5636" spans="3:31" s="260" customFormat="1" x14ac:dyDescent="0.25">
      <c r="C5636" s="84"/>
      <c r="D5636" s="85"/>
      <c r="E5636" s="86"/>
      <c r="F5636" s="86"/>
      <c r="G5636" s="86"/>
      <c r="H5636" s="86"/>
      <c r="I5636" s="86"/>
      <c r="J5636" s="87"/>
      <c r="K5636" s="88"/>
      <c r="M5636" s="102"/>
      <c r="N5636" s="530" t="str">
        <f>IFERROR(VLOOKUP(M5636,INSUMOS!$C$8:$K$928,2,0),"-----")</f>
        <v>-----</v>
      </c>
      <c r="O5636" s="531"/>
      <c r="P5636" s="532"/>
      <c r="Q5636" s="78" t="str">
        <f>IFERROR(VLOOKUP(M5636,INSUMOS!$C$8:$K$928,5,0),"-----")</f>
        <v>-----</v>
      </c>
      <c r="R5636" s="80"/>
      <c r="S5636" s="80" t="str">
        <f>IFERROR(VLOOKUP(M5636,INSUMOS!$C$8:$K$928,6,0),"0")</f>
        <v>0</v>
      </c>
      <c r="T5636" s="529" t="str">
        <f>IFERROR(VLOOKUP(M5636,INSUMOS!$C$8:$K$928,7,0),"0")</f>
        <v>0</v>
      </c>
      <c r="U5636" s="529"/>
      <c r="V5636" s="82">
        <f>+T5636*S5636*R5636</f>
        <v>0</v>
      </c>
      <c r="Y5636" s="393">
        <f>+IFERROR((R5636*S5636)*Y5614,0)</f>
        <v>0</v>
      </c>
      <c r="Z5636" s="391">
        <f>Y5614*V5636</f>
        <v>0</v>
      </c>
      <c r="AA5636" s="86"/>
      <c r="AB5636" s="92">
        <f>+Y5636*T5636</f>
        <v>0</v>
      </c>
      <c r="AC5636" s="93">
        <f>+AB5636-Z5636</f>
        <v>0</v>
      </c>
      <c r="AD5636" s="94"/>
      <c r="AE5636" s="406" t="str">
        <f>+IF(V5636=0,"CERO","NO")</f>
        <v>CERO</v>
      </c>
    </row>
    <row r="5637" spans="3:31" s="260" customFormat="1" x14ac:dyDescent="0.25">
      <c r="C5637" s="84"/>
      <c r="D5637" s="85"/>
      <c r="E5637" s="86"/>
      <c r="F5637" s="86"/>
      <c r="G5637" s="86"/>
      <c r="H5637" s="86"/>
      <c r="I5637" s="86"/>
      <c r="J5637" s="87"/>
      <c r="K5637" s="88"/>
      <c r="M5637" s="102">
        <v>0</v>
      </c>
      <c r="N5637" s="530" t="str">
        <f>IFERROR(VLOOKUP(M5637,INSUMOS!$C$8:$K$928,2,0),"-----")</f>
        <v>-----</v>
      </c>
      <c r="O5637" s="531"/>
      <c r="P5637" s="532"/>
      <c r="Q5637" s="78" t="str">
        <f>IFERROR(VLOOKUP(M5637,INSUMOS!$C$8:$K$928,5,0),"-----")</f>
        <v>-----</v>
      </c>
      <c r="R5637" s="80"/>
      <c r="S5637" s="80" t="str">
        <f>IFERROR(VLOOKUP(M5637,INSUMOS!$C$8:$K$928,6,0),"0")</f>
        <v>0</v>
      </c>
      <c r="T5637" s="529" t="str">
        <f>IFERROR(VLOOKUP(M5637,INSUMOS!$C$8:$K$928,7,0),"0")</f>
        <v>0</v>
      </c>
      <c r="U5637" s="529"/>
      <c r="V5637" s="82">
        <f>+T5637*S5637*R5637</f>
        <v>0</v>
      </c>
      <c r="Y5637" s="393">
        <f>+IFERROR((R5637*S5637)*Y5614,0)</f>
        <v>0</v>
      </c>
      <c r="Z5637" s="391">
        <f>Y5614*V5637</f>
        <v>0</v>
      </c>
      <c r="AA5637" s="86"/>
      <c r="AB5637" s="92">
        <f>+Y5637*T5637</f>
        <v>0</v>
      </c>
      <c r="AC5637" s="93">
        <f>+AB5637-Z5637</f>
        <v>0</v>
      </c>
      <c r="AD5637" s="94"/>
      <c r="AE5637" s="406" t="str">
        <f>+IF(V5637=0,"CERO","NO")</f>
        <v>CERO</v>
      </c>
    </row>
    <row r="5638" spans="3:31" s="260" customFormat="1" x14ac:dyDescent="0.25">
      <c r="C5638" s="84"/>
      <c r="D5638" s="85"/>
      <c r="E5638" s="86"/>
      <c r="F5638" s="86"/>
      <c r="G5638" s="86"/>
      <c r="H5638" s="86"/>
      <c r="I5638" s="86"/>
      <c r="J5638" s="87"/>
      <c r="K5638" s="88"/>
      <c r="M5638" s="102">
        <v>0</v>
      </c>
      <c r="N5638" s="530" t="str">
        <f>IFERROR(VLOOKUP(M5638,INSUMOS!$C$8:$K$928,2,0),"-----")</f>
        <v>-----</v>
      </c>
      <c r="O5638" s="531"/>
      <c r="P5638" s="532"/>
      <c r="Q5638" s="78" t="str">
        <f>IFERROR(VLOOKUP(M5638,INSUMOS!$C$8:$K$928,5,0),"-----")</f>
        <v>-----</v>
      </c>
      <c r="R5638" s="80"/>
      <c r="S5638" s="80" t="str">
        <f>IFERROR(VLOOKUP(M5638,INSUMOS!$C$8:$K$928,6,0),"0")</f>
        <v>0</v>
      </c>
      <c r="T5638" s="529" t="str">
        <f>IFERROR(VLOOKUP(M5638,INSUMOS!$C$8:$K$928,7,0),"0")</f>
        <v>0</v>
      </c>
      <c r="U5638" s="529"/>
      <c r="V5638" s="82">
        <f>+T5638*S5638*R5638</f>
        <v>0</v>
      </c>
      <c r="Y5638" s="393">
        <f>+IFERROR((R5638*S5638)*Y5614,0)</f>
        <v>0</v>
      </c>
      <c r="Z5638" s="391">
        <f>Y5614*V5638</f>
        <v>0</v>
      </c>
      <c r="AA5638" s="86"/>
      <c r="AB5638" s="92">
        <f>+Y5638*T5638</f>
        <v>0</v>
      </c>
      <c r="AC5638" s="93">
        <f>+AB5638-Z5638</f>
        <v>0</v>
      </c>
      <c r="AD5638" s="94"/>
      <c r="AE5638" s="406" t="str">
        <f>+IF(V5638=0,"CERO","NO")</f>
        <v>CERO</v>
      </c>
    </row>
    <row r="5639" spans="3:31" s="260" customFormat="1" ht="15.75" thickBot="1" x14ac:dyDescent="0.3">
      <c r="C5639" s="84"/>
      <c r="D5639" s="89"/>
      <c r="E5639" s="90"/>
      <c r="F5639" s="90"/>
      <c r="G5639" s="90"/>
      <c r="H5639" s="90"/>
      <c r="I5639" s="90"/>
      <c r="J5639" s="91"/>
      <c r="K5639" s="88"/>
      <c r="M5639" s="102">
        <v>0</v>
      </c>
      <c r="N5639" s="533"/>
      <c r="O5639" s="533"/>
      <c r="P5639" s="533"/>
      <c r="Q5639" s="79"/>
      <c r="R5639" s="78"/>
      <c r="S5639" s="81"/>
      <c r="T5639" s="529"/>
      <c r="U5639" s="529"/>
      <c r="V5639" s="82"/>
      <c r="Y5639" s="393">
        <f>+IFERROR((R5639*S5639)*Y5614,0)</f>
        <v>0</v>
      </c>
      <c r="Z5639" s="391">
        <f>Y5614*V5639</f>
        <v>0</v>
      </c>
      <c r="AA5639" s="86"/>
      <c r="AB5639" s="92">
        <f>+Y5639*T5639</f>
        <v>0</v>
      </c>
      <c r="AC5639" s="93">
        <f>+AB5639-Z5639</f>
        <v>0</v>
      </c>
      <c r="AD5639" s="94"/>
      <c r="AE5639" s="406" t="str">
        <f>+IF(V5639=0,"CERO","NO")</f>
        <v>CERO</v>
      </c>
    </row>
    <row r="5640" spans="3:31" s="260" customFormat="1" ht="15.75" thickBot="1" x14ac:dyDescent="0.3">
      <c r="C5640" s="84"/>
      <c r="D5640" s="375" t="s">
        <v>128</v>
      </c>
      <c r="E5640" s="376" t="s">
        <v>129</v>
      </c>
      <c r="F5640" s="376" t="s">
        <v>130</v>
      </c>
      <c r="G5640" s="376" t="s">
        <v>131</v>
      </c>
      <c r="H5640" s="376" t="s">
        <v>132</v>
      </c>
      <c r="I5640" s="376" t="s">
        <v>133</v>
      </c>
      <c r="J5640" s="377" t="s">
        <v>134</v>
      </c>
      <c r="K5640" s="88"/>
      <c r="M5640" s="534"/>
      <c r="N5640" s="536" t="s">
        <v>113</v>
      </c>
      <c r="O5640" s="536"/>
      <c r="P5640" s="536"/>
      <c r="Q5640" s="536"/>
      <c r="R5640" s="536"/>
      <c r="S5640" s="536"/>
      <c r="T5640" s="536"/>
      <c r="U5640" s="536"/>
      <c r="V5640" s="411">
        <f>+SUM(V5636:V5639)</f>
        <v>0</v>
      </c>
      <c r="Y5640" s="398" t="s">
        <v>135</v>
      </c>
      <c r="Z5640" s="397">
        <f>+SUM(Z5636:Z5639)</f>
        <v>0</v>
      </c>
      <c r="AA5640" s="86"/>
      <c r="AB5640" s="384"/>
      <c r="AC5640" s="385"/>
      <c r="AD5640" s="94"/>
      <c r="AE5640" s="399"/>
    </row>
    <row r="5641" spans="3:31" s="260" customFormat="1" ht="15.75" thickBot="1" x14ac:dyDescent="0.3">
      <c r="C5641" s="84"/>
      <c r="D5641" s="355"/>
      <c r="E5641" s="367"/>
      <c r="F5641" s="412">
        <f>+E5633</f>
        <v>6.05</v>
      </c>
      <c r="G5641" s="367"/>
      <c r="H5641" s="367"/>
      <c r="I5641" s="367"/>
      <c r="J5641" s="368"/>
      <c r="K5641" s="88"/>
      <c r="M5641" s="535"/>
      <c r="N5641" s="537" t="s">
        <v>114</v>
      </c>
      <c r="O5641" s="537"/>
      <c r="P5641" s="537"/>
      <c r="Q5641" s="537"/>
      <c r="R5641" s="537"/>
      <c r="S5641" s="537"/>
      <c r="T5641" s="537"/>
      <c r="U5641" s="537"/>
      <c r="V5641" s="413">
        <f>+ROUND(V5640,$AA$5)</f>
        <v>0</v>
      </c>
      <c r="Y5641" s="401" t="s">
        <v>136</v>
      </c>
      <c r="Z5641" s="402">
        <f>+ROUND(Z5640,$AA$5)</f>
        <v>0</v>
      </c>
      <c r="AA5641" s="86"/>
      <c r="AB5641" s="403">
        <f>+V5641*Y5614</f>
        <v>0</v>
      </c>
      <c r="AC5641" s="414"/>
      <c r="AD5641" s="94"/>
      <c r="AE5641" s="405"/>
    </row>
    <row r="5642" spans="3:31" s="260" customFormat="1" ht="15.75" thickBot="1" x14ac:dyDescent="0.3">
      <c r="C5642" s="84"/>
      <c r="D5642" s="415"/>
      <c r="E5642" s="416"/>
      <c r="F5642" s="416"/>
      <c r="G5642" s="416"/>
      <c r="H5642" s="416"/>
      <c r="I5642" s="416"/>
      <c r="J5642" s="417"/>
      <c r="K5642" s="88"/>
      <c r="M5642" s="538" t="s">
        <v>115</v>
      </c>
      <c r="N5642" s="539"/>
      <c r="O5642" s="539"/>
      <c r="P5642" s="539"/>
      <c r="Q5642" s="539"/>
      <c r="R5642" s="539"/>
      <c r="S5642" s="539"/>
      <c r="T5642" s="539"/>
      <c r="U5642" s="539"/>
      <c r="V5642" s="540"/>
      <c r="Y5642" s="378"/>
      <c r="Z5642" s="121"/>
      <c r="AA5642" s="86"/>
      <c r="AB5642" s="409"/>
      <c r="AC5642" s="121"/>
      <c r="AD5642" s="94"/>
      <c r="AE5642" s="126"/>
    </row>
    <row r="5643" spans="3:31" s="260" customFormat="1" ht="15.75" thickBot="1" x14ac:dyDescent="0.3">
      <c r="C5643" s="84"/>
      <c r="D5643" s="375" t="s">
        <v>128</v>
      </c>
      <c r="E5643" s="376" t="s">
        <v>129</v>
      </c>
      <c r="F5643" s="376" t="s">
        <v>130</v>
      </c>
      <c r="G5643" s="376" t="s">
        <v>131</v>
      </c>
      <c r="H5643" s="376" t="s">
        <v>132</v>
      </c>
      <c r="I5643" s="376" t="s">
        <v>133</v>
      </c>
      <c r="J5643" s="377" t="s">
        <v>134</v>
      </c>
      <c r="K5643" s="88"/>
      <c r="M5643" s="99" t="s">
        <v>94</v>
      </c>
      <c r="N5643" s="98" t="s">
        <v>95</v>
      </c>
      <c r="O5643" s="95" t="s">
        <v>96</v>
      </c>
      <c r="P5643" s="359" t="s">
        <v>104</v>
      </c>
      <c r="Q5643" s="95" t="s">
        <v>116</v>
      </c>
      <c r="R5643" s="418" t="s">
        <v>117</v>
      </c>
      <c r="S5643" s="95" t="s">
        <v>347</v>
      </c>
      <c r="T5643" s="419" t="s">
        <v>118</v>
      </c>
      <c r="U5643" s="189" t="s">
        <v>119</v>
      </c>
      <c r="V5643" s="100" t="s">
        <v>98</v>
      </c>
      <c r="Y5643" s="383" t="s">
        <v>104</v>
      </c>
      <c r="Z5643" s="119" t="s">
        <v>9</v>
      </c>
      <c r="AA5643" s="86"/>
      <c r="AB5643" s="384"/>
      <c r="AC5643" s="385"/>
      <c r="AD5643" s="94"/>
      <c r="AE5643" s="410"/>
    </row>
    <row r="5644" spans="3:31" s="260" customFormat="1" ht="25.5" x14ac:dyDescent="0.25">
      <c r="C5644" s="84"/>
      <c r="D5644" s="354"/>
      <c r="E5644" s="96"/>
      <c r="F5644" s="96"/>
      <c r="G5644" s="96"/>
      <c r="H5644" s="96"/>
      <c r="I5644" s="96"/>
      <c r="J5644" s="420">
        <f>+F5641</f>
        <v>6.05</v>
      </c>
      <c r="K5644" s="88"/>
      <c r="M5644" s="102">
        <v>201</v>
      </c>
      <c r="N5644" s="347" t="str">
        <f>IFERROR(VLOOKUP(M5644,INSUMOS!$C$8:$K$928,2,0),"-----")</f>
        <v>Oficial Albañileria</v>
      </c>
      <c r="O5644" s="78" t="str">
        <f>IFERROR(VLOOKUP(M5644,INSUMOS!$C$8:$K$928,3,0),"-----")</f>
        <v>JORNAL+PS</v>
      </c>
      <c r="P5644" s="80">
        <v>1</v>
      </c>
      <c r="Q5644" s="79">
        <v>7</v>
      </c>
      <c r="R5644" s="190">
        <f>IFERROR(VLOOKUP(M5644,INSUMOS!$C$8:$K$928,4,0),"-----")</f>
        <v>85136</v>
      </c>
      <c r="S5644" s="190">
        <f>IFERROR(VLOOKUP(M5644,INSUMOS!$C$8:$K$928,6,0),"-----")</f>
        <v>68109</v>
      </c>
      <c r="T5644" s="190">
        <f>IFERROR(VLOOKUP(M5644,INSUMOS!$C$8:$K$928,5,0),"-----")</f>
        <v>0</v>
      </c>
      <c r="U5644" s="388">
        <f>SUM(R5644:T5644)</f>
        <v>153245</v>
      </c>
      <c r="V5644" s="82">
        <f>+IFERROR((P5644/Q5644)*U5644,0)</f>
        <v>21892.142857142855</v>
      </c>
      <c r="Y5644" s="393">
        <f>+IFERROR((Y5614/Q5644*P5644),0)</f>
        <v>2.9828571428571427</v>
      </c>
      <c r="Z5644" s="391">
        <f>Y5614*V5644</f>
        <v>457107.94285714277</v>
      </c>
      <c r="AA5644" s="86"/>
      <c r="AB5644" s="92">
        <f>+(U5644)*Y5644</f>
        <v>457107.94285714283</v>
      </c>
      <c r="AC5644" s="93">
        <f>+AB5644-Z5644</f>
        <v>0</v>
      </c>
      <c r="AD5644" s="421"/>
      <c r="AE5644" s="410" t="str">
        <f>+IF(V5644=0,"CERO","NO")</f>
        <v>NO</v>
      </c>
    </row>
    <row r="5645" spans="3:31" s="260" customFormat="1" ht="26.25" thickBot="1" x14ac:dyDescent="0.3">
      <c r="C5645" s="84"/>
      <c r="D5645" s="355"/>
      <c r="E5645" s="367"/>
      <c r="F5645" s="367"/>
      <c r="G5645" s="367"/>
      <c r="H5645" s="367"/>
      <c r="I5645" s="367"/>
      <c r="J5645" s="422">
        <f>+J5644</f>
        <v>6.05</v>
      </c>
      <c r="K5645" s="88"/>
      <c r="M5645" s="102">
        <v>202</v>
      </c>
      <c r="N5645" s="347" t="str">
        <f>IFERROR(VLOOKUP(M5645,INSUMOS!$C$8:$K$928,2,0),"-----")</f>
        <v>Ayudante Albañileria</v>
      </c>
      <c r="O5645" s="78" t="str">
        <f>IFERROR(VLOOKUP(M5645,INSUMOS!$C$8:$K$928,3,0),"-----")</f>
        <v>JORNAL+PS</v>
      </c>
      <c r="P5645" s="80">
        <v>3</v>
      </c>
      <c r="Q5645" s="79">
        <v>7</v>
      </c>
      <c r="R5645" s="190">
        <f>IFERROR(VLOOKUP(M5645,INSUMOS!$C$8:$K$928,4,0),"-----")</f>
        <v>63490</v>
      </c>
      <c r="S5645" s="190">
        <f>IFERROR(VLOOKUP(M5645,INSUMOS!$C$8:$K$928,6,0),"-----")</f>
        <v>50792</v>
      </c>
      <c r="T5645" s="190">
        <f>IFERROR(VLOOKUP(M5645,INSUMOS!$C$8:$K$928,5,0),"-----")</f>
        <v>0</v>
      </c>
      <c r="U5645" s="388">
        <f>SUM(R5645:T5645)</f>
        <v>114282</v>
      </c>
      <c r="V5645" s="82">
        <f>+IFERROR((P5645/Q5645)*U5645,0)</f>
        <v>48978</v>
      </c>
      <c r="Y5645" s="393">
        <f>+IFERROR((Y5614/Q5645*P5645),0)</f>
        <v>8.9485714285714284</v>
      </c>
      <c r="Z5645" s="391">
        <f>Y5614*V5645</f>
        <v>1022660.6399999999</v>
      </c>
      <c r="AA5645" s="86"/>
      <c r="AB5645" s="92">
        <f>+U5645*Y5645</f>
        <v>1022660.64</v>
      </c>
      <c r="AC5645" s="93">
        <f>+AB5645-Z5645</f>
        <v>0</v>
      </c>
      <c r="AD5645" s="94"/>
      <c r="AE5645" s="410" t="str">
        <f>+IF(V5645=0,"CERO","NO")</f>
        <v>NO</v>
      </c>
    </row>
    <row r="5646" spans="3:31" s="260" customFormat="1" ht="15.75" thickBot="1" x14ac:dyDescent="0.3">
      <c r="C5646" s="84"/>
      <c r="D5646" s="380"/>
      <c r="E5646" s="381"/>
      <c r="F5646" s="381"/>
      <c r="G5646" s="381"/>
      <c r="H5646" s="381"/>
      <c r="I5646" s="381"/>
      <c r="J5646" s="382"/>
      <c r="K5646" s="88"/>
      <c r="M5646" s="102">
        <v>0</v>
      </c>
      <c r="N5646" s="347"/>
      <c r="O5646" s="79"/>
      <c r="P5646" s="423"/>
      <c r="Q5646" s="81"/>
      <c r="R5646" s="111"/>
      <c r="S5646" s="357"/>
      <c r="T5646" s="111"/>
      <c r="U5646" s="388"/>
      <c r="V5646" s="426"/>
      <c r="Y5646" s="393">
        <f>+IFERROR((Y5614/Q5646*P5646),0)</f>
        <v>0</v>
      </c>
      <c r="Z5646" s="391">
        <f>Y5614*V5646</f>
        <v>0</v>
      </c>
      <c r="AA5646" s="86"/>
      <c r="AB5646" s="92">
        <f>+(U5646)*Y5646*P5646</f>
        <v>0</v>
      </c>
      <c r="AC5646" s="93">
        <f>+AB5646-Z5646</f>
        <v>0</v>
      </c>
      <c r="AD5646" s="94"/>
      <c r="AE5646" s="410" t="str">
        <f>+IF(V5646=0,"CERO","NO")</f>
        <v>CERO</v>
      </c>
    </row>
    <row r="5647" spans="3:31" s="260" customFormat="1" ht="15.75" thickBot="1" x14ac:dyDescent="0.3">
      <c r="C5647" s="84"/>
      <c r="D5647" s="375" t="s">
        <v>128</v>
      </c>
      <c r="E5647" s="376" t="s">
        <v>129</v>
      </c>
      <c r="F5647" s="376" t="s">
        <v>130</v>
      </c>
      <c r="G5647" s="376" t="s">
        <v>131</v>
      </c>
      <c r="H5647" s="376" t="s">
        <v>132</v>
      </c>
      <c r="I5647" s="376" t="s">
        <v>133</v>
      </c>
      <c r="J5647" s="377" t="s">
        <v>134</v>
      </c>
      <c r="K5647" s="88"/>
      <c r="M5647" s="534"/>
      <c r="N5647" s="536" t="s">
        <v>120</v>
      </c>
      <c r="O5647" s="536"/>
      <c r="P5647" s="536"/>
      <c r="Q5647" s="536"/>
      <c r="R5647" s="536"/>
      <c r="S5647" s="536"/>
      <c r="T5647" s="536"/>
      <c r="U5647" s="536"/>
      <c r="V5647" s="82">
        <f>+SUM(V5644:V5646)</f>
        <v>70870.142857142855</v>
      </c>
      <c r="Y5647" s="398" t="s">
        <v>135</v>
      </c>
      <c r="Z5647" s="397">
        <f>+SUM(Z5644:Z5646)</f>
        <v>1479768.5828571427</v>
      </c>
      <c r="AA5647" s="86"/>
      <c r="AB5647" s="384"/>
      <c r="AC5647" s="385"/>
      <c r="AD5647" s="94"/>
      <c r="AE5647" s="399"/>
    </row>
    <row r="5648" spans="3:31" s="260" customFormat="1" ht="15.75" thickBot="1" x14ac:dyDescent="0.3">
      <c r="C5648" s="84"/>
      <c r="D5648" s="354"/>
      <c r="E5648" s="96"/>
      <c r="F5648" s="96"/>
      <c r="G5648" s="107">
        <f>+F5641</f>
        <v>6.05</v>
      </c>
      <c r="H5648" s="96"/>
      <c r="I5648" s="96"/>
      <c r="J5648" s="427"/>
      <c r="K5648" s="88"/>
      <c r="M5648" s="535"/>
      <c r="N5648" s="537" t="s">
        <v>121</v>
      </c>
      <c r="O5648" s="537"/>
      <c r="P5648" s="537"/>
      <c r="Q5648" s="537"/>
      <c r="R5648" s="537"/>
      <c r="S5648" s="537"/>
      <c r="T5648" s="537"/>
      <c r="U5648" s="537"/>
      <c r="V5648" s="413">
        <f>+ROUND(V5647,$AA$5)</f>
        <v>70870.14</v>
      </c>
      <c r="Y5648" s="401" t="s">
        <v>136</v>
      </c>
      <c r="Z5648" s="402">
        <f>+ROUND(Z5647,$AA$5)</f>
        <v>1479768.58</v>
      </c>
      <c r="AA5648" s="86"/>
      <c r="AB5648" s="403">
        <f>+V5648*Y5614</f>
        <v>1479768.5231999999</v>
      </c>
      <c r="AC5648" s="404">
        <f>+AB5648-Z5648</f>
        <v>-5.6800000136718154E-2</v>
      </c>
      <c r="AD5648" s="94"/>
      <c r="AE5648" s="405"/>
    </row>
    <row r="5649" spans="3:31" s="260" customFormat="1" ht="15.75" thickBot="1" x14ac:dyDescent="0.3">
      <c r="C5649" s="84"/>
      <c r="D5649" s="375" t="s">
        <v>128</v>
      </c>
      <c r="E5649" s="376" t="s">
        <v>129</v>
      </c>
      <c r="F5649" s="376" t="s">
        <v>130</v>
      </c>
      <c r="G5649" s="376" t="s">
        <v>131</v>
      </c>
      <c r="H5649" s="376" t="s">
        <v>132</v>
      </c>
      <c r="I5649" s="376" t="s">
        <v>133</v>
      </c>
      <c r="J5649" s="377" t="s">
        <v>134</v>
      </c>
      <c r="K5649" s="88"/>
      <c r="M5649" s="541"/>
      <c r="N5649" s="542"/>
      <c r="O5649" s="542"/>
      <c r="P5649" s="542"/>
      <c r="Q5649" s="542"/>
      <c r="R5649" s="542"/>
      <c r="S5649" s="542"/>
      <c r="T5649" s="542"/>
      <c r="U5649" s="542"/>
      <c r="V5649" s="543"/>
      <c r="Y5649" s="378"/>
      <c r="Z5649" s="121"/>
      <c r="AA5649" s="86"/>
      <c r="AB5649" s="409"/>
      <c r="AC5649" s="121"/>
      <c r="AD5649" s="94"/>
      <c r="AE5649" s="428"/>
    </row>
    <row r="5650" spans="3:31" s="260" customFormat="1" ht="15.75" thickBot="1" x14ac:dyDescent="0.3">
      <c r="C5650" s="84"/>
      <c r="D5650" s="355"/>
      <c r="E5650" s="367"/>
      <c r="F5650" s="367"/>
      <c r="G5650" s="367"/>
      <c r="H5650" s="412">
        <f>G5648</f>
        <v>6.05</v>
      </c>
      <c r="I5650" s="412"/>
      <c r="J5650" s="422"/>
      <c r="K5650" s="88"/>
      <c r="M5650" s="544" t="s">
        <v>122</v>
      </c>
      <c r="N5650" s="537"/>
      <c r="O5650" s="537"/>
      <c r="P5650" s="537"/>
      <c r="Q5650" s="537"/>
      <c r="R5650" s="537"/>
      <c r="S5650" s="537"/>
      <c r="T5650" s="537"/>
      <c r="U5650" s="545">
        <f>+V5648+V5641+V5633+V5624</f>
        <v>915241.49000000011</v>
      </c>
      <c r="V5650" s="546"/>
      <c r="Y5650" s="429"/>
      <c r="Z5650" s="430">
        <f>+Z5648+Z5641+Z5633+Z5624</f>
        <v>19110242.390000001</v>
      </c>
      <c r="AA5650" s="86"/>
      <c r="AB5650" s="431">
        <f>+AB5648+AB5641+AB5633+AB5624</f>
        <v>19110242.311200004</v>
      </c>
      <c r="AC5650" s="404">
        <f>+AB5650-Z5650</f>
        <v>-7.879999652504921E-2</v>
      </c>
      <c r="AD5650" s="94"/>
      <c r="AE5650" s="432"/>
    </row>
    <row r="5651" spans="3:31" s="260" customFormat="1" ht="15.75" thickBot="1" x14ac:dyDescent="0.3"/>
    <row r="5652" spans="3:31" s="260" customFormat="1" x14ac:dyDescent="0.25">
      <c r="M5652" s="547" t="s">
        <v>348</v>
      </c>
      <c r="N5652" s="548"/>
      <c r="O5652" s="548"/>
      <c r="P5652" s="548"/>
      <c r="Q5652" s="548"/>
      <c r="R5652" s="548"/>
      <c r="S5652" s="548"/>
      <c r="T5652" s="548"/>
      <c r="U5652" s="548"/>
      <c r="V5652" s="549"/>
      <c r="Y5652" s="378"/>
      <c r="Z5652" s="121"/>
      <c r="AA5652" s="86"/>
      <c r="AB5652" s="94"/>
      <c r="AC5652" s="94"/>
      <c r="AD5652" s="94"/>
      <c r="AE5652" s="126" t="s">
        <v>133</v>
      </c>
    </row>
    <row r="5653" spans="3:31" s="260" customFormat="1" x14ac:dyDescent="0.25">
      <c r="M5653" s="515" t="s">
        <v>138</v>
      </c>
      <c r="N5653" s="516"/>
      <c r="O5653" s="516"/>
      <c r="P5653" s="516"/>
      <c r="Q5653" s="516"/>
      <c r="R5653" s="516"/>
      <c r="S5653" s="516"/>
      <c r="T5653" s="437">
        <v>0</v>
      </c>
      <c r="U5653" s="517">
        <f>+ROUND(U5650*T5653,$AA$5)</f>
        <v>0</v>
      </c>
      <c r="V5653" s="518"/>
      <c r="Y5653" s="390"/>
      <c r="Z5653" s="438">
        <f>+Z5650*T5653</f>
        <v>0</v>
      </c>
      <c r="AA5653" s="86"/>
      <c r="AB5653" s="94"/>
      <c r="AC5653" s="94"/>
      <c r="AD5653" s="94"/>
      <c r="AE5653" s="386" t="s">
        <v>133</v>
      </c>
    </row>
    <row r="5654" spans="3:31" s="260" customFormat="1" x14ac:dyDescent="0.25">
      <c r="M5654" s="515" t="s">
        <v>19</v>
      </c>
      <c r="N5654" s="516"/>
      <c r="O5654" s="516"/>
      <c r="P5654" s="516"/>
      <c r="Q5654" s="516"/>
      <c r="R5654" s="516"/>
      <c r="S5654" s="516"/>
      <c r="T5654" s="437">
        <v>0.05</v>
      </c>
      <c r="U5654" s="517">
        <f>+ROUND(U5650*T5654,$AA$5)</f>
        <v>45762.07</v>
      </c>
      <c r="V5654" s="518"/>
      <c r="Y5654" s="390"/>
      <c r="Z5654" s="438">
        <f>+Z5650*T5654</f>
        <v>955512.11950000003</v>
      </c>
      <c r="AA5654" s="86"/>
      <c r="AB5654" s="94"/>
      <c r="AC5654" s="94"/>
      <c r="AD5654" s="94"/>
      <c r="AE5654" s="386" t="s">
        <v>133</v>
      </c>
    </row>
    <row r="5655" spans="3:31" s="260" customFormat="1" x14ac:dyDescent="0.25">
      <c r="M5655" s="515" t="s">
        <v>20</v>
      </c>
      <c r="N5655" s="516"/>
      <c r="O5655" s="516"/>
      <c r="P5655" s="516"/>
      <c r="Q5655" s="516"/>
      <c r="R5655" s="516"/>
      <c r="S5655" s="516"/>
      <c r="T5655" s="437">
        <v>0</v>
      </c>
      <c r="U5655" s="517">
        <f>+ROUND(U5650*T5655,$AA$5)</f>
        <v>0</v>
      </c>
      <c r="V5655" s="518"/>
      <c r="Y5655" s="390"/>
      <c r="Z5655" s="438">
        <f>+Z5650*T5655</f>
        <v>0</v>
      </c>
      <c r="AA5655" s="86"/>
      <c r="AB5655" s="94"/>
      <c r="AC5655" s="94"/>
      <c r="AD5655" s="94"/>
      <c r="AE5655" s="386" t="s">
        <v>133</v>
      </c>
    </row>
    <row r="5656" spans="3:31" s="260" customFormat="1" x14ac:dyDescent="0.25">
      <c r="M5656" s="515" t="s">
        <v>21</v>
      </c>
      <c r="N5656" s="516"/>
      <c r="O5656" s="516"/>
      <c r="P5656" s="516"/>
      <c r="Q5656" s="516"/>
      <c r="R5656" s="516"/>
      <c r="S5656" s="516"/>
      <c r="T5656" s="437">
        <f>$AA$9</f>
        <v>0</v>
      </c>
      <c r="U5656" s="517">
        <f>+ROUND(U5650*T5656,$AA$5)</f>
        <v>0</v>
      </c>
      <c r="V5656" s="518"/>
      <c r="Y5656" s="390"/>
      <c r="Z5656" s="438">
        <f>+Z5655*T5656</f>
        <v>0</v>
      </c>
      <c r="AA5656" s="86"/>
      <c r="AB5656" s="94"/>
      <c r="AC5656" s="94"/>
      <c r="AD5656" s="94"/>
      <c r="AE5656" s="386" t="s">
        <v>133</v>
      </c>
    </row>
    <row r="5657" spans="3:31" s="260" customFormat="1" ht="15.75" thickBot="1" x14ac:dyDescent="0.3">
      <c r="M5657" s="519" t="s">
        <v>349</v>
      </c>
      <c r="N5657" s="520"/>
      <c r="O5657" s="520"/>
      <c r="P5657" s="520"/>
      <c r="Q5657" s="520"/>
      <c r="R5657" s="520"/>
      <c r="S5657" s="520"/>
      <c r="T5657" s="520"/>
      <c r="U5657" s="521">
        <f>+SUM(U5653:V5656)</f>
        <v>45762.07</v>
      </c>
      <c r="V5657" s="522"/>
      <c r="Y5657" s="390"/>
      <c r="Z5657" s="439">
        <f>+SUM(Z5653:Z5656)</f>
        <v>955512.11950000003</v>
      </c>
      <c r="AA5657" s="86"/>
      <c r="AB5657" s="94"/>
      <c r="AC5657" s="94"/>
      <c r="AD5657" s="94"/>
      <c r="AE5657" s="386" t="s">
        <v>133</v>
      </c>
    </row>
    <row r="5658" spans="3:31" s="260" customFormat="1" ht="15.75" thickBot="1" x14ac:dyDescent="0.3">
      <c r="D5658" s="375" t="s">
        <v>128</v>
      </c>
      <c r="E5658" s="376" t="s">
        <v>129</v>
      </c>
      <c r="F5658" s="376" t="s">
        <v>130</v>
      </c>
      <c r="G5658" s="376" t="s">
        <v>131</v>
      </c>
      <c r="H5658" s="376" t="s">
        <v>132</v>
      </c>
      <c r="I5658" s="376" t="s">
        <v>133</v>
      </c>
      <c r="J5658" s="377" t="s">
        <v>134</v>
      </c>
      <c r="M5658" s="86"/>
      <c r="N5658" s="94"/>
      <c r="O5658" s="94"/>
      <c r="P5658" s="94"/>
      <c r="Q5658" s="86"/>
      <c r="R5658" s="86"/>
      <c r="S5658" s="86"/>
      <c r="T5658" s="440"/>
      <c r="U5658" s="523"/>
      <c r="V5658" s="523"/>
      <c r="Y5658" s="390"/>
      <c r="Z5658" s="385"/>
      <c r="AA5658" s="86"/>
      <c r="AB5658" s="94"/>
      <c r="AC5658" s="94"/>
      <c r="AD5658" s="94"/>
      <c r="AE5658" s="386" t="s">
        <v>133</v>
      </c>
    </row>
    <row r="5659" spans="3:31" s="260" customFormat="1" ht="15.75" thickBot="1" x14ac:dyDescent="0.3">
      <c r="D5659" s="355"/>
      <c r="E5659" s="367"/>
      <c r="F5659" s="367"/>
      <c r="G5659" s="367"/>
      <c r="H5659" s="412"/>
      <c r="I5659" s="412">
        <f>H5650</f>
        <v>6.05</v>
      </c>
      <c r="J5659" s="422"/>
      <c r="M5659" s="524" t="s">
        <v>11</v>
      </c>
      <c r="N5659" s="525"/>
      <c r="O5659" s="525"/>
      <c r="P5659" s="525"/>
      <c r="Q5659" s="525"/>
      <c r="R5659" s="525"/>
      <c r="S5659" s="525"/>
      <c r="T5659" s="526"/>
      <c r="U5659" s="527">
        <f>+U5657+U5650</f>
        <v>961003.56</v>
      </c>
      <c r="V5659" s="528"/>
      <c r="Y5659" s="429"/>
      <c r="Z5659" s="441">
        <f>+Z5657+Z5650</f>
        <v>20065754.509500001</v>
      </c>
      <c r="AA5659" s="86"/>
      <c r="AB5659" s="94"/>
      <c r="AC5659" s="94"/>
      <c r="AD5659" s="94"/>
      <c r="AE5659" s="405" t="s">
        <v>133</v>
      </c>
    </row>
    <row r="5660" spans="3:31" s="260" customFormat="1" x14ac:dyDescent="0.25"/>
    <row r="5661" spans="3:31" s="260" customFormat="1" ht="15.75" thickBot="1" x14ac:dyDescent="0.3"/>
    <row r="5662" spans="3:31" s="260" customFormat="1" ht="15.75" thickBot="1" x14ac:dyDescent="0.3">
      <c r="M5662" s="363" t="s">
        <v>88</v>
      </c>
      <c r="N5662" s="436" t="str">
        <f>+N5613</f>
        <v>CAP.6</v>
      </c>
      <c r="O5662" s="550" t="str">
        <f>IFERROR(VLOOKUP(N5662,PPTO!C:H,2,0),"----")</f>
        <v>RED DE DRENAJE</v>
      </c>
      <c r="P5662" s="551"/>
      <c r="Q5662" s="551"/>
      <c r="R5662" s="551"/>
      <c r="S5662" s="551"/>
      <c r="T5662" s="551"/>
      <c r="U5662" s="552"/>
      <c r="V5662" s="74" t="s">
        <v>91</v>
      </c>
      <c r="Y5662" s="365" t="s">
        <v>104</v>
      </c>
      <c r="Z5662" s="94"/>
      <c r="AA5662" s="188"/>
      <c r="AB5662" s="553"/>
      <c r="AC5662" s="553"/>
      <c r="AD5662" s="553"/>
      <c r="AE5662" s="94"/>
    </row>
    <row r="5663" spans="3:31" s="260" customFormat="1" ht="15.75" thickBot="1" x14ac:dyDescent="0.3">
      <c r="C5663" s="369">
        <f>+N5663</f>
        <v>6.06</v>
      </c>
      <c r="D5663" s="86"/>
      <c r="E5663" s="86"/>
      <c r="F5663" s="86"/>
      <c r="G5663" s="86"/>
      <c r="H5663" s="86"/>
      <c r="I5663" s="86"/>
      <c r="J5663" s="86"/>
      <c r="K5663" s="370"/>
      <c r="M5663" s="75" t="s">
        <v>92</v>
      </c>
      <c r="N5663" s="371">
        <f>+ROUNDUP(N5614+0.01,2)</f>
        <v>6.06</v>
      </c>
      <c r="O5663" s="554" t="str">
        <f>IFERROR(VLOOKUP(N5663,PPTO!C:H,2,0),"----")</f>
        <v>Acero de refuerzo fy 420 Mpa</v>
      </c>
      <c r="P5663" s="555"/>
      <c r="Q5663" s="555"/>
      <c r="R5663" s="555"/>
      <c r="S5663" s="555"/>
      <c r="T5663" s="555"/>
      <c r="U5663" s="556"/>
      <c r="V5663" s="76" t="str">
        <f>IFERROR(VLOOKUP(N5663,PPTO!C:H,3,0),"----")</f>
        <v>Kg</v>
      </c>
      <c r="Y5663" s="373">
        <f>SUMIFS(PPTO!F:F,PPTO!C:C,APUS!N5663)</f>
        <v>2181.4</v>
      </c>
      <c r="Z5663" s="94"/>
      <c r="AA5663" s="86"/>
      <c r="AB5663" s="94"/>
      <c r="AC5663" s="94"/>
      <c r="AD5663" s="94"/>
      <c r="AE5663" s="94"/>
    </row>
    <row r="5664" spans="3:31" s="260" customFormat="1" ht="15.75" thickBot="1" x14ac:dyDescent="0.3">
      <c r="C5664" s="84"/>
      <c r="D5664" s="86"/>
      <c r="E5664" s="86"/>
      <c r="F5664" s="86"/>
      <c r="G5664" s="86"/>
      <c r="H5664" s="86"/>
      <c r="I5664" s="86"/>
      <c r="J5664" s="86"/>
      <c r="K5664" s="88"/>
      <c r="M5664" s="557"/>
      <c r="N5664" s="557"/>
      <c r="O5664" s="557"/>
      <c r="P5664" s="557"/>
      <c r="Q5664" s="557"/>
      <c r="R5664" s="557"/>
      <c r="S5664" s="557"/>
      <c r="T5664" s="557"/>
      <c r="U5664" s="557"/>
      <c r="V5664" s="557"/>
      <c r="Y5664" s="374"/>
      <c r="Z5664" s="94"/>
      <c r="AA5664" s="86"/>
      <c r="AB5664" s="94"/>
      <c r="AC5664" s="94"/>
      <c r="AD5664" s="94"/>
      <c r="AE5664" s="94"/>
    </row>
    <row r="5665" spans="3:31" s="260" customFormat="1" ht="15.75" thickBot="1" x14ac:dyDescent="0.3">
      <c r="C5665" s="84"/>
      <c r="D5665" s="375" t="s">
        <v>128</v>
      </c>
      <c r="E5665" s="376" t="s">
        <v>129</v>
      </c>
      <c r="F5665" s="376" t="s">
        <v>130</v>
      </c>
      <c r="G5665" s="376" t="s">
        <v>131</v>
      </c>
      <c r="H5665" s="376" t="s">
        <v>132</v>
      </c>
      <c r="I5665" s="376" t="s">
        <v>133</v>
      </c>
      <c r="J5665" s="377" t="s">
        <v>134</v>
      </c>
      <c r="K5665" s="88"/>
      <c r="M5665" s="558" t="s">
        <v>93</v>
      </c>
      <c r="N5665" s="559"/>
      <c r="O5665" s="559"/>
      <c r="P5665" s="559"/>
      <c r="Q5665" s="559"/>
      <c r="R5665" s="559"/>
      <c r="S5665" s="559"/>
      <c r="T5665" s="559"/>
      <c r="U5665" s="559"/>
      <c r="V5665" s="560"/>
      <c r="Y5665" s="378"/>
      <c r="Z5665" s="121"/>
      <c r="AA5665" s="86"/>
      <c r="AB5665" s="513"/>
      <c r="AC5665" s="514"/>
      <c r="AD5665" s="94"/>
      <c r="AE5665" s="379"/>
    </row>
    <row r="5666" spans="3:31" s="260" customFormat="1" x14ac:dyDescent="0.25">
      <c r="C5666" s="84"/>
      <c r="D5666" s="380"/>
      <c r="E5666" s="381"/>
      <c r="F5666" s="381"/>
      <c r="G5666" s="381"/>
      <c r="H5666" s="381"/>
      <c r="I5666" s="381"/>
      <c r="J5666" s="382"/>
      <c r="K5666" s="88"/>
      <c r="M5666" s="99" t="s">
        <v>94</v>
      </c>
      <c r="N5666" s="561" t="s">
        <v>95</v>
      </c>
      <c r="O5666" s="561"/>
      <c r="P5666" s="561"/>
      <c r="Q5666" s="561"/>
      <c r="R5666" s="95" t="s">
        <v>96</v>
      </c>
      <c r="S5666" s="95" t="s">
        <v>97</v>
      </c>
      <c r="T5666" s="562" t="s">
        <v>8</v>
      </c>
      <c r="U5666" s="562"/>
      <c r="V5666" s="100" t="s">
        <v>98</v>
      </c>
      <c r="Y5666" s="383" t="s">
        <v>104</v>
      </c>
      <c r="Z5666" s="119" t="s">
        <v>9</v>
      </c>
      <c r="AA5666" s="86"/>
      <c r="AB5666" s="384"/>
      <c r="AC5666" s="385"/>
      <c r="AD5666" s="94"/>
      <c r="AE5666" s="386"/>
    </row>
    <row r="5667" spans="3:31" s="260" customFormat="1" x14ac:dyDescent="0.25">
      <c r="C5667" s="84"/>
      <c r="D5667" s="85"/>
      <c r="E5667" s="86"/>
      <c r="F5667" s="86"/>
      <c r="G5667" s="86"/>
      <c r="H5667" s="86"/>
      <c r="I5667" s="86"/>
      <c r="J5667" s="87"/>
      <c r="K5667" s="88"/>
      <c r="M5667" s="102"/>
      <c r="N5667" s="533" t="s">
        <v>99</v>
      </c>
      <c r="O5667" s="533"/>
      <c r="P5667" s="533"/>
      <c r="Q5667" s="533"/>
      <c r="R5667" s="78" t="s">
        <v>100</v>
      </c>
      <c r="S5667" s="387">
        <f>+$AA$10</f>
        <v>0.05</v>
      </c>
      <c r="T5667" s="563">
        <f>V5697</f>
        <v>2675.27</v>
      </c>
      <c r="U5667" s="563"/>
      <c r="V5667" s="389">
        <f>+IFERROR(T5667*S5667,0)</f>
        <v>133.76349999999999</v>
      </c>
      <c r="Y5667" s="390"/>
      <c r="Z5667" s="391">
        <f>Y5663*V5667</f>
        <v>291791.69890000002</v>
      </c>
      <c r="AA5667" s="86"/>
      <c r="AB5667" s="384"/>
      <c r="AC5667" s="385"/>
      <c r="AD5667" s="94"/>
      <c r="AE5667" s="386" t="str">
        <f>+IF(V5667=0,"CERO","NO")</f>
        <v>NO</v>
      </c>
    </row>
    <row r="5668" spans="3:31" s="260" customFormat="1" x14ac:dyDescent="0.25">
      <c r="C5668" s="84"/>
      <c r="D5668" s="85"/>
      <c r="E5668" s="86"/>
      <c r="F5668" s="86"/>
      <c r="G5668" s="86"/>
      <c r="H5668" s="86"/>
      <c r="I5668" s="86"/>
      <c r="J5668" s="87"/>
      <c r="K5668" s="88"/>
      <c r="M5668" s="106"/>
      <c r="N5668" s="533" t="str">
        <f>IFERROR(VLOOKUP(M5668,INSUMOS!$C$8:$K$928,2,0),"-----")</f>
        <v>-----</v>
      </c>
      <c r="O5668" s="533"/>
      <c r="P5668" s="533"/>
      <c r="Q5668" s="533"/>
      <c r="R5668" s="78" t="str">
        <f>IFERROR(VLOOKUP(M5668,INSUMOS!$C$8:$K$928,6,0),"-----")</f>
        <v>-----</v>
      </c>
      <c r="S5668" s="392"/>
      <c r="T5668" s="529" t="str">
        <f>IFERROR(VLOOKUP(M5668,INSUMOS!$C$8:$K$928,7,0),"0")</f>
        <v>0</v>
      </c>
      <c r="U5668" s="529"/>
      <c r="V5668" s="389">
        <f>+IFERROR(T5668*S5668,0)</f>
        <v>0</v>
      </c>
      <c r="Y5668" s="393">
        <f>+IFERROR(Y5663*S5668,0)</f>
        <v>0</v>
      </c>
      <c r="Z5668" s="391">
        <f>Y5663*V5668</f>
        <v>0</v>
      </c>
      <c r="AA5668" s="394"/>
      <c r="AB5668" s="395">
        <f>+Y5668*T5668</f>
        <v>0</v>
      </c>
      <c r="AC5668" s="93">
        <f>+AB5668-Z5668</f>
        <v>0</v>
      </c>
      <c r="AD5668" s="94"/>
      <c r="AE5668" s="386" t="str">
        <f>+IF(V5668=0,"CERO","NO")</f>
        <v>CERO</v>
      </c>
    </row>
    <row r="5669" spans="3:31" s="260" customFormat="1" x14ac:dyDescent="0.25">
      <c r="C5669" s="84"/>
      <c r="D5669" s="85"/>
      <c r="E5669" s="86"/>
      <c r="F5669" s="86"/>
      <c r="G5669" s="86"/>
      <c r="H5669" s="86"/>
      <c r="I5669" s="86"/>
      <c r="J5669" s="87"/>
      <c r="K5669" s="88"/>
      <c r="M5669" s="102">
        <v>0</v>
      </c>
      <c r="N5669" s="533"/>
      <c r="O5669" s="533"/>
      <c r="P5669" s="533"/>
      <c r="Q5669" s="533"/>
      <c r="R5669" s="78"/>
      <c r="S5669" s="396"/>
      <c r="T5669" s="529"/>
      <c r="U5669" s="529"/>
      <c r="V5669" s="397"/>
      <c r="Y5669" s="393">
        <f>+IFERROR(Y5663*S5669,0)</f>
        <v>0</v>
      </c>
      <c r="Z5669" s="391">
        <f>Y5663*V5669</f>
        <v>0</v>
      </c>
      <c r="AA5669" s="394"/>
      <c r="AB5669" s="395">
        <f>+Y5669*T5669</f>
        <v>0</v>
      </c>
      <c r="AC5669" s="93">
        <f>+AB5669-Z5669</f>
        <v>0</v>
      </c>
      <c r="AD5669" s="94"/>
      <c r="AE5669" s="386" t="str">
        <f>+IF(V5669=0,"CERO","NO")</f>
        <v>CERO</v>
      </c>
    </row>
    <row r="5670" spans="3:31" s="260" customFormat="1" x14ac:dyDescent="0.25">
      <c r="C5670" s="84"/>
      <c r="D5670" s="85"/>
      <c r="E5670" s="86"/>
      <c r="F5670" s="86"/>
      <c r="G5670" s="86"/>
      <c r="H5670" s="86"/>
      <c r="I5670" s="86"/>
      <c r="J5670" s="87"/>
      <c r="K5670" s="88"/>
      <c r="M5670" s="102">
        <v>0</v>
      </c>
      <c r="N5670" s="533"/>
      <c r="O5670" s="533"/>
      <c r="P5670" s="533"/>
      <c r="Q5670" s="533"/>
      <c r="R5670" s="78"/>
      <c r="S5670" s="396"/>
      <c r="T5670" s="529"/>
      <c r="U5670" s="529"/>
      <c r="V5670" s="397"/>
      <c r="Y5670" s="393">
        <f>+IFERROR(Y5663*S5670,0)</f>
        <v>0</v>
      </c>
      <c r="Z5670" s="391">
        <f>Y5663*V5670</f>
        <v>0</v>
      </c>
      <c r="AA5670" s="394"/>
      <c r="AB5670" s="395">
        <f>+Y5670*T5670</f>
        <v>0</v>
      </c>
      <c r="AC5670" s="93">
        <f>+AB5670-Z5670</f>
        <v>0</v>
      </c>
      <c r="AD5670" s="94"/>
      <c r="AE5670" s="386" t="str">
        <f>+IF(V5670=0,"CERO","NO")</f>
        <v>CERO</v>
      </c>
    </row>
    <row r="5671" spans="3:31" s="260" customFormat="1" ht="15.75" thickBot="1" x14ac:dyDescent="0.3">
      <c r="C5671" s="84"/>
      <c r="D5671" s="85"/>
      <c r="E5671" s="86"/>
      <c r="F5671" s="86"/>
      <c r="G5671" s="86"/>
      <c r="H5671" s="86"/>
      <c r="I5671" s="86"/>
      <c r="J5671" s="87"/>
      <c r="K5671" s="88"/>
      <c r="M5671" s="102">
        <v>0</v>
      </c>
      <c r="N5671" s="564"/>
      <c r="O5671" s="564"/>
      <c r="P5671" s="564"/>
      <c r="Q5671" s="564"/>
      <c r="R5671" s="96"/>
      <c r="S5671" s="96"/>
      <c r="T5671" s="565"/>
      <c r="U5671" s="565"/>
      <c r="V5671" s="101"/>
      <c r="Y5671" s="393">
        <f>+IFERROR(Y5663*S5671,0)</f>
        <v>0</v>
      </c>
      <c r="Z5671" s="391">
        <f>Y5663*V5671</f>
        <v>0</v>
      </c>
      <c r="AA5671" s="394"/>
      <c r="AB5671" s="395">
        <f>+Y5671*T5671</f>
        <v>0</v>
      </c>
      <c r="AC5671" s="93">
        <f>+AB5671-Z5671</f>
        <v>0</v>
      </c>
      <c r="AD5671" s="94"/>
      <c r="AE5671" s="386" t="str">
        <f>+IF(V5671=0,"CERO","NO")</f>
        <v>CERO</v>
      </c>
    </row>
    <row r="5672" spans="3:31" s="260" customFormat="1" ht="15.75" thickBot="1" x14ac:dyDescent="0.3">
      <c r="C5672" s="84"/>
      <c r="D5672" s="375" t="s">
        <v>128</v>
      </c>
      <c r="E5672" s="376" t="s">
        <v>129</v>
      </c>
      <c r="F5672" s="376" t="s">
        <v>130</v>
      </c>
      <c r="G5672" s="376" t="s">
        <v>131</v>
      </c>
      <c r="H5672" s="376" t="s">
        <v>132</v>
      </c>
      <c r="I5672" s="376" t="s">
        <v>133</v>
      </c>
      <c r="J5672" s="377" t="s">
        <v>134</v>
      </c>
      <c r="K5672" s="88"/>
      <c r="M5672" s="534"/>
      <c r="N5672" s="536" t="s">
        <v>101</v>
      </c>
      <c r="O5672" s="536"/>
      <c r="P5672" s="536"/>
      <c r="Q5672" s="536"/>
      <c r="R5672" s="536"/>
      <c r="S5672" s="536"/>
      <c r="T5672" s="536"/>
      <c r="U5672" s="536"/>
      <c r="V5672" s="389">
        <f>+SUM(V5667:V5671)</f>
        <v>133.76349999999999</v>
      </c>
      <c r="Y5672" s="398" t="s">
        <v>135</v>
      </c>
      <c r="Z5672" s="397">
        <f>+SUM(Z5667:Z5671)</f>
        <v>291791.69890000002</v>
      </c>
      <c r="AA5672" s="86"/>
      <c r="AB5672" s="384"/>
      <c r="AC5672" s="385"/>
      <c r="AD5672" s="94"/>
      <c r="AE5672" s="399"/>
    </row>
    <row r="5673" spans="3:31" s="260" customFormat="1" ht="15.75" thickBot="1" x14ac:dyDescent="0.3">
      <c r="C5673" s="84"/>
      <c r="D5673" s="375">
        <f>C5663</f>
        <v>6.06</v>
      </c>
      <c r="E5673" s="376"/>
      <c r="F5673" s="376"/>
      <c r="G5673" s="376"/>
      <c r="H5673" s="376"/>
      <c r="I5673" s="376"/>
      <c r="J5673" s="377"/>
      <c r="K5673" s="88"/>
      <c r="M5673" s="566"/>
      <c r="N5673" s="567" t="s">
        <v>102</v>
      </c>
      <c r="O5673" s="567"/>
      <c r="P5673" s="567"/>
      <c r="Q5673" s="567"/>
      <c r="R5673" s="567"/>
      <c r="S5673" s="567"/>
      <c r="T5673" s="567"/>
      <c r="U5673" s="567"/>
      <c r="V5673" s="400">
        <f>+ROUND(V5672,$AA$5)</f>
        <v>133.76</v>
      </c>
      <c r="Y5673" s="401" t="s">
        <v>136</v>
      </c>
      <c r="Z5673" s="402">
        <f>+ROUND(Z5672,$AA$5)</f>
        <v>291791.7</v>
      </c>
      <c r="AA5673" s="86"/>
      <c r="AB5673" s="403">
        <f>+V5673*Y5663</f>
        <v>291784.06400000001</v>
      </c>
      <c r="AC5673" s="404">
        <f>+AB5673-Z5673</f>
        <v>-7.635999999998603</v>
      </c>
      <c r="AD5673" s="94"/>
      <c r="AE5673" s="405"/>
    </row>
    <row r="5674" spans="3:31" s="260" customFormat="1" x14ac:dyDescent="0.25">
      <c r="C5674" s="84"/>
      <c r="D5674" s="380"/>
      <c r="E5674" s="381"/>
      <c r="F5674" s="381"/>
      <c r="G5674" s="381"/>
      <c r="H5674" s="381"/>
      <c r="I5674" s="381"/>
      <c r="J5674" s="382"/>
      <c r="K5674" s="88"/>
      <c r="M5674" s="510" t="s">
        <v>103</v>
      </c>
      <c r="N5674" s="511"/>
      <c r="O5674" s="511"/>
      <c r="P5674" s="511"/>
      <c r="Q5674" s="511"/>
      <c r="R5674" s="511"/>
      <c r="S5674" s="511"/>
      <c r="T5674" s="511"/>
      <c r="U5674" s="511"/>
      <c r="V5674" s="512"/>
      <c r="Y5674" s="378"/>
      <c r="Z5674" s="121"/>
      <c r="AA5674" s="86"/>
      <c r="AB5674" s="513"/>
      <c r="AC5674" s="514"/>
      <c r="AD5674" s="94"/>
      <c r="AE5674" s="126"/>
    </row>
    <row r="5675" spans="3:31" s="260" customFormat="1" x14ac:dyDescent="0.25">
      <c r="C5675" s="84"/>
      <c r="D5675" s="85"/>
      <c r="E5675" s="86"/>
      <c r="F5675" s="86"/>
      <c r="G5675" s="86"/>
      <c r="H5675" s="86"/>
      <c r="I5675" s="86"/>
      <c r="J5675" s="87"/>
      <c r="K5675" s="88"/>
      <c r="M5675" s="99" t="s">
        <v>94</v>
      </c>
      <c r="N5675" s="561" t="s">
        <v>95</v>
      </c>
      <c r="O5675" s="561"/>
      <c r="P5675" s="561"/>
      <c r="Q5675" s="561"/>
      <c r="R5675" s="95" t="s">
        <v>96</v>
      </c>
      <c r="S5675" s="95" t="s">
        <v>104</v>
      </c>
      <c r="T5675" s="356" t="s">
        <v>105</v>
      </c>
      <c r="U5675" s="356" t="s">
        <v>8</v>
      </c>
      <c r="V5675" s="100" t="s">
        <v>98</v>
      </c>
      <c r="Y5675" s="383" t="s">
        <v>104</v>
      </c>
      <c r="Z5675" s="119" t="s">
        <v>9</v>
      </c>
      <c r="AA5675" s="86"/>
      <c r="AB5675" s="384"/>
      <c r="AC5675" s="385"/>
      <c r="AD5675" s="94"/>
      <c r="AE5675" s="406"/>
    </row>
    <row r="5676" spans="3:31" s="260" customFormat="1" x14ac:dyDescent="0.25">
      <c r="C5676" s="84"/>
      <c r="D5676" s="85"/>
      <c r="E5676" s="86"/>
      <c r="F5676" s="86"/>
      <c r="G5676" s="86"/>
      <c r="H5676" s="86"/>
      <c r="I5676" s="86"/>
      <c r="J5676" s="87"/>
      <c r="K5676" s="88"/>
      <c r="M5676" s="102">
        <v>440</v>
      </c>
      <c r="N5676" s="533" t="str">
        <f>IFERROR(VLOOKUP(M5676,INSUMOS!$C$8:$K$928,2,0),"-----")</f>
        <v>ACERO DE REFUERZO fy 420</v>
      </c>
      <c r="O5676" s="533"/>
      <c r="P5676" s="533"/>
      <c r="Q5676" s="533"/>
      <c r="R5676" s="78" t="str">
        <f>IFERROR(VLOOKUP(M5676,INSUMOS!$C$8:$K$928,6,0),"-----")</f>
        <v>kg</v>
      </c>
      <c r="S5676" s="396">
        <v>1</v>
      </c>
      <c r="T5676" s="387">
        <v>0.02</v>
      </c>
      <c r="U5676" s="388">
        <f>IFERROR(VLOOKUP(M5676,INSUMOS!$C$8:$K$928,7,0),"0")</f>
        <v>4477.0000000000009</v>
      </c>
      <c r="V5676" s="389">
        <f>+IFERROR(U5676*(S5676*(1+T5676)),0)</f>
        <v>4566.5400000000009</v>
      </c>
      <c r="Y5676" s="393">
        <f>+IFERROR(Y5663*(S5676*(1+T5676)),0)</f>
        <v>2225.0280000000002</v>
      </c>
      <c r="Z5676" s="391">
        <f>Y5663*V5676</f>
        <v>9961450.3560000025</v>
      </c>
      <c r="AA5676" s="394"/>
      <c r="AB5676" s="395">
        <f>+Y5676*U5676</f>
        <v>9961450.3560000025</v>
      </c>
      <c r="AC5676" s="93">
        <f>+AB5676-Z5676</f>
        <v>0</v>
      </c>
      <c r="AD5676" s="94"/>
      <c r="AE5676" s="406" t="str">
        <f>+IF(V5676=0,"CERO","NO")</f>
        <v>NO</v>
      </c>
    </row>
    <row r="5677" spans="3:31" s="260" customFormat="1" x14ac:dyDescent="0.25">
      <c r="C5677" s="84"/>
      <c r="D5677" s="85"/>
      <c r="E5677" s="86"/>
      <c r="F5677" s="86"/>
      <c r="G5677" s="86"/>
      <c r="H5677" s="86"/>
      <c r="I5677" s="86"/>
      <c r="J5677" s="87"/>
      <c r="K5677" s="88"/>
      <c r="M5677" s="102">
        <v>447</v>
      </c>
      <c r="N5677" s="533" t="str">
        <f>IFERROR(VLOOKUP(M5677,INSUMOS!$C$8:$K$928,2,0),"-----")</f>
        <v>ALAMBRE DE AMARRE No 18</v>
      </c>
      <c r="O5677" s="533"/>
      <c r="P5677" s="533"/>
      <c r="Q5677" s="533"/>
      <c r="R5677" s="78" t="str">
        <f>IFERROR(VLOOKUP(M5677,INSUMOS!$C$8:$K$928,6,0),"-----")</f>
        <v>Kg</v>
      </c>
      <c r="S5677" s="396">
        <v>0.05</v>
      </c>
      <c r="T5677" s="387">
        <v>0.02</v>
      </c>
      <c r="U5677" s="388">
        <f>IFERROR(VLOOKUP(M5677,INSUMOS!$C$8:$K$928,7,0),"0")</f>
        <v>5500</v>
      </c>
      <c r="V5677" s="389">
        <f>+IFERROR(U5677*(S5677*(1+T5677)),0)</f>
        <v>280.5</v>
      </c>
      <c r="Y5677" s="393">
        <f>+IFERROR(Y5663*(S5677*(1+T5677)),0)</f>
        <v>111.25140000000002</v>
      </c>
      <c r="Z5677" s="391">
        <f>Y5663*V5677</f>
        <v>611882.70000000007</v>
      </c>
      <c r="AA5677" s="394"/>
      <c r="AB5677" s="395">
        <f>+Y5677*U5677</f>
        <v>611882.70000000007</v>
      </c>
      <c r="AC5677" s="93">
        <f>+AB5677-Z5677</f>
        <v>0</v>
      </c>
      <c r="AD5677" s="94"/>
      <c r="AE5677" s="406" t="str">
        <f>+IF(V5677=0,"CERO","NO")</f>
        <v>NO</v>
      </c>
    </row>
    <row r="5678" spans="3:31" s="260" customFormat="1" x14ac:dyDescent="0.25">
      <c r="C5678" s="84"/>
      <c r="D5678" s="85"/>
      <c r="E5678" s="86"/>
      <c r="F5678" s="86"/>
      <c r="G5678" s="86"/>
      <c r="H5678" s="86"/>
      <c r="I5678" s="86"/>
      <c r="J5678" s="87"/>
      <c r="K5678" s="88"/>
      <c r="M5678" s="102"/>
      <c r="N5678" s="533" t="str">
        <f>IFERROR(VLOOKUP(M5678,INSUMOS!$C$8:$K$928,2,0),"-----")</f>
        <v>-----</v>
      </c>
      <c r="O5678" s="533"/>
      <c r="P5678" s="533"/>
      <c r="Q5678" s="533"/>
      <c r="R5678" s="78" t="str">
        <f>IFERROR(VLOOKUP(M5678,INSUMOS!$C$8:$K$928,6,0),"-----")</f>
        <v>-----</v>
      </c>
      <c r="S5678" s="396"/>
      <c r="T5678" s="387"/>
      <c r="U5678" s="388" t="str">
        <f>IFERROR(VLOOKUP(M5678,INSUMOS!$C$8:$K$928,7,0),"0")</f>
        <v>0</v>
      </c>
      <c r="V5678" s="389">
        <f>+IFERROR(U5678*(S5678*(1+T5678)),0)</f>
        <v>0</v>
      </c>
      <c r="Y5678" s="393">
        <f>+IFERROR(Y5663*(S5678*(1+T5678)),0)</f>
        <v>0</v>
      </c>
      <c r="Z5678" s="391">
        <f>Y5663*V5678</f>
        <v>0</v>
      </c>
      <c r="AA5678" s="394"/>
      <c r="AB5678" s="395">
        <f>+Y5678*U5678</f>
        <v>0</v>
      </c>
      <c r="AC5678" s="93">
        <f>+AB5678-Z5678</f>
        <v>0</v>
      </c>
      <c r="AD5678" s="94"/>
      <c r="AE5678" s="406" t="str">
        <f>+IF(V5678=0,"CERO","NO")</f>
        <v>CERO</v>
      </c>
    </row>
    <row r="5679" spans="3:31" s="260" customFormat="1" x14ac:dyDescent="0.25">
      <c r="C5679" s="84"/>
      <c r="D5679" s="85"/>
      <c r="E5679" s="86"/>
      <c r="F5679" s="86"/>
      <c r="G5679" s="86"/>
      <c r="H5679" s="86"/>
      <c r="I5679" s="86"/>
      <c r="J5679" s="87"/>
      <c r="K5679" s="88"/>
      <c r="M5679" s="102"/>
      <c r="N5679" s="533" t="str">
        <f>IFERROR(VLOOKUP(M5679,INSUMOS!$C$8:$K$928,2,0),"-----")</f>
        <v>-----</v>
      </c>
      <c r="O5679" s="533"/>
      <c r="P5679" s="533"/>
      <c r="Q5679" s="533"/>
      <c r="R5679" s="78" t="str">
        <f>IFERROR(VLOOKUP(M5679,INSUMOS!$C$8:$K$928,6,0),"-----")</f>
        <v>-----</v>
      </c>
      <c r="S5679" s="396"/>
      <c r="T5679" s="387"/>
      <c r="U5679" s="388" t="str">
        <f>IFERROR(VLOOKUP(M5679,INSUMOS!$C$8:$K$928,7,0),"0")</f>
        <v>0</v>
      </c>
      <c r="V5679" s="389">
        <f>+IFERROR(U5679*(S5679*(1+T5679)),0)</f>
        <v>0</v>
      </c>
      <c r="Y5679" s="393">
        <f>+IFERROR(Y5663*(S5679*(1+T5679)),0)</f>
        <v>0</v>
      </c>
      <c r="Z5679" s="391">
        <f>Y5663*V5679</f>
        <v>0</v>
      </c>
      <c r="AA5679" s="394"/>
      <c r="AB5679" s="395">
        <f>+Y5679*U5679</f>
        <v>0</v>
      </c>
      <c r="AC5679" s="93">
        <f>+AB5679-Z5679</f>
        <v>0</v>
      </c>
      <c r="AD5679" s="94"/>
      <c r="AE5679" s="406" t="str">
        <f>+IF(V5679=0,"CERO","NO")</f>
        <v>CERO</v>
      </c>
    </row>
    <row r="5680" spans="3:31" s="260" customFormat="1" ht="15.75" thickBot="1" x14ac:dyDescent="0.3">
      <c r="C5680" s="84"/>
      <c r="D5680" s="85"/>
      <c r="E5680" s="86"/>
      <c r="F5680" s="86"/>
      <c r="G5680" s="86"/>
      <c r="H5680" s="86"/>
      <c r="I5680" s="86"/>
      <c r="J5680" s="87"/>
      <c r="K5680" s="88"/>
      <c r="M5680" s="102">
        <v>0</v>
      </c>
      <c r="N5680" s="564"/>
      <c r="O5680" s="564"/>
      <c r="P5680" s="564"/>
      <c r="Q5680" s="564"/>
      <c r="R5680" s="96"/>
      <c r="S5680" s="79"/>
      <c r="T5680" s="97"/>
      <c r="U5680" s="358"/>
      <c r="V5680" s="397"/>
      <c r="Y5680" s="393">
        <f>+IFERROR(Y5663*(S5680*(1+T5680)),0)</f>
        <v>0</v>
      </c>
      <c r="Z5680" s="391">
        <f>Y5663*V5680</f>
        <v>0</v>
      </c>
      <c r="AA5680" s="394"/>
      <c r="AB5680" s="395">
        <f>+Y5680*U5680</f>
        <v>0</v>
      </c>
      <c r="AC5680" s="93">
        <f>+AB5680-Z5680</f>
        <v>0</v>
      </c>
      <c r="AD5680" s="94"/>
      <c r="AE5680" s="406" t="str">
        <f>+IF(V5680=0,"CERO","NO")</f>
        <v>CERO</v>
      </c>
    </row>
    <row r="5681" spans="3:31" s="260" customFormat="1" ht="15.75" thickBot="1" x14ac:dyDescent="0.3">
      <c r="C5681" s="84"/>
      <c r="D5681" s="375" t="s">
        <v>128</v>
      </c>
      <c r="E5681" s="376" t="s">
        <v>129</v>
      </c>
      <c r="F5681" s="376" t="s">
        <v>130</v>
      </c>
      <c r="G5681" s="376" t="s">
        <v>131</v>
      </c>
      <c r="H5681" s="376" t="s">
        <v>132</v>
      </c>
      <c r="I5681" s="376" t="s">
        <v>133</v>
      </c>
      <c r="J5681" s="377" t="s">
        <v>134</v>
      </c>
      <c r="K5681" s="88"/>
      <c r="M5681" s="534"/>
      <c r="N5681" s="536" t="s">
        <v>106</v>
      </c>
      <c r="O5681" s="536"/>
      <c r="P5681" s="536"/>
      <c r="Q5681" s="536"/>
      <c r="R5681" s="536"/>
      <c r="S5681" s="536"/>
      <c r="T5681" s="536"/>
      <c r="U5681" s="536"/>
      <c r="V5681" s="389">
        <f>+SUM(V5676:V5680)</f>
        <v>4847.0400000000009</v>
      </c>
      <c r="Y5681" s="398" t="s">
        <v>135</v>
      </c>
      <c r="Z5681" s="397">
        <f>+SUM(Z5676:Z5680)</f>
        <v>10573333.056000002</v>
      </c>
      <c r="AA5681" s="86"/>
      <c r="AB5681" s="384"/>
      <c r="AC5681" s="385"/>
      <c r="AD5681" s="94"/>
      <c r="AE5681" s="399"/>
    </row>
    <row r="5682" spans="3:31" s="260" customFormat="1" ht="15.75" thickBot="1" x14ac:dyDescent="0.3">
      <c r="C5682" s="84"/>
      <c r="D5682" s="375"/>
      <c r="E5682" s="407">
        <f>+D5673</f>
        <v>6.06</v>
      </c>
      <c r="F5682" s="376"/>
      <c r="G5682" s="376"/>
      <c r="H5682" s="376"/>
      <c r="I5682" s="376"/>
      <c r="J5682" s="377"/>
      <c r="K5682" s="88"/>
      <c r="M5682" s="535"/>
      <c r="N5682" s="537" t="s">
        <v>107</v>
      </c>
      <c r="O5682" s="537"/>
      <c r="P5682" s="537"/>
      <c r="Q5682" s="537"/>
      <c r="R5682" s="537"/>
      <c r="S5682" s="537"/>
      <c r="T5682" s="537"/>
      <c r="U5682" s="537"/>
      <c r="V5682" s="408">
        <f>+ROUND(V5681,$AA$5)</f>
        <v>4847.04</v>
      </c>
      <c r="Y5682" s="401" t="s">
        <v>136</v>
      </c>
      <c r="Z5682" s="402">
        <f>+ROUND(Z5681,$AA$5)</f>
        <v>10573333.060000001</v>
      </c>
      <c r="AA5682" s="86"/>
      <c r="AB5682" s="403">
        <f>+V5682*Y5663</f>
        <v>10573333.056</v>
      </c>
      <c r="AC5682" s="404">
        <f>+AB5682-Z5682</f>
        <v>-4.0000006556510925E-3</v>
      </c>
      <c r="AD5682" s="94"/>
      <c r="AE5682" s="405"/>
    </row>
    <row r="5683" spans="3:31" s="260" customFormat="1" x14ac:dyDescent="0.25">
      <c r="C5683" s="84"/>
      <c r="D5683" s="380"/>
      <c r="E5683" s="381"/>
      <c r="F5683" s="381"/>
      <c r="G5683" s="381"/>
      <c r="H5683" s="381"/>
      <c r="I5683" s="381"/>
      <c r="J5683" s="382"/>
      <c r="K5683" s="88"/>
      <c r="M5683" s="568" t="s">
        <v>108</v>
      </c>
      <c r="N5683" s="569"/>
      <c r="O5683" s="569"/>
      <c r="P5683" s="569"/>
      <c r="Q5683" s="569"/>
      <c r="R5683" s="569"/>
      <c r="S5683" s="569"/>
      <c r="T5683" s="569"/>
      <c r="U5683" s="569"/>
      <c r="V5683" s="570"/>
      <c r="Y5683" s="378"/>
      <c r="Z5683" s="121"/>
      <c r="AA5683" s="86"/>
      <c r="AB5683" s="409"/>
      <c r="AC5683" s="121"/>
      <c r="AD5683" s="94"/>
      <c r="AE5683" s="126"/>
    </row>
    <row r="5684" spans="3:31" s="260" customFormat="1" ht="25.5" x14ac:dyDescent="0.25">
      <c r="C5684" s="84"/>
      <c r="D5684" s="85"/>
      <c r="E5684" s="86"/>
      <c r="F5684" s="86"/>
      <c r="G5684" s="86"/>
      <c r="H5684" s="86"/>
      <c r="I5684" s="86"/>
      <c r="J5684" s="87"/>
      <c r="K5684" s="88"/>
      <c r="M5684" s="99" t="s">
        <v>94</v>
      </c>
      <c r="N5684" s="561" t="s">
        <v>95</v>
      </c>
      <c r="O5684" s="561"/>
      <c r="P5684" s="561"/>
      <c r="Q5684" s="95" t="s">
        <v>109</v>
      </c>
      <c r="R5684" s="95" t="s">
        <v>110</v>
      </c>
      <c r="S5684" s="95" t="s">
        <v>111</v>
      </c>
      <c r="T5684" s="562" t="s">
        <v>112</v>
      </c>
      <c r="U5684" s="562"/>
      <c r="V5684" s="100" t="s">
        <v>98</v>
      </c>
      <c r="Y5684" s="383" t="s">
        <v>104</v>
      </c>
      <c r="Z5684" s="119" t="s">
        <v>9</v>
      </c>
      <c r="AA5684" s="86"/>
      <c r="AB5684" s="384"/>
      <c r="AC5684" s="385"/>
      <c r="AD5684" s="94"/>
      <c r="AE5684" s="410"/>
    </row>
    <row r="5685" spans="3:31" s="260" customFormat="1" x14ac:dyDescent="0.25">
      <c r="C5685" s="84"/>
      <c r="D5685" s="85"/>
      <c r="E5685" s="86"/>
      <c r="F5685" s="86"/>
      <c r="G5685" s="86"/>
      <c r="H5685" s="86"/>
      <c r="I5685" s="86"/>
      <c r="J5685" s="87"/>
      <c r="K5685" s="88"/>
      <c r="M5685" s="102"/>
      <c r="N5685" s="530" t="str">
        <f>IFERROR(VLOOKUP(M5685,INSUMOS!$C$8:$K$928,2,0),"-----")</f>
        <v>-----</v>
      </c>
      <c r="O5685" s="531"/>
      <c r="P5685" s="532"/>
      <c r="Q5685" s="78" t="str">
        <f>IFERROR(VLOOKUP(M5685,INSUMOS!$C$8:$K$928,5,0),"-----")</f>
        <v>-----</v>
      </c>
      <c r="R5685" s="80"/>
      <c r="S5685" s="80" t="str">
        <f>IFERROR(VLOOKUP(M5685,INSUMOS!$C$8:$K$928,6,0),"0")</f>
        <v>0</v>
      </c>
      <c r="T5685" s="529" t="str">
        <f>IFERROR(VLOOKUP(M5685,INSUMOS!$C$8:$K$928,7,0),"0")</f>
        <v>0</v>
      </c>
      <c r="U5685" s="529"/>
      <c r="V5685" s="82">
        <f>+T5685*S5685*R5685</f>
        <v>0</v>
      </c>
      <c r="Y5685" s="393">
        <f>+IFERROR((R5685*S5685)*Y5663,0)</f>
        <v>0</v>
      </c>
      <c r="Z5685" s="391">
        <f>Y5663*V5685</f>
        <v>0</v>
      </c>
      <c r="AA5685" s="86"/>
      <c r="AB5685" s="92">
        <f>+Y5685*T5685</f>
        <v>0</v>
      </c>
      <c r="AC5685" s="93">
        <f>+AB5685-Z5685</f>
        <v>0</v>
      </c>
      <c r="AD5685" s="94"/>
      <c r="AE5685" s="406" t="str">
        <f>+IF(V5685=0,"CERO","NO")</f>
        <v>CERO</v>
      </c>
    </row>
    <row r="5686" spans="3:31" s="260" customFormat="1" x14ac:dyDescent="0.25">
      <c r="C5686" s="84"/>
      <c r="D5686" s="85"/>
      <c r="E5686" s="86"/>
      <c r="F5686" s="86"/>
      <c r="G5686" s="86"/>
      <c r="H5686" s="86"/>
      <c r="I5686" s="86"/>
      <c r="J5686" s="87"/>
      <c r="K5686" s="88"/>
      <c r="M5686" s="102">
        <v>0</v>
      </c>
      <c r="N5686" s="530" t="str">
        <f>IFERROR(VLOOKUP(M5686,INSUMOS!$C$8:$K$928,2,0),"-----")</f>
        <v>-----</v>
      </c>
      <c r="O5686" s="531"/>
      <c r="P5686" s="532"/>
      <c r="Q5686" s="78" t="str">
        <f>IFERROR(VLOOKUP(M5686,INSUMOS!$C$8:$K$928,5,0),"-----")</f>
        <v>-----</v>
      </c>
      <c r="R5686" s="80"/>
      <c r="S5686" s="80" t="str">
        <f>IFERROR(VLOOKUP(M5686,INSUMOS!$C$8:$K$928,6,0),"0")</f>
        <v>0</v>
      </c>
      <c r="T5686" s="529" t="str">
        <f>IFERROR(VLOOKUP(M5686,INSUMOS!$C$8:$K$928,7,0),"0")</f>
        <v>0</v>
      </c>
      <c r="U5686" s="529"/>
      <c r="V5686" s="82">
        <f>+T5686*S5686*R5686</f>
        <v>0</v>
      </c>
      <c r="Y5686" s="393">
        <f>+IFERROR((R5686*S5686)*Y5663,0)</f>
        <v>0</v>
      </c>
      <c r="Z5686" s="391">
        <f>Y5663*V5686</f>
        <v>0</v>
      </c>
      <c r="AA5686" s="86"/>
      <c r="AB5686" s="92">
        <f>+Y5686*T5686</f>
        <v>0</v>
      </c>
      <c r="AC5686" s="93">
        <f>+AB5686-Z5686</f>
        <v>0</v>
      </c>
      <c r="AD5686" s="94"/>
      <c r="AE5686" s="406" t="str">
        <f>+IF(V5686=0,"CERO","NO")</f>
        <v>CERO</v>
      </c>
    </row>
    <row r="5687" spans="3:31" s="260" customFormat="1" x14ac:dyDescent="0.25">
      <c r="C5687" s="84"/>
      <c r="D5687" s="85"/>
      <c r="E5687" s="86"/>
      <c r="F5687" s="86"/>
      <c r="G5687" s="86"/>
      <c r="H5687" s="86"/>
      <c r="I5687" s="86"/>
      <c r="J5687" s="87"/>
      <c r="K5687" s="88"/>
      <c r="M5687" s="102">
        <v>0</v>
      </c>
      <c r="N5687" s="530" t="str">
        <f>IFERROR(VLOOKUP(M5687,INSUMOS!$C$8:$K$928,2,0),"-----")</f>
        <v>-----</v>
      </c>
      <c r="O5687" s="531"/>
      <c r="P5687" s="532"/>
      <c r="Q5687" s="78" t="str">
        <f>IFERROR(VLOOKUP(M5687,INSUMOS!$C$8:$K$928,5,0),"-----")</f>
        <v>-----</v>
      </c>
      <c r="R5687" s="80"/>
      <c r="S5687" s="80" t="str">
        <f>IFERROR(VLOOKUP(M5687,INSUMOS!$C$8:$K$928,6,0),"0")</f>
        <v>0</v>
      </c>
      <c r="T5687" s="529" t="str">
        <f>IFERROR(VLOOKUP(M5687,INSUMOS!$C$8:$K$928,7,0),"0")</f>
        <v>0</v>
      </c>
      <c r="U5687" s="529"/>
      <c r="V5687" s="82">
        <f>+T5687*S5687*R5687</f>
        <v>0</v>
      </c>
      <c r="Y5687" s="393">
        <f>+IFERROR((R5687*S5687)*Y5663,0)</f>
        <v>0</v>
      </c>
      <c r="Z5687" s="391">
        <f>Y5663*V5687</f>
        <v>0</v>
      </c>
      <c r="AA5687" s="86"/>
      <c r="AB5687" s="92">
        <f>+Y5687*T5687</f>
        <v>0</v>
      </c>
      <c r="AC5687" s="93">
        <f>+AB5687-Z5687</f>
        <v>0</v>
      </c>
      <c r="AD5687" s="94"/>
      <c r="AE5687" s="406" t="str">
        <f>+IF(V5687=0,"CERO","NO")</f>
        <v>CERO</v>
      </c>
    </row>
    <row r="5688" spans="3:31" s="260" customFormat="1" ht="15.75" thickBot="1" x14ac:dyDescent="0.3">
      <c r="C5688" s="84"/>
      <c r="D5688" s="89"/>
      <c r="E5688" s="90"/>
      <c r="F5688" s="90"/>
      <c r="G5688" s="90"/>
      <c r="H5688" s="90"/>
      <c r="I5688" s="90"/>
      <c r="J5688" s="91"/>
      <c r="K5688" s="88"/>
      <c r="M5688" s="102">
        <v>0</v>
      </c>
      <c r="N5688" s="533"/>
      <c r="O5688" s="533"/>
      <c r="P5688" s="533"/>
      <c r="Q5688" s="79"/>
      <c r="R5688" s="78"/>
      <c r="S5688" s="81"/>
      <c r="T5688" s="529"/>
      <c r="U5688" s="529"/>
      <c r="V5688" s="82"/>
      <c r="Y5688" s="393">
        <f>+IFERROR((R5688*S5688)*Y5663,0)</f>
        <v>0</v>
      </c>
      <c r="Z5688" s="391">
        <f>Y5663*V5688</f>
        <v>0</v>
      </c>
      <c r="AA5688" s="86"/>
      <c r="AB5688" s="92">
        <f>+Y5688*T5688</f>
        <v>0</v>
      </c>
      <c r="AC5688" s="93">
        <f>+AB5688-Z5688</f>
        <v>0</v>
      </c>
      <c r="AD5688" s="94"/>
      <c r="AE5688" s="406" t="str">
        <f>+IF(V5688=0,"CERO","NO")</f>
        <v>CERO</v>
      </c>
    </row>
    <row r="5689" spans="3:31" s="260" customFormat="1" ht="15.75" thickBot="1" x14ac:dyDescent="0.3">
      <c r="C5689" s="84"/>
      <c r="D5689" s="375" t="s">
        <v>128</v>
      </c>
      <c r="E5689" s="376" t="s">
        <v>129</v>
      </c>
      <c r="F5689" s="376" t="s">
        <v>130</v>
      </c>
      <c r="G5689" s="376" t="s">
        <v>131</v>
      </c>
      <c r="H5689" s="376" t="s">
        <v>132</v>
      </c>
      <c r="I5689" s="376" t="s">
        <v>133</v>
      </c>
      <c r="J5689" s="377" t="s">
        <v>134</v>
      </c>
      <c r="K5689" s="88"/>
      <c r="M5689" s="534"/>
      <c r="N5689" s="536" t="s">
        <v>113</v>
      </c>
      <c r="O5689" s="536"/>
      <c r="P5689" s="536"/>
      <c r="Q5689" s="536"/>
      <c r="R5689" s="536"/>
      <c r="S5689" s="536"/>
      <c r="T5689" s="536"/>
      <c r="U5689" s="536"/>
      <c r="V5689" s="411">
        <f>+SUM(V5685:V5688)</f>
        <v>0</v>
      </c>
      <c r="Y5689" s="398" t="s">
        <v>135</v>
      </c>
      <c r="Z5689" s="397">
        <f>+SUM(Z5685:Z5688)</f>
        <v>0</v>
      </c>
      <c r="AA5689" s="86"/>
      <c r="AB5689" s="384"/>
      <c r="AC5689" s="385"/>
      <c r="AD5689" s="94"/>
      <c r="AE5689" s="399"/>
    </row>
    <row r="5690" spans="3:31" s="260" customFormat="1" ht="15.75" thickBot="1" x14ac:dyDescent="0.3">
      <c r="C5690" s="84"/>
      <c r="D5690" s="355"/>
      <c r="E5690" s="367"/>
      <c r="F5690" s="412">
        <f>+E5682</f>
        <v>6.06</v>
      </c>
      <c r="G5690" s="367"/>
      <c r="H5690" s="367"/>
      <c r="I5690" s="367"/>
      <c r="J5690" s="368"/>
      <c r="K5690" s="88"/>
      <c r="M5690" s="535"/>
      <c r="N5690" s="537" t="s">
        <v>114</v>
      </c>
      <c r="O5690" s="537"/>
      <c r="P5690" s="537"/>
      <c r="Q5690" s="537"/>
      <c r="R5690" s="537"/>
      <c r="S5690" s="537"/>
      <c r="T5690" s="537"/>
      <c r="U5690" s="537"/>
      <c r="V5690" s="413">
        <f>+ROUND(V5689,$AA$5)</f>
        <v>0</v>
      </c>
      <c r="Y5690" s="401" t="s">
        <v>136</v>
      </c>
      <c r="Z5690" s="402">
        <f>+ROUND(Z5689,$AA$5)</f>
        <v>0</v>
      </c>
      <c r="AA5690" s="86"/>
      <c r="AB5690" s="403">
        <f>+V5690*Y5663</f>
        <v>0</v>
      </c>
      <c r="AC5690" s="414"/>
      <c r="AD5690" s="94"/>
      <c r="AE5690" s="405"/>
    </row>
    <row r="5691" spans="3:31" s="260" customFormat="1" ht="15.75" thickBot="1" x14ac:dyDescent="0.3">
      <c r="C5691" s="84"/>
      <c r="D5691" s="415"/>
      <c r="E5691" s="416"/>
      <c r="F5691" s="416"/>
      <c r="G5691" s="416"/>
      <c r="H5691" s="416"/>
      <c r="I5691" s="416"/>
      <c r="J5691" s="417"/>
      <c r="K5691" s="88"/>
      <c r="M5691" s="538" t="s">
        <v>115</v>
      </c>
      <c r="N5691" s="539"/>
      <c r="O5691" s="539"/>
      <c r="P5691" s="539"/>
      <c r="Q5691" s="539"/>
      <c r="R5691" s="539"/>
      <c r="S5691" s="539"/>
      <c r="T5691" s="539"/>
      <c r="U5691" s="539"/>
      <c r="V5691" s="540"/>
      <c r="Y5691" s="378"/>
      <c r="Z5691" s="121"/>
      <c r="AA5691" s="86"/>
      <c r="AB5691" s="409"/>
      <c r="AC5691" s="121"/>
      <c r="AD5691" s="94"/>
      <c r="AE5691" s="126"/>
    </row>
    <row r="5692" spans="3:31" s="260" customFormat="1" ht="15.75" thickBot="1" x14ac:dyDescent="0.3">
      <c r="C5692" s="84"/>
      <c r="D5692" s="375" t="s">
        <v>128</v>
      </c>
      <c r="E5692" s="376" t="s">
        <v>129</v>
      </c>
      <c r="F5692" s="376" t="s">
        <v>130</v>
      </c>
      <c r="G5692" s="376" t="s">
        <v>131</v>
      </c>
      <c r="H5692" s="376" t="s">
        <v>132</v>
      </c>
      <c r="I5692" s="376" t="s">
        <v>133</v>
      </c>
      <c r="J5692" s="377" t="s">
        <v>134</v>
      </c>
      <c r="K5692" s="88"/>
      <c r="M5692" s="99" t="s">
        <v>94</v>
      </c>
      <c r="N5692" s="98" t="s">
        <v>95</v>
      </c>
      <c r="O5692" s="95" t="s">
        <v>96</v>
      </c>
      <c r="P5692" s="359" t="s">
        <v>104</v>
      </c>
      <c r="Q5692" s="95" t="s">
        <v>116</v>
      </c>
      <c r="R5692" s="418" t="s">
        <v>117</v>
      </c>
      <c r="S5692" s="95" t="s">
        <v>347</v>
      </c>
      <c r="T5692" s="419" t="s">
        <v>118</v>
      </c>
      <c r="U5692" s="189" t="s">
        <v>119</v>
      </c>
      <c r="V5692" s="100" t="s">
        <v>98</v>
      </c>
      <c r="Y5692" s="383" t="s">
        <v>104</v>
      </c>
      <c r="Z5692" s="119" t="s">
        <v>9</v>
      </c>
      <c r="AA5692" s="86"/>
      <c r="AB5692" s="384"/>
      <c r="AC5692" s="385"/>
      <c r="AD5692" s="94"/>
      <c r="AE5692" s="410"/>
    </row>
    <row r="5693" spans="3:31" s="260" customFormat="1" ht="25.5" x14ac:dyDescent="0.25">
      <c r="C5693" s="84"/>
      <c r="D5693" s="354"/>
      <c r="E5693" s="96"/>
      <c r="F5693" s="96"/>
      <c r="G5693" s="96"/>
      <c r="H5693" s="96"/>
      <c r="I5693" s="96"/>
      <c r="J5693" s="420">
        <f>+F5690</f>
        <v>6.06</v>
      </c>
      <c r="K5693" s="88"/>
      <c r="M5693" s="102">
        <v>201</v>
      </c>
      <c r="N5693" s="347" t="str">
        <f>IFERROR(VLOOKUP(M5693,INSUMOS!$C$8:$K$928,2,0),"-----")</f>
        <v>Oficial Albañileria</v>
      </c>
      <c r="O5693" s="78" t="str">
        <f>IFERROR(VLOOKUP(M5693,INSUMOS!$C$8:$K$928,3,0),"-----")</f>
        <v>JORNAL+PS</v>
      </c>
      <c r="P5693" s="80">
        <v>1</v>
      </c>
      <c r="Q5693" s="79">
        <v>100</v>
      </c>
      <c r="R5693" s="190">
        <f>IFERROR(VLOOKUP(M5693,INSUMOS!$C$8:$K$928,4,0),"-----")</f>
        <v>85136</v>
      </c>
      <c r="S5693" s="190">
        <f>IFERROR(VLOOKUP(M5693,INSUMOS!$C$8:$K$928,6,0),"-----")</f>
        <v>68109</v>
      </c>
      <c r="T5693" s="190">
        <f>IFERROR(VLOOKUP(M5693,INSUMOS!$C$8:$K$928,5,0),"-----")</f>
        <v>0</v>
      </c>
      <c r="U5693" s="388">
        <f>SUM(R5693:T5693)</f>
        <v>153245</v>
      </c>
      <c r="V5693" s="82">
        <f>+IFERROR((P5693/Q5693)*U5693,0)</f>
        <v>1532.45</v>
      </c>
      <c r="Y5693" s="393">
        <f>+IFERROR((Y5663/Q5693*P5693),0)</f>
        <v>21.814</v>
      </c>
      <c r="Z5693" s="391">
        <f>Y5663*V5693</f>
        <v>3342886.43</v>
      </c>
      <c r="AA5693" s="86"/>
      <c r="AB5693" s="92">
        <f>+(U5693)*Y5693</f>
        <v>3342886.43</v>
      </c>
      <c r="AC5693" s="93">
        <f>+AB5693-Z5693</f>
        <v>0</v>
      </c>
      <c r="AD5693" s="421"/>
      <c r="AE5693" s="410" t="str">
        <f>+IF(V5693=0,"CERO","NO")</f>
        <v>NO</v>
      </c>
    </row>
    <row r="5694" spans="3:31" s="260" customFormat="1" ht="26.25" thickBot="1" x14ac:dyDescent="0.3">
      <c r="C5694" s="84"/>
      <c r="D5694" s="355"/>
      <c r="E5694" s="367"/>
      <c r="F5694" s="367"/>
      <c r="G5694" s="367"/>
      <c r="H5694" s="367"/>
      <c r="I5694" s="367"/>
      <c r="J5694" s="422">
        <f>+J5693</f>
        <v>6.06</v>
      </c>
      <c r="K5694" s="88"/>
      <c r="M5694" s="102">
        <v>202</v>
      </c>
      <c r="N5694" s="347" t="str">
        <f>IFERROR(VLOOKUP(M5694,INSUMOS!$C$8:$K$928,2,0),"-----")</f>
        <v>Ayudante Albañileria</v>
      </c>
      <c r="O5694" s="78" t="str">
        <f>IFERROR(VLOOKUP(M5694,INSUMOS!$C$8:$K$928,3,0),"-----")</f>
        <v>JORNAL+PS</v>
      </c>
      <c r="P5694" s="80">
        <v>1</v>
      </c>
      <c r="Q5694" s="79">
        <v>100</v>
      </c>
      <c r="R5694" s="190">
        <f>IFERROR(VLOOKUP(M5694,INSUMOS!$C$8:$K$928,4,0),"-----")</f>
        <v>63490</v>
      </c>
      <c r="S5694" s="190">
        <f>IFERROR(VLOOKUP(M5694,INSUMOS!$C$8:$K$928,6,0),"-----")</f>
        <v>50792</v>
      </c>
      <c r="T5694" s="190">
        <f>IFERROR(VLOOKUP(M5694,INSUMOS!$C$8:$K$928,5,0),"-----")</f>
        <v>0</v>
      </c>
      <c r="U5694" s="388">
        <f>SUM(R5694:T5694)</f>
        <v>114282</v>
      </c>
      <c r="V5694" s="82">
        <f>+IFERROR((P5694/Q5694)*U5694,0)</f>
        <v>1142.82</v>
      </c>
      <c r="Y5694" s="393">
        <f>+IFERROR((Y5663/Q5694*P5694),0)</f>
        <v>21.814</v>
      </c>
      <c r="Z5694" s="391">
        <f>Y5663*V5694</f>
        <v>2492947.548</v>
      </c>
      <c r="AA5694" s="86"/>
      <c r="AB5694" s="92">
        <f>+U5694*Y5694</f>
        <v>2492947.548</v>
      </c>
      <c r="AC5694" s="93">
        <f>+AB5694-Z5694</f>
        <v>0</v>
      </c>
      <c r="AD5694" s="94"/>
      <c r="AE5694" s="410" t="str">
        <f>+IF(V5694=0,"CERO","NO")</f>
        <v>NO</v>
      </c>
    </row>
    <row r="5695" spans="3:31" s="260" customFormat="1" ht="15.75" thickBot="1" x14ac:dyDescent="0.3">
      <c r="C5695" s="84"/>
      <c r="D5695" s="380"/>
      <c r="E5695" s="381"/>
      <c r="F5695" s="381"/>
      <c r="G5695" s="381"/>
      <c r="H5695" s="381"/>
      <c r="I5695" s="381"/>
      <c r="J5695" s="382"/>
      <c r="K5695" s="88"/>
      <c r="M5695" s="102">
        <v>0</v>
      </c>
      <c r="N5695" s="347"/>
      <c r="O5695" s="79"/>
      <c r="P5695" s="423"/>
      <c r="Q5695" s="81"/>
      <c r="R5695" s="111"/>
      <c r="S5695" s="357"/>
      <c r="T5695" s="111"/>
      <c r="U5695" s="388"/>
      <c r="V5695" s="426"/>
      <c r="Y5695" s="393">
        <f>+IFERROR((Y5663/Q5695*P5695),0)</f>
        <v>0</v>
      </c>
      <c r="Z5695" s="391">
        <f>Y5663*V5695</f>
        <v>0</v>
      </c>
      <c r="AA5695" s="86"/>
      <c r="AB5695" s="92">
        <f>+(U5695)*Y5695*P5695</f>
        <v>0</v>
      </c>
      <c r="AC5695" s="93">
        <f>+AB5695-Z5695</f>
        <v>0</v>
      </c>
      <c r="AD5695" s="94"/>
      <c r="AE5695" s="410" t="str">
        <f>+IF(V5695=0,"CERO","NO")</f>
        <v>CERO</v>
      </c>
    </row>
    <row r="5696" spans="3:31" s="260" customFormat="1" ht="15.75" thickBot="1" x14ac:dyDescent="0.3">
      <c r="C5696" s="84"/>
      <c r="D5696" s="375" t="s">
        <v>128</v>
      </c>
      <c r="E5696" s="376" t="s">
        <v>129</v>
      </c>
      <c r="F5696" s="376" t="s">
        <v>130</v>
      </c>
      <c r="G5696" s="376" t="s">
        <v>131</v>
      </c>
      <c r="H5696" s="376" t="s">
        <v>132</v>
      </c>
      <c r="I5696" s="376" t="s">
        <v>133</v>
      </c>
      <c r="J5696" s="377" t="s">
        <v>134</v>
      </c>
      <c r="K5696" s="88"/>
      <c r="M5696" s="534"/>
      <c r="N5696" s="536" t="s">
        <v>120</v>
      </c>
      <c r="O5696" s="536"/>
      <c r="P5696" s="536"/>
      <c r="Q5696" s="536"/>
      <c r="R5696" s="536"/>
      <c r="S5696" s="536"/>
      <c r="T5696" s="536"/>
      <c r="U5696" s="536"/>
      <c r="V5696" s="82">
        <f>+SUM(V5693:V5695)</f>
        <v>2675.27</v>
      </c>
      <c r="Y5696" s="398" t="s">
        <v>135</v>
      </c>
      <c r="Z5696" s="397">
        <f>+SUM(Z5693:Z5695)</f>
        <v>5835833.9780000001</v>
      </c>
      <c r="AA5696" s="86"/>
      <c r="AB5696" s="384"/>
      <c r="AC5696" s="385"/>
      <c r="AD5696" s="94"/>
      <c r="AE5696" s="399"/>
    </row>
    <row r="5697" spans="3:31" s="260" customFormat="1" ht="15.75" thickBot="1" x14ac:dyDescent="0.3">
      <c r="C5697" s="84"/>
      <c r="D5697" s="354"/>
      <c r="E5697" s="96"/>
      <c r="F5697" s="96"/>
      <c r="G5697" s="107">
        <f>+F5690</f>
        <v>6.06</v>
      </c>
      <c r="H5697" s="96"/>
      <c r="I5697" s="96"/>
      <c r="J5697" s="427"/>
      <c r="K5697" s="88"/>
      <c r="M5697" s="535"/>
      <c r="N5697" s="537" t="s">
        <v>121</v>
      </c>
      <c r="O5697" s="537"/>
      <c r="P5697" s="537"/>
      <c r="Q5697" s="537"/>
      <c r="R5697" s="537"/>
      <c r="S5697" s="537"/>
      <c r="T5697" s="537"/>
      <c r="U5697" s="537"/>
      <c r="V5697" s="413">
        <f>+ROUND(V5696,$AA$5)</f>
        <v>2675.27</v>
      </c>
      <c r="Y5697" s="401" t="s">
        <v>136</v>
      </c>
      <c r="Z5697" s="402">
        <f>+ROUND(Z5696,$AA$5)</f>
        <v>5835833.9800000004</v>
      </c>
      <c r="AA5697" s="86"/>
      <c r="AB5697" s="403">
        <f>+V5697*Y5663</f>
        <v>5835833.9780000001</v>
      </c>
      <c r="AC5697" s="404">
        <f>+AB5697-Z5697</f>
        <v>-2.0000003278255463E-3</v>
      </c>
      <c r="AD5697" s="94"/>
      <c r="AE5697" s="405"/>
    </row>
    <row r="5698" spans="3:31" s="260" customFormat="1" ht="15.75" thickBot="1" x14ac:dyDescent="0.3">
      <c r="C5698" s="84"/>
      <c r="D5698" s="375" t="s">
        <v>128</v>
      </c>
      <c r="E5698" s="376" t="s">
        <v>129</v>
      </c>
      <c r="F5698" s="376" t="s">
        <v>130</v>
      </c>
      <c r="G5698" s="376" t="s">
        <v>131</v>
      </c>
      <c r="H5698" s="376" t="s">
        <v>132</v>
      </c>
      <c r="I5698" s="376" t="s">
        <v>133</v>
      </c>
      <c r="J5698" s="377" t="s">
        <v>134</v>
      </c>
      <c r="K5698" s="88"/>
      <c r="M5698" s="541"/>
      <c r="N5698" s="542"/>
      <c r="O5698" s="542"/>
      <c r="P5698" s="542"/>
      <c r="Q5698" s="542"/>
      <c r="R5698" s="542"/>
      <c r="S5698" s="542"/>
      <c r="T5698" s="542"/>
      <c r="U5698" s="542"/>
      <c r="V5698" s="543"/>
      <c r="Y5698" s="378"/>
      <c r="Z5698" s="121"/>
      <c r="AA5698" s="86"/>
      <c r="AB5698" s="409"/>
      <c r="AC5698" s="121"/>
      <c r="AD5698" s="94"/>
      <c r="AE5698" s="428"/>
    </row>
    <row r="5699" spans="3:31" s="260" customFormat="1" ht="15.75" thickBot="1" x14ac:dyDescent="0.3">
      <c r="C5699" s="84"/>
      <c r="D5699" s="355"/>
      <c r="E5699" s="367"/>
      <c r="F5699" s="367"/>
      <c r="G5699" s="367"/>
      <c r="H5699" s="412">
        <f>G5697</f>
        <v>6.06</v>
      </c>
      <c r="I5699" s="412"/>
      <c r="J5699" s="422"/>
      <c r="K5699" s="88"/>
      <c r="M5699" s="544" t="s">
        <v>122</v>
      </c>
      <c r="N5699" s="537"/>
      <c r="O5699" s="537"/>
      <c r="P5699" s="537"/>
      <c r="Q5699" s="537"/>
      <c r="R5699" s="537"/>
      <c r="S5699" s="537"/>
      <c r="T5699" s="537"/>
      <c r="U5699" s="545">
        <f>+V5697+V5690+V5682+V5673</f>
        <v>7656.07</v>
      </c>
      <c r="V5699" s="546"/>
      <c r="Y5699" s="429"/>
      <c r="Z5699" s="430">
        <f>+Z5697+Z5690+Z5682+Z5673</f>
        <v>16700958.74</v>
      </c>
      <c r="AA5699" s="86"/>
      <c r="AB5699" s="431">
        <f>+AB5697+AB5690+AB5682+AB5673</f>
        <v>16700951.097999999</v>
      </c>
      <c r="AC5699" s="404">
        <f>+AB5699-Z5699</f>
        <v>-7.642000000923872</v>
      </c>
      <c r="AD5699" s="94"/>
      <c r="AE5699" s="432"/>
    </row>
    <row r="5700" spans="3:31" s="260" customFormat="1" ht="15.75" thickBot="1" x14ac:dyDescent="0.3"/>
    <row r="5701" spans="3:31" s="260" customFormat="1" x14ac:dyDescent="0.25">
      <c r="M5701" s="547" t="s">
        <v>348</v>
      </c>
      <c r="N5701" s="548"/>
      <c r="O5701" s="548"/>
      <c r="P5701" s="548"/>
      <c r="Q5701" s="548"/>
      <c r="R5701" s="548"/>
      <c r="S5701" s="548"/>
      <c r="T5701" s="548"/>
      <c r="U5701" s="548"/>
      <c r="V5701" s="549"/>
      <c r="Y5701" s="378"/>
      <c r="Z5701" s="121"/>
      <c r="AA5701" s="86"/>
      <c r="AB5701" s="94"/>
      <c r="AC5701" s="94"/>
      <c r="AD5701" s="94"/>
      <c r="AE5701" s="126" t="s">
        <v>133</v>
      </c>
    </row>
    <row r="5702" spans="3:31" s="260" customFormat="1" x14ac:dyDescent="0.25">
      <c r="M5702" s="515" t="s">
        <v>138</v>
      </c>
      <c r="N5702" s="516"/>
      <c r="O5702" s="516"/>
      <c r="P5702" s="516"/>
      <c r="Q5702" s="516"/>
      <c r="R5702" s="516"/>
      <c r="S5702" s="516"/>
      <c r="T5702" s="437">
        <v>0</v>
      </c>
      <c r="U5702" s="517">
        <f>+ROUND(U5699*T5702,$AA$5)</f>
        <v>0</v>
      </c>
      <c r="V5702" s="518"/>
      <c r="Y5702" s="390"/>
      <c r="Z5702" s="438">
        <f>+Z5699*T5702</f>
        <v>0</v>
      </c>
      <c r="AA5702" s="86"/>
      <c r="AB5702" s="94"/>
      <c r="AC5702" s="94"/>
      <c r="AD5702" s="94"/>
      <c r="AE5702" s="386" t="s">
        <v>133</v>
      </c>
    </row>
    <row r="5703" spans="3:31" s="260" customFormat="1" x14ac:dyDescent="0.25">
      <c r="M5703" s="515" t="s">
        <v>19</v>
      </c>
      <c r="N5703" s="516"/>
      <c r="O5703" s="516"/>
      <c r="P5703" s="516"/>
      <c r="Q5703" s="516"/>
      <c r="R5703" s="516"/>
      <c r="S5703" s="516"/>
      <c r="T5703" s="437">
        <v>0.05</v>
      </c>
      <c r="U5703" s="517">
        <f>+ROUND(U5699*T5703,$AA$5)</f>
        <v>382.8</v>
      </c>
      <c r="V5703" s="518"/>
      <c r="Y5703" s="390"/>
      <c r="Z5703" s="438">
        <f>+Z5699*T5703</f>
        <v>835047.93700000003</v>
      </c>
      <c r="AA5703" s="86"/>
      <c r="AB5703" s="94"/>
      <c r="AC5703" s="94"/>
      <c r="AD5703" s="94"/>
      <c r="AE5703" s="386" t="s">
        <v>133</v>
      </c>
    </row>
    <row r="5704" spans="3:31" s="260" customFormat="1" x14ac:dyDescent="0.25">
      <c r="M5704" s="515" t="s">
        <v>20</v>
      </c>
      <c r="N5704" s="516"/>
      <c r="O5704" s="516"/>
      <c r="P5704" s="516"/>
      <c r="Q5704" s="516"/>
      <c r="R5704" s="516"/>
      <c r="S5704" s="516"/>
      <c r="T5704" s="437">
        <v>0</v>
      </c>
      <c r="U5704" s="517">
        <f>+ROUND(U5699*T5704,$AA$5)</f>
        <v>0</v>
      </c>
      <c r="V5704" s="518"/>
      <c r="Y5704" s="390"/>
      <c r="Z5704" s="438">
        <f>+Z5699*T5704</f>
        <v>0</v>
      </c>
      <c r="AA5704" s="86"/>
      <c r="AB5704" s="94"/>
      <c r="AC5704" s="94"/>
      <c r="AD5704" s="94"/>
      <c r="AE5704" s="386" t="s">
        <v>133</v>
      </c>
    </row>
    <row r="5705" spans="3:31" s="260" customFormat="1" x14ac:dyDescent="0.25">
      <c r="M5705" s="515" t="s">
        <v>21</v>
      </c>
      <c r="N5705" s="516"/>
      <c r="O5705" s="516"/>
      <c r="P5705" s="516"/>
      <c r="Q5705" s="516"/>
      <c r="R5705" s="516"/>
      <c r="S5705" s="516"/>
      <c r="T5705" s="437">
        <f>$AA$9</f>
        <v>0</v>
      </c>
      <c r="U5705" s="517">
        <f>+ROUND(U5699*T5705,$AA$5)</f>
        <v>0</v>
      </c>
      <c r="V5705" s="518"/>
      <c r="Y5705" s="390"/>
      <c r="Z5705" s="438">
        <f>+Z5704*T5705</f>
        <v>0</v>
      </c>
      <c r="AA5705" s="86"/>
      <c r="AB5705" s="94"/>
      <c r="AC5705" s="94"/>
      <c r="AD5705" s="94"/>
      <c r="AE5705" s="386" t="s">
        <v>133</v>
      </c>
    </row>
    <row r="5706" spans="3:31" s="260" customFormat="1" ht="15.75" thickBot="1" x14ac:dyDescent="0.3">
      <c r="M5706" s="519" t="s">
        <v>349</v>
      </c>
      <c r="N5706" s="520"/>
      <c r="O5706" s="520"/>
      <c r="P5706" s="520"/>
      <c r="Q5706" s="520"/>
      <c r="R5706" s="520"/>
      <c r="S5706" s="520"/>
      <c r="T5706" s="520"/>
      <c r="U5706" s="521">
        <f>+SUM(U5702:V5705)</f>
        <v>382.8</v>
      </c>
      <c r="V5706" s="522"/>
      <c r="Y5706" s="390"/>
      <c r="Z5706" s="439">
        <f>+SUM(Z5702:Z5705)</f>
        <v>835047.93700000003</v>
      </c>
      <c r="AA5706" s="86"/>
      <c r="AB5706" s="94"/>
      <c r="AC5706" s="94"/>
      <c r="AD5706" s="94"/>
      <c r="AE5706" s="386" t="s">
        <v>133</v>
      </c>
    </row>
    <row r="5707" spans="3:31" s="260" customFormat="1" ht="15.75" thickBot="1" x14ac:dyDescent="0.3">
      <c r="D5707" s="375" t="s">
        <v>128</v>
      </c>
      <c r="E5707" s="376" t="s">
        <v>129</v>
      </c>
      <c r="F5707" s="376" t="s">
        <v>130</v>
      </c>
      <c r="G5707" s="376" t="s">
        <v>131</v>
      </c>
      <c r="H5707" s="376" t="s">
        <v>132</v>
      </c>
      <c r="I5707" s="376" t="s">
        <v>133</v>
      </c>
      <c r="J5707" s="377" t="s">
        <v>134</v>
      </c>
      <c r="M5707" s="86"/>
      <c r="N5707" s="94"/>
      <c r="O5707" s="94"/>
      <c r="P5707" s="94"/>
      <c r="Q5707" s="86"/>
      <c r="R5707" s="86"/>
      <c r="S5707" s="86"/>
      <c r="T5707" s="440"/>
      <c r="U5707" s="523"/>
      <c r="V5707" s="523"/>
      <c r="Y5707" s="390"/>
      <c r="Z5707" s="385"/>
      <c r="AA5707" s="86"/>
      <c r="AB5707" s="94"/>
      <c r="AC5707" s="94"/>
      <c r="AD5707" s="94"/>
      <c r="AE5707" s="386" t="s">
        <v>133</v>
      </c>
    </row>
    <row r="5708" spans="3:31" s="260" customFormat="1" ht="15.75" thickBot="1" x14ac:dyDescent="0.3">
      <c r="D5708" s="355"/>
      <c r="E5708" s="367"/>
      <c r="F5708" s="367"/>
      <c r="G5708" s="367"/>
      <c r="H5708" s="412"/>
      <c r="I5708" s="412">
        <f>H5699</f>
        <v>6.06</v>
      </c>
      <c r="J5708" s="422"/>
      <c r="M5708" s="524" t="s">
        <v>11</v>
      </c>
      <c r="N5708" s="525"/>
      <c r="O5708" s="525"/>
      <c r="P5708" s="525"/>
      <c r="Q5708" s="525"/>
      <c r="R5708" s="525"/>
      <c r="S5708" s="525"/>
      <c r="T5708" s="526"/>
      <c r="U5708" s="527">
        <f>+U5706+U5699</f>
        <v>8038.87</v>
      </c>
      <c r="V5708" s="528"/>
      <c r="Y5708" s="429"/>
      <c r="Z5708" s="441">
        <f>+Z5706+Z5699</f>
        <v>17536006.677000001</v>
      </c>
      <c r="AA5708" s="86"/>
      <c r="AB5708" s="94"/>
      <c r="AC5708" s="94"/>
      <c r="AD5708" s="94"/>
      <c r="AE5708" s="405" t="s">
        <v>133</v>
      </c>
    </row>
    <row r="5709" spans="3:31" s="260" customFormat="1" x14ac:dyDescent="0.25"/>
    <row r="5710" spans="3:31" s="260" customFormat="1" ht="15.75" thickBot="1" x14ac:dyDescent="0.3"/>
    <row r="5711" spans="3:31" s="260" customFormat="1" ht="15.75" thickBot="1" x14ac:dyDescent="0.3">
      <c r="M5711" s="363" t="s">
        <v>88</v>
      </c>
      <c r="N5711" s="436" t="str">
        <f>+N5662</f>
        <v>CAP.6</v>
      </c>
      <c r="O5711" s="550" t="str">
        <f>IFERROR(VLOOKUP(N5711,PPTO!C:H,2,0),"----")</f>
        <v>RED DE DRENAJE</v>
      </c>
      <c r="P5711" s="551"/>
      <c r="Q5711" s="551"/>
      <c r="R5711" s="551"/>
      <c r="S5711" s="551"/>
      <c r="T5711" s="551"/>
      <c r="U5711" s="552"/>
      <c r="V5711" s="74" t="s">
        <v>91</v>
      </c>
      <c r="Y5711" s="365" t="s">
        <v>104</v>
      </c>
      <c r="Z5711" s="94"/>
      <c r="AA5711" s="188"/>
      <c r="AB5711" s="553"/>
      <c r="AC5711" s="553"/>
      <c r="AD5711" s="553"/>
      <c r="AE5711" s="94"/>
    </row>
    <row r="5712" spans="3:31" s="260" customFormat="1" ht="15.75" thickBot="1" x14ac:dyDescent="0.3">
      <c r="C5712" s="369">
        <f>+N5712</f>
        <v>6.07</v>
      </c>
      <c r="D5712" s="86"/>
      <c r="E5712" s="86"/>
      <c r="F5712" s="86"/>
      <c r="G5712" s="86"/>
      <c r="H5712" s="86"/>
      <c r="I5712" s="86"/>
      <c r="J5712" s="86"/>
      <c r="K5712" s="370"/>
      <c r="M5712" s="75" t="s">
        <v>92</v>
      </c>
      <c r="N5712" s="371">
        <f>+ROUNDUP(N5663+0.01,2)</f>
        <v>6.07</v>
      </c>
      <c r="O5712" s="554" t="str">
        <f>IFERROR(VLOOKUP(N5712,PPTO!C:H,2,0),"----")</f>
        <v>Tubería PVC Ø4" perforada para red de drenaje</v>
      </c>
      <c r="P5712" s="555"/>
      <c r="Q5712" s="555"/>
      <c r="R5712" s="555"/>
      <c r="S5712" s="555"/>
      <c r="T5712" s="555"/>
      <c r="U5712" s="556"/>
      <c r="V5712" s="76" t="str">
        <f>IFERROR(VLOOKUP(N5712,PPTO!C:H,3,0),"----")</f>
        <v>ML</v>
      </c>
      <c r="Y5712" s="373">
        <f>SUMIFS(PPTO!F:F,PPTO!C:C,APUS!N5712)</f>
        <v>145</v>
      </c>
      <c r="Z5712" s="94"/>
      <c r="AA5712" s="86"/>
      <c r="AB5712" s="94"/>
      <c r="AC5712" s="94"/>
      <c r="AD5712" s="94"/>
      <c r="AE5712" s="94"/>
    </row>
    <row r="5713" spans="3:31" s="260" customFormat="1" ht="15.75" thickBot="1" x14ac:dyDescent="0.3">
      <c r="C5713" s="84"/>
      <c r="D5713" s="86"/>
      <c r="E5713" s="86"/>
      <c r="F5713" s="86"/>
      <c r="G5713" s="86"/>
      <c r="H5713" s="86"/>
      <c r="I5713" s="86"/>
      <c r="J5713" s="86"/>
      <c r="K5713" s="88"/>
      <c r="M5713" s="557"/>
      <c r="N5713" s="557"/>
      <c r="O5713" s="557"/>
      <c r="P5713" s="557"/>
      <c r="Q5713" s="557"/>
      <c r="R5713" s="557"/>
      <c r="S5713" s="557"/>
      <c r="T5713" s="557"/>
      <c r="U5713" s="557"/>
      <c r="V5713" s="557"/>
      <c r="Y5713" s="374"/>
      <c r="Z5713" s="94"/>
      <c r="AA5713" s="86"/>
      <c r="AB5713" s="94"/>
      <c r="AC5713" s="94"/>
      <c r="AD5713" s="94"/>
      <c r="AE5713" s="94"/>
    </row>
    <row r="5714" spans="3:31" s="260" customFormat="1" ht="15.75" thickBot="1" x14ac:dyDescent="0.3">
      <c r="C5714" s="84"/>
      <c r="D5714" s="375" t="s">
        <v>128</v>
      </c>
      <c r="E5714" s="376" t="s">
        <v>129</v>
      </c>
      <c r="F5714" s="376" t="s">
        <v>130</v>
      </c>
      <c r="G5714" s="376" t="s">
        <v>131</v>
      </c>
      <c r="H5714" s="376" t="s">
        <v>132</v>
      </c>
      <c r="I5714" s="376" t="s">
        <v>133</v>
      </c>
      <c r="J5714" s="377" t="s">
        <v>134</v>
      </c>
      <c r="K5714" s="88"/>
      <c r="M5714" s="558" t="s">
        <v>93</v>
      </c>
      <c r="N5714" s="559"/>
      <c r="O5714" s="559"/>
      <c r="P5714" s="559"/>
      <c r="Q5714" s="559"/>
      <c r="R5714" s="559"/>
      <c r="S5714" s="559"/>
      <c r="T5714" s="559"/>
      <c r="U5714" s="559"/>
      <c r="V5714" s="560"/>
      <c r="Y5714" s="378"/>
      <c r="Z5714" s="121"/>
      <c r="AA5714" s="86"/>
      <c r="AB5714" s="513"/>
      <c r="AC5714" s="514"/>
      <c r="AD5714" s="94"/>
      <c r="AE5714" s="379"/>
    </row>
    <row r="5715" spans="3:31" s="260" customFormat="1" x14ac:dyDescent="0.25">
      <c r="C5715" s="84"/>
      <c r="D5715" s="380"/>
      <c r="E5715" s="381"/>
      <c r="F5715" s="381"/>
      <c r="G5715" s="381"/>
      <c r="H5715" s="381"/>
      <c r="I5715" s="381"/>
      <c r="J5715" s="382"/>
      <c r="K5715" s="88"/>
      <c r="M5715" s="99" t="s">
        <v>94</v>
      </c>
      <c r="N5715" s="561" t="s">
        <v>95</v>
      </c>
      <c r="O5715" s="561"/>
      <c r="P5715" s="561"/>
      <c r="Q5715" s="561"/>
      <c r="R5715" s="95" t="s">
        <v>96</v>
      </c>
      <c r="S5715" s="95" t="s">
        <v>97</v>
      </c>
      <c r="T5715" s="562" t="s">
        <v>8</v>
      </c>
      <c r="U5715" s="562"/>
      <c r="V5715" s="100" t="s">
        <v>98</v>
      </c>
      <c r="Y5715" s="383" t="s">
        <v>104</v>
      </c>
      <c r="Z5715" s="119" t="s">
        <v>9</v>
      </c>
      <c r="AA5715" s="86"/>
      <c r="AB5715" s="384"/>
      <c r="AC5715" s="385"/>
      <c r="AD5715" s="94"/>
      <c r="AE5715" s="386"/>
    </row>
    <row r="5716" spans="3:31" s="260" customFormat="1" x14ac:dyDescent="0.25">
      <c r="C5716" s="84"/>
      <c r="D5716" s="85"/>
      <c r="E5716" s="86"/>
      <c r="F5716" s="86"/>
      <c r="G5716" s="86"/>
      <c r="H5716" s="86"/>
      <c r="I5716" s="86"/>
      <c r="J5716" s="87"/>
      <c r="K5716" s="88"/>
      <c r="M5716" s="102"/>
      <c r="N5716" s="533" t="s">
        <v>99</v>
      </c>
      <c r="O5716" s="533"/>
      <c r="P5716" s="533"/>
      <c r="Q5716" s="533"/>
      <c r="R5716" s="78" t="s">
        <v>100</v>
      </c>
      <c r="S5716" s="387">
        <f>+$AA$10</f>
        <v>0.05</v>
      </c>
      <c r="T5716" s="563">
        <f>V5746</f>
        <v>70870.14</v>
      </c>
      <c r="U5716" s="563"/>
      <c r="V5716" s="389">
        <f>+IFERROR(T5716*S5716,0)</f>
        <v>3543.5070000000001</v>
      </c>
      <c r="Y5716" s="390"/>
      <c r="Z5716" s="391">
        <f>Y5712*V5716</f>
        <v>513808.51500000001</v>
      </c>
      <c r="AA5716" s="86"/>
      <c r="AB5716" s="384"/>
      <c r="AC5716" s="385"/>
      <c r="AD5716" s="94"/>
      <c r="AE5716" s="386" t="str">
        <f>+IF(V5716=0,"CERO","NO")</f>
        <v>NO</v>
      </c>
    </row>
    <row r="5717" spans="3:31" s="260" customFormat="1" x14ac:dyDescent="0.25">
      <c r="C5717" s="84"/>
      <c r="D5717" s="85"/>
      <c r="E5717" s="86"/>
      <c r="F5717" s="86"/>
      <c r="G5717" s="86"/>
      <c r="H5717" s="86"/>
      <c r="I5717" s="86"/>
      <c r="J5717" s="87"/>
      <c r="K5717" s="88"/>
      <c r="M5717" s="106"/>
      <c r="N5717" s="533" t="str">
        <f>IFERROR(VLOOKUP(M5717,INSUMOS!$C$8:$K$928,2,0),"-----")</f>
        <v>-----</v>
      </c>
      <c r="O5717" s="533"/>
      <c r="P5717" s="533"/>
      <c r="Q5717" s="533"/>
      <c r="R5717" s="78" t="str">
        <f>IFERROR(VLOOKUP(M5717,INSUMOS!$C$8:$K$928,6,0),"-----")</f>
        <v>-----</v>
      </c>
      <c r="S5717" s="392"/>
      <c r="T5717" s="529" t="str">
        <f>IFERROR(VLOOKUP(M5717,INSUMOS!$C$8:$K$928,7,0),"0")</f>
        <v>0</v>
      </c>
      <c r="U5717" s="529"/>
      <c r="V5717" s="389">
        <f>+IFERROR(T5717*S5717,0)</f>
        <v>0</v>
      </c>
      <c r="Y5717" s="393">
        <f>+IFERROR(Y5712*S5717,0)</f>
        <v>0</v>
      </c>
      <c r="Z5717" s="391">
        <f>Y5712*V5717</f>
        <v>0</v>
      </c>
      <c r="AA5717" s="394"/>
      <c r="AB5717" s="395">
        <f>+Y5717*T5717</f>
        <v>0</v>
      </c>
      <c r="AC5717" s="93">
        <f>+AB5717-Z5717</f>
        <v>0</v>
      </c>
      <c r="AD5717" s="94"/>
      <c r="AE5717" s="386" t="str">
        <f>+IF(V5717=0,"CERO","NO")</f>
        <v>CERO</v>
      </c>
    </row>
    <row r="5718" spans="3:31" s="260" customFormat="1" x14ac:dyDescent="0.25">
      <c r="C5718" s="84"/>
      <c r="D5718" s="85"/>
      <c r="E5718" s="86"/>
      <c r="F5718" s="86"/>
      <c r="G5718" s="86"/>
      <c r="H5718" s="86"/>
      <c r="I5718" s="86"/>
      <c r="J5718" s="87"/>
      <c r="K5718" s="88"/>
      <c r="M5718" s="102">
        <v>0</v>
      </c>
      <c r="N5718" s="533"/>
      <c r="O5718" s="533"/>
      <c r="P5718" s="533"/>
      <c r="Q5718" s="533"/>
      <c r="R5718" s="78"/>
      <c r="S5718" s="396"/>
      <c r="T5718" s="529"/>
      <c r="U5718" s="529"/>
      <c r="V5718" s="397"/>
      <c r="Y5718" s="393">
        <f>+IFERROR(Y5712*S5718,0)</f>
        <v>0</v>
      </c>
      <c r="Z5718" s="391">
        <f>Y5712*V5718</f>
        <v>0</v>
      </c>
      <c r="AA5718" s="394"/>
      <c r="AB5718" s="395">
        <f>+Y5718*T5718</f>
        <v>0</v>
      </c>
      <c r="AC5718" s="93">
        <f>+AB5718-Z5718</f>
        <v>0</v>
      </c>
      <c r="AD5718" s="94"/>
      <c r="AE5718" s="386" t="str">
        <f>+IF(V5718=0,"CERO","NO")</f>
        <v>CERO</v>
      </c>
    </row>
    <row r="5719" spans="3:31" s="260" customFormat="1" x14ac:dyDescent="0.25">
      <c r="C5719" s="84"/>
      <c r="D5719" s="85"/>
      <c r="E5719" s="86"/>
      <c r="F5719" s="86"/>
      <c r="G5719" s="86"/>
      <c r="H5719" s="86"/>
      <c r="I5719" s="86"/>
      <c r="J5719" s="87"/>
      <c r="K5719" s="88"/>
      <c r="M5719" s="102">
        <v>0</v>
      </c>
      <c r="N5719" s="533"/>
      <c r="O5719" s="533"/>
      <c r="P5719" s="533"/>
      <c r="Q5719" s="533"/>
      <c r="R5719" s="78"/>
      <c r="S5719" s="396"/>
      <c r="T5719" s="529"/>
      <c r="U5719" s="529"/>
      <c r="V5719" s="397"/>
      <c r="Y5719" s="393">
        <f>+IFERROR(Y5712*S5719,0)</f>
        <v>0</v>
      </c>
      <c r="Z5719" s="391">
        <f>Y5712*V5719</f>
        <v>0</v>
      </c>
      <c r="AA5719" s="394"/>
      <c r="AB5719" s="395">
        <f>+Y5719*T5719</f>
        <v>0</v>
      </c>
      <c r="AC5719" s="93">
        <f>+AB5719-Z5719</f>
        <v>0</v>
      </c>
      <c r="AD5719" s="94"/>
      <c r="AE5719" s="386" t="str">
        <f>+IF(V5719=0,"CERO","NO")</f>
        <v>CERO</v>
      </c>
    </row>
    <row r="5720" spans="3:31" s="260" customFormat="1" ht="15.75" thickBot="1" x14ac:dyDescent="0.3">
      <c r="C5720" s="84"/>
      <c r="D5720" s="85"/>
      <c r="E5720" s="86"/>
      <c r="F5720" s="86"/>
      <c r="G5720" s="86"/>
      <c r="H5720" s="86"/>
      <c r="I5720" s="86"/>
      <c r="J5720" s="87"/>
      <c r="K5720" s="88"/>
      <c r="M5720" s="102">
        <v>0</v>
      </c>
      <c r="N5720" s="564"/>
      <c r="O5720" s="564"/>
      <c r="P5720" s="564"/>
      <c r="Q5720" s="564"/>
      <c r="R5720" s="96"/>
      <c r="S5720" s="96"/>
      <c r="T5720" s="565"/>
      <c r="U5720" s="565"/>
      <c r="V5720" s="101"/>
      <c r="Y5720" s="393">
        <f>+IFERROR(Y5712*S5720,0)</f>
        <v>0</v>
      </c>
      <c r="Z5720" s="391">
        <f>Y5712*V5720</f>
        <v>0</v>
      </c>
      <c r="AA5720" s="394"/>
      <c r="AB5720" s="395">
        <f>+Y5720*T5720</f>
        <v>0</v>
      </c>
      <c r="AC5720" s="93">
        <f>+AB5720-Z5720</f>
        <v>0</v>
      </c>
      <c r="AD5720" s="94"/>
      <c r="AE5720" s="386" t="str">
        <f>+IF(V5720=0,"CERO","NO")</f>
        <v>CERO</v>
      </c>
    </row>
    <row r="5721" spans="3:31" s="260" customFormat="1" ht="15.75" thickBot="1" x14ac:dyDescent="0.3">
      <c r="C5721" s="84"/>
      <c r="D5721" s="375" t="s">
        <v>128</v>
      </c>
      <c r="E5721" s="376" t="s">
        <v>129</v>
      </c>
      <c r="F5721" s="376" t="s">
        <v>130</v>
      </c>
      <c r="G5721" s="376" t="s">
        <v>131</v>
      </c>
      <c r="H5721" s="376" t="s">
        <v>132</v>
      </c>
      <c r="I5721" s="376" t="s">
        <v>133</v>
      </c>
      <c r="J5721" s="377" t="s">
        <v>134</v>
      </c>
      <c r="K5721" s="88"/>
      <c r="M5721" s="534"/>
      <c r="N5721" s="536" t="s">
        <v>101</v>
      </c>
      <c r="O5721" s="536"/>
      <c r="P5721" s="536"/>
      <c r="Q5721" s="536"/>
      <c r="R5721" s="536"/>
      <c r="S5721" s="536"/>
      <c r="T5721" s="536"/>
      <c r="U5721" s="536"/>
      <c r="V5721" s="389">
        <f>+SUM(V5716:V5720)</f>
        <v>3543.5070000000001</v>
      </c>
      <c r="Y5721" s="398" t="s">
        <v>135</v>
      </c>
      <c r="Z5721" s="397">
        <f>+SUM(Z5716:Z5720)</f>
        <v>513808.51500000001</v>
      </c>
      <c r="AA5721" s="86"/>
      <c r="AB5721" s="384"/>
      <c r="AC5721" s="385"/>
      <c r="AD5721" s="94"/>
      <c r="AE5721" s="399"/>
    </row>
    <row r="5722" spans="3:31" s="260" customFormat="1" ht="15.75" thickBot="1" x14ac:dyDescent="0.3">
      <c r="C5722" s="84"/>
      <c r="D5722" s="375">
        <f>C5712</f>
        <v>6.07</v>
      </c>
      <c r="E5722" s="376"/>
      <c r="F5722" s="376"/>
      <c r="G5722" s="376"/>
      <c r="H5722" s="376"/>
      <c r="I5722" s="376"/>
      <c r="J5722" s="377"/>
      <c r="K5722" s="88"/>
      <c r="M5722" s="566"/>
      <c r="N5722" s="567" t="s">
        <v>102</v>
      </c>
      <c r="O5722" s="567"/>
      <c r="P5722" s="567"/>
      <c r="Q5722" s="567"/>
      <c r="R5722" s="567"/>
      <c r="S5722" s="567"/>
      <c r="T5722" s="567"/>
      <c r="U5722" s="567"/>
      <c r="V5722" s="400">
        <f>+ROUND(V5721,$AA$5)</f>
        <v>3543.51</v>
      </c>
      <c r="Y5722" s="401" t="s">
        <v>136</v>
      </c>
      <c r="Z5722" s="402">
        <f>+ROUND(Z5721,$AA$5)</f>
        <v>513808.52</v>
      </c>
      <c r="AA5722" s="86"/>
      <c r="AB5722" s="403">
        <f>+V5722*Y5712</f>
        <v>513808.95</v>
      </c>
      <c r="AC5722" s="404">
        <f>+AB5722-Z5722</f>
        <v>0.42999999999301508</v>
      </c>
      <c r="AD5722" s="94"/>
      <c r="AE5722" s="405"/>
    </row>
    <row r="5723" spans="3:31" s="260" customFormat="1" x14ac:dyDescent="0.25">
      <c r="C5723" s="84"/>
      <c r="D5723" s="380"/>
      <c r="E5723" s="381"/>
      <c r="F5723" s="381"/>
      <c r="G5723" s="381"/>
      <c r="H5723" s="381"/>
      <c r="I5723" s="381"/>
      <c r="J5723" s="382"/>
      <c r="K5723" s="88"/>
      <c r="M5723" s="510" t="s">
        <v>103</v>
      </c>
      <c r="N5723" s="511"/>
      <c r="O5723" s="511"/>
      <c r="P5723" s="511"/>
      <c r="Q5723" s="511"/>
      <c r="R5723" s="511"/>
      <c r="S5723" s="511"/>
      <c r="T5723" s="511"/>
      <c r="U5723" s="511"/>
      <c r="V5723" s="512"/>
      <c r="Y5723" s="378"/>
      <c r="Z5723" s="121"/>
      <c r="AA5723" s="86"/>
      <c r="AB5723" s="513"/>
      <c r="AC5723" s="514"/>
      <c r="AD5723" s="94"/>
      <c r="AE5723" s="126"/>
    </row>
    <row r="5724" spans="3:31" s="260" customFormat="1" x14ac:dyDescent="0.25">
      <c r="C5724" s="84"/>
      <c r="D5724" s="85"/>
      <c r="E5724" s="86"/>
      <c r="F5724" s="86"/>
      <c r="G5724" s="86"/>
      <c r="H5724" s="86"/>
      <c r="I5724" s="86"/>
      <c r="J5724" s="87"/>
      <c r="K5724" s="88"/>
      <c r="M5724" s="99" t="s">
        <v>94</v>
      </c>
      <c r="N5724" s="561" t="s">
        <v>95</v>
      </c>
      <c r="O5724" s="561"/>
      <c r="P5724" s="561"/>
      <c r="Q5724" s="561"/>
      <c r="R5724" s="95" t="s">
        <v>96</v>
      </c>
      <c r="S5724" s="95" t="s">
        <v>104</v>
      </c>
      <c r="T5724" s="356" t="s">
        <v>105</v>
      </c>
      <c r="U5724" s="356" t="s">
        <v>8</v>
      </c>
      <c r="V5724" s="100" t="s">
        <v>98</v>
      </c>
      <c r="Y5724" s="383" t="s">
        <v>104</v>
      </c>
      <c r="Z5724" s="119" t="s">
        <v>9</v>
      </c>
      <c r="AA5724" s="86"/>
      <c r="AB5724" s="384"/>
      <c r="AC5724" s="385"/>
      <c r="AD5724" s="94"/>
      <c r="AE5724" s="406"/>
    </row>
    <row r="5725" spans="3:31" s="260" customFormat="1" x14ac:dyDescent="0.25">
      <c r="C5725" s="84"/>
      <c r="D5725" s="85"/>
      <c r="E5725" s="86"/>
      <c r="F5725" s="86"/>
      <c r="G5725" s="86"/>
      <c r="H5725" s="86"/>
      <c r="I5725" s="86"/>
      <c r="J5725" s="87"/>
      <c r="K5725" s="88"/>
      <c r="M5725" s="102">
        <v>626</v>
      </c>
      <c r="N5725" s="533" t="str">
        <f>IFERROR(VLOOKUP(M5725,INSUMOS!$C$8:$K$928,2,0),"-----")</f>
        <v>TUBERIA PERFORADA 4"</v>
      </c>
      <c r="O5725" s="533"/>
      <c r="P5725" s="533"/>
      <c r="Q5725" s="533"/>
      <c r="R5725" s="78" t="str">
        <f>IFERROR(VLOOKUP(M5725,INSUMOS!$C$8:$K$928,6,0),"-----")</f>
        <v>ml</v>
      </c>
      <c r="S5725" s="396">
        <v>1</v>
      </c>
      <c r="T5725" s="387">
        <v>0</v>
      </c>
      <c r="U5725" s="388">
        <f>IFERROR(VLOOKUP(M5725,INSUMOS!$C$8:$K$928,7,0),"0")</f>
        <v>23692</v>
      </c>
      <c r="V5725" s="389">
        <f>+IFERROR(U5725*(S5725*(1+T5725)),0)</f>
        <v>23692</v>
      </c>
      <c r="Y5725" s="393">
        <f>+IFERROR(Y5712*(S5725*(1+T5725)),0)</f>
        <v>145</v>
      </c>
      <c r="Z5725" s="391">
        <f>Y5712*V5725</f>
        <v>3435340</v>
      </c>
      <c r="AA5725" s="394"/>
      <c r="AB5725" s="395">
        <f>+Y5725*U5725</f>
        <v>3435340</v>
      </c>
      <c r="AC5725" s="93">
        <f>+AB5725-Z5725</f>
        <v>0</v>
      </c>
      <c r="AD5725" s="94"/>
      <c r="AE5725" s="406" t="str">
        <f>+IF(V5725=0,"CERO","NO")</f>
        <v>NO</v>
      </c>
    </row>
    <row r="5726" spans="3:31" s="260" customFormat="1" x14ac:dyDescent="0.25">
      <c r="C5726" s="84"/>
      <c r="D5726" s="85"/>
      <c r="E5726" s="86"/>
      <c r="F5726" s="86"/>
      <c r="G5726" s="86"/>
      <c r="H5726" s="86"/>
      <c r="I5726" s="86"/>
      <c r="J5726" s="87"/>
      <c r="K5726" s="88"/>
      <c r="M5726" s="102">
        <v>411</v>
      </c>
      <c r="N5726" s="533" t="str">
        <f>IFERROR(VLOOKUP(M5726,INSUMOS!$C$8:$K$928,2,0),"-----")</f>
        <v>TRITURADO DE 3/4"</v>
      </c>
      <c r="O5726" s="533"/>
      <c r="P5726" s="533"/>
      <c r="Q5726" s="533"/>
      <c r="R5726" s="78" t="str">
        <f>IFERROR(VLOOKUP(M5726,INSUMOS!$C$8:$K$928,6,0),"-----")</f>
        <v>m3</v>
      </c>
      <c r="S5726" s="396">
        <v>0.35</v>
      </c>
      <c r="T5726" s="387">
        <v>0</v>
      </c>
      <c r="U5726" s="388">
        <f>IFERROR(VLOOKUP(M5726,INSUMOS!$C$8:$K$928,7,0),"0")</f>
        <v>39600</v>
      </c>
      <c r="V5726" s="389">
        <f>+IFERROR(U5726*(S5726*(1+T5726)),0)</f>
        <v>13860</v>
      </c>
      <c r="Y5726" s="393">
        <f>+IFERROR(Y5712*(S5726*(1+T5726)),0)</f>
        <v>50.75</v>
      </c>
      <c r="Z5726" s="391">
        <f>Y5712*V5726</f>
        <v>2009700</v>
      </c>
      <c r="AA5726" s="394"/>
      <c r="AB5726" s="395">
        <f>+Y5726*U5726</f>
        <v>2009700</v>
      </c>
      <c r="AC5726" s="93">
        <f>+AB5726-Z5726</f>
        <v>0</v>
      </c>
      <c r="AD5726" s="94"/>
      <c r="AE5726" s="406" t="str">
        <f>+IF(V5726=0,"CERO","NO")</f>
        <v>NO</v>
      </c>
    </row>
    <row r="5727" spans="3:31" s="260" customFormat="1" x14ac:dyDescent="0.25">
      <c r="C5727" s="84"/>
      <c r="D5727" s="85"/>
      <c r="E5727" s="86"/>
      <c r="F5727" s="86"/>
      <c r="G5727" s="86"/>
      <c r="H5727" s="86"/>
      <c r="I5727" s="86"/>
      <c r="J5727" s="87"/>
      <c r="K5727" s="88"/>
      <c r="M5727" s="102">
        <v>605</v>
      </c>
      <c r="N5727" s="533" t="str">
        <f>IFERROR(VLOOKUP(M5727,INSUMOS!$C$8:$K$928,2,0),"-----")</f>
        <v>Geodren Planar</v>
      </c>
      <c r="O5727" s="533"/>
      <c r="P5727" s="533"/>
      <c r="Q5727" s="533"/>
      <c r="R5727" s="78" t="str">
        <f>IFERROR(VLOOKUP(M5727,INSUMOS!$C$8:$K$928,6,0),"-----")</f>
        <v>m2</v>
      </c>
      <c r="S5727" s="396">
        <v>2.2999999999999998</v>
      </c>
      <c r="T5727" s="387">
        <v>0</v>
      </c>
      <c r="U5727" s="388">
        <f>IFERROR(VLOOKUP(M5727,INSUMOS!$C$8:$K$928,7,0),"0")</f>
        <v>4246.7532467532465</v>
      </c>
      <c r="V5727" s="389">
        <f>+IFERROR(U5727*(S5727*(1+T5727)),0)</f>
        <v>9767.5324675324664</v>
      </c>
      <c r="Y5727" s="393">
        <f>+IFERROR(Y5712*(S5727*(1+T5727)),0)</f>
        <v>333.5</v>
      </c>
      <c r="Z5727" s="391">
        <f>Y5712*V5727</f>
        <v>1416292.2077922076</v>
      </c>
      <c r="AA5727" s="394"/>
      <c r="AB5727" s="395">
        <f>+Y5727*U5727</f>
        <v>1416292.2077922076</v>
      </c>
      <c r="AC5727" s="93">
        <f>+AB5727-Z5727</f>
        <v>0</v>
      </c>
      <c r="AD5727" s="94"/>
      <c r="AE5727" s="406" t="str">
        <f>+IF(V5727=0,"CERO","NO")</f>
        <v>NO</v>
      </c>
    </row>
    <row r="5728" spans="3:31" s="260" customFormat="1" x14ac:dyDescent="0.25">
      <c r="C5728" s="84"/>
      <c r="D5728" s="85"/>
      <c r="E5728" s="86"/>
      <c r="F5728" s="86"/>
      <c r="G5728" s="86"/>
      <c r="H5728" s="86"/>
      <c r="I5728" s="86"/>
      <c r="J5728" s="87"/>
      <c r="K5728" s="88"/>
      <c r="M5728" s="102"/>
      <c r="N5728" s="533" t="str">
        <f>IFERROR(VLOOKUP(M5728,INSUMOS!$C$8:$K$928,2,0),"-----")</f>
        <v>-----</v>
      </c>
      <c r="O5728" s="533"/>
      <c r="P5728" s="533"/>
      <c r="Q5728" s="533"/>
      <c r="R5728" s="78" t="str">
        <f>IFERROR(VLOOKUP(M5728,INSUMOS!$C$8:$K$928,6,0),"-----")</f>
        <v>-----</v>
      </c>
      <c r="S5728" s="396"/>
      <c r="T5728" s="387"/>
      <c r="U5728" s="388" t="str">
        <f>IFERROR(VLOOKUP(M5728,INSUMOS!$C$8:$K$928,7,0),"0")</f>
        <v>0</v>
      </c>
      <c r="V5728" s="389">
        <f>+IFERROR(U5728*(S5728*(1+T5728)),0)</f>
        <v>0</v>
      </c>
      <c r="Y5728" s="393">
        <f>+IFERROR(Y5712*(S5728*(1+T5728)),0)</f>
        <v>0</v>
      </c>
      <c r="Z5728" s="391">
        <f>Y5712*V5728</f>
        <v>0</v>
      </c>
      <c r="AA5728" s="394"/>
      <c r="AB5728" s="395">
        <f>+Y5728*U5728</f>
        <v>0</v>
      </c>
      <c r="AC5728" s="93">
        <f>+AB5728-Z5728</f>
        <v>0</v>
      </c>
      <c r="AD5728" s="94"/>
      <c r="AE5728" s="406" t="str">
        <f>+IF(V5728=0,"CERO","NO")</f>
        <v>CERO</v>
      </c>
    </row>
    <row r="5729" spans="3:31" s="260" customFormat="1" ht="15.75" thickBot="1" x14ac:dyDescent="0.3">
      <c r="C5729" s="84"/>
      <c r="D5729" s="85"/>
      <c r="E5729" s="86"/>
      <c r="F5729" s="86"/>
      <c r="G5729" s="86"/>
      <c r="H5729" s="86"/>
      <c r="I5729" s="86"/>
      <c r="J5729" s="87"/>
      <c r="K5729" s="88"/>
      <c r="M5729" s="102">
        <v>0</v>
      </c>
      <c r="N5729" s="564"/>
      <c r="O5729" s="564"/>
      <c r="P5729" s="564"/>
      <c r="Q5729" s="564"/>
      <c r="R5729" s="96"/>
      <c r="S5729" s="79"/>
      <c r="T5729" s="97"/>
      <c r="U5729" s="358"/>
      <c r="V5729" s="397"/>
      <c r="Y5729" s="393">
        <f>+IFERROR(Y5712*(S5729*(1+T5729)),0)</f>
        <v>0</v>
      </c>
      <c r="Z5729" s="391">
        <f>Y5712*V5729</f>
        <v>0</v>
      </c>
      <c r="AA5729" s="394"/>
      <c r="AB5729" s="395">
        <f>+Y5729*U5729</f>
        <v>0</v>
      </c>
      <c r="AC5729" s="93">
        <f>+AB5729-Z5729</f>
        <v>0</v>
      </c>
      <c r="AD5729" s="94"/>
      <c r="AE5729" s="406" t="str">
        <f>+IF(V5729=0,"CERO","NO")</f>
        <v>CERO</v>
      </c>
    </row>
    <row r="5730" spans="3:31" s="260" customFormat="1" ht="15.75" thickBot="1" x14ac:dyDescent="0.3">
      <c r="C5730" s="84"/>
      <c r="D5730" s="375" t="s">
        <v>128</v>
      </c>
      <c r="E5730" s="376" t="s">
        <v>129</v>
      </c>
      <c r="F5730" s="376" t="s">
        <v>130</v>
      </c>
      <c r="G5730" s="376" t="s">
        <v>131</v>
      </c>
      <c r="H5730" s="376" t="s">
        <v>132</v>
      </c>
      <c r="I5730" s="376" t="s">
        <v>133</v>
      </c>
      <c r="J5730" s="377" t="s">
        <v>134</v>
      </c>
      <c r="K5730" s="88"/>
      <c r="M5730" s="534"/>
      <c r="N5730" s="536" t="s">
        <v>106</v>
      </c>
      <c r="O5730" s="536"/>
      <c r="P5730" s="536"/>
      <c r="Q5730" s="536"/>
      <c r="R5730" s="536"/>
      <c r="S5730" s="536"/>
      <c r="T5730" s="536"/>
      <c r="U5730" s="536"/>
      <c r="V5730" s="389">
        <f>+SUM(V5725:V5729)</f>
        <v>47319.532467532466</v>
      </c>
      <c r="Y5730" s="398" t="s">
        <v>135</v>
      </c>
      <c r="Z5730" s="397">
        <f>+SUM(Z5725:Z5729)</f>
        <v>6861332.2077922076</v>
      </c>
      <c r="AA5730" s="86"/>
      <c r="AB5730" s="384"/>
      <c r="AC5730" s="385"/>
      <c r="AD5730" s="94"/>
      <c r="AE5730" s="399"/>
    </row>
    <row r="5731" spans="3:31" s="260" customFormat="1" ht="15.75" thickBot="1" x14ac:dyDescent="0.3">
      <c r="C5731" s="84"/>
      <c r="D5731" s="375"/>
      <c r="E5731" s="407">
        <f>+D5722</f>
        <v>6.07</v>
      </c>
      <c r="F5731" s="376"/>
      <c r="G5731" s="376"/>
      <c r="H5731" s="376"/>
      <c r="I5731" s="376"/>
      <c r="J5731" s="377"/>
      <c r="K5731" s="88"/>
      <c r="M5731" s="535"/>
      <c r="N5731" s="537" t="s">
        <v>107</v>
      </c>
      <c r="O5731" s="537"/>
      <c r="P5731" s="537"/>
      <c r="Q5731" s="537"/>
      <c r="R5731" s="537"/>
      <c r="S5731" s="537"/>
      <c r="T5731" s="537"/>
      <c r="U5731" s="537"/>
      <c r="V5731" s="408">
        <f>+ROUND(V5730,$AA$5)</f>
        <v>47319.53</v>
      </c>
      <c r="Y5731" s="401" t="s">
        <v>136</v>
      </c>
      <c r="Z5731" s="402">
        <f>+ROUND(Z5730,$AA$5)</f>
        <v>6861332.21</v>
      </c>
      <c r="AA5731" s="86"/>
      <c r="AB5731" s="403">
        <f>+V5731*Y5712</f>
        <v>6861331.8499999996</v>
      </c>
      <c r="AC5731" s="404">
        <f>+AB5731-Z5731</f>
        <v>-0.36000000033527613</v>
      </c>
      <c r="AD5731" s="94"/>
      <c r="AE5731" s="405"/>
    </row>
    <row r="5732" spans="3:31" s="260" customFormat="1" x14ac:dyDescent="0.25">
      <c r="C5732" s="84"/>
      <c r="D5732" s="380"/>
      <c r="E5732" s="381"/>
      <c r="F5732" s="381"/>
      <c r="G5732" s="381"/>
      <c r="H5732" s="381"/>
      <c r="I5732" s="381"/>
      <c r="J5732" s="382"/>
      <c r="K5732" s="88"/>
      <c r="M5732" s="568" t="s">
        <v>108</v>
      </c>
      <c r="N5732" s="569"/>
      <c r="O5732" s="569"/>
      <c r="P5732" s="569"/>
      <c r="Q5732" s="569"/>
      <c r="R5732" s="569"/>
      <c r="S5732" s="569"/>
      <c r="T5732" s="569"/>
      <c r="U5732" s="569"/>
      <c r="V5732" s="570"/>
      <c r="Y5732" s="378"/>
      <c r="Z5732" s="121"/>
      <c r="AA5732" s="86"/>
      <c r="AB5732" s="409"/>
      <c r="AC5732" s="121"/>
      <c r="AD5732" s="94"/>
      <c r="AE5732" s="126"/>
    </row>
    <row r="5733" spans="3:31" s="260" customFormat="1" ht="25.5" x14ac:dyDescent="0.25">
      <c r="C5733" s="84"/>
      <c r="D5733" s="85"/>
      <c r="E5733" s="86"/>
      <c r="F5733" s="86"/>
      <c r="G5733" s="86"/>
      <c r="H5733" s="86"/>
      <c r="I5733" s="86"/>
      <c r="J5733" s="87"/>
      <c r="K5733" s="88"/>
      <c r="M5733" s="99" t="s">
        <v>94</v>
      </c>
      <c r="N5733" s="561" t="s">
        <v>95</v>
      </c>
      <c r="O5733" s="561"/>
      <c r="P5733" s="561"/>
      <c r="Q5733" s="95" t="s">
        <v>109</v>
      </c>
      <c r="R5733" s="95" t="s">
        <v>110</v>
      </c>
      <c r="S5733" s="95" t="s">
        <v>111</v>
      </c>
      <c r="T5733" s="562" t="s">
        <v>112</v>
      </c>
      <c r="U5733" s="562"/>
      <c r="V5733" s="100" t="s">
        <v>98</v>
      </c>
      <c r="Y5733" s="383" t="s">
        <v>104</v>
      </c>
      <c r="Z5733" s="119" t="s">
        <v>9</v>
      </c>
      <c r="AA5733" s="86"/>
      <c r="AB5733" s="384"/>
      <c r="AC5733" s="385"/>
      <c r="AD5733" s="94"/>
      <c r="AE5733" s="410"/>
    </row>
    <row r="5734" spans="3:31" s="260" customFormat="1" x14ac:dyDescent="0.25">
      <c r="C5734" s="84"/>
      <c r="D5734" s="85"/>
      <c r="E5734" s="86"/>
      <c r="F5734" s="86"/>
      <c r="G5734" s="86"/>
      <c r="H5734" s="86"/>
      <c r="I5734" s="86"/>
      <c r="J5734" s="87"/>
      <c r="K5734" s="88"/>
      <c r="M5734" s="102"/>
      <c r="N5734" s="530" t="str">
        <f>IFERROR(VLOOKUP(M5734,INSUMOS!$C$8:$K$928,2,0),"-----")</f>
        <v>-----</v>
      </c>
      <c r="O5734" s="531"/>
      <c r="P5734" s="532"/>
      <c r="Q5734" s="78" t="str">
        <f>IFERROR(VLOOKUP(M5734,INSUMOS!$C$8:$K$928,5,0),"-----")</f>
        <v>-----</v>
      </c>
      <c r="R5734" s="80"/>
      <c r="S5734" s="80" t="str">
        <f>IFERROR(VLOOKUP(M5734,INSUMOS!$C$8:$K$928,6,0),"0")</f>
        <v>0</v>
      </c>
      <c r="T5734" s="529" t="str">
        <f>IFERROR(VLOOKUP(M5734,INSUMOS!$C$8:$K$928,7,0),"0")</f>
        <v>0</v>
      </c>
      <c r="U5734" s="529"/>
      <c r="V5734" s="82">
        <f>+T5734*S5734*R5734</f>
        <v>0</v>
      </c>
      <c r="Y5734" s="393">
        <f>+IFERROR((R5734*S5734)*Y5712,0)</f>
        <v>0</v>
      </c>
      <c r="Z5734" s="391">
        <f>Y5712*V5734</f>
        <v>0</v>
      </c>
      <c r="AA5734" s="86"/>
      <c r="AB5734" s="92">
        <f>+Y5734*T5734</f>
        <v>0</v>
      </c>
      <c r="AC5734" s="93">
        <f>+AB5734-Z5734</f>
        <v>0</v>
      </c>
      <c r="AD5734" s="94"/>
      <c r="AE5734" s="406" t="str">
        <f>+IF(V5734=0,"CERO","NO")</f>
        <v>CERO</v>
      </c>
    </row>
    <row r="5735" spans="3:31" s="260" customFormat="1" x14ac:dyDescent="0.25">
      <c r="C5735" s="84"/>
      <c r="D5735" s="85"/>
      <c r="E5735" s="86"/>
      <c r="F5735" s="86"/>
      <c r="G5735" s="86"/>
      <c r="H5735" s="86"/>
      <c r="I5735" s="86"/>
      <c r="J5735" s="87"/>
      <c r="K5735" s="88"/>
      <c r="M5735" s="102">
        <v>0</v>
      </c>
      <c r="N5735" s="530" t="str">
        <f>IFERROR(VLOOKUP(M5735,INSUMOS!$C$8:$K$928,2,0),"-----")</f>
        <v>-----</v>
      </c>
      <c r="O5735" s="531"/>
      <c r="P5735" s="532"/>
      <c r="Q5735" s="78" t="str">
        <f>IFERROR(VLOOKUP(M5735,INSUMOS!$C$8:$K$928,5,0),"-----")</f>
        <v>-----</v>
      </c>
      <c r="R5735" s="80"/>
      <c r="S5735" s="80" t="str">
        <f>IFERROR(VLOOKUP(M5735,INSUMOS!$C$8:$K$928,6,0),"0")</f>
        <v>0</v>
      </c>
      <c r="T5735" s="529" t="str">
        <f>IFERROR(VLOOKUP(M5735,INSUMOS!$C$8:$K$928,7,0),"0")</f>
        <v>0</v>
      </c>
      <c r="U5735" s="529"/>
      <c r="V5735" s="82">
        <f>+T5735*S5735*R5735</f>
        <v>0</v>
      </c>
      <c r="Y5735" s="393">
        <f>+IFERROR((R5735*S5735)*Y5712,0)</f>
        <v>0</v>
      </c>
      <c r="Z5735" s="391">
        <f>Y5712*V5735</f>
        <v>0</v>
      </c>
      <c r="AA5735" s="86"/>
      <c r="AB5735" s="92">
        <f>+Y5735*T5735</f>
        <v>0</v>
      </c>
      <c r="AC5735" s="93">
        <f>+AB5735-Z5735</f>
        <v>0</v>
      </c>
      <c r="AD5735" s="94"/>
      <c r="AE5735" s="406" t="str">
        <f>+IF(V5735=0,"CERO","NO")</f>
        <v>CERO</v>
      </c>
    </row>
    <row r="5736" spans="3:31" s="260" customFormat="1" x14ac:dyDescent="0.25">
      <c r="C5736" s="84"/>
      <c r="D5736" s="85"/>
      <c r="E5736" s="86"/>
      <c r="F5736" s="86"/>
      <c r="G5736" s="86"/>
      <c r="H5736" s="86"/>
      <c r="I5736" s="86"/>
      <c r="J5736" s="87"/>
      <c r="K5736" s="88"/>
      <c r="M5736" s="102">
        <v>0</v>
      </c>
      <c r="N5736" s="530" t="str">
        <f>IFERROR(VLOOKUP(M5736,INSUMOS!$C$8:$K$928,2,0),"-----")</f>
        <v>-----</v>
      </c>
      <c r="O5736" s="531"/>
      <c r="P5736" s="532"/>
      <c r="Q5736" s="78" t="str">
        <f>IFERROR(VLOOKUP(M5736,INSUMOS!$C$8:$K$928,5,0),"-----")</f>
        <v>-----</v>
      </c>
      <c r="R5736" s="80"/>
      <c r="S5736" s="80" t="str">
        <f>IFERROR(VLOOKUP(M5736,INSUMOS!$C$8:$K$928,6,0),"0")</f>
        <v>0</v>
      </c>
      <c r="T5736" s="529" t="str">
        <f>IFERROR(VLOOKUP(M5736,INSUMOS!$C$8:$K$928,7,0),"0")</f>
        <v>0</v>
      </c>
      <c r="U5736" s="529"/>
      <c r="V5736" s="82">
        <f>+T5736*S5736*R5736</f>
        <v>0</v>
      </c>
      <c r="Y5736" s="393">
        <f>+IFERROR((R5736*S5736)*Y5712,0)</f>
        <v>0</v>
      </c>
      <c r="Z5736" s="391">
        <f>Y5712*V5736</f>
        <v>0</v>
      </c>
      <c r="AA5736" s="86"/>
      <c r="AB5736" s="92">
        <f>+Y5736*T5736</f>
        <v>0</v>
      </c>
      <c r="AC5736" s="93">
        <f>+AB5736-Z5736</f>
        <v>0</v>
      </c>
      <c r="AD5736" s="94"/>
      <c r="AE5736" s="406" t="str">
        <f>+IF(V5736=0,"CERO","NO")</f>
        <v>CERO</v>
      </c>
    </row>
    <row r="5737" spans="3:31" s="260" customFormat="1" ht="15.75" thickBot="1" x14ac:dyDescent="0.3">
      <c r="C5737" s="84"/>
      <c r="D5737" s="89"/>
      <c r="E5737" s="90"/>
      <c r="F5737" s="90"/>
      <c r="G5737" s="90"/>
      <c r="H5737" s="90"/>
      <c r="I5737" s="90"/>
      <c r="J5737" s="91"/>
      <c r="K5737" s="88"/>
      <c r="M5737" s="102">
        <v>0</v>
      </c>
      <c r="N5737" s="533"/>
      <c r="O5737" s="533"/>
      <c r="P5737" s="533"/>
      <c r="Q5737" s="79"/>
      <c r="R5737" s="78"/>
      <c r="S5737" s="81"/>
      <c r="T5737" s="529"/>
      <c r="U5737" s="529"/>
      <c r="V5737" s="82"/>
      <c r="Y5737" s="393">
        <f>+IFERROR((R5737*S5737)*Y5712,0)</f>
        <v>0</v>
      </c>
      <c r="Z5737" s="391">
        <f>Y5712*V5737</f>
        <v>0</v>
      </c>
      <c r="AA5737" s="86"/>
      <c r="AB5737" s="92">
        <f>+Y5737*T5737</f>
        <v>0</v>
      </c>
      <c r="AC5737" s="93">
        <f>+AB5737-Z5737</f>
        <v>0</v>
      </c>
      <c r="AD5737" s="94"/>
      <c r="AE5737" s="406" t="str">
        <f>+IF(V5737=0,"CERO","NO")</f>
        <v>CERO</v>
      </c>
    </row>
    <row r="5738" spans="3:31" s="260" customFormat="1" ht="15.75" thickBot="1" x14ac:dyDescent="0.3">
      <c r="C5738" s="84"/>
      <c r="D5738" s="375" t="s">
        <v>128</v>
      </c>
      <c r="E5738" s="376" t="s">
        <v>129</v>
      </c>
      <c r="F5738" s="376" t="s">
        <v>130</v>
      </c>
      <c r="G5738" s="376" t="s">
        <v>131</v>
      </c>
      <c r="H5738" s="376" t="s">
        <v>132</v>
      </c>
      <c r="I5738" s="376" t="s">
        <v>133</v>
      </c>
      <c r="J5738" s="377" t="s">
        <v>134</v>
      </c>
      <c r="K5738" s="88"/>
      <c r="M5738" s="534"/>
      <c r="N5738" s="536" t="s">
        <v>113</v>
      </c>
      <c r="O5738" s="536"/>
      <c r="P5738" s="536"/>
      <c r="Q5738" s="536"/>
      <c r="R5738" s="536"/>
      <c r="S5738" s="536"/>
      <c r="T5738" s="536"/>
      <c r="U5738" s="536"/>
      <c r="V5738" s="411">
        <f>+SUM(V5734:V5737)</f>
        <v>0</v>
      </c>
      <c r="Y5738" s="398" t="s">
        <v>135</v>
      </c>
      <c r="Z5738" s="397">
        <f>+SUM(Z5734:Z5737)</f>
        <v>0</v>
      </c>
      <c r="AA5738" s="86"/>
      <c r="AB5738" s="384"/>
      <c r="AC5738" s="385"/>
      <c r="AD5738" s="94"/>
      <c r="AE5738" s="399"/>
    </row>
    <row r="5739" spans="3:31" s="260" customFormat="1" ht="15.75" thickBot="1" x14ac:dyDescent="0.3">
      <c r="C5739" s="84"/>
      <c r="D5739" s="355"/>
      <c r="E5739" s="367"/>
      <c r="F5739" s="412">
        <f>+E5731</f>
        <v>6.07</v>
      </c>
      <c r="G5739" s="367"/>
      <c r="H5739" s="367"/>
      <c r="I5739" s="367"/>
      <c r="J5739" s="368"/>
      <c r="K5739" s="88"/>
      <c r="M5739" s="535"/>
      <c r="N5739" s="537" t="s">
        <v>114</v>
      </c>
      <c r="O5739" s="537"/>
      <c r="P5739" s="537"/>
      <c r="Q5739" s="537"/>
      <c r="R5739" s="537"/>
      <c r="S5739" s="537"/>
      <c r="T5739" s="537"/>
      <c r="U5739" s="537"/>
      <c r="V5739" s="413">
        <f>+ROUND(V5738,$AA$5)</f>
        <v>0</v>
      </c>
      <c r="Y5739" s="401" t="s">
        <v>136</v>
      </c>
      <c r="Z5739" s="402">
        <f>+ROUND(Z5738,$AA$5)</f>
        <v>0</v>
      </c>
      <c r="AA5739" s="86"/>
      <c r="AB5739" s="403">
        <f>+V5739*Y5712</f>
        <v>0</v>
      </c>
      <c r="AC5739" s="414"/>
      <c r="AD5739" s="94"/>
      <c r="AE5739" s="405"/>
    </row>
    <row r="5740" spans="3:31" s="260" customFormat="1" ht="15.75" thickBot="1" x14ac:dyDescent="0.3">
      <c r="C5740" s="84"/>
      <c r="D5740" s="415"/>
      <c r="E5740" s="416"/>
      <c r="F5740" s="416"/>
      <c r="G5740" s="416"/>
      <c r="H5740" s="416"/>
      <c r="I5740" s="416"/>
      <c r="J5740" s="417"/>
      <c r="K5740" s="88"/>
      <c r="M5740" s="538" t="s">
        <v>115</v>
      </c>
      <c r="N5740" s="539"/>
      <c r="O5740" s="539"/>
      <c r="P5740" s="539"/>
      <c r="Q5740" s="539"/>
      <c r="R5740" s="539"/>
      <c r="S5740" s="539"/>
      <c r="T5740" s="539"/>
      <c r="U5740" s="539"/>
      <c r="V5740" s="540"/>
      <c r="Y5740" s="378"/>
      <c r="Z5740" s="121"/>
      <c r="AA5740" s="86"/>
      <c r="AB5740" s="409"/>
      <c r="AC5740" s="121"/>
      <c r="AD5740" s="94"/>
      <c r="AE5740" s="126"/>
    </row>
    <row r="5741" spans="3:31" s="260" customFormat="1" ht="15.75" thickBot="1" x14ac:dyDescent="0.3">
      <c r="C5741" s="84"/>
      <c r="D5741" s="375" t="s">
        <v>128</v>
      </c>
      <c r="E5741" s="376" t="s">
        <v>129</v>
      </c>
      <c r="F5741" s="376" t="s">
        <v>130</v>
      </c>
      <c r="G5741" s="376" t="s">
        <v>131</v>
      </c>
      <c r="H5741" s="376" t="s">
        <v>132</v>
      </c>
      <c r="I5741" s="376" t="s">
        <v>133</v>
      </c>
      <c r="J5741" s="377" t="s">
        <v>134</v>
      </c>
      <c r="K5741" s="88"/>
      <c r="M5741" s="99" t="s">
        <v>94</v>
      </c>
      <c r="N5741" s="98" t="s">
        <v>95</v>
      </c>
      <c r="O5741" s="95" t="s">
        <v>96</v>
      </c>
      <c r="P5741" s="359" t="s">
        <v>104</v>
      </c>
      <c r="Q5741" s="95" t="s">
        <v>116</v>
      </c>
      <c r="R5741" s="418" t="s">
        <v>117</v>
      </c>
      <c r="S5741" s="95" t="s">
        <v>347</v>
      </c>
      <c r="T5741" s="419" t="s">
        <v>118</v>
      </c>
      <c r="U5741" s="189" t="s">
        <v>119</v>
      </c>
      <c r="V5741" s="100" t="s">
        <v>98</v>
      </c>
      <c r="Y5741" s="383" t="s">
        <v>104</v>
      </c>
      <c r="Z5741" s="119" t="s">
        <v>9</v>
      </c>
      <c r="AA5741" s="86"/>
      <c r="AB5741" s="384"/>
      <c r="AC5741" s="385"/>
      <c r="AD5741" s="94"/>
      <c r="AE5741" s="410"/>
    </row>
    <row r="5742" spans="3:31" s="260" customFormat="1" ht="25.5" x14ac:dyDescent="0.25">
      <c r="C5742" s="84"/>
      <c r="D5742" s="354"/>
      <c r="E5742" s="96"/>
      <c r="F5742" s="96"/>
      <c r="G5742" s="96"/>
      <c r="H5742" s="96"/>
      <c r="I5742" s="96"/>
      <c r="J5742" s="420">
        <f>+F5739</f>
        <v>6.07</v>
      </c>
      <c r="K5742" s="88"/>
      <c r="M5742" s="102">
        <v>201</v>
      </c>
      <c r="N5742" s="347" t="str">
        <f>IFERROR(VLOOKUP(M5742,INSUMOS!$C$8:$K$928,2,0),"-----")</f>
        <v>Oficial Albañileria</v>
      </c>
      <c r="O5742" s="78" t="str">
        <f>IFERROR(VLOOKUP(M5742,INSUMOS!$C$8:$K$928,3,0),"-----")</f>
        <v>JORNAL+PS</v>
      </c>
      <c r="P5742" s="80">
        <v>1</v>
      </c>
      <c r="Q5742" s="79">
        <v>7</v>
      </c>
      <c r="R5742" s="190">
        <f>IFERROR(VLOOKUP(M5742,INSUMOS!$C$8:$K$928,4,0),"-----")</f>
        <v>85136</v>
      </c>
      <c r="S5742" s="190">
        <f>IFERROR(VLOOKUP(M5742,INSUMOS!$C$8:$K$928,6,0),"-----")</f>
        <v>68109</v>
      </c>
      <c r="T5742" s="190">
        <f>IFERROR(VLOOKUP(M5742,INSUMOS!$C$8:$K$928,5,0),"-----")</f>
        <v>0</v>
      </c>
      <c r="U5742" s="388">
        <f>SUM(R5742:T5742)</f>
        <v>153245</v>
      </c>
      <c r="V5742" s="82">
        <f>+IFERROR((P5742/Q5742)*U5742,0)</f>
        <v>21892.142857142855</v>
      </c>
      <c r="Y5742" s="393">
        <f>+IFERROR((Y5712/Q5742*P5742),0)</f>
        <v>20.714285714285715</v>
      </c>
      <c r="Z5742" s="391">
        <f>Y5712*V5742</f>
        <v>3174360.7142857141</v>
      </c>
      <c r="AA5742" s="86"/>
      <c r="AB5742" s="92">
        <f>+(U5742)*Y5742</f>
        <v>3174360.7142857146</v>
      </c>
      <c r="AC5742" s="93">
        <f>+AB5742-Z5742</f>
        <v>0</v>
      </c>
      <c r="AD5742" s="421"/>
      <c r="AE5742" s="410" t="str">
        <f>+IF(V5742=0,"CERO","NO")</f>
        <v>NO</v>
      </c>
    </row>
    <row r="5743" spans="3:31" s="260" customFormat="1" ht="26.25" thickBot="1" x14ac:dyDescent="0.3">
      <c r="C5743" s="84"/>
      <c r="D5743" s="355"/>
      <c r="E5743" s="367"/>
      <c r="F5743" s="367"/>
      <c r="G5743" s="367"/>
      <c r="H5743" s="367"/>
      <c r="I5743" s="367"/>
      <c r="J5743" s="422">
        <f>+J5742</f>
        <v>6.07</v>
      </c>
      <c r="K5743" s="88"/>
      <c r="M5743" s="102">
        <v>202</v>
      </c>
      <c r="N5743" s="347" t="str">
        <f>IFERROR(VLOOKUP(M5743,INSUMOS!$C$8:$K$928,2,0),"-----")</f>
        <v>Ayudante Albañileria</v>
      </c>
      <c r="O5743" s="78" t="str">
        <f>IFERROR(VLOOKUP(M5743,INSUMOS!$C$8:$K$928,3,0),"-----")</f>
        <v>JORNAL+PS</v>
      </c>
      <c r="P5743" s="80">
        <v>3</v>
      </c>
      <c r="Q5743" s="79">
        <v>7</v>
      </c>
      <c r="R5743" s="190">
        <f>IFERROR(VLOOKUP(M5743,INSUMOS!$C$8:$K$928,4,0),"-----")</f>
        <v>63490</v>
      </c>
      <c r="S5743" s="190">
        <f>IFERROR(VLOOKUP(M5743,INSUMOS!$C$8:$K$928,6,0),"-----")</f>
        <v>50792</v>
      </c>
      <c r="T5743" s="190">
        <f>IFERROR(VLOOKUP(M5743,INSUMOS!$C$8:$K$928,5,0),"-----")</f>
        <v>0</v>
      </c>
      <c r="U5743" s="388">
        <f>SUM(R5743:T5743)</f>
        <v>114282</v>
      </c>
      <c r="V5743" s="82">
        <f>+IFERROR((P5743/Q5743)*U5743,0)</f>
        <v>48978</v>
      </c>
      <c r="Y5743" s="393">
        <f>+IFERROR((Y5712/Q5743*P5743),0)</f>
        <v>62.142857142857146</v>
      </c>
      <c r="Z5743" s="391">
        <f>Y5712*V5743</f>
        <v>7101810</v>
      </c>
      <c r="AA5743" s="86"/>
      <c r="AB5743" s="92">
        <f>+U5743*Y5743</f>
        <v>7101810</v>
      </c>
      <c r="AC5743" s="93">
        <f>+AB5743-Z5743</f>
        <v>0</v>
      </c>
      <c r="AD5743" s="94"/>
      <c r="AE5743" s="410" t="str">
        <f>+IF(V5743=0,"CERO","NO")</f>
        <v>NO</v>
      </c>
    </row>
    <row r="5744" spans="3:31" s="260" customFormat="1" ht="15.75" thickBot="1" x14ac:dyDescent="0.3">
      <c r="C5744" s="84"/>
      <c r="D5744" s="380"/>
      <c r="E5744" s="381"/>
      <c r="F5744" s="381"/>
      <c r="G5744" s="381"/>
      <c r="H5744" s="381"/>
      <c r="I5744" s="381"/>
      <c r="J5744" s="382"/>
      <c r="K5744" s="88"/>
      <c r="M5744" s="102">
        <v>0</v>
      </c>
      <c r="N5744" s="347"/>
      <c r="O5744" s="79"/>
      <c r="P5744" s="423"/>
      <c r="Q5744" s="81"/>
      <c r="R5744" s="111"/>
      <c r="S5744" s="357"/>
      <c r="T5744" s="111"/>
      <c r="U5744" s="388"/>
      <c r="V5744" s="426"/>
      <c r="Y5744" s="393">
        <f>+IFERROR((Y5712/Q5744*P5744),0)</f>
        <v>0</v>
      </c>
      <c r="Z5744" s="391">
        <f>Y5712*V5744</f>
        <v>0</v>
      </c>
      <c r="AA5744" s="86"/>
      <c r="AB5744" s="92">
        <f>+(U5744)*Y5744*P5744</f>
        <v>0</v>
      </c>
      <c r="AC5744" s="93">
        <f>+AB5744-Z5744</f>
        <v>0</v>
      </c>
      <c r="AD5744" s="94"/>
      <c r="AE5744" s="410" t="str">
        <f>+IF(V5744=0,"CERO","NO")</f>
        <v>CERO</v>
      </c>
    </row>
    <row r="5745" spans="3:31" s="260" customFormat="1" ht="15.75" thickBot="1" x14ac:dyDescent="0.3">
      <c r="C5745" s="84"/>
      <c r="D5745" s="375" t="s">
        <v>128</v>
      </c>
      <c r="E5745" s="376" t="s">
        <v>129</v>
      </c>
      <c r="F5745" s="376" t="s">
        <v>130</v>
      </c>
      <c r="G5745" s="376" t="s">
        <v>131</v>
      </c>
      <c r="H5745" s="376" t="s">
        <v>132</v>
      </c>
      <c r="I5745" s="376" t="s">
        <v>133</v>
      </c>
      <c r="J5745" s="377" t="s">
        <v>134</v>
      </c>
      <c r="K5745" s="88"/>
      <c r="M5745" s="534"/>
      <c r="N5745" s="536" t="s">
        <v>120</v>
      </c>
      <c r="O5745" s="536"/>
      <c r="P5745" s="536"/>
      <c r="Q5745" s="536"/>
      <c r="R5745" s="536"/>
      <c r="S5745" s="536"/>
      <c r="T5745" s="536"/>
      <c r="U5745" s="536"/>
      <c r="V5745" s="82">
        <f>+SUM(V5742:V5744)</f>
        <v>70870.142857142855</v>
      </c>
      <c r="Y5745" s="398" t="s">
        <v>135</v>
      </c>
      <c r="Z5745" s="397">
        <f>+SUM(Z5742:Z5744)</f>
        <v>10276170.714285715</v>
      </c>
      <c r="AA5745" s="86"/>
      <c r="AB5745" s="384"/>
      <c r="AC5745" s="385"/>
      <c r="AD5745" s="94"/>
      <c r="AE5745" s="399"/>
    </row>
    <row r="5746" spans="3:31" s="260" customFormat="1" ht="15.75" thickBot="1" x14ac:dyDescent="0.3">
      <c r="C5746" s="84"/>
      <c r="D5746" s="354"/>
      <c r="E5746" s="96"/>
      <c r="F5746" s="96"/>
      <c r="G5746" s="107">
        <f>+F5739</f>
        <v>6.07</v>
      </c>
      <c r="H5746" s="96"/>
      <c r="I5746" s="96"/>
      <c r="J5746" s="427"/>
      <c r="K5746" s="88"/>
      <c r="M5746" s="535"/>
      <c r="N5746" s="537" t="s">
        <v>121</v>
      </c>
      <c r="O5746" s="537"/>
      <c r="P5746" s="537"/>
      <c r="Q5746" s="537"/>
      <c r="R5746" s="537"/>
      <c r="S5746" s="537"/>
      <c r="T5746" s="537"/>
      <c r="U5746" s="537"/>
      <c r="V5746" s="413">
        <f>+ROUND(V5745,$AA$5)</f>
        <v>70870.14</v>
      </c>
      <c r="Y5746" s="401" t="s">
        <v>136</v>
      </c>
      <c r="Z5746" s="402">
        <f>+ROUND(Z5745,$AA$5)</f>
        <v>10276170.710000001</v>
      </c>
      <c r="AA5746" s="86"/>
      <c r="AB5746" s="403">
        <f>+V5746*Y5712</f>
        <v>10276170.300000001</v>
      </c>
      <c r="AC5746" s="404">
        <f>+AB5746-Z5746</f>
        <v>-0.41000000014901161</v>
      </c>
      <c r="AD5746" s="94"/>
      <c r="AE5746" s="405"/>
    </row>
    <row r="5747" spans="3:31" s="260" customFormat="1" ht="15.75" thickBot="1" x14ac:dyDescent="0.3">
      <c r="C5747" s="84"/>
      <c r="D5747" s="375" t="s">
        <v>128</v>
      </c>
      <c r="E5747" s="376" t="s">
        <v>129</v>
      </c>
      <c r="F5747" s="376" t="s">
        <v>130</v>
      </c>
      <c r="G5747" s="376" t="s">
        <v>131</v>
      </c>
      <c r="H5747" s="376" t="s">
        <v>132</v>
      </c>
      <c r="I5747" s="376" t="s">
        <v>133</v>
      </c>
      <c r="J5747" s="377" t="s">
        <v>134</v>
      </c>
      <c r="K5747" s="88"/>
      <c r="M5747" s="541"/>
      <c r="N5747" s="542"/>
      <c r="O5747" s="542"/>
      <c r="P5747" s="542"/>
      <c r="Q5747" s="542"/>
      <c r="R5747" s="542"/>
      <c r="S5747" s="542"/>
      <c r="T5747" s="542"/>
      <c r="U5747" s="542"/>
      <c r="V5747" s="543"/>
      <c r="Y5747" s="378"/>
      <c r="Z5747" s="121"/>
      <c r="AA5747" s="86"/>
      <c r="AB5747" s="409"/>
      <c r="AC5747" s="121"/>
      <c r="AD5747" s="94"/>
      <c r="AE5747" s="428"/>
    </row>
    <row r="5748" spans="3:31" s="260" customFormat="1" ht="15.75" thickBot="1" x14ac:dyDescent="0.3">
      <c r="C5748" s="84"/>
      <c r="D5748" s="355"/>
      <c r="E5748" s="367"/>
      <c r="F5748" s="367"/>
      <c r="G5748" s="367"/>
      <c r="H5748" s="412">
        <f>G5746</f>
        <v>6.07</v>
      </c>
      <c r="I5748" s="412"/>
      <c r="J5748" s="422"/>
      <c r="K5748" s="88"/>
      <c r="M5748" s="544" t="s">
        <v>122</v>
      </c>
      <c r="N5748" s="537"/>
      <c r="O5748" s="537"/>
      <c r="P5748" s="537"/>
      <c r="Q5748" s="537"/>
      <c r="R5748" s="537"/>
      <c r="S5748" s="537"/>
      <c r="T5748" s="537"/>
      <c r="U5748" s="545">
        <f>+V5746+V5739+V5731+V5722</f>
        <v>121733.18</v>
      </c>
      <c r="V5748" s="546"/>
      <c r="Y5748" s="429"/>
      <c r="Z5748" s="430">
        <f>+Z5746+Z5739+Z5731+Z5722</f>
        <v>17651311.440000001</v>
      </c>
      <c r="AA5748" s="86"/>
      <c r="AB5748" s="431">
        <f>+AB5746+AB5739+AB5731+AB5722</f>
        <v>17651311.099999998</v>
      </c>
      <c r="AC5748" s="404">
        <f>+AB5748-Z5748</f>
        <v>-0.34000000357627869</v>
      </c>
      <c r="AD5748" s="94"/>
      <c r="AE5748" s="432"/>
    </row>
    <row r="5749" spans="3:31" s="260" customFormat="1" ht="15.75" thickBot="1" x14ac:dyDescent="0.3"/>
    <row r="5750" spans="3:31" s="260" customFormat="1" x14ac:dyDescent="0.25">
      <c r="M5750" s="547" t="s">
        <v>348</v>
      </c>
      <c r="N5750" s="548"/>
      <c r="O5750" s="548"/>
      <c r="P5750" s="548"/>
      <c r="Q5750" s="548"/>
      <c r="R5750" s="548"/>
      <c r="S5750" s="548"/>
      <c r="T5750" s="548"/>
      <c r="U5750" s="548"/>
      <c r="V5750" s="549"/>
      <c r="Y5750" s="378"/>
      <c r="Z5750" s="121"/>
      <c r="AA5750" s="86"/>
      <c r="AB5750" s="94"/>
      <c r="AC5750" s="94"/>
      <c r="AD5750" s="94"/>
      <c r="AE5750" s="126" t="s">
        <v>133</v>
      </c>
    </row>
    <row r="5751" spans="3:31" s="260" customFormat="1" x14ac:dyDescent="0.25">
      <c r="M5751" s="515" t="s">
        <v>138</v>
      </c>
      <c r="N5751" s="516"/>
      <c r="O5751" s="516"/>
      <c r="P5751" s="516"/>
      <c r="Q5751" s="516"/>
      <c r="R5751" s="516"/>
      <c r="S5751" s="516"/>
      <c r="T5751" s="437">
        <v>0</v>
      </c>
      <c r="U5751" s="517">
        <f>+ROUND(U5748*T5751,$AA$5)</f>
        <v>0</v>
      </c>
      <c r="V5751" s="518"/>
      <c r="Y5751" s="390"/>
      <c r="Z5751" s="438">
        <f>+Z5748*T5751</f>
        <v>0</v>
      </c>
      <c r="AA5751" s="86"/>
      <c r="AB5751" s="94"/>
      <c r="AC5751" s="94"/>
      <c r="AD5751" s="94"/>
      <c r="AE5751" s="386" t="s">
        <v>133</v>
      </c>
    </row>
    <row r="5752" spans="3:31" s="260" customFormat="1" x14ac:dyDescent="0.25">
      <c r="M5752" s="515" t="s">
        <v>19</v>
      </c>
      <c r="N5752" s="516"/>
      <c r="O5752" s="516"/>
      <c r="P5752" s="516"/>
      <c r="Q5752" s="516"/>
      <c r="R5752" s="516"/>
      <c r="S5752" s="516"/>
      <c r="T5752" s="437">
        <v>0.05</v>
      </c>
      <c r="U5752" s="517">
        <f>+ROUND(U5748*T5752,$AA$5)</f>
        <v>6086.66</v>
      </c>
      <c r="V5752" s="518"/>
      <c r="Y5752" s="390"/>
      <c r="Z5752" s="438">
        <f>+Z5748*T5752</f>
        <v>882565.57200000016</v>
      </c>
      <c r="AA5752" s="86"/>
      <c r="AB5752" s="94"/>
      <c r="AC5752" s="94"/>
      <c r="AD5752" s="94"/>
      <c r="AE5752" s="386" t="s">
        <v>133</v>
      </c>
    </row>
    <row r="5753" spans="3:31" s="260" customFormat="1" x14ac:dyDescent="0.25">
      <c r="M5753" s="515" t="s">
        <v>20</v>
      </c>
      <c r="N5753" s="516"/>
      <c r="O5753" s="516"/>
      <c r="P5753" s="516"/>
      <c r="Q5753" s="516"/>
      <c r="R5753" s="516"/>
      <c r="S5753" s="516"/>
      <c r="T5753" s="437">
        <v>0</v>
      </c>
      <c r="U5753" s="517">
        <f>+ROUND(U5748*T5753,$AA$5)</f>
        <v>0</v>
      </c>
      <c r="V5753" s="518"/>
      <c r="Y5753" s="390"/>
      <c r="Z5753" s="438">
        <f>+Z5748*T5753</f>
        <v>0</v>
      </c>
      <c r="AA5753" s="86"/>
      <c r="AB5753" s="94"/>
      <c r="AC5753" s="94"/>
      <c r="AD5753" s="94"/>
      <c r="AE5753" s="386" t="s">
        <v>133</v>
      </c>
    </row>
    <row r="5754" spans="3:31" s="260" customFormat="1" x14ac:dyDescent="0.25">
      <c r="M5754" s="515" t="s">
        <v>21</v>
      </c>
      <c r="N5754" s="516"/>
      <c r="O5754" s="516"/>
      <c r="P5754" s="516"/>
      <c r="Q5754" s="516"/>
      <c r="R5754" s="516"/>
      <c r="S5754" s="516"/>
      <c r="T5754" s="437">
        <f>$AA$9</f>
        <v>0</v>
      </c>
      <c r="U5754" s="517">
        <f>+ROUND(U5748*T5754,$AA$5)</f>
        <v>0</v>
      </c>
      <c r="V5754" s="518"/>
      <c r="Y5754" s="390"/>
      <c r="Z5754" s="438">
        <f>+Z5753*T5754</f>
        <v>0</v>
      </c>
      <c r="AA5754" s="86"/>
      <c r="AB5754" s="94"/>
      <c r="AC5754" s="94"/>
      <c r="AD5754" s="94"/>
      <c r="AE5754" s="386" t="s">
        <v>133</v>
      </c>
    </row>
    <row r="5755" spans="3:31" s="260" customFormat="1" ht="15.75" thickBot="1" x14ac:dyDescent="0.3">
      <c r="M5755" s="519" t="s">
        <v>349</v>
      </c>
      <c r="N5755" s="520"/>
      <c r="O5755" s="520"/>
      <c r="P5755" s="520"/>
      <c r="Q5755" s="520"/>
      <c r="R5755" s="520"/>
      <c r="S5755" s="520"/>
      <c r="T5755" s="520"/>
      <c r="U5755" s="521">
        <f>+SUM(U5751:V5754)</f>
        <v>6086.66</v>
      </c>
      <c r="V5755" s="522"/>
      <c r="Y5755" s="390"/>
      <c r="Z5755" s="439">
        <f>+SUM(Z5751:Z5754)</f>
        <v>882565.57200000016</v>
      </c>
      <c r="AA5755" s="86"/>
      <c r="AB5755" s="94"/>
      <c r="AC5755" s="94"/>
      <c r="AD5755" s="94"/>
      <c r="AE5755" s="386" t="s">
        <v>133</v>
      </c>
    </row>
    <row r="5756" spans="3:31" s="260" customFormat="1" ht="15.75" thickBot="1" x14ac:dyDescent="0.3">
      <c r="D5756" s="375" t="s">
        <v>128</v>
      </c>
      <c r="E5756" s="376" t="s">
        <v>129</v>
      </c>
      <c r="F5756" s="376" t="s">
        <v>130</v>
      </c>
      <c r="G5756" s="376" t="s">
        <v>131</v>
      </c>
      <c r="H5756" s="376" t="s">
        <v>132</v>
      </c>
      <c r="I5756" s="376" t="s">
        <v>133</v>
      </c>
      <c r="J5756" s="377" t="s">
        <v>134</v>
      </c>
      <c r="M5756" s="86"/>
      <c r="N5756" s="94"/>
      <c r="O5756" s="94"/>
      <c r="P5756" s="94"/>
      <c r="Q5756" s="86"/>
      <c r="R5756" s="86"/>
      <c r="S5756" s="86"/>
      <c r="T5756" s="440"/>
      <c r="U5756" s="523"/>
      <c r="V5756" s="523"/>
      <c r="Y5756" s="390"/>
      <c r="Z5756" s="385"/>
      <c r="AA5756" s="86"/>
      <c r="AB5756" s="94"/>
      <c r="AC5756" s="94"/>
      <c r="AD5756" s="94"/>
      <c r="AE5756" s="386" t="s">
        <v>133</v>
      </c>
    </row>
    <row r="5757" spans="3:31" s="260" customFormat="1" ht="15.75" thickBot="1" x14ac:dyDescent="0.3">
      <c r="D5757" s="355"/>
      <c r="E5757" s="367"/>
      <c r="F5757" s="367"/>
      <c r="G5757" s="367"/>
      <c r="H5757" s="412"/>
      <c r="I5757" s="412">
        <f>H5748</f>
        <v>6.07</v>
      </c>
      <c r="J5757" s="422"/>
      <c r="M5757" s="524" t="s">
        <v>11</v>
      </c>
      <c r="N5757" s="525"/>
      <c r="O5757" s="525"/>
      <c r="P5757" s="525"/>
      <c r="Q5757" s="525"/>
      <c r="R5757" s="525"/>
      <c r="S5757" s="525"/>
      <c r="T5757" s="526"/>
      <c r="U5757" s="527">
        <f>+U5755+U5748</f>
        <v>127819.84</v>
      </c>
      <c r="V5757" s="528"/>
      <c r="Y5757" s="429"/>
      <c r="Z5757" s="441">
        <f>+Z5755+Z5748</f>
        <v>18533877.012000002</v>
      </c>
      <c r="AA5757" s="86"/>
      <c r="AB5757" s="94"/>
      <c r="AC5757" s="94"/>
      <c r="AD5757" s="94"/>
      <c r="AE5757" s="405" t="s">
        <v>133</v>
      </c>
    </row>
    <row r="5758" spans="3:31" s="260" customFormat="1" x14ac:dyDescent="0.25"/>
    <row r="5759" spans="3:31" s="260" customFormat="1" ht="15.75" thickBot="1" x14ac:dyDescent="0.3"/>
    <row r="5760" spans="3:31" s="260" customFormat="1" ht="15.75" thickBot="1" x14ac:dyDescent="0.3">
      <c r="M5760" s="363" t="s">
        <v>88</v>
      </c>
      <c r="N5760" s="436" t="str">
        <f>+N5711</f>
        <v>CAP.6</v>
      </c>
      <c r="O5760" s="550" t="str">
        <f>IFERROR(VLOOKUP(N5760,PPTO!C:H,2,0),"----")</f>
        <v>RED DE DRENAJE</v>
      </c>
      <c r="P5760" s="551"/>
      <c r="Q5760" s="551"/>
      <c r="R5760" s="551"/>
      <c r="S5760" s="551"/>
      <c r="T5760" s="551"/>
      <c r="U5760" s="552"/>
      <c r="V5760" s="74" t="s">
        <v>91</v>
      </c>
      <c r="Y5760" s="365" t="s">
        <v>104</v>
      </c>
      <c r="Z5760" s="94"/>
      <c r="AA5760" s="188"/>
      <c r="AB5760" s="553"/>
      <c r="AC5760" s="553"/>
      <c r="AD5760" s="553"/>
      <c r="AE5760" s="94"/>
    </row>
    <row r="5761" spans="3:31" s="260" customFormat="1" ht="15.75" thickBot="1" x14ac:dyDescent="0.3">
      <c r="C5761" s="369">
        <f>+N5761</f>
        <v>6.08</v>
      </c>
      <c r="D5761" s="86"/>
      <c r="E5761" s="86"/>
      <c r="F5761" s="86"/>
      <c r="G5761" s="86"/>
      <c r="H5761" s="86"/>
      <c r="I5761" s="86"/>
      <c r="J5761" s="86"/>
      <c r="K5761" s="370"/>
      <c r="M5761" s="75" t="s">
        <v>92</v>
      </c>
      <c r="N5761" s="371">
        <f>+ROUNDUP(N5712+0.01,2)</f>
        <v>6.08</v>
      </c>
      <c r="O5761" s="554" t="str">
        <f>IFERROR(VLOOKUP(N5761,PPTO!C:H,2,0),"----")</f>
        <v>Tubería PVC Ø6" perforada para red de drenaje</v>
      </c>
      <c r="P5761" s="555"/>
      <c r="Q5761" s="555"/>
      <c r="R5761" s="555"/>
      <c r="S5761" s="555"/>
      <c r="T5761" s="555"/>
      <c r="U5761" s="556"/>
      <c r="V5761" s="76" t="str">
        <f>IFERROR(VLOOKUP(N5761,PPTO!C:H,3,0),"----")</f>
        <v>ML</v>
      </c>
      <c r="Y5761" s="373">
        <f>SUMIFS(PPTO!F:F,PPTO!C:C,APUS!N5761)</f>
        <v>46.94</v>
      </c>
      <c r="Z5761" s="94"/>
      <c r="AA5761" s="86"/>
      <c r="AB5761" s="94"/>
      <c r="AC5761" s="94"/>
      <c r="AD5761" s="94"/>
      <c r="AE5761" s="94"/>
    </row>
    <row r="5762" spans="3:31" s="260" customFormat="1" ht="15.75" thickBot="1" x14ac:dyDescent="0.3">
      <c r="C5762" s="84"/>
      <c r="D5762" s="86"/>
      <c r="E5762" s="86"/>
      <c r="F5762" s="86"/>
      <c r="G5762" s="86"/>
      <c r="H5762" s="86"/>
      <c r="I5762" s="86"/>
      <c r="J5762" s="86"/>
      <c r="K5762" s="88"/>
      <c r="M5762" s="557"/>
      <c r="N5762" s="557"/>
      <c r="O5762" s="557"/>
      <c r="P5762" s="557"/>
      <c r="Q5762" s="557"/>
      <c r="R5762" s="557"/>
      <c r="S5762" s="557"/>
      <c r="T5762" s="557"/>
      <c r="U5762" s="557"/>
      <c r="V5762" s="557"/>
      <c r="Y5762" s="374"/>
      <c r="Z5762" s="94"/>
      <c r="AA5762" s="86"/>
      <c r="AB5762" s="94"/>
      <c r="AC5762" s="94"/>
      <c r="AD5762" s="94"/>
      <c r="AE5762" s="94"/>
    </row>
    <row r="5763" spans="3:31" s="260" customFormat="1" ht="15.75" thickBot="1" x14ac:dyDescent="0.3">
      <c r="C5763" s="84"/>
      <c r="D5763" s="375" t="s">
        <v>128</v>
      </c>
      <c r="E5763" s="376" t="s">
        <v>129</v>
      </c>
      <c r="F5763" s="376" t="s">
        <v>130</v>
      </c>
      <c r="G5763" s="376" t="s">
        <v>131</v>
      </c>
      <c r="H5763" s="376" t="s">
        <v>132</v>
      </c>
      <c r="I5763" s="376" t="s">
        <v>133</v>
      </c>
      <c r="J5763" s="377" t="s">
        <v>134</v>
      </c>
      <c r="K5763" s="88"/>
      <c r="M5763" s="558" t="s">
        <v>93</v>
      </c>
      <c r="N5763" s="559"/>
      <c r="O5763" s="559"/>
      <c r="P5763" s="559"/>
      <c r="Q5763" s="559"/>
      <c r="R5763" s="559"/>
      <c r="S5763" s="559"/>
      <c r="T5763" s="559"/>
      <c r="U5763" s="559"/>
      <c r="V5763" s="560"/>
      <c r="Y5763" s="378"/>
      <c r="Z5763" s="121"/>
      <c r="AA5763" s="86"/>
      <c r="AB5763" s="513"/>
      <c r="AC5763" s="514"/>
      <c r="AD5763" s="94"/>
      <c r="AE5763" s="379"/>
    </row>
    <row r="5764" spans="3:31" s="260" customFormat="1" x14ac:dyDescent="0.25">
      <c r="C5764" s="84"/>
      <c r="D5764" s="380"/>
      <c r="E5764" s="381"/>
      <c r="F5764" s="381"/>
      <c r="G5764" s="381"/>
      <c r="H5764" s="381"/>
      <c r="I5764" s="381"/>
      <c r="J5764" s="382"/>
      <c r="K5764" s="88"/>
      <c r="M5764" s="99" t="s">
        <v>94</v>
      </c>
      <c r="N5764" s="561" t="s">
        <v>95</v>
      </c>
      <c r="O5764" s="561"/>
      <c r="P5764" s="561"/>
      <c r="Q5764" s="561"/>
      <c r="R5764" s="95" t="s">
        <v>96</v>
      </c>
      <c r="S5764" s="95" t="s">
        <v>97</v>
      </c>
      <c r="T5764" s="562" t="s">
        <v>8</v>
      </c>
      <c r="U5764" s="562"/>
      <c r="V5764" s="100" t="s">
        <v>98</v>
      </c>
      <c r="Y5764" s="383" t="s">
        <v>104</v>
      </c>
      <c r="Z5764" s="119" t="s">
        <v>9</v>
      </c>
      <c r="AA5764" s="86"/>
      <c r="AB5764" s="384"/>
      <c r="AC5764" s="385"/>
      <c r="AD5764" s="94"/>
      <c r="AE5764" s="386"/>
    </row>
    <row r="5765" spans="3:31" s="260" customFormat="1" x14ac:dyDescent="0.25">
      <c r="C5765" s="84"/>
      <c r="D5765" s="85"/>
      <c r="E5765" s="86"/>
      <c r="F5765" s="86"/>
      <c r="G5765" s="86"/>
      <c r="H5765" s="86"/>
      <c r="I5765" s="86"/>
      <c r="J5765" s="87"/>
      <c r="K5765" s="88"/>
      <c r="M5765" s="102"/>
      <c r="N5765" s="533" t="s">
        <v>99</v>
      </c>
      <c r="O5765" s="533"/>
      <c r="P5765" s="533"/>
      <c r="Q5765" s="533"/>
      <c r="R5765" s="78" t="s">
        <v>100</v>
      </c>
      <c r="S5765" s="387">
        <f>+$AA$10</f>
        <v>0.05</v>
      </c>
      <c r="T5765" s="563">
        <f>V5795</f>
        <v>2675.27</v>
      </c>
      <c r="U5765" s="563"/>
      <c r="V5765" s="389">
        <f>+IFERROR(T5765*S5765,0)</f>
        <v>133.76349999999999</v>
      </c>
      <c r="Y5765" s="390"/>
      <c r="Z5765" s="391">
        <f>Y5761*V5765</f>
        <v>6278.8586899999991</v>
      </c>
      <c r="AA5765" s="86"/>
      <c r="AB5765" s="384"/>
      <c r="AC5765" s="385"/>
      <c r="AD5765" s="94"/>
      <c r="AE5765" s="386" t="str">
        <f>+IF(V5765=0,"CERO","NO")</f>
        <v>NO</v>
      </c>
    </row>
    <row r="5766" spans="3:31" s="260" customFormat="1" x14ac:dyDescent="0.25">
      <c r="C5766" s="84"/>
      <c r="D5766" s="85"/>
      <c r="E5766" s="86"/>
      <c r="F5766" s="86"/>
      <c r="G5766" s="86"/>
      <c r="H5766" s="86"/>
      <c r="I5766" s="86"/>
      <c r="J5766" s="87"/>
      <c r="K5766" s="88"/>
      <c r="M5766" s="106"/>
      <c r="N5766" s="533" t="str">
        <f>IFERROR(VLOOKUP(M5766,INSUMOS!$C$8:$K$928,2,0),"-----")</f>
        <v>-----</v>
      </c>
      <c r="O5766" s="533"/>
      <c r="P5766" s="533"/>
      <c r="Q5766" s="533"/>
      <c r="R5766" s="78" t="str">
        <f>IFERROR(VLOOKUP(M5766,INSUMOS!$C$8:$K$928,6,0),"-----")</f>
        <v>-----</v>
      </c>
      <c r="S5766" s="392"/>
      <c r="T5766" s="529" t="str">
        <f>IFERROR(VLOOKUP(M5766,INSUMOS!$C$8:$K$928,7,0),"0")</f>
        <v>0</v>
      </c>
      <c r="U5766" s="529"/>
      <c r="V5766" s="389">
        <f>+IFERROR(T5766*S5766,0)</f>
        <v>0</v>
      </c>
      <c r="Y5766" s="393">
        <f>+IFERROR(Y5761*S5766,0)</f>
        <v>0</v>
      </c>
      <c r="Z5766" s="391">
        <f>Y5761*V5766</f>
        <v>0</v>
      </c>
      <c r="AA5766" s="394"/>
      <c r="AB5766" s="395">
        <f>+Y5766*T5766</f>
        <v>0</v>
      </c>
      <c r="AC5766" s="93">
        <f>+AB5766-Z5766</f>
        <v>0</v>
      </c>
      <c r="AD5766" s="94"/>
      <c r="AE5766" s="386" t="str">
        <f>+IF(V5766=0,"CERO","NO")</f>
        <v>CERO</v>
      </c>
    </row>
    <row r="5767" spans="3:31" s="260" customFormat="1" x14ac:dyDescent="0.25">
      <c r="C5767" s="84"/>
      <c r="D5767" s="85"/>
      <c r="E5767" s="86"/>
      <c r="F5767" s="86"/>
      <c r="G5767" s="86"/>
      <c r="H5767" s="86"/>
      <c r="I5767" s="86"/>
      <c r="J5767" s="87"/>
      <c r="K5767" s="88"/>
      <c r="M5767" s="102">
        <v>0</v>
      </c>
      <c r="N5767" s="533"/>
      <c r="O5767" s="533"/>
      <c r="P5767" s="533"/>
      <c r="Q5767" s="533"/>
      <c r="R5767" s="78"/>
      <c r="S5767" s="396"/>
      <c r="T5767" s="529"/>
      <c r="U5767" s="529"/>
      <c r="V5767" s="397"/>
      <c r="Y5767" s="393">
        <f>+IFERROR(Y5761*S5767,0)</f>
        <v>0</v>
      </c>
      <c r="Z5767" s="391">
        <f>Y5761*V5767</f>
        <v>0</v>
      </c>
      <c r="AA5767" s="394"/>
      <c r="AB5767" s="395">
        <f>+Y5767*T5767</f>
        <v>0</v>
      </c>
      <c r="AC5767" s="93">
        <f>+AB5767-Z5767</f>
        <v>0</v>
      </c>
      <c r="AD5767" s="94"/>
      <c r="AE5767" s="386" t="str">
        <f>+IF(V5767=0,"CERO","NO")</f>
        <v>CERO</v>
      </c>
    </row>
    <row r="5768" spans="3:31" s="260" customFormat="1" x14ac:dyDescent="0.25">
      <c r="C5768" s="84"/>
      <c r="D5768" s="85"/>
      <c r="E5768" s="86"/>
      <c r="F5768" s="86"/>
      <c r="G5768" s="86"/>
      <c r="H5768" s="86"/>
      <c r="I5768" s="86"/>
      <c r="J5768" s="87"/>
      <c r="K5768" s="88"/>
      <c r="M5768" s="102">
        <v>0</v>
      </c>
      <c r="N5768" s="533"/>
      <c r="O5768" s="533"/>
      <c r="P5768" s="533"/>
      <c r="Q5768" s="533"/>
      <c r="R5768" s="78"/>
      <c r="S5768" s="396"/>
      <c r="T5768" s="529"/>
      <c r="U5768" s="529"/>
      <c r="V5768" s="397"/>
      <c r="Y5768" s="393">
        <f>+IFERROR(Y5761*S5768,0)</f>
        <v>0</v>
      </c>
      <c r="Z5768" s="391">
        <f>Y5761*V5768</f>
        <v>0</v>
      </c>
      <c r="AA5768" s="394"/>
      <c r="AB5768" s="395">
        <f>+Y5768*T5768</f>
        <v>0</v>
      </c>
      <c r="AC5768" s="93">
        <f>+AB5768-Z5768</f>
        <v>0</v>
      </c>
      <c r="AD5768" s="94"/>
      <c r="AE5768" s="386" t="str">
        <f>+IF(V5768=0,"CERO","NO")</f>
        <v>CERO</v>
      </c>
    </row>
    <row r="5769" spans="3:31" s="260" customFormat="1" ht="15.75" thickBot="1" x14ac:dyDescent="0.3">
      <c r="C5769" s="84"/>
      <c r="D5769" s="85"/>
      <c r="E5769" s="86"/>
      <c r="F5769" s="86"/>
      <c r="G5769" s="86"/>
      <c r="H5769" s="86"/>
      <c r="I5769" s="86"/>
      <c r="J5769" s="87"/>
      <c r="K5769" s="88"/>
      <c r="M5769" s="102">
        <v>0</v>
      </c>
      <c r="N5769" s="564"/>
      <c r="O5769" s="564"/>
      <c r="P5769" s="564"/>
      <c r="Q5769" s="564"/>
      <c r="R5769" s="96"/>
      <c r="S5769" s="96"/>
      <c r="T5769" s="565"/>
      <c r="U5769" s="565"/>
      <c r="V5769" s="101"/>
      <c r="Y5769" s="393">
        <f>+IFERROR(Y5761*S5769,0)</f>
        <v>0</v>
      </c>
      <c r="Z5769" s="391">
        <f>Y5761*V5769</f>
        <v>0</v>
      </c>
      <c r="AA5769" s="394"/>
      <c r="AB5769" s="395">
        <f>+Y5769*T5769</f>
        <v>0</v>
      </c>
      <c r="AC5769" s="93">
        <f>+AB5769-Z5769</f>
        <v>0</v>
      </c>
      <c r="AD5769" s="94"/>
      <c r="AE5769" s="386" t="str">
        <f>+IF(V5769=0,"CERO","NO")</f>
        <v>CERO</v>
      </c>
    </row>
    <row r="5770" spans="3:31" s="260" customFormat="1" ht="15.75" thickBot="1" x14ac:dyDescent="0.3">
      <c r="C5770" s="84"/>
      <c r="D5770" s="375" t="s">
        <v>128</v>
      </c>
      <c r="E5770" s="376" t="s">
        <v>129</v>
      </c>
      <c r="F5770" s="376" t="s">
        <v>130</v>
      </c>
      <c r="G5770" s="376" t="s">
        <v>131</v>
      </c>
      <c r="H5770" s="376" t="s">
        <v>132</v>
      </c>
      <c r="I5770" s="376" t="s">
        <v>133</v>
      </c>
      <c r="J5770" s="377" t="s">
        <v>134</v>
      </c>
      <c r="K5770" s="88"/>
      <c r="M5770" s="534"/>
      <c r="N5770" s="536" t="s">
        <v>101</v>
      </c>
      <c r="O5770" s="536"/>
      <c r="P5770" s="536"/>
      <c r="Q5770" s="536"/>
      <c r="R5770" s="536"/>
      <c r="S5770" s="536"/>
      <c r="T5770" s="536"/>
      <c r="U5770" s="536"/>
      <c r="V5770" s="389">
        <f>+SUM(V5765:V5769)</f>
        <v>133.76349999999999</v>
      </c>
      <c r="Y5770" s="398" t="s">
        <v>135</v>
      </c>
      <c r="Z5770" s="397">
        <f>+SUM(Z5765:Z5769)</f>
        <v>6278.8586899999991</v>
      </c>
      <c r="AA5770" s="86"/>
      <c r="AB5770" s="384"/>
      <c r="AC5770" s="385"/>
      <c r="AD5770" s="94"/>
      <c r="AE5770" s="399"/>
    </row>
    <row r="5771" spans="3:31" s="260" customFormat="1" ht="15.75" thickBot="1" x14ac:dyDescent="0.3">
      <c r="C5771" s="84"/>
      <c r="D5771" s="375">
        <f>C5761</f>
        <v>6.08</v>
      </c>
      <c r="E5771" s="376"/>
      <c r="F5771" s="376"/>
      <c r="G5771" s="376"/>
      <c r="H5771" s="376"/>
      <c r="I5771" s="376"/>
      <c r="J5771" s="377"/>
      <c r="K5771" s="88"/>
      <c r="M5771" s="566"/>
      <c r="N5771" s="567" t="s">
        <v>102</v>
      </c>
      <c r="O5771" s="567"/>
      <c r="P5771" s="567"/>
      <c r="Q5771" s="567"/>
      <c r="R5771" s="567"/>
      <c r="S5771" s="567"/>
      <c r="T5771" s="567"/>
      <c r="U5771" s="567"/>
      <c r="V5771" s="400">
        <f>+ROUND(V5770,$AA$5)</f>
        <v>133.76</v>
      </c>
      <c r="Y5771" s="401" t="s">
        <v>136</v>
      </c>
      <c r="Z5771" s="402">
        <f>+ROUND(Z5770,$AA$5)</f>
        <v>6278.86</v>
      </c>
      <c r="AA5771" s="86"/>
      <c r="AB5771" s="403">
        <f>+V5771*Y5761</f>
        <v>6278.6943999999994</v>
      </c>
      <c r="AC5771" s="404">
        <f>+AB5771-Z5771</f>
        <v>-0.16560000000026776</v>
      </c>
      <c r="AD5771" s="94"/>
      <c r="AE5771" s="405"/>
    </row>
    <row r="5772" spans="3:31" s="260" customFormat="1" x14ac:dyDescent="0.25">
      <c r="C5772" s="84"/>
      <c r="D5772" s="380"/>
      <c r="E5772" s="381"/>
      <c r="F5772" s="381"/>
      <c r="G5772" s="381"/>
      <c r="H5772" s="381"/>
      <c r="I5772" s="381"/>
      <c r="J5772" s="382"/>
      <c r="K5772" s="88"/>
      <c r="M5772" s="510" t="s">
        <v>103</v>
      </c>
      <c r="N5772" s="511"/>
      <c r="O5772" s="511"/>
      <c r="P5772" s="511"/>
      <c r="Q5772" s="511"/>
      <c r="R5772" s="511"/>
      <c r="S5772" s="511"/>
      <c r="T5772" s="511"/>
      <c r="U5772" s="511"/>
      <c r="V5772" s="512"/>
      <c r="Y5772" s="378"/>
      <c r="Z5772" s="121"/>
      <c r="AA5772" s="86"/>
      <c r="AB5772" s="513"/>
      <c r="AC5772" s="514"/>
      <c r="AD5772" s="94"/>
      <c r="AE5772" s="126"/>
    </row>
    <row r="5773" spans="3:31" s="260" customFormat="1" x14ac:dyDescent="0.25">
      <c r="C5773" s="84"/>
      <c r="D5773" s="85"/>
      <c r="E5773" s="86"/>
      <c r="F5773" s="86"/>
      <c r="G5773" s="86"/>
      <c r="H5773" s="86"/>
      <c r="I5773" s="86"/>
      <c r="J5773" s="87"/>
      <c r="K5773" s="88"/>
      <c r="M5773" s="99" t="s">
        <v>94</v>
      </c>
      <c r="N5773" s="561" t="s">
        <v>95</v>
      </c>
      <c r="O5773" s="561"/>
      <c r="P5773" s="561"/>
      <c r="Q5773" s="561"/>
      <c r="R5773" s="95" t="s">
        <v>96</v>
      </c>
      <c r="S5773" s="95" t="s">
        <v>104</v>
      </c>
      <c r="T5773" s="356" t="s">
        <v>105</v>
      </c>
      <c r="U5773" s="356" t="s">
        <v>8</v>
      </c>
      <c r="V5773" s="100" t="s">
        <v>98</v>
      </c>
      <c r="Y5773" s="383" t="s">
        <v>104</v>
      </c>
      <c r="Z5773" s="119" t="s">
        <v>9</v>
      </c>
      <c r="AA5773" s="86"/>
      <c r="AB5773" s="384"/>
      <c r="AC5773" s="385"/>
      <c r="AD5773" s="94"/>
      <c r="AE5773" s="406"/>
    </row>
    <row r="5774" spans="3:31" s="260" customFormat="1" x14ac:dyDescent="0.25">
      <c r="C5774" s="84"/>
      <c r="D5774" s="85"/>
      <c r="E5774" s="86"/>
      <c r="F5774" s="86"/>
      <c r="G5774" s="86"/>
      <c r="H5774" s="86"/>
      <c r="I5774" s="86"/>
      <c r="J5774" s="87"/>
      <c r="K5774" s="88"/>
      <c r="M5774" s="102">
        <v>627</v>
      </c>
      <c r="N5774" s="533" t="str">
        <f>IFERROR(VLOOKUP(M5774,INSUMOS!$C$8:$K$928,2,0),"-----")</f>
        <v>TUBERIA PERFORADA 6"</v>
      </c>
      <c r="O5774" s="533"/>
      <c r="P5774" s="533"/>
      <c r="Q5774" s="533"/>
      <c r="R5774" s="78" t="str">
        <f>IFERROR(VLOOKUP(M5774,INSUMOS!$C$8:$K$928,6,0),"-----")</f>
        <v>ml</v>
      </c>
      <c r="S5774" s="396">
        <v>1</v>
      </c>
      <c r="T5774" s="387">
        <v>0</v>
      </c>
      <c r="U5774" s="388">
        <f>IFERROR(VLOOKUP(M5774,INSUMOS!$C$8:$K$928,7,0),"0")</f>
        <v>33700</v>
      </c>
      <c r="V5774" s="389">
        <f>+IFERROR(U5774*(S5774*(1+T5774)),0)</f>
        <v>33700</v>
      </c>
      <c r="Y5774" s="393">
        <f>+IFERROR(Y5761*(S5774*(1+T5774)),0)</f>
        <v>46.94</v>
      </c>
      <c r="Z5774" s="391">
        <f>Y5761*V5774</f>
        <v>1581878</v>
      </c>
      <c r="AA5774" s="394"/>
      <c r="AB5774" s="395">
        <f>+Y5774*U5774</f>
        <v>1581878</v>
      </c>
      <c r="AC5774" s="93">
        <f>+AB5774-Z5774</f>
        <v>0</v>
      </c>
      <c r="AD5774" s="94"/>
      <c r="AE5774" s="406" t="str">
        <f>+IF(V5774=0,"CERO","NO")</f>
        <v>NO</v>
      </c>
    </row>
    <row r="5775" spans="3:31" s="260" customFormat="1" x14ac:dyDescent="0.25">
      <c r="C5775" s="84"/>
      <c r="D5775" s="85"/>
      <c r="E5775" s="86"/>
      <c r="F5775" s="86"/>
      <c r="G5775" s="86"/>
      <c r="H5775" s="86"/>
      <c r="I5775" s="86"/>
      <c r="J5775" s="87"/>
      <c r="K5775" s="88"/>
      <c r="M5775" s="102">
        <v>411</v>
      </c>
      <c r="N5775" s="533" t="str">
        <f>IFERROR(VLOOKUP(M5775,INSUMOS!$C$8:$K$928,2,0),"-----")</f>
        <v>TRITURADO DE 3/4"</v>
      </c>
      <c r="O5775" s="533"/>
      <c r="P5775" s="533"/>
      <c r="Q5775" s="533"/>
      <c r="R5775" s="78" t="str">
        <f>IFERROR(VLOOKUP(M5775,INSUMOS!$C$8:$K$928,6,0),"-----")</f>
        <v>m3</v>
      </c>
      <c r="S5775" s="396">
        <f>1*1*0.35</f>
        <v>0.35</v>
      </c>
      <c r="T5775" s="387">
        <v>0</v>
      </c>
      <c r="U5775" s="388">
        <f>IFERROR(VLOOKUP(M5775,INSUMOS!$C$8:$K$928,7,0),"0")</f>
        <v>39600</v>
      </c>
      <c r="V5775" s="389">
        <f>+IFERROR(U5775*(S5775*(1+T5775)),0)</f>
        <v>13860</v>
      </c>
      <c r="Y5775" s="393">
        <f>+IFERROR(Y5761*(S5775*(1+T5775)),0)</f>
        <v>16.428999999999998</v>
      </c>
      <c r="Z5775" s="391">
        <f>Y5761*V5775</f>
        <v>650588.4</v>
      </c>
      <c r="AA5775" s="394"/>
      <c r="AB5775" s="395">
        <f>+Y5775*U5775</f>
        <v>650588.39999999991</v>
      </c>
      <c r="AC5775" s="93">
        <f>+AB5775-Z5775</f>
        <v>0</v>
      </c>
      <c r="AD5775" s="94"/>
      <c r="AE5775" s="406" t="str">
        <f>+IF(V5775=0,"CERO","NO")</f>
        <v>NO</v>
      </c>
    </row>
    <row r="5776" spans="3:31" s="260" customFormat="1" x14ac:dyDescent="0.25">
      <c r="C5776" s="84"/>
      <c r="D5776" s="85"/>
      <c r="E5776" s="86"/>
      <c r="F5776" s="86"/>
      <c r="G5776" s="86"/>
      <c r="H5776" s="86"/>
      <c r="I5776" s="86"/>
      <c r="J5776" s="87"/>
      <c r="K5776" s="88"/>
      <c r="M5776" s="102">
        <v>605</v>
      </c>
      <c r="N5776" s="533" t="str">
        <f>IFERROR(VLOOKUP(M5776,INSUMOS!$C$8:$K$928,2,0),"-----")</f>
        <v>Geodren Planar</v>
      </c>
      <c r="O5776" s="533"/>
      <c r="P5776" s="533"/>
      <c r="Q5776" s="533"/>
      <c r="R5776" s="78" t="str">
        <f>IFERROR(VLOOKUP(M5776,INSUMOS!$C$8:$K$928,6,0),"-----")</f>
        <v>m2</v>
      </c>
      <c r="S5776" s="396">
        <v>2.2999999999999998</v>
      </c>
      <c r="T5776" s="387">
        <v>0</v>
      </c>
      <c r="U5776" s="388">
        <f>IFERROR(VLOOKUP(M5776,INSUMOS!$C$8:$K$928,7,0),"0")</f>
        <v>4246.7532467532465</v>
      </c>
      <c r="V5776" s="389">
        <f>+IFERROR(U5776*(S5776*(1+T5776)),0)</f>
        <v>9767.5324675324664</v>
      </c>
      <c r="Y5776" s="393">
        <f>+IFERROR(Y5761*(S5776*(1+T5776)),0)</f>
        <v>107.96199999999999</v>
      </c>
      <c r="Z5776" s="391">
        <f>Y5761*V5776</f>
        <v>458487.97402597393</v>
      </c>
      <c r="AA5776" s="394"/>
      <c r="AB5776" s="395">
        <f>+Y5776*U5776</f>
        <v>458487.97402597393</v>
      </c>
      <c r="AC5776" s="93">
        <f>+AB5776-Z5776</f>
        <v>0</v>
      </c>
      <c r="AD5776" s="94"/>
      <c r="AE5776" s="406" t="str">
        <f>+IF(V5776=0,"CERO","NO")</f>
        <v>NO</v>
      </c>
    </row>
    <row r="5777" spans="3:31" s="260" customFormat="1" x14ac:dyDescent="0.25">
      <c r="C5777" s="84"/>
      <c r="D5777" s="85"/>
      <c r="E5777" s="86"/>
      <c r="F5777" s="86"/>
      <c r="G5777" s="86"/>
      <c r="H5777" s="86"/>
      <c r="I5777" s="86"/>
      <c r="J5777" s="87"/>
      <c r="K5777" s="88"/>
      <c r="M5777" s="102"/>
      <c r="N5777" s="533" t="str">
        <f>IFERROR(VLOOKUP(M5777,INSUMOS!$C$8:$K$928,2,0),"-----")</f>
        <v>-----</v>
      </c>
      <c r="O5777" s="533"/>
      <c r="P5777" s="533"/>
      <c r="Q5777" s="533"/>
      <c r="R5777" s="78" t="str">
        <f>IFERROR(VLOOKUP(M5777,INSUMOS!$C$8:$K$928,6,0),"-----")</f>
        <v>-----</v>
      </c>
      <c r="S5777" s="396"/>
      <c r="T5777" s="387"/>
      <c r="U5777" s="388" t="str">
        <f>IFERROR(VLOOKUP(M5777,INSUMOS!$C$8:$K$928,7,0),"0")</f>
        <v>0</v>
      </c>
      <c r="V5777" s="389">
        <f>+IFERROR(U5777*(S5777*(1+T5777)),0)</f>
        <v>0</v>
      </c>
      <c r="Y5777" s="393">
        <f>+IFERROR(Y5761*(S5777*(1+T5777)),0)</f>
        <v>0</v>
      </c>
      <c r="Z5777" s="391">
        <f>Y5761*V5777</f>
        <v>0</v>
      </c>
      <c r="AA5777" s="394"/>
      <c r="AB5777" s="395">
        <f>+Y5777*U5777</f>
        <v>0</v>
      </c>
      <c r="AC5777" s="93">
        <f>+AB5777-Z5777</f>
        <v>0</v>
      </c>
      <c r="AD5777" s="94"/>
      <c r="AE5777" s="406" t="str">
        <f>+IF(V5777=0,"CERO","NO")</f>
        <v>CERO</v>
      </c>
    </row>
    <row r="5778" spans="3:31" s="260" customFormat="1" ht="15.75" thickBot="1" x14ac:dyDescent="0.3">
      <c r="C5778" s="84"/>
      <c r="D5778" s="85"/>
      <c r="E5778" s="86"/>
      <c r="F5778" s="86"/>
      <c r="G5778" s="86"/>
      <c r="H5778" s="86"/>
      <c r="I5778" s="86"/>
      <c r="J5778" s="87"/>
      <c r="K5778" s="88"/>
      <c r="M5778" s="102">
        <v>0</v>
      </c>
      <c r="N5778" s="564"/>
      <c r="O5778" s="564"/>
      <c r="P5778" s="564"/>
      <c r="Q5778" s="564"/>
      <c r="R5778" s="96"/>
      <c r="S5778" s="79"/>
      <c r="T5778" s="97"/>
      <c r="U5778" s="358"/>
      <c r="V5778" s="397"/>
      <c r="Y5778" s="393">
        <f>+IFERROR(Y5761*(S5778*(1+T5778)),0)</f>
        <v>0</v>
      </c>
      <c r="Z5778" s="391">
        <f>Y5761*V5778</f>
        <v>0</v>
      </c>
      <c r="AA5778" s="394"/>
      <c r="AB5778" s="395">
        <f>+Y5778*U5778</f>
        <v>0</v>
      </c>
      <c r="AC5778" s="93">
        <f>+AB5778-Z5778</f>
        <v>0</v>
      </c>
      <c r="AD5778" s="94"/>
      <c r="AE5778" s="406" t="str">
        <f>+IF(V5778=0,"CERO","NO")</f>
        <v>CERO</v>
      </c>
    </row>
    <row r="5779" spans="3:31" s="260" customFormat="1" ht="15.75" thickBot="1" x14ac:dyDescent="0.3">
      <c r="C5779" s="84"/>
      <c r="D5779" s="375" t="s">
        <v>128</v>
      </c>
      <c r="E5779" s="376" t="s">
        <v>129</v>
      </c>
      <c r="F5779" s="376" t="s">
        <v>130</v>
      </c>
      <c r="G5779" s="376" t="s">
        <v>131</v>
      </c>
      <c r="H5779" s="376" t="s">
        <v>132</v>
      </c>
      <c r="I5779" s="376" t="s">
        <v>133</v>
      </c>
      <c r="J5779" s="377" t="s">
        <v>134</v>
      </c>
      <c r="K5779" s="88"/>
      <c r="M5779" s="534"/>
      <c r="N5779" s="536" t="s">
        <v>106</v>
      </c>
      <c r="O5779" s="536"/>
      <c r="P5779" s="536"/>
      <c r="Q5779" s="536"/>
      <c r="R5779" s="536"/>
      <c r="S5779" s="536"/>
      <c r="T5779" s="536"/>
      <c r="U5779" s="536"/>
      <c r="V5779" s="389">
        <f>+SUM(V5774:V5778)</f>
        <v>57327.532467532466</v>
      </c>
      <c r="Y5779" s="398" t="s">
        <v>135</v>
      </c>
      <c r="Z5779" s="397">
        <f>+SUM(Z5774:Z5778)</f>
        <v>2690954.374025974</v>
      </c>
      <c r="AA5779" s="86"/>
      <c r="AB5779" s="384"/>
      <c r="AC5779" s="385"/>
      <c r="AD5779" s="94"/>
      <c r="AE5779" s="399"/>
    </row>
    <row r="5780" spans="3:31" s="260" customFormat="1" ht="15.75" thickBot="1" x14ac:dyDescent="0.3">
      <c r="C5780" s="84"/>
      <c r="D5780" s="375"/>
      <c r="E5780" s="407">
        <f>+D5771</f>
        <v>6.08</v>
      </c>
      <c r="F5780" s="376"/>
      <c r="G5780" s="376"/>
      <c r="H5780" s="376"/>
      <c r="I5780" s="376"/>
      <c r="J5780" s="377"/>
      <c r="K5780" s="88"/>
      <c r="M5780" s="535"/>
      <c r="N5780" s="537" t="s">
        <v>107</v>
      </c>
      <c r="O5780" s="537"/>
      <c r="P5780" s="537"/>
      <c r="Q5780" s="537"/>
      <c r="R5780" s="537"/>
      <c r="S5780" s="537"/>
      <c r="T5780" s="537"/>
      <c r="U5780" s="537"/>
      <c r="V5780" s="408">
        <f>+ROUND(V5779,$AA$5)</f>
        <v>57327.53</v>
      </c>
      <c r="Y5780" s="401" t="s">
        <v>136</v>
      </c>
      <c r="Z5780" s="402">
        <f>+ROUND(Z5779,$AA$5)</f>
        <v>2690954.37</v>
      </c>
      <c r="AA5780" s="86"/>
      <c r="AB5780" s="403">
        <f>+V5780*Y5761</f>
        <v>2690954.2582</v>
      </c>
      <c r="AC5780" s="404">
        <f>+AB5780-Z5780</f>
        <v>-0.11180000007152557</v>
      </c>
      <c r="AD5780" s="94"/>
      <c r="AE5780" s="405"/>
    </row>
    <row r="5781" spans="3:31" s="260" customFormat="1" x14ac:dyDescent="0.25">
      <c r="C5781" s="84"/>
      <c r="D5781" s="380"/>
      <c r="E5781" s="381"/>
      <c r="F5781" s="381"/>
      <c r="G5781" s="381"/>
      <c r="H5781" s="381"/>
      <c r="I5781" s="381"/>
      <c r="J5781" s="382"/>
      <c r="K5781" s="88"/>
      <c r="M5781" s="568" t="s">
        <v>108</v>
      </c>
      <c r="N5781" s="569"/>
      <c r="O5781" s="569"/>
      <c r="P5781" s="569"/>
      <c r="Q5781" s="569"/>
      <c r="R5781" s="569"/>
      <c r="S5781" s="569"/>
      <c r="T5781" s="569"/>
      <c r="U5781" s="569"/>
      <c r="V5781" s="570"/>
      <c r="Y5781" s="378"/>
      <c r="Z5781" s="121"/>
      <c r="AA5781" s="86"/>
      <c r="AB5781" s="409"/>
      <c r="AC5781" s="121"/>
      <c r="AD5781" s="94"/>
      <c r="AE5781" s="126"/>
    </row>
    <row r="5782" spans="3:31" s="260" customFormat="1" ht="25.5" x14ac:dyDescent="0.25">
      <c r="C5782" s="84"/>
      <c r="D5782" s="85"/>
      <c r="E5782" s="86"/>
      <c r="F5782" s="86"/>
      <c r="G5782" s="86"/>
      <c r="H5782" s="86"/>
      <c r="I5782" s="86"/>
      <c r="J5782" s="87"/>
      <c r="K5782" s="88"/>
      <c r="M5782" s="99" t="s">
        <v>94</v>
      </c>
      <c r="N5782" s="561" t="s">
        <v>95</v>
      </c>
      <c r="O5782" s="561"/>
      <c r="P5782" s="561"/>
      <c r="Q5782" s="95" t="s">
        <v>109</v>
      </c>
      <c r="R5782" s="95" t="s">
        <v>110</v>
      </c>
      <c r="S5782" s="95" t="s">
        <v>111</v>
      </c>
      <c r="T5782" s="562" t="s">
        <v>112</v>
      </c>
      <c r="U5782" s="562"/>
      <c r="V5782" s="100" t="s">
        <v>98</v>
      </c>
      <c r="Y5782" s="383" t="s">
        <v>104</v>
      </c>
      <c r="Z5782" s="119" t="s">
        <v>9</v>
      </c>
      <c r="AA5782" s="86"/>
      <c r="AB5782" s="384"/>
      <c r="AC5782" s="385"/>
      <c r="AD5782" s="94"/>
      <c r="AE5782" s="410"/>
    </row>
    <row r="5783" spans="3:31" s="260" customFormat="1" x14ac:dyDescent="0.25">
      <c r="C5783" s="84"/>
      <c r="D5783" s="85"/>
      <c r="E5783" s="86"/>
      <c r="F5783" s="86"/>
      <c r="G5783" s="86"/>
      <c r="H5783" s="86"/>
      <c r="I5783" s="86"/>
      <c r="J5783" s="87"/>
      <c r="K5783" s="88"/>
      <c r="M5783" s="102"/>
      <c r="N5783" s="530" t="str">
        <f>IFERROR(VLOOKUP(M5783,INSUMOS!$C$8:$K$928,2,0),"-----")</f>
        <v>-----</v>
      </c>
      <c r="O5783" s="531"/>
      <c r="P5783" s="532"/>
      <c r="Q5783" s="78" t="str">
        <f>IFERROR(VLOOKUP(M5783,INSUMOS!$C$8:$K$928,5,0),"-----")</f>
        <v>-----</v>
      </c>
      <c r="R5783" s="80"/>
      <c r="S5783" s="80" t="str">
        <f>IFERROR(VLOOKUP(M5783,INSUMOS!$C$8:$K$928,6,0),"0")</f>
        <v>0</v>
      </c>
      <c r="T5783" s="529" t="str">
        <f>IFERROR(VLOOKUP(M5783,INSUMOS!$C$8:$K$928,7,0),"0")</f>
        <v>0</v>
      </c>
      <c r="U5783" s="529"/>
      <c r="V5783" s="82">
        <f>+T5783*S5783*R5783</f>
        <v>0</v>
      </c>
      <c r="Y5783" s="393">
        <f>+IFERROR((R5783*S5783)*Y5761,0)</f>
        <v>0</v>
      </c>
      <c r="Z5783" s="391">
        <f>Y5761*V5783</f>
        <v>0</v>
      </c>
      <c r="AA5783" s="86"/>
      <c r="AB5783" s="92">
        <f>+Y5783*T5783</f>
        <v>0</v>
      </c>
      <c r="AC5783" s="93">
        <f>+AB5783-Z5783</f>
        <v>0</v>
      </c>
      <c r="AD5783" s="94"/>
      <c r="AE5783" s="406" t="str">
        <f>+IF(V5783=0,"CERO","NO")</f>
        <v>CERO</v>
      </c>
    </row>
    <row r="5784" spans="3:31" s="260" customFormat="1" x14ac:dyDescent="0.25">
      <c r="C5784" s="84"/>
      <c r="D5784" s="85"/>
      <c r="E5784" s="86"/>
      <c r="F5784" s="86"/>
      <c r="G5784" s="86"/>
      <c r="H5784" s="86"/>
      <c r="I5784" s="86"/>
      <c r="J5784" s="87"/>
      <c r="K5784" s="88"/>
      <c r="M5784" s="102">
        <v>0</v>
      </c>
      <c r="N5784" s="530" t="str">
        <f>IFERROR(VLOOKUP(M5784,INSUMOS!$C$8:$K$928,2,0),"-----")</f>
        <v>-----</v>
      </c>
      <c r="O5784" s="531"/>
      <c r="P5784" s="532"/>
      <c r="Q5784" s="78" t="str">
        <f>IFERROR(VLOOKUP(M5784,INSUMOS!$C$8:$K$928,5,0),"-----")</f>
        <v>-----</v>
      </c>
      <c r="R5784" s="80"/>
      <c r="S5784" s="80" t="str">
        <f>IFERROR(VLOOKUP(M5784,INSUMOS!$C$8:$K$928,6,0),"0")</f>
        <v>0</v>
      </c>
      <c r="T5784" s="529" t="str">
        <f>IFERROR(VLOOKUP(M5784,INSUMOS!$C$8:$K$928,7,0),"0")</f>
        <v>0</v>
      </c>
      <c r="U5784" s="529"/>
      <c r="V5784" s="82">
        <f>+T5784*S5784*R5784</f>
        <v>0</v>
      </c>
      <c r="Y5784" s="393">
        <f>+IFERROR((R5784*S5784)*Y5761,0)</f>
        <v>0</v>
      </c>
      <c r="Z5784" s="391">
        <f>Y5761*V5784</f>
        <v>0</v>
      </c>
      <c r="AA5784" s="86"/>
      <c r="AB5784" s="92">
        <f>+Y5784*T5784</f>
        <v>0</v>
      </c>
      <c r="AC5784" s="93">
        <f>+AB5784-Z5784</f>
        <v>0</v>
      </c>
      <c r="AD5784" s="94"/>
      <c r="AE5784" s="406" t="str">
        <f>+IF(V5784=0,"CERO","NO")</f>
        <v>CERO</v>
      </c>
    </row>
    <row r="5785" spans="3:31" s="260" customFormat="1" x14ac:dyDescent="0.25">
      <c r="C5785" s="84"/>
      <c r="D5785" s="85"/>
      <c r="E5785" s="86"/>
      <c r="F5785" s="86"/>
      <c r="G5785" s="86"/>
      <c r="H5785" s="86"/>
      <c r="I5785" s="86"/>
      <c r="J5785" s="87"/>
      <c r="K5785" s="88"/>
      <c r="M5785" s="102">
        <v>0</v>
      </c>
      <c r="N5785" s="530" t="str">
        <f>IFERROR(VLOOKUP(M5785,INSUMOS!$C$8:$K$928,2,0),"-----")</f>
        <v>-----</v>
      </c>
      <c r="O5785" s="531"/>
      <c r="P5785" s="532"/>
      <c r="Q5785" s="78" t="str">
        <f>IFERROR(VLOOKUP(M5785,INSUMOS!$C$8:$K$928,5,0),"-----")</f>
        <v>-----</v>
      </c>
      <c r="R5785" s="80"/>
      <c r="S5785" s="80" t="str">
        <f>IFERROR(VLOOKUP(M5785,INSUMOS!$C$8:$K$928,6,0),"0")</f>
        <v>0</v>
      </c>
      <c r="T5785" s="529" t="str">
        <f>IFERROR(VLOOKUP(M5785,INSUMOS!$C$8:$K$928,7,0),"0")</f>
        <v>0</v>
      </c>
      <c r="U5785" s="529"/>
      <c r="V5785" s="82">
        <f>+T5785*S5785*R5785</f>
        <v>0</v>
      </c>
      <c r="Y5785" s="393">
        <f>+IFERROR((R5785*S5785)*Y5761,0)</f>
        <v>0</v>
      </c>
      <c r="Z5785" s="391">
        <f>Y5761*V5785</f>
        <v>0</v>
      </c>
      <c r="AA5785" s="86"/>
      <c r="AB5785" s="92">
        <f>+Y5785*T5785</f>
        <v>0</v>
      </c>
      <c r="AC5785" s="93">
        <f>+AB5785-Z5785</f>
        <v>0</v>
      </c>
      <c r="AD5785" s="94"/>
      <c r="AE5785" s="406" t="str">
        <f>+IF(V5785=0,"CERO","NO")</f>
        <v>CERO</v>
      </c>
    </row>
    <row r="5786" spans="3:31" s="260" customFormat="1" ht="15.75" thickBot="1" x14ac:dyDescent="0.3">
      <c r="C5786" s="84"/>
      <c r="D5786" s="89"/>
      <c r="E5786" s="90"/>
      <c r="F5786" s="90"/>
      <c r="G5786" s="90"/>
      <c r="H5786" s="90"/>
      <c r="I5786" s="90"/>
      <c r="J5786" s="91"/>
      <c r="K5786" s="88"/>
      <c r="M5786" s="102">
        <v>0</v>
      </c>
      <c r="N5786" s="533"/>
      <c r="O5786" s="533"/>
      <c r="P5786" s="533"/>
      <c r="Q5786" s="79"/>
      <c r="R5786" s="78"/>
      <c r="S5786" s="81"/>
      <c r="T5786" s="529"/>
      <c r="U5786" s="529"/>
      <c r="V5786" s="82"/>
      <c r="Y5786" s="393">
        <f>+IFERROR((R5786*S5786)*Y5761,0)</f>
        <v>0</v>
      </c>
      <c r="Z5786" s="391">
        <f>Y5761*V5786</f>
        <v>0</v>
      </c>
      <c r="AA5786" s="86"/>
      <c r="AB5786" s="92">
        <f>+Y5786*T5786</f>
        <v>0</v>
      </c>
      <c r="AC5786" s="93">
        <f>+AB5786-Z5786</f>
        <v>0</v>
      </c>
      <c r="AD5786" s="94"/>
      <c r="AE5786" s="406" t="str">
        <f>+IF(V5786=0,"CERO","NO")</f>
        <v>CERO</v>
      </c>
    </row>
    <row r="5787" spans="3:31" s="260" customFormat="1" ht="15.75" thickBot="1" x14ac:dyDescent="0.3">
      <c r="C5787" s="84"/>
      <c r="D5787" s="375" t="s">
        <v>128</v>
      </c>
      <c r="E5787" s="376" t="s">
        <v>129</v>
      </c>
      <c r="F5787" s="376" t="s">
        <v>130</v>
      </c>
      <c r="G5787" s="376" t="s">
        <v>131</v>
      </c>
      <c r="H5787" s="376" t="s">
        <v>132</v>
      </c>
      <c r="I5787" s="376" t="s">
        <v>133</v>
      </c>
      <c r="J5787" s="377" t="s">
        <v>134</v>
      </c>
      <c r="K5787" s="88"/>
      <c r="M5787" s="534"/>
      <c r="N5787" s="536" t="s">
        <v>113</v>
      </c>
      <c r="O5787" s="536"/>
      <c r="P5787" s="536"/>
      <c r="Q5787" s="536"/>
      <c r="R5787" s="536"/>
      <c r="S5787" s="536"/>
      <c r="T5787" s="536"/>
      <c r="U5787" s="536"/>
      <c r="V5787" s="411">
        <f>+SUM(V5783:V5786)</f>
        <v>0</v>
      </c>
      <c r="Y5787" s="398" t="s">
        <v>135</v>
      </c>
      <c r="Z5787" s="397">
        <f>+SUM(Z5783:Z5786)</f>
        <v>0</v>
      </c>
      <c r="AA5787" s="86"/>
      <c r="AB5787" s="384"/>
      <c r="AC5787" s="385"/>
      <c r="AD5787" s="94"/>
      <c r="AE5787" s="399"/>
    </row>
    <row r="5788" spans="3:31" s="260" customFormat="1" ht="15.75" thickBot="1" x14ac:dyDescent="0.3">
      <c r="C5788" s="84"/>
      <c r="D5788" s="355"/>
      <c r="E5788" s="367"/>
      <c r="F5788" s="412">
        <f>+E5780</f>
        <v>6.08</v>
      </c>
      <c r="G5788" s="367"/>
      <c r="H5788" s="367"/>
      <c r="I5788" s="367"/>
      <c r="J5788" s="368"/>
      <c r="K5788" s="88"/>
      <c r="M5788" s="535"/>
      <c r="N5788" s="537" t="s">
        <v>114</v>
      </c>
      <c r="O5788" s="537"/>
      <c r="P5788" s="537"/>
      <c r="Q5788" s="537"/>
      <c r="R5788" s="537"/>
      <c r="S5788" s="537"/>
      <c r="T5788" s="537"/>
      <c r="U5788" s="537"/>
      <c r="V5788" s="413">
        <f>+ROUND(V5787,$AA$5)</f>
        <v>0</v>
      </c>
      <c r="Y5788" s="401" t="s">
        <v>136</v>
      </c>
      <c r="Z5788" s="402">
        <f>+ROUND(Z5787,$AA$5)</f>
        <v>0</v>
      </c>
      <c r="AA5788" s="86"/>
      <c r="AB5788" s="403">
        <f>+V5788*Y5761</f>
        <v>0</v>
      </c>
      <c r="AC5788" s="414"/>
      <c r="AD5788" s="94"/>
      <c r="AE5788" s="405"/>
    </row>
    <row r="5789" spans="3:31" s="260" customFormat="1" ht="15.75" thickBot="1" x14ac:dyDescent="0.3">
      <c r="C5789" s="84"/>
      <c r="D5789" s="415"/>
      <c r="E5789" s="416"/>
      <c r="F5789" s="416"/>
      <c r="G5789" s="416"/>
      <c r="H5789" s="416"/>
      <c r="I5789" s="416"/>
      <c r="J5789" s="417"/>
      <c r="K5789" s="88"/>
      <c r="M5789" s="538" t="s">
        <v>115</v>
      </c>
      <c r="N5789" s="539"/>
      <c r="O5789" s="539"/>
      <c r="P5789" s="539"/>
      <c r="Q5789" s="539"/>
      <c r="R5789" s="539"/>
      <c r="S5789" s="539"/>
      <c r="T5789" s="539"/>
      <c r="U5789" s="539"/>
      <c r="V5789" s="540"/>
      <c r="Y5789" s="378"/>
      <c r="Z5789" s="121"/>
      <c r="AA5789" s="86"/>
      <c r="AB5789" s="409"/>
      <c r="AC5789" s="121"/>
      <c r="AD5789" s="94"/>
      <c r="AE5789" s="126"/>
    </row>
    <row r="5790" spans="3:31" s="260" customFormat="1" ht="15.75" thickBot="1" x14ac:dyDescent="0.3">
      <c r="C5790" s="84"/>
      <c r="D5790" s="375" t="s">
        <v>128</v>
      </c>
      <c r="E5790" s="376" t="s">
        <v>129</v>
      </c>
      <c r="F5790" s="376" t="s">
        <v>130</v>
      </c>
      <c r="G5790" s="376" t="s">
        <v>131</v>
      </c>
      <c r="H5790" s="376" t="s">
        <v>132</v>
      </c>
      <c r="I5790" s="376" t="s">
        <v>133</v>
      </c>
      <c r="J5790" s="377" t="s">
        <v>134</v>
      </c>
      <c r="K5790" s="88"/>
      <c r="M5790" s="99" t="s">
        <v>94</v>
      </c>
      <c r="N5790" s="98" t="s">
        <v>95</v>
      </c>
      <c r="O5790" s="95" t="s">
        <v>96</v>
      </c>
      <c r="P5790" s="359" t="s">
        <v>104</v>
      </c>
      <c r="Q5790" s="95" t="s">
        <v>116</v>
      </c>
      <c r="R5790" s="418" t="s">
        <v>117</v>
      </c>
      <c r="S5790" s="95" t="s">
        <v>347</v>
      </c>
      <c r="T5790" s="419" t="s">
        <v>118</v>
      </c>
      <c r="U5790" s="189" t="s">
        <v>119</v>
      </c>
      <c r="V5790" s="100" t="s">
        <v>98</v>
      </c>
      <c r="Y5790" s="383" t="s">
        <v>104</v>
      </c>
      <c r="Z5790" s="119" t="s">
        <v>9</v>
      </c>
      <c r="AA5790" s="86"/>
      <c r="AB5790" s="384"/>
      <c r="AC5790" s="385"/>
      <c r="AD5790" s="94"/>
      <c r="AE5790" s="410"/>
    </row>
    <row r="5791" spans="3:31" s="260" customFormat="1" ht="25.5" x14ac:dyDescent="0.25">
      <c r="C5791" s="84"/>
      <c r="D5791" s="354"/>
      <c r="E5791" s="96"/>
      <c r="F5791" s="96"/>
      <c r="G5791" s="96"/>
      <c r="H5791" s="96"/>
      <c r="I5791" s="96"/>
      <c r="J5791" s="420">
        <f>+F5788</f>
        <v>6.08</v>
      </c>
      <c r="K5791" s="88"/>
      <c r="M5791" s="102">
        <v>201</v>
      </c>
      <c r="N5791" s="347" t="str">
        <f>IFERROR(VLOOKUP(M5791,INSUMOS!$C$8:$K$928,2,0),"-----")</f>
        <v>Oficial Albañileria</v>
      </c>
      <c r="O5791" s="78" t="str">
        <f>IFERROR(VLOOKUP(M5791,INSUMOS!$C$8:$K$928,3,0),"-----")</f>
        <v>JORNAL+PS</v>
      </c>
      <c r="P5791" s="80">
        <v>1</v>
      </c>
      <c r="Q5791" s="79">
        <v>100</v>
      </c>
      <c r="R5791" s="190">
        <f>IFERROR(VLOOKUP(M5791,INSUMOS!$C$8:$K$928,4,0),"-----")</f>
        <v>85136</v>
      </c>
      <c r="S5791" s="190">
        <f>IFERROR(VLOOKUP(M5791,INSUMOS!$C$8:$K$928,6,0),"-----")</f>
        <v>68109</v>
      </c>
      <c r="T5791" s="190">
        <f>IFERROR(VLOOKUP(M5791,INSUMOS!$C$8:$K$928,5,0),"-----")</f>
        <v>0</v>
      </c>
      <c r="U5791" s="388">
        <f>SUM(R5791:T5791)</f>
        <v>153245</v>
      </c>
      <c r="V5791" s="82">
        <f>+IFERROR((P5791/Q5791)*U5791,0)</f>
        <v>1532.45</v>
      </c>
      <c r="Y5791" s="393">
        <f>+IFERROR((Y5761/Q5791*P5791),0)</f>
        <v>0.46939999999999998</v>
      </c>
      <c r="Z5791" s="391">
        <f>Y5761*V5791</f>
        <v>71933.202999999994</v>
      </c>
      <c r="AA5791" s="86"/>
      <c r="AB5791" s="92">
        <f>+(U5791)*Y5791</f>
        <v>71933.202999999994</v>
      </c>
      <c r="AC5791" s="93">
        <f>+AB5791-Z5791</f>
        <v>0</v>
      </c>
      <c r="AD5791" s="421"/>
      <c r="AE5791" s="410" t="str">
        <f>+IF(V5791=0,"CERO","NO")</f>
        <v>NO</v>
      </c>
    </row>
    <row r="5792" spans="3:31" s="260" customFormat="1" ht="26.25" thickBot="1" x14ac:dyDescent="0.3">
      <c r="C5792" s="84"/>
      <c r="D5792" s="355"/>
      <c r="E5792" s="367"/>
      <c r="F5792" s="367"/>
      <c r="G5792" s="367"/>
      <c r="H5792" s="367"/>
      <c r="I5792" s="367"/>
      <c r="J5792" s="422">
        <f>+J5791</f>
        <v>6.08</v>
      </c>
      <c r="K5792" s="88"/>
      <c r="M5792" s="102">
        <v>202</v>
      </c>
      <c r="N5792" s="347" t="str">
        <f>IFERROR(VLOOKUP(M5792,INSUMOS!$C$8:$K$928,2,0),"-----")</f>
        <v>Ayudante Albañileria</v>
      </c>
      <c r="O5792" s="78" t="str">
        <f>IFERROR(VLOOKUP(M5792,INSUMOS!$C$8:$K$928,3,0),"-----")</f>
        <v>JORNAL+PS</v>
      </c>
      <c r="P5792" s="80">
        <v>1</v>
      </c>
      <c r="Q5792" s="79">
        <v>100</v>
      </c>
      <c r="R5792" s="190">
        <f>IFERROR(VLOOKUP(M5792,INSUMOS!$C$8:$K$928,4,0),"-----")</f>
        <v>63490</v>
      </c>
      <c r="S5792" s="190">
        <f>IFERROR(VLOOKUP(M5792,INSUMOS!$C$8:$K$928,6,0),"-----")</f>
        <v>50792</v>
      </c>
      <c r="T5792" s="190">
        <f>IFERROR(VLOOKUP(M5792,INSUMOS!$C$8:$K$928,5,0),"-----")</f>
        <v>0</v>
      </c>
      <c r="U5792" s="388">
        <f>SUM(R5792:T5792)</f>
        <v>114282</v>
      </c>
      <c r="V5792" s="82">
        <f>+IFERROR((P5792/Q5792)*U5792,0)</f>
        <v>1142.82</v>
      </c>
      <c r="Y5792" s="393">
        <f>+IFERROR((Y5761/Q5792*P5792),0)</f>
        <v>0.46939999999999998</v>
      </c>
      <c r="Z5792" s="391">
        <f>Y5761*V5792</f>
        <v>53643.970799999996</v>
      </c>
      <c r="AA5792" s="86"/>
      <c r="AB5792" s="92">
        <f>+U5792*Y5792</f>
        <v>53643.970799999996</v>
      </c>
      <c r="AC5792" s="93">
        <f>+AB5792-Z5792</f>
        <v>0</v>
      </c>
      <c r="AD5792" s="94"/>
      <c r="AE5792" s="410" t="str">
        <f>+IF(V5792=0,"CERO","NO")</f>
        <v>NO</v>
      </c>
    </row>
    <row r="5793" spans="3:31" s="260" customFormat="1" ht="15.75" thickBot="1" x14ac:dyDescent="0.3">
      <c r="C5793" s="84"/>
      <c r="D5793" s="380"/>
      <c r="E5793" s="381"/>
      <c r="F5793" s="381"/>
      <c r="G5793" s="381"/>
      <c r="H5793" s="381"/>
      <c r="I5793" s="381"/>
      <c r="J5793" s="382"/>
      <c r="K5793" s="88"/>
      <c r="M5793" s="102">
        <v>0</v>
      </c>
      <c r="N5793" s="347"/>
      <c r="O5793" s="79"/>
      <c r="P5793" s="423"/>
      <c r="Q5793" s="81"/>
      <c r="R5793" s="111"/>
      <c r="S5793" s="357"/>
      <c r="T5793" s="111"/>
      <c r="U5793" s="388"/>
      <c r="V5793" s="426"/>
      <c r="Y5793" s="393">
        <f>+IFERROR((Y5761/Q5793*P5793),0)</f>
        <v>0</v>
      </c>
      <c r="Z5793" s="391">
        <f>Y5761*V5793</f>
        <v>0</v>
      </c>
      <c r="AA5793" s="86"/>
      <c r="AB5793" s="92">
        <f>+(U5793)*Y5793*P5793</f>
        <v>0</v>
      </c>
      <c r="AC5793" s="93">
        <f>+AB5793-Z5793</f>
        <v>0</v>
      </c>
      <c r="AD5793" s="94"/>
      <c r="AE5793" s="410" t="str">
        <f>+IF(V5793=0,"CERO","NO")</f>
        <v>CERO</v>
      </c>
    </row>
    <row r="5794" spans="3:31" s="260" customFormat="1" ht="15.75" thickBot="1" x14ac:dyDescent="0.3">
      <c r="C5794" s="84"/>
      <c r="D5794" s="375" t="s">
        <v>128</v>
      </c>
      <c r="E5794" s="376" t="s">
        <v>129</v>
      </c>
      <c r="F5794" s="376" t="s">
        <v>130</v>
      </c>
      <c r="G5794" s="376" t="s">
        <v>131</v>
      </c>
      <c r="H5794" s="376" t="s">
        <v>132</v>
      </c>
      <c r="I5794" s="376" t="s">
        <v>133</v>
      </c>
      <c r="J5794" s="377" t="s">
        <v>134</v>
      </c>
      <c r="K5794" s="88"/>
      <c r="M5794" s="534"/>
      <c r="N5794" s="536" t="s">
        <v>120</v>
      </c>
      <c r="O5794" s="536"/>
      <c r="P5794" s="536"/>
      <c r="Q5794" s="536"/>
      <c r="R5794" s="536"/>
      <c r="S5794" s="536"/>
      <c r="T5794" s="536"/>
      <c r="U5794" s="536"/>
      <c r="V5794" s="82">
        <f>+SUM(V5791:V5793)</f>
        <v>2675.27</v>
      </c>
      <c r="Y5794" s="398" t="s">
        <v>135</v>
      </c>
      <c r="Z5794" s="397">
        <f>+SUM(Z5791:Z5793)</f>
        <v>125577.17379999999</v>
      </c>
      <c r="AA5794" s="86"/>
      <c r="AB5794" s="384"/>
      <c r="AC5794" s="385"/>
      <c r="AD5794" s="94"/>
      <c r="AE5794" s="399"/>
    </row>
    <row r="5795" spans="3:31" s="260" customFormat="1" ht="15.75" thickBot="1" x14ac:dyDescent="0.3">
      <c r="C5795" s="84"/>
      <c r="D5795" s="354"/>
      <c r="E5795" s="96"/>
      <c r="F5795" s="96"/>
      <c r="G5795" s="107">
        <f>+F5788</f>
        <v>6.08</v>
      </c>
      <c r="H5795" s="96"/>
      <c r="I5795" s="96"/>
      <c r="J5795" s="427"/>
      <c r="K5795" s="88"/>
      <c r="M5795" s="535"/>
      <c r="N5795" s="537" t="s">
        <v>121</v>
      </c>
      <c r="O5795" s="537"/>
      <c r="P5795" s="537"/>
      <c r="Q5795" s="537"/>
      <c r="R5795" s="537"/>
      <c r="S5795" s="537"/>
      <c r="T5795" s="537"/>
      <c r="U5795" s="537"/>
      <c r="V5795" s="413">
        <f>+ROUND(V5794,$AA$5)</f>
        <v>2675.27</v>
      </c>
      <c r="Y5795" s="401" t="s">
        <v>136</v>
      </c>
      <c r="Z5795" s="402">
        <f>+ROUND(Z5794,$AA$5)</f>
        <v>125577.17</v>
      </c>
      <c r="AA5795" s="86"/>
      <c r="AB5795" s="403">
        <f>+V5795*Y5761</f>
        <v>125577.17379999999</v>
      </c>
      <c r="AC5795" s="404">
        <f>+AB5795-Z5795</f>
        <v>3.799999991315417E-3</v>
      </c>
      <c r="AD5795" s="94"/>
      <c r="AE5795" s="405"/>
    </row>
    <row r="5796" spans="3:31" s="260" customFormat="1" ht="15.75" thickBot="1" x14ac:dyDescent="0.3">
      <c r="C5796" s="84"/>
      <c r="D5796" s="375" t="s">
        <v>128</v>
      </c>
      <c r="E5796" s="376" t="s">
        <v>129</v>
      </c>
      <c r="F5796" s="376" t="s">
        <v>130</v>
      </c>
      <c r="G5796" s="376" t="s">
        <v>131</v>
      </c>
      <c r="H5796" s="376" t="s">
        <v>132</v>
      </c>
      <c r="I5796" s="376" t="s">
        <v>133</v>
      </c>
      <c r="J5796" s="377" t="s">
        <v>134</v>
      </c>
      <c r="K5796" s="88"/>
      <c r="M5796" s="541"/>
      <c r="N5796" s="542"/>
      <c r="O5796" s="542"/>
      <c r="P5796" s="542"/>
      <c r="Q5796" s="542"/>
      <c r="R5796" s="542"/>
      <c r="S5796" s="542"/>
      <c r="T5796" s="542"/>
      <c r="U5796" s="542"/>
      <c r="V5796" s="543"/>
      <c r="Y5796" s="378"/>
      <c r="Z5796" s="121"/>
      <c r="AA5796" s="86"/>
      <c r="AB5796" s="409"/>
      <c r="AC5796" s="121"/>
      <c r="AD5796" s="94"/>
      <c r="AE5796" s="428"/>
    </row>
    <row r="5797" spans="3:31" s="260" customFormat="1" ht="15.75" thickBot="1" x14ac:dyDescent="0.3">
      <c r="C5797" s="84"/>
      <c r="D5797" s="355"/>
      <c r="E5797" s="367"/>
      <c r="F5797" s="367"/>
      <c r="G5797" s="367"/>
      <c r="H5797" s="412">
        <f>G5795</f>
        <v>6.08</v>
      </c>
      <c r="I5797" s="412"/>
      <c r="J5797" s="422"/>
      <c r="K5797" s="88"/>
      <c r="M5797" s="544" t="s">
        <v>122</v>
      </c>
      <c r="N5797" s="537"/>
      <c r="O5797" s="537"/>
      <c r="P5797" s="537"/>
      <c r="Q5797" s="537"/>
      <c r="R5797" s="537"/>
      <c r="S5797" s="537"/>
      <c r="T5797" s="537"/>
      <c r="U5797" s="545">
        <f>+V5795+V5788+V5780+V5771</f>
        <v>60136.56</v>
      </c>
      <c r="V5797" s="546"/>
      <c r="Y5797" s="429"/>
      <c r="Z5797" s="430">
        <f>+Z5795+Z5788+Z5780+Z5771</f>
        <v>2822810.4</v>
      </c>
      <c r="AA5797" s="86"/>
      <c r="AB5797" s="431">
        <f>+AB5795+AB5788+AB5780+AB5771</f>
        <v>2822810.1264</v>
      </c>
      <c r="AC5797" s="404">
        <f>+AB5797-Z5797</f>
        <v>-0.27359999995678663</v>
      </c>
      <c r="AD5797" s="94"/>
      <c r="AE5797" s="432"/>
    </row>
    <row r="5798" spans="3:31" s="260" customFormat="1" ht="15.75" thickBot="1" x14ac:dyDescent="0.3"/>
    <row r="5799" spans="3:31" s="260" customFormat="1" x14ac:dyDescent="0.25">
      <c r="M5799" s="547" t="s">
        <v>348</v>
      </c>
      <c r="N5799" s="548"/>
      <c r="O5799" s="548"/>
      <c r="P5799" s="548"/>
      <c r="Q5799" s="548"/>
      <c r="R5799" s="548"/>
      <c r="S5799" s="548"/>
      <c r="T5799" s="548"/>
      <c r="U5799" s="548"/>
      <c r="V5799" s="549"/>
      <c r="Y5799" s="378"/>
      <c r="Z5799" s="121"/>
      <c r="AA5799" s="86"/>
      <c r="AB5799" s="94"/>
      <c r="AC5799" s="94"/>
      <c r="AD5799" s="94"/>
      <c r="AE5799" s="126" t="s">
        <v>133</v>
      </c>
    </row>
    <row r="5800" spans="3:31" s="260" customFormat="1" x14ac:dyDescent="0.25">
      <c r="M5800" s="515" t="s">
        <v>138</v>
      </c>
      <c r="N5800" s="516"/>
      <c r="O5800" s="516"/>
      <c r="P5800" s="516"/>
      <c r="Q5800" s="516"/>
      <c r="R5800" s="516"/>
      <c r="S5800" s="516"/>
      <c r="T5800" s="437">
        <v>0</v>
      </c>
      <c r="U5800" s="517">
        <f>+ROUND(U5797*T5800,$AA$5)</f>
        <v>0</v>
      </c>
      <c r="V5800" s="518"/>
      <c r="Y5800" s="390"/>
      <c r="Z5800" s="438">
        <f>+Z5797*T5800</f>
        <v>0</v>
      </c>
      <c r="AA5800" s="86"/>
      <c r="AB5800" s="94"/>
      <c r="AC5800" s="94"/>
      <c r="AD5800" s="94"/>
      <c r="AE5800" s="386" t="s">
        <v>133</v>
      </c>
    </row>
    <row r="5801" spans="3:31" s="260" customFormat="1" x14ac:dyDescent="0.25">
      <c r="M5801" s="515" t="s">
        <v>19</v>
      </c>
      <c r="N5801" s="516"/>
      <c r="O5801" s="516"/>
      <c r="P5801" s="516"/>
      <c r="Q5801" s="516"/>
      <c r="R5801" s="516"/>
      <c r="S5801" s="516"/>
      <c r="T5801" s="437">
        <v>0.05</v>
      </c>
      <c r="U5801" s="517">
        <f>+ROUND(U5797*T5801,$AA$5)</f>
        <v>3006.83</v>
      </c>
      <c r="V5801" s="518"/>
      <c r="Y5801" s="390"/>
      <c r="Z5801" s="438">
        <f>+Z5797*T5801</f>
        <v>141140.51999999999</v>
      </c>
      <c r="AA5801" s="86"/>
      <c r="AB5801" s="94"/>
      <c r="AC5801" s="94"/>
      <c r="AD5801" s="94"/>
      <c r="AE5801" s="386" t="s">
        <v>133</v>
      </c>
    </row>
    <row r="5802" spans="3:31" s="260" customFormat="1" x14ac:dyDescent="0.25">
      <c r="M5802" s="515" t="s">
        <v>20</v>
      </c>
      <c r="N5802" s="516"/>
      <c r="O5802" s="516"/>
      <c r="P5802" s="516"/>
      <c r="Q5802" s="516"/>
      <c r="R5802" s="516"/>
      <c r="S5802" s="516"/>
      <c r="T5802" s="437">
        <v>0</v>
      </c>
      <c r="U5802" s="517">
        <f>+ROUND(U5797*T5802,$AA$5)</f>
        <v>0</v>
      </c>
      <c r="V5802" s="518"/>
      <c r="Y5802" s="390"/>
      <c r="Z5802" s="438">
        <f>+Z5797*T5802</f>
        <v>0</v>
      </c>
      <c r="AA5802" s="86"/>
      <c r="AB5802" s="94"/>
      <c r="AC5802" s="94"/>
      <c r="AD5802" s="94"/>
      <c r="AE5802" s="386" t="s">
        <v>133</v>
      </c>
    </row>
    <row r="5803" spans="3:31" s="260" customFormat="1" x14ac:dyDescent="0.25">
      <c r="M5803" s="515" t="s">
        <v>21</v>
      </c>
      <c r="N5803" s="516"/>
      <c r="O5803" s="516"/>
      <c r="P5803" s="516"/>
      <c r="Q5803" s="516"/>
      <c r="R5803" s="516"/>
      <c r="S5803" s="516"/>
      <c r="T5803" s="437">
        <f>$AA$9</f>
        <v>0</v>
      </c>
      <c r="U5803" s="517">
        <f>+ROUND(U5797*T5803,$AA$5)</f>
        <v>0</v>
      </c>
      <c r="V5803" s="518"/>
      <c r="Y5803" s="390"/>
      <c r="Z5803" s="438">
        <f>+Z5802*T5803</f>
        <v>0</v>
      </c>
      <c r="AA5803" s="86"/>
      <c r="AB5803" s="94"/>
      <c r="AC5803" s="94"/>
      <c r="AD5803" s="94"/>
      <c r="AE5803" s="386" t="s">
        <v>133</v>
      </c>
    </row>
    <row r="5804" spans="3:31" s="260" customFormat="1" ht="15.75" thickBot="1" x14ac:dyDescent="0.3">
      <c r="M5804" s="519" t="s">
        <v>349</v>
      </c>
      <c r="N5804" s="520"/>
      <c r="O5804" s="520"/>
      <c r="P5804" s="520"/>
      <c r="Q5804" s="520"/>
      <c r="R5804" s="520"/>
      <c r="S5804" s="520"/>
      <c r="T5804" s="520"/>
      <c r="U5804" s="521">
        <f>+SUM(U5800:V5803)</f>
        <v>3006.83</v>
      </c>
      <c r="V5804" s="522"/>
      <c r="Y5804" s="390"/>
      <c r="Z5804" s="439">
        <f>+SUM(Z5800:Z5803)</f>
        <v>141140.51999999999</v>
      </c>
      <c r="AA5804" s="86"/>
      <c r="AB5804" s="94"/>
      <c r="AC5804" s="94"/>
      <c r="AD5804" s="94"/>
      <c r="AE5804" s="386" t="s">
        <v>133</v>
      </c>
    </row>
    <row r="5805" spans="3:31" s="260" customFormat="1" ht="15.75" thickBot="1" x14ac:dyDescent="0.3">
      <c r="D5805" s="375" t="s">
        <v>128</v>
      </c>
      <c r="E5805" s="376" t="s">
        <v>129</v>
      </c>
      <c r="F5805" s="376" t="s">
        <v>130</v>
      </c>
      <c r="G5805" s="376" t="s">
        <v>131</v>
      </c>
      <c r="H5805" s="376" t="s">
        <v>132</v>
      </c>
      <c r="I5805" s="376" t="s">
        <v>133</v>
      </c>
      <c r="J5805" s="377" t="s">
        <v>134</v>
      </c>
      <c r="M5805" s="86"/>
      <c r="N5805" s="94"/>
      <c r="O5805" s="94"/>
      <c r="P5805" s="94"/>
      <c r="Q5805" s="86"/>
      <c r="R5805" s="86"/>
      <c r="S5805" s="86"/>
      <c r="T5805" s="440"/>
      <c r="U5805" s="523"/>
      <c r="V5805" s="523"/>
      <c r="Y5805" s="390"/>
      <c r="Z5805" s="385"/>
      <c r="AA5805" s="86"/>
      <c r="AB5805" s="94"/>
      <c r="AC5805" s="94"/>
      <c r="AD5805" s="94"/>
      <c r="AE5805" s="386" t="s">
        <v>133</v>
      </c>
    </row>
    <row r="5806" spans="3:31" s="260" customFormat="1" ht="15.75" thickBot="1" x14ac:dyDescent="0.3">
      <c r="D5806" s="355"/>
      <c r="E5806" s="367"/>
      <c r="F5806" s="367"/>
      <c r="G5806" s="367"/>
      <c r="H5806" s="412"/>
      <c r="I5806" s="412">
        <f>H5797</f>
        <v>6.08</v>
      </c>
      <c r="J5806" s="422"/>
      <c r="M5806" s="524" t="s">
        <v>11</v>
      </c>
      <c r="N5806" s="525"/>
      <c r="O5806" s="525"/>
      <c r="P5806" s="525"/>
      <c r="Q5806" s="525"/>
      <c r="R5806" s="525"/>
      <c r="S5806" s="525"/>
      <c r="T5806" s="526"/>
      <c r="U5806" s="527">
        <f>+U5804+U5797</f>
        <v>63143.39</v>
      </c>
      <c r="V5806" s="528"/>
      <c r="Y5806" s="429"/>
      <c r="Z5806" s="441">
        <f>+Z5804+Z5797</f>
        <v>2963950.92</v>
      </c>
      <c r="AA5806" s="86"/>
      <c r="AB5806" s="94"/>
      <c r="AC5806" s="94"/>
      <c r="AD5806" s="94"/>
      <c r="AE5806" s="405" t="s">
        <v>133</v>
      </c>
    </row>
    <row r="5807" spans="3:31" s="260" customFormat="1" x14ac:dyDescent="0.25"/>
    <row r="5808" spans="3:31" s="260" customFormat="1" ht="15.75" thickBot="1" x14ac:dyDescent="0.3"/>
    <row r="5809" spans="3:31" s="260" customFormat="1" ht="15.75" thickBot="1" x14ac:dyDescent="0.3">
      <c r="M5809" s="363" t="s">
        <v>88</v>
      </c>
      <c r="N5809" s="436" t="str">
        <f>+N5760</f>
        <v>CAP.6</v>
      </c>
      <c r="O5809" s="550" t="str">
        <f>IFERROR(VLOOKUP(N5809,PPTO!C:H,2,0),"----")</f>
        <v>RED DE DRENAJE</v>
      </c>
      <c r="P5809" s="551"/>
      <c r="Q5809" s="551"/>
      <c r="R5809" s="551"/>
      <c r="S5809" s="551"/>
      <c r="T5809" s="551"/>
      <c r="U5809" s="552"/>
      <c r="V5809" s="74" t="s">
        <v>91</v>
      </c>
      <c r="Y5809" s="365" t="s">
        <v>104</v>
      </c>
      <c r="Z5809" s="94"/>
      <c r="AA5809" s="188"/>
      <c r="AB5809" s="553"/>
      <c r="AC5809" s="553"/>
      <c r="AD5809" s="553"/>
      <c r="AE5809" s="94"/>
    </row>
    <row r="5810" spans="3:31" s="260" customFormat="1" ht="15.75" thickBot="1" x14ac:dyDescent="0.3">
      <c r="C5810" s="369">
        <f>+N5810</f>
        <v>6.09</v>
      </c>
      <c r="D5810" s="86"/>
      <c r="E5810" s="86"/>
      <c r="F5810" s="86"/>
      <c r="G5810" s="86"/>
      <c r="H5810" s="86"/>
      <c r="I5810" s="86"/>
      <c r="J5810" s="86"/>
      <c r="K5810" s="370"/>
      <c r="M5810" s="75" t="s">
        <v>92</v>
      </c>
      <c r="N5810" s="371">
        <f>+ROUNDUP(N5761+0.01,2)</f>
        <v>6.09</v>
      </c>
      <c r="O5810" s="554" t="str">
        <f>IFERROR(VLOOKUP(N5810,PPTO!C:H,2,0),"----")</f>
        <v>Codo 45° PVC Ø4"</v>
      </c>
      <c r="P5810" s="555"/>
      <c r="Q5810" s="555"/>
      <c r="R5810" s="555"/>
      <c r="S5810" s="555"/>
      <c r="T5810" s="555"/>
      <c r="U5810" s="556"/>
      <c r="V5810" s="76" t="str">
        <f>IFERROR(VLOOKUP(N5810,PPTO!C:H,3,0),"----")</f>
        <v>UND</v>
      </c>
      <c r="Y5810" s="373">
        <f>SUMIFS(PPTO!F:F,PPTO!C:C,APUS!N5810)</f>
        <v>32</v>
      </c>
      <c r="Z5810" s="94"/>
      <c r="AA5810" s="86"/>
      <c r="AB5810" s="94"/>
      <c r="AC5810" s="94"/>
      <c r="AD5810" s="94"/>
      <c r="AE5810" s="94"/>
    </row>
    <row r="5811" spans="3:31" s="260" customFormat="1" ht="15.75" thickBot="1" x14ac:dyDescent="0.3">
      <c r="C5811" s="84"/>
      <c r="D5811" s="86"/>
      <c r="E5811" s="86"/>
      <c r="F5811" s="86"/>
      <c r="G5811" s="86"/>
      <c r="H5811" s="86"/>
      <c r="I5811" s="86"/>
      <c r="J5811" s="86"/>
      <c r="K5811" s="88"/>
      <c r="M5811" s="557"/>
      <c r="N5811" s="557"/>
      <c r="O5811" s="557"/>
      <c r="P5811" s="557"/>
      <c r="Q5811" s="557"/>
      <c r="R5811" s="557"/>
      <c r="S5811" s="557"/>
      <c r="T5811" s="557"/>
      <c r="U5811" s="557"/>
      <c r="V5811" s="557"/>
      <c r="Y5811" s="374"/>
      <c r="Z5811" s="94"/>
      <c r="AA5811" s="86"/>
      <c r="AB5811" s="94"/>
      <c r="AC5811" s="94"/>
      <c r="AD5811" s="94"/>
      <c r="AE5811" s="94"/>
    </row>
    <row r="5812" spans="3:31" s="260" customFormat="1" ht="15.75" thickBot="1" x14ac:dyDescent="0.3">
      <c r="C5812" s="84"/>
      <c r="D5812" s="375" t="s">
        <v>128</v>
      </c>
      <c r="E5812" s="376" t="s">
        <v>129</v>
      </c>
      <c r="F5812" s="376" t="s">
        <v>130</v>
      </c>
      <c r="G5812" s="376" t="s">
        <v>131</v>
      </c>
      <c r="H5812" s="376" t="s">
        <v>132</v>
      </c>
      <c r="I5812" s="376" t="s">
        <v>133</v>
      </c>
      <c r="J5812" s="377" t="s">
        <v>134</v>
      </c>
      <c r="K5812" s="88"/>
      <c r="M5812" s="558" t="s">
        <v>93</v>
      </c>
      <c r="N5812" s="559"/>
      <c r="O5812" s="559"/>
      <c r="P5812" s="559"/>
      <c r="Q5812" s="559"/>
      <c r="R5812" s="559"/>
      <c r="S5812" s="559"/>
      <c r="T5812" s="559"/>
      <c r="U5812" s="559"/>
      <c r="V5812" s="560"/>
      <c r="Y5812" s="378"/>
      <c r="Z5812" s="121"/>
      <c r="AA5812" s="86"/>
      <c r="AB5812" s="513"/>
      <c r="AC5812" s="514"/>
      <c r="AD5812" s="94"/>
      <c r="AE5812" s="379"/>
    </row>
    <row r="5813" spans="3:31" s="260" customFormat="1" x14ac:dyDescent="0.25">
      <c r="C5813" s="84"/>
      <c r="D5813" s="380"/>
      <c r="E5813" s="381"/>
      <c r="F5813" s="381"/>
      <c r="G5813" s="381"/>
      <c r="H5813" s="381"/>
      <c r="I5813" s="381"/>
      <c r="J5813" s="382"/>
      <c r="K5813" s="88"/>
      <c r="M5813" s="99" t="s">
        <v>94</v>
      </c>
      <c r="N5813" s="561" t="s">
        <v>95</v>
      </c>
      <c r="O5813" s="561"/>
      <c r="P5813" s="561"/>
      <c r="Q5813" s="561"/>
      <c r="R5813" s="95" t="s">
        <v>96</v>
      </c>
      <c r="S5813" s="95" t="s">
        <v>97</v>
      </c>
      <c r="T5813" s="562" t="s">
        <v>8</v>
      </c>
      <c r="U5813" s="562"/>
      <c r="V5813" s="100" t="s">
        <v>98</v>
      </c>
      <c r="Y5813" s="383" t="s">
        <v>104</v>
      </c>
      <c r="Z5813" s="119" t="s">
        <v>9</v>
      </c>
      <c r="AA5813" s="86"/>
      <c r="AB5813" s="384"/>
      <c r="AC5813" s="385"/>
      <c r="AD5813" s="94"/>
      <c r="AE5813" s="386"/>
    </row>
    <row r="5814" spans="3:31" s="260" customFormat="1" x14ac:dyDescent="0.25">
      <c r="C5814" s="84"/>
      <c r="D5814" s="85"/>
      <c r="E5814" s="86"/>
      <c r="F5814" s="86"/>
      <c r="G5814" s="86"/>
      <c r="H5814" s="86"/>
      <c r="I5814" s="86"/>
      <c r="J5814" s="87"/>
      <c r="K5814" s="88"/>
      <c r="M5814" s="102"/>
      <c r="N5814" s="533" t="s">
        <v>99</v>
      </c>
      <c r="O5814" s="533"/>
      <c r="P5814" s="533"/>
      <c r="Q5814" s="533"/>
      <c r="R5814" s="78" t="s">
        <v>100</v>
      </c>
      <c r="S5814" s="387">
        <f>+$AA$10</f>
        <v>0.05</v>
      </c>
      <c r="T5814" s="563">
        <f>V5844</f>
        <v>10701.08</v>
      </c>
      <c r="U5814" s="563"/>
      <c r="V5814" s="389">
        <f>+IFERROR(T5814*S5814,0)</f>
        <v>535.05399999999997</v>
      </c>
      <c r="Y5814" s="390"/>
      <c r="Z5814" s="391">
        <f>Y5810*V5814</f>
        <v>17121.727999999999</v>
      </c>
      <c r="AA5814" s="86"/>
      <c r="AB5814" s="384"/>
      <c r="AC5814" s="385"/>
      <c r="AD5814" s="94"/>
      <c r="AE5814" s="386" t="str">
        <f>+IF(V5814=0,"CERO","NO")</f>
        <v>NO</v>
      </c>
    </row>
    <row r="5815" spans="3:31" s="260" customFormat="1" x14ac:dyDescent="0.25">
      <c r="C5815" s="84"/>
      <c r="D5815" s="85"/>
      <c r="E5815" s="86"/>
      <c r="F5815" s="86"/>
      <c r="G5815" s="86"/>
      <c r="H5815" s="86"/>
      <c r="I5815" s="86"/>
      <c r="J5815" s="87"/>
      <c r="K5815" s="88"/>
      <c r="M5815" s="106"/>
      <c r="N5815" s="533" t="str">
        <f>IFERROR(VLOOKUP(M5815,INSUMOS!$C$8:$K$928,2,0),"-----")</f>
        <v>-----</v>
      </c>
      <c r="O5815" s="533"/>
      <c r="P5815" s="533"/>
      <c r="Q5815" s="533"/>
      <c r="R5815" s="78" t="str">
        <f>IFERROR(VLOOKUP(M5815,INSUMOS!$C$8:$K$928,6,0),"-----")</f>
        <v>-----</v>
      </c>
      <c r="S5815" s="392"/>
      <c r="T5815" s="529" t="str">
        <f>IFERROR(VLOOKUP(M5815,INSUMOS!$C$8:$K$928,7,0),"0")</f>
        <v>0</v>
      </c>
      <c r="U5815" s="529"/>
      <c r="V5815" s="389">
        <f>+IFERROR(T5815*S5815,0)</f>
        <v>0</v>
      </c>
      <c r="Y5815" s="393">
        <f>+IFERROR(Y5810*S5815,0)</f>
        <v>0</v>
      </c>
      <c r="Z5815" s="391">
        <f>Y5810*V5815</f>
        <v>0</v>
      </c>
      <c r="AA5815" s="394"/>
      <c r="AB5815" s="395">
        <f>+Y5815*T5815</f>
        <v>0</v>
      </c>
      <c r="AC5815" s="93">
        <f>+AB5815-Z5815</f>
        <v>0</v>
      </c>
      <c r="AD5815" s="94"/>
      <c r="AE5815" s="386" t="str">
        <f>+IF(V5815=0,"CERO","NO")</f>
        <v>CERO</v>
      </c>
    </row>
    <row r="5816" spans="3:31" s="260" customFormat="1" x14ac:dyDescent="0.25">
      <c r="C5816" s="84"/>
      <c r="D5816" s="85"/>
      <c r="E5816" s="86"/>
      <c r="F5816" s="86"/>
      <c r="G5816" s="86"/>
      <c r="H5816" s="86"/>
      <c r="I5816" s="86"/>
      <c r="J5816" s="87"/>
      <c r="K5816" s="88"/>
      <c r="M5816" s="102">
        <v>0</v>
      </c>
      <c r="N5816" s="533"/>
      <c r="O5816" s="533"/>
      <c r="P5816" s="533"/>
      <c r="Q5816" s="533"/>
      <c r="R5816" s="78"/>
      <c r="S5816" s="396"/>
      <c r="T5816" s="529"/>
      <c r="U5816" s="529"/>
      <c r="V5816" s="397"/>
      <c r="Y5816" s="393">
        <f>+IFERROR(Y5810*S5816,0)</f>
        <v>0</v>
      </c>
      <c r="Z5816" s="391">
        <f>Y5810*V5816</f>
        <v>0</v>
      </c>
      <c r="AA5816" s="394"/>
      <c r="AB5816" s="395">
        <f>+Y5816*T5816</f>
        <v>0</v>
      </c>
      <c r="AC5816" s="93">
        <f>+AB5816-Z5816</f>
        <v>0</v>
      </c>
      <c r="AD5816" s="94"/>
      <c r="AE5816" s="386" t="str">
        <f>+IF(V5816=0,"CERO","NO")</f>
        <v>CERO</v>
      </c>
    </row>
    <row r="5817" spans="3:31" s="260" customFormat="1" x14ac:dyDescent="0.25">
      <c r="C5817" s="84"/>
      <c r="D5817" s="85"/>
      <c r="E5817" s="86"/>
      <c r="F5817" s="86"/>
      <c r="G5817" s="86"/>
      <c r="H5817" s="86"/>
      <c r="I5817" s="86"/>
      <c r="J5817" s="87"/>
      <c r="K5817" s="88"/>
      <c r="M5817" s="102">
        <v>0</v>
      </c>
      <c r="N5817" s="533"/>
      <c r="O5817" s="533"/>
      <c r="P5817" s="533"/>
      <c r="Q5817" s="533"/>
      <c r="R5817" s="78"/>
      <c r="S5817" s="396"/>
      <c r="T5817" s="529"/>
      <c r="U5817" s="529"/>
      <c r="V5817" s="397"/>
      <c r="Y5817" s="393">
        <f>+IFERROR(Y5810*S5817,0)</f>
        <v>0</v>
      </c>
      <c r="Z5817" s="391">
        <f>Y5810*V5817</f>
        <v>0</v>
      </c>
      <c r="AA5817" s="394"/>
      <c r="AB5817" s="395">
        <f>+Y5817*T5817</f>
        <v>0</v>
      </c>
      <c r="AC5817" s="93">
        <f>+AB5817-Z5817</f>
        <v>0</v>
      </c>
      <c r="AD5817" s="94"/>
      <c r="AE5817" s="386" t="str">
        <f>+IF(V5817=0,"CERO","NO")</f>
        <v>CERO</v>
      </c>
    </row>
    <row r="5818" spans="3:31" s="260" customFormat="1" ht="15.75" thickBot="1" x14ac:dyDescent="0.3">
      <c r="C5818" s="84"/>
      <c r="D5818" s="85"/>
      <c r="E5818" s="86"/>
      <c r="F5818" s="86"/>
      <c r="G5818" s="86"/>
      <c r="H5818" s="86"/>
      <c r="I5818" s="86"/>
      <c r="J5818" s="87"/>
      <c r="K5818" s="88"/>
      <c r="M5818" s="102">
        <v>0</v>
      </c>
      <c r="N5818" s="564"/>
      <c r="O5818" s="564"/>
      <c r="P5818" s="564"/>
      <c r="Q5818" s="564"/>
      <c r="R5818" s="96"/>
      <c r="S5818" s="96"/>
      <c r="T5818" s="565"/>
      <c r="U5818" s="565"/>
      <c r="V5818" s="101"/>
      <c r="Y5818" s="393">
        <f>+IFERROR(Y5810*S5818,0)</f>
        <v>0</v>
      </c>
      <c r="Z5818" s="391">
        <f>Y5810*V5818</f>
        <v>0</v>
      </c>
      <c r="AA5818" s="394"/>
      <c r="AB5818" s="395">
        <f>+Y5818*T5818</f>
        <v>0</v>
      </c>
      <c r="AC5818" s="93">
        <f>+AB5818-Z5818</f>
        <v>0</v>
      </c>
      <c r="AD5818" s="94"/>
      <c r="AE5818" s="386" t="str">
        <f>+IF(V5818=0,"CERO","NO")</f>
        <v>CERO</v>
      </c>
    </row>
    <row r="5819" spans="3:31" s="260" customFormat="1" ht="15.75" thickBot="1" x14ac:dyDescent="0.3">
      <c r="C5819" s="84"/>
      <c r="D5819" s="375" t="s">
        <v>128</v>
      </c>
      <c r="E5819" s="376" t="s">
        <v>129</v>
      </c>
      <c r="F5819" s="376" t="s">
        <v>130</v>
      </c>
      <c r="G5819" s="376" t="s">
        <v>131</v>
      </c>
      <c r="H5819" s="376" t="s">
        <v>132</v>
      </c>
      <c r="I5819" s="376" t="s">
        <v>133</v>
      </c>
      <c r="J5819" s="377" t="s">
        <v>134</v>
      </c>
      <c r="K5819" s="88"/>
      <c r="M5819" s="534"/>
      <c r="N5819" s="536" t="s">
        <v>101</v>
      </c>
      <c r="O5819" s="536"/>
      <c r="P5819" s="536"/>
      <c r="Q5819" s="536"/>
      <c r="R5819" s="536"/>
      <c r="S5819" s="536"/>
      <c r="T5819" s="536"/>
      <c r="U5819" s="536"/>
      <c r="V5819" s="389">
        <f>+SUM(V5814:V5818)</f>
        <v>535.05399999999997</v>
      </c>
      <c r="Y5819" s="398" t="s">
        <v>135</v>
      </c>
      <c r="Z5819" s="397">
        <f>+SUM(Z5814:Z5818)</f>
        <v>17121.727999999999</v>
      </c>
      <c r="AA5819" s="86"/>
      <c r="AB5819" s="384"/>
      <c r="AC5819" s="385"/>
      <c r="AD5819" s="94"/>
      <c r="AE5819" s="399"/>
    </row>
    <row r="5820" spans="3:31" s="260" customFormat="1" ht="15.75" thickBot="1" x14ac:dyDescent="0.3">
      <c r="C5820" s="84"/>
      <c r="D5820" s="375">
        <f>C5810</f>
        <v>6.09</v>
      </c>
      <c r="E5820" s="376"/>
      <c r="F5820" s="376"/>
      <c r="G5820" s="376"/>
      <c r="H5820" s="376"/>
      <c r="I5820" s="376"/>
      <c r="J5820" s="377"/>
      <c r="K5820" s="88"/>
      <c r="M5820" s="566"/>
      <c r="N5820" s="567" t="s">
        <v>102</v>
      </c>
      <c r="O5820" s="567"/>
      <c r="P5820" s="567"/>
      <c r="Q5820" s="567"/>
      <c r="R5820" s="567"/>
      <c r="S5820" s="567"/>
      <c r="T5820" s="567"/>
      <c r="U5820" s="567"/>
      <c r="V5820" s="400">
        <f>+ROUND(V5819,$AA$5)</f>
        <v>535.04999999999995</v>
      </c>
      <c r="Y5820" s="401" t="s">
        <v>136</v>
      </c>
      <c r="Z5820" s="402">
        <f>+ROUND(Z5819,$AA$5)</f>
        <v>17121.73</v>
      </c>
      <c r="AA5820" s="86"/>
      <c r="AB5820" s="403">
        <f>+V5820*Y5810</f>
        <v>17121.599999999999</v>
      </c>
      <c r="AC5820" s="404">
        <f>+AB5820-Z5820</f>
        <v>-0.13000000000101863</v>
      </c>
      <c r="AD5820" s="94"/>
      <c r="AE5820" s="405"/>
    </row>
    <row r="5821" spans="3:31" s="260" customFormat="1" x14ac:dyDescent="0.25">
      <c r="C5821" s="84"/>
      <c r="D5821" s="380"/>
      <c r="E5821" s="381"/>
      <c r="F5821" s="381"/>
      <c r="G5821" s="381"/>
      <c r="H5821" s="381"/>
      <c r="I5821" s="381"/>
      <c r="J5821" s="382"/>
      <c r="K5821" s="88"/>
      <c r="M5821" s="510" t="s">
        <v>103</v>
      </c>
      <c r="N5821" s="511"/>
      <c r="O5821" s="511"/>
      <c r="P5821" s="511"/>
      <c r="Q5821" s="511"/>
      <c r="R5821" s="511"/>
      <c r="S5821" s="511"/>
      <c r="T5821" s="511"/>
      <c r="U5821" s="511"/>
      <c r="V5821" s="512"/>
      <c r="Y5821" s="378"/>
      <c r="Z5821" s="121"/>
      <c r="AA5821" s="86"/>
      <c r="AB5821" s="513"/>
      <c r="AC5821" s="514"/>
      <c r="AD5821" s="94"/>
      <c r="AE5821" s="126"/>
    </row>
    <row r="5822" spans="3:31" s="260" customFormat="1" x14ac:dyDescent="0.25">
      <c r="C5822" s="84"/>
      <c r="D5822" s="85"/>
      <c r="E5822" s="86"/>
      <c r="F5822" s="86"/>
      <c r="G5822" s="86"/>
      <c r="H5822" s="86"/>
      <c r="I5822" s="86"/>
      <c r="J5822" s="87"/>
      <c r="K5822" s="88"/>
      <c r="M5822" s="99" t="s">
        <v>94</v>
      </c>
      <c r="N5822" s="561" t="s">
        <v>95</v>
      </c>
      <c r="O5822" s="561"/>
      <c r="P5822" s="561"/>
      <c r="Q5822" s="561"/>
      <c r="R5822" s="95" t="s">
        <v>96</v>
      </c>
      <c r="S5822" s="95" t="s">
        <v>104</v>
      </c>
      <c r="T5822" s="356" t="s">
        <v>105</v>
      </c>
      <c r="U5822" s="356" t="s">
        <v>8</v>
      </c>
      <c r="V5822" s="100" t="s">
        <v>98</v>
      </c>
      <c r="Y5822" s="383" t="s">
        <v>104</v>
      </c>
      <c r="Z5822" s="119" t="s">
        <v>9</v>
      </c>
      <c r="AA5822" s="86"/>
      <c r="AB5822" s="384"/>
      <c r="AC5822" s="385"/>
      <c r="AD5822" s="94"/>
      <c r="AE5822" s="406"/>
    </row>
    <row r="5823" spans="3:31" s="260" customFormat="1" x14ac:dyDescent="0.25">
      <c r="C5823" s="84"/>
      <c r="D5823" s="85"/>
      <c r="E5823" s="86"/>
      <c r="F5823" s="86"/>
      <c r="G5823" s="86"/>
      <c r="H5823" s="86"/>
      <c r="I5823" s="86"/>
      <c r="J5823" s="87"/>
      <c r="K5823" s="88"/>
      <c r="M5823" s="102">
        <v>537</v>
      </c>
      <c r="N5823" s="533" t="str">
        <f>IFERROR(VLOOKUP(M5823,INSUMOS!$C$8:$K$928,2,0),"-----")</f>
        <v>CODO 4" 45° SANITARIO</v>
      </c>
      <c r="O5823" s="533"/>
      <c r="P5823" s="533"/>
      <c r="Q5823" s="533"/>
      <c r="R5823" s="78" t="str">
        <f>IFERROR(VLOOKUP(M5823,INSUMOS!$C$8:$K$928,6,0),"-----")</f>
        <v>und</v>
      </c>
      <c r="S5823" s="396">
        <v>1</v>
      </c>
      <c r="T5823" s="387">
        <v>0</v>
      </c>
      <c r="U5823" s="388">
        <f>IFERROR(VLOOKUP(M5823,INSUMOS!$C$8:$K$928,7,0),"0")</f>
        <v>20092</v>
      </c>
      <c r="V5823" s="389">
        <f>+IFERROR(U5823*(S5823*(1+T5823)),0)</f>
        <v>20092</v>
      </c>
      <c r="Y5823" s="393">
        <f>+IFERROR(Y5810*(S5823*(1+T5823)),0)</f>
        <v>32</v>
      </c>
      <c r="Z5823" s="391">
        <f>Y5810*V5823</f>
        <v>642944</v>
      </c>
      <c r="AA5823" s="394"/>
      <c r="AB5823" s="395">
        <f>+Y5823*U5823</f>
        <v>642944</v>
      </c>
      <c r="AC5823" s="93">
        <f>+AB5823-Z5823</f>
        <v>0</v>
      </c>
      <c r="AD5823" s="94"/>
      <c r="AE5823" s="406" t="str">
        <f>+IF(V5823=0,"CERO","NO")</f>
        <v>NO</v>
      </c>
    </row>
    <row r="5824" spans="3:31" s="260" customFormat="1" x14ac:dyDescent="0.25">
      <c r="C5824" s="84"/>
      <c r="D5824" s="85"/>
      <c r="E5824" s="86"/>
      <c r="F5824" s="86"/>
      <c r="G5824" s="86"/>
      <c r="H5824" s="86"/>
      <c r="I5824" s="86"/>
      <c r="J5824" s="87"/>
      <c r="K5824" s="88"/>
      <c r="M5824" s="102">
        <v>699</v>
      </c>
      <c r="N5824" s="533" t="str">
        <f>IFERROR(VLOOKUP(M5824,INSUMOS!$C$8:$K$928,2,0),"-----")</f>
        <v>SOLDADURA PVC LIQUIDA 1/4"</v>
      </c>
      <c r="O5824" s="533"/>
      <c r="P5824" s="533"/>
      <c r="Q5824" s="533"/>
      <c r="R5824" s="78" t="str">
        <f>IFERROR(VLOOKUP(M5824,INSUMOS!$C$8:$K$928,6,0),"-----")</f>
        <v>und</v>
      </c>
      <c r="S5824" s="396">
        <v>0.01</v>
      </c>
      <c r="T5824" s="387">
        <v>0.02</v>
      </c>
      <c r="U5824" s="388">
        <f>IFERROR(VLOOKUP(M5824,INSUMOS!$C$8:$K$928,7,0),"0")</f>
        <v>146569</v>
      </c>
      <c r="V5824" s="389">
        <f>+IFERROR(U5824*(S5824*(1+T5824)),0)</f>
        <v>1495.0038000000002</v>
      </c>
      <c r="Y5824" s="393">
        <f>+IFERROR(Y5810*(S5824*(1+T5824)),0)</f>
        <v>0.32640000000000002</v>
      </c>
      <c r="Z5824" s="391">
        <f>Y5810*V5824</f>
        <v>47840.121600000006</v>
      </c>
      <c r="AA5824" s="394"/>
      <c r="AB5824" s="395">
        <f>+Y5824*U5824</f>
        <v>47840.121600000006</v>
      </c>
      <c r="AC5824" s="93">
        <f>+AB5824-Z5824</f>
        <v>0</v>
      </c>
      <c r="AD5824" s="94"/>
      <c r="AE5824" s="406" t="str">
        <f>+IF(V5824=0,"CERO","NO")</f>
        <v>NO</v>
      </c>
    </row>
    <row r="5825" spans="3:31" s="260" customFormat="1" x14ac:dyDescent="0.25">
      <c r="C5825" s="84"/>
      <c r="D5825" s="85"/>
      <c r="E5825" s="86"/>
      <c r="F5825" s="86"/>
      <c r="G5825" s="86"/>
      <c r="H5825" s="86"/>
      <c r="I5825" s="86"/>
      <c r="J5825" s="87"/>
      <c r="K5825" s="88"/>
      <c r="M5825" s="102">
        <v>700</v>
      </c>
      <c r="N5825" s="533" t="str">
        <f>IFERROR(VLOOKUP(M5825,INSUMOS!$C$8:$K$928,2,0),"-----")</f>
        <v>LIMPIADOR PVC 1/4</v>
      </c>
      <c r="O5825" s="533"/>
      <c r="P5825" s="533"/>
      <c r="Q5825" s="533"/>
      <c r="R5825" s="78" t="str">
        <f>IFERROR(VLOOKUP(M5825,INSUMOS!$C$8:$K$928,6,0),"-----")</f>
        <v>und</v>
      </c>
      <c r="S5825" s="396">
        <v>0.01</v>
      </c>
      <c r="T5825" s="387">
        <v>0.02</v>
      </c>
      <c r="U5825" s="388">
        <f>IFERROR(VLOOKUP(M5825,INSUMOS!$C$8:$K$928,7,0),"0")</f>
        <v>65913</v>
      </c>
      <c r="V5825" s="389">
        <f>+IFERROR(U5825*(S5825*(1+T5825)),0)</f>
        <v>672.31260000000009</v>
      </c>
      <c r="Y5825" s="393">
        <f>+IFERROR(Y5810*(S5825*(1+T5825)),0)</f>
        <v>0.32640000000000002</v>
      </c>
      <c r="Z5825" s="391">
        <f>Y5810*V5825</f>
        <v>21514.003200000003</v>
      </c>
      <c r="AA5825" s="394"/>
      <c r="AB5825" s="395">
        <f>+Y5825*U5825</f>
        <v>21514.003200000003</v>
      </c>
      <c r="AC5825" s="93">
        <f>+AB5825-Z5825</f>
        <v>0</v>
      </c>
      <c r="AD5825" s="94"/>
      <c r="AE5825" s="406" t="str">
        <f>+IF(V5825=0,"CERO","NO")</f>
        <v>NO</v>
      </c>
    </row>
    <row r="5826" spans="3:31" s="260" customFormat="1" x14ac:dyDescent="0.25">
      <c r="C5826" s="84"/>
      <c r="D5826" s="85"/>
      <c r="E5826" s="86"/>
      <c r="F5826" s="86"/>
      <c r="G5826" s="86"/>
      <c r="H5826" s="86"/>
      <c r="I5826" s="86"/>
      <c r="J5826" s="87"/>
      <c r="K5826" s="88"/>
      <c r="M5826" s="102"/>
      <c r="N5826" s="533" t="str">
        <f>IFERROR(VLOOKUP(M5826,INSUMOS!$C$8:$K$928,2,0),"-----")</f>
        <v>-----</v>
      </c>
      <c r="O5826" s="533"/>
      <c r="P5826" s="533"/>
      <c r="Q5826" s="533"/>
      <c r="R5826" s="78" t="str">
        <f>IFERROR(VLOOKUP(M5826,INSUMOS!$C$8:$K$928,6,0),"-----")</f>
        <v>-----</v>
      </c>
      <c r="S5826" s="396"/>
      <c r="T5826" s="387"/>
      <c r="U5826" s="388" t="str">
        <f>IFERROR(VLOOKUP(M5826,INSUMOS!$C$8:$K$928,7,0),"0")</f>
        <v>0</v>
      </c>
      <c r="V5826" s="389">
        <f>+IFERROR(U5826*(S5826*(1+T5826)),0)</f>
        <v>0</v>
      </c>
      <c r="Y5826" s="393">
        <f>+IFERROR(Y5810*(S5826*(1+T5826)),0)</f>
        <v>0</v>
      </c>
      <c r="Z5826" s="391">
        <f>Y5810*V5826</f>
        <v>0</v>
      </c>
      <c r="AA5826" s="394"/>
      <c r="AB5826" s="395">
        <f>+Y5826*U5826</f>
        <v>0</v>
      </c>
      <c r="AC5826" s="93">
        <f>+AB5826-Z5826</f>
        <v>0</v>
      </c>
      <c r="AD5826" s="94"/>
      <c r="AE5826" s="406" t="str">
        <f>+IF(V5826=0,"CERO","NO")</f>
        <v>CERO</v>
      </c>
    </row>
    <row r="5827" spans="3:31" s="260" customFormat="1" ht="15.75" thickBot="1" x14ac:dyDescent="0.3">
      <c r="C5827" s="84"/>
      <c r="D5827" s="85"/>
      <c r="E5827" s="86"/>
      <c r="F5827" s="86"/>
      <c r="G5827" s="86"/>
      <c r="H5827" s="86"/>
      <c r="I5827" s="86"/>
      <c r="J5827" s="87"/>
      <c r="K5827" s="88"/>
      <c r="M5827" s="102"/>
      <c r="N5827" s="564"/>
      <c r="O5827" s="564"/>
      <c r="P5827" s="564"/>
      <c r="Q5827" s="564"/>
      <c r="R5827" s="96"/>
      <c r="S5827" s="79"/>
      <c r="T5827" s="97"/>
      <c r="U5827" s="358"/>
      <c r="V5827" s="397"/>
      <c r="Y5827" s="393">
        <f>+IFERROR(Y5810*(S5827*(1+T5827)),0)</f>
        <v>0</v>
      </c>
      <c r="Z5827" s="391">
        <f>Y5810*V5827</f>
        <v>0</v>
      </c>
      <c r="AA5827" s="394"/>
      <c r="AB5827" s="395">
        <f>+Y5827*U5827</f>
        <v>0</v>
      </c>
      <c r="AC5827" s="93">
        <f>+AB5827-Z5827</f>
        <v>0</v>
      </c>
      <c r="AD5827" s="94"/>
      <c r="AE5827" s="406" t="str">
        <f>+IF(V5827=0,"CERO","NO")</f>
        <v>CERO</v>
      </c>
    </row>
    <row r="5828" spans="3:31" s="260" customFormat="1" ht="15.75" thickBot="1" x14ac:dyDescent="0.3">
      <c r="C5828" s="84"/>
      <c r="D5828" s="375" t="s">
        <v>128</v>
      </c>
      <c r="E5828" s="376" t="s">
        <v>129</v>
      </c>
      <c r="F5828" s="376" t="s">
        <v>130</v>
      </c>
      <c r="G5828" s="376" t="s">
        <v>131</v>
      </c>
      <c r="H5828" s="376" t="s">
        <v>132</v>
      </c>
      <c r="I5828" s="376" t="s">
        <v>133</v>
      </c>
      <c r="J5828" s="377" t="s">
        <v>134</v>
      </c>
      <c r="K5828" s="88"/>
      <c r="M5828" s="534"/>
      <c r="N5828" s="536" t="s">
        <v>106</v>
      </c>
      <c r="O5828" s="536"/>
      <c r="P5828" s="536"/>
      <c r="Q5828" s="536"/>
      <c r="R5828" s="536"/>
      <c r="S5828" s="536"/>
      <c r="T5828" s="536"/>
      <c r="U5828" s="536"/>
      <c r="V5828" s="389">
        <f>+SUM(V5823:V5827)</f>
        <v>22259.3164</v>
      </c>
      <c r="Y5828" s="398" t="s">
        <v>135</v>
      </c>
      <c r="Z5828" s="397">
        <f>+SUM(Z5823:Z5827)</f>
        <v>712298.12479999999</v>
      </c>
      <c r="AA5828" s="86"/>
      <c r="AB5828" s="384"/>
      <c r="AC5828" s="385"/>
      <c r="AD5828" s="94"/>
      <c r="AE5828" s="399"/>
    </row>
    <row r="5829" spans="3:31" s="260" customFormat="1" ht="15.75" thickBot="1" x14ac:dyDescent="0.3">
      <c r="C5829" s="84"/>
      <c r="D5829" s="375"/>
      <c r="E5829" s="407">
        <f>+D5820</f>
        <v>6.09</v>
      </c>
      <c r="F5829" s="376"/>
      <c r="G5829" s="376"/>
      <c r="H5829" s="376"/>
      <c r="I5829" s="376"/>
      <c r="J5829" s="377"/>
      <c r="K5829" s="88"/>
      <c r="M5829" s="535"/>
      <c r="N5829" s="537" t="s">
        <v>107</v>
      </c>
      <c r="O5829" s="537"/>
      <c r="P5829" s="537"/>
      <c r="Q5829" s="537"/>
      <c r="R5829" s="537"/>
      <c r="S5829" s="537"/>
      <c r="T5829" s="537"/>
      <c r="U5829" s="537"/>
      <c r="V5829" s="408">
        <f>+ROUND(V5828,$AA$5)</f>
        <v>22259.32</v>
      </c>
      <c r="Y5829" s="401" t="s">
        <v>136</v>
      </c>
      <c r="Z5829" s="402">
        <f>+ROUND(Z5828,$AA$5)</f>
        <v>712298.12</v>
      </c>
      <c r="AA5829" s="86"/>
      <c r="AB5829" s="403">
        <f>+V5829*Y5810</f>
        <v>712298.24</v>
      </c>
      <c r="AC5829" s="404">
        <f>+AB5829-Z5829</f>
        <v>0.11999999999534339</v>
      </c>
      <c r="AD5829" s="94"/>
      <c r="AE5829" s="405"/>
    </row>
    <row r="5830" spans="3:31" s="260" customFormat="1" x14ac:dyDescent="0.25">
      <c r="C5830" s="84"/>
      <c r="D5830" s="380"/>
      <c r="E5830" s="381"/>
      <c r="F5830" s="381"/>
      <c r="G5830" s="381"/>
      <c r="H5830" s="381"/>
      <c r="I5830" s="381"/>
      <c r="J5830" s="382"/>
      <c r="K5830" s="88"/>
      <c r="M5830" s="568" t="s">
        <v>108</v>
      </c>
      <c r="N5830" s="569"/>
      <c r="O5830" s="569"/>
      <c r="P5830" s="569"/>
      <c r="Q5830" s="569"/>
      <c r="R5830" s="569"/>
      <c r="S5830" s="569"/>
      <c r="T5830" s="569"/>
      <c r="U5830" s="569"/>
      <c r="V5830" s="570"/>
      <c r="Y5830" s="378"/>
      <c r="Z5830" s="121"/>
      <c r="AA5830" s="86"/>
      <c r="AB5830" s="409"/>
      <c r="AC5830" s="121"/>
      <c r="AD5830" s="94"/>
      <c r="AE5830" s="126"/>
    </row>
    <row r="5831" spans="3:31" s="260" customFormat="1" ht="25.5" x14ac:dyDescent="0.25">
      <c r="C5831" s="84"/>
      <c r="D5831" s="85"/>
      <c r="E5831" s="86"/>
      <c r="F5831" s="86"/>
      <c r="G5831" s="86"/>
      <c r="H5831" s="86"/>
      <c r="I5831" s="86"/>
      <c r="J5831" s="87"/>
      <c r="K5831" s="88"/>
      <c r="M5831" s="99" t="s">
        <v>94</v>
      </c>
      <c r="N5831" s="561" t="s">
        <v>95</v>
      </c>
      <c r="O5831" s="561"/>
      <c r="P5831" s="561"/>
      <c r="Q5831" s="95" t="s">
        <v>109</v>
      </c>
      <c r="R5831" s="95" t="s">
        <v>110</v>
      </c>
      <c r="S5831" s="95" t="s">
        <v>111</v>
      </c>
      <c r="T5831" s="562" t="s">
        <v>112</v>
      </c>
      <c r="U5831" s="562"/>
      <c r="V5831" s="100" t="s">
        <v>98</v>
      </c>
      <c r="Y5831" s="383" t="s">
        <v>104</v>
      </c>
      <c r="Z5831" s="119" t="s">
        <v>9</v>
      </c>
      <c r="AA5831" s="86"/>
      <c r="AB5831" s="384"/>
      <c r="AC5831" s="385"/>
      <c r="AD5831" s="94"/>
      <c r="AE5831" s="410"/>
    </row>
    <row r="5832" spans="3:31" s="260" customFormat="1" x14ac:dyDescent="0.25">
      <c r="C5832" s="84"/>
      <c r="D5832" s="85"/>
      <c r="E5832" s="86"/>
      <c r="F5832" s="86"/>
      <c r="G5832" s="86"/>
      <c r="H5832" s="86"/>
      <c r="I5832" s="86"/>
      <c r="J5832" s="87"/>
      <c r="K5832" s="88"/>
      <c r="M5832" s="102"/>
      <c r="N5832" s="530" t="str">
        <f>IFERROR(VLOOKUP(M5832,INSUMOS!$C$8:$K$928,2,0),"-----")</f>
        <v>-----</v>
      </c>
      <c r="O5832" s="531"/>
      <c r="P5832" s="532"/>
      <c r="Q5832" s="78" t="str">
        <f>IFERROR(VLOOKUP(M5832,INSUMOS!$C$8:$K$928,5,0),"-----")</f>
        <v>-----</v>
      </c>
      <c r="R5832" s="80"/>
      <c r="S5832" s="80" t="str">
        <f>IFERROR(VLOOKUP(M5832,INSUMOS!$C$8:$K$928,6,0),"0")</f>
        <v>0</v>
      </c>
      <c r="T5832" s="529" t="str">
        <f>IFERROR(VLOOKUP(M5832,INSUMOS!$C$8:$K$928,7,0),"0")</f>
        <v>0</v>
      </c>
      <c r="U5832" s="529"/>
      <c r="V5832" s="82">
        <f>+T5832*S5832*R5832</f>
        <v>0</v>
      </c>
      <c r="Y5832" s="393">
        <f>+IFERROR((R5832*S5832)*Y5810,0)</f>
        <v>0</v>
      </c>
      <c r="Z5832" s="391">
        <f>Y5810*V5832</f>
        <v>0</v>
      </c>
      <c r="AA5832" s="86"/>
      <c r="AB5832" s="92">
        <f>+Y5832*T5832</f>
        <v>0</v>
      </c>
      <c r="AC5832" s="93">
        <f>+AB5832-Z5832</f>
        <v>0</v>
      </c>
      <c r="AD5832" s="94"/>
      <c r="AE5832" s="406" t="str">
        <f>+IF(V5832=0,"CERO","NO")</f>
        <v>CERO</v>
      </c>
    </row>
    <row r="5833" spans="3:31" s="260" customFormat="1" x14ac:dyDescent="0.25">
      <c r="C5833" s="84"/>
      <c r="D5833" s="85"/>
      <c r="E5833" s="86"/>
      <c r="F5833" s="86"/>
      <c r="G5833" s="86"/>
      <c r="H5833" s="86"/>
      <c r="I5833" s="86"/>
      <c r="J5833" s="87"/>
      <c r="K5833" s="88"/>
      <c r="M5833" s="102">
        <v>0</v>
      </c>
      <c r="N5833" s="530" t="str">
        <f>IFERROR(VLOOKUP(M5833,INSUMOS!$C$8:$K$928,2,0),"-----")</f>
        <v>-----</v>
      </c>
      <c r="O5833" s="531"/>
      <c r="P5833" s="532"/>
      <c r="Q5833" s="78" t="str">
        <f>IFERROR(VLOOKUP(M5833,INSUMOS!$C$8:$K$928,5,0),"-----")</f>
        <v>-----</v>
      </c>
      <c r="R5833" s="80"/>
      <c r="S5833" s="80" t="str">
        <f>IFERROR(VLOOKUP(M5833,INSUMOS!$C$8:$K$928,6,0),"0")</f>
        <v>0</v>
      </c>
      <c r="T5833" s="529" t="str">
        <f>IFERROR(VLOOKUP(M5833,INSUMOS!$C$8:$K$928,7,0),"0")</f>
        <v>0</v>
      </c>
      <c r="U5833" s="529"/>
      <c r="V5833" s="82">
        <f>+T5833*S5833*R5833</f>
        <v>0</v>
      </c>
      <c r="Y5833" s="393">
        <f>+IFERROR((R5833*S5833)*Y5810,0)</f>
        <v>0</v>
      </c>
      <c r="Z5833" s="391">
        <f>Y5810*V5833</f>
        <v>0</v>
      </c>
      <c r="AA5833" s="86"/>
      <c r="AB5833" s="92">
        <f>+Y5833*T5833</f>
        <v>0</v>
      </c>
      <c r="AC5833" s="93">
        <f>+AB5833-Z5833</f>
        <v>0</v>
      </c>
      <c r="AD5833" s="94"/>
      <c r="AE5833" s="406" t="str">
        <f>+IF(V5833=0,"CERO","NO")</f>
        <v>CERO</v>
      </c>
    </row>
    <row r="5834" spans="3:31" s="260" customFormat="1" x14ac:dyDescent="0.25">
      <c r="C5834" s="84"/>
      <c r="D5834" s="85"/>
      <c r="E5834" s="86"/>
      <c r="F5834" s="86"/>
      <c r="G5834" s="86"/>
      <c r="H5834" s="86"/>
      <c r="I5834" s="86"/>
      <c r="J5834" s="87"/>
      <c r="K5834" s="88"/>
      <c r="M5834" s="102">
        <v>0</v>
      </c>
      <c r="N5834" s="530" t="str">
        <f>IFERROR(VLOOKUP(M5834,INSUMOS!$C$8:$K$928,2,0),"-----")</f>
        <v>-----</v>
      </c>
      <c r="O5834" s="531"/>
      <c r="P5834" s="532"/>
      <c r="Q5834" s="78" t="str">
        <f>IFERROR(VLOOKUP(M5834,INSUMOS!$C$8:$K$928,5,0),"-----")</f>
        <v>-----</v>
      </c>
      <c r="R5834" s="80"/>
      <c r="S5834" s="80" t="str">
        <f>IFERROR(VLOOKUP(M5834,INSUMOS!$C$8:$K$928,6,0),"0")</f>
        <v>0</v>
      </c>
      <c r="T5834" s="529" t="str">
        <f>IFERROR(VLOOKUP(M5834,INSUMOS!$C$8:$K$928,7,0),"0")</f>
        <v>0</v>
      </c>
      <c r="U5834" s="529"/>
      <c r="V5834" s="82">
        <f>+T5834*S5834*R5834</f>
        <v>0</v>
      </c>
      <c r="Y5834" s="393">
        <f>+IFERROR((R5834*S5834)*Y5810,0)</f>
        <v>0</v>
      </c>
      <c r="Z5834" s="391">
        <f>Y5810*V5834</f>
        <v>0</v>
      </c>
      <c r="AA5834" s="86"/>
      <c r="AB5834" s="92">
        <f>+Y5834*T5834</f>
        <v>0</v>
      </c>
      <c r="AC5834" s="93">
        <f>+AB5834-Z5834</f>
        <v>0</v>
      </c>
      <c r="AD5834" s="94"/>
      <c r="AE5834" s="406" t="str">
        <f>+IF(V5834=0,"CERO","NO")</f>
        <v>CERO</v>
      </c>
    </row>
    <row r="5835" spans="3:31" s="260" customFormat="1" ht="15.75" thickBot="1" x14ac:dyDescent="0.3">
      <c r="C5835" s="84"/>
      <c r="D5835" s="89"/>
      <c r="E5835" s="90"/>
      <c r="F5835" s="90"/>
      <c r="G5835" s="90"/>
      <c r="H5835" s="90"/>
      <c r="I5835" s="90"/>
      <c r="J5835" s="91"/>
      <c r="K5835" s="88"/>
      <c r="M5835" s="102">
        <v>0</v>
      </c>
      <c r="N5835" s="533"/>
      <c r="O5835" s="533"/>
      <c r="P5835" s="533"/>
      <c r="Q5835" s="79"/>
      <c r="R5835" s="78"/>
      <c r="S5835" s="81"/>
      <c r="T5835" s="529"/>
      <c r="U5835" s="529"/>
      <c r="V5835" s="82"/>
      <c r="Y5835" s="393">
        <f>+IFERROR((R5835*S5835)*Y5810,0)</f>
        <v>0</v>
      </c>
      <c r="Z5835" s="391">
        <f>Y5810*V5835</f>
        <v>0</v>
      </c>
      <c r="AA5835" s="86"/>
      <c r="AB5835" s="92">
        <f>+Y5835*T5835</f>
        <v>0</v>
      </c>
      <c r="AC5835" s="93">
        <f>+AB5835-Z5835</f>
        <v>0</v>
      </c>
      <c r="AD5835" s="94"/>
      <c r="AE5835" s="406" t="str">
        <f>+IF(V5835=0,"CERO","NO")</f>
        <v>CERO</v>
      </c>
    </row>
    <row r="5836" spans="3:31" s="260" customFormat="1" ht="15.75" thickBot="1" x14ac:dyDescent="0.3">
      <c r="C5836" s="84"/>
      <c r="D5836" s="375" t="s">
        <v>128</v>
      </c>
      <c r="E5836" s="376" t="s">
        <v>129</v>
      </c>
      <c r="F5836" s="376" t="s">
        <v>130</v>
      </c>
      <c r="G5836" s="376" t="s">
        <v>131</v>
      </c>
      <c r="H5836" s="376" t="s">
        <v>132</v>
      </c>
      <c r="I5836" s="376" t="s">
        <v>133</v>
      </c>
      <c r="J5836" s="377" t="s">
        <v>134</v>
      </c>
      <c r="K5836" s="88"/>
      <c r="M5836" s="534"/>
      <c r="N5836" s="536" t="s">
        <v>113</v>
      </c>
      <c r="O5836" s="536"/>
      <c r="P5836" s="536"/>
      <c r="Q5836" s="536"/>
      <c r="R5836" s="536"/>
      <c r="S5836" s="536"/>
      <c r="T5836" s="536"/>
      <c r="U5836" s="536"/>
      <c r="V5836" s="411">
        <f>+SUM(V5832:V5835)</f>
        <v>0</v>
      </c>
      <c r="Y5836" s="398" t="s">
        <v>135</v>
      </c>
      <c r="Z5836" s="397">
        <f>+SUM(Z5832:Z5835)</f>
        <v>0</v>
      </c>
      <c r="AA5836" s="86"/>
      <c r="AB5836" s="384"/>
      <c r="AC5836" s="385"/>
      <c r="AD5836" s="94"/>
      <c r="AE5836" s="399"/>
    </row>
    <row r="5837" spans="3:31" s="260" customFormat="1" ht="15.75" thickBot="1" x14ac:dyDescent="0.3">
      <c r="C5837" s="84"/>
      <c r="D5837" s="355"/>
      <c r="E5837" s="367"/>
      <c r="F5837" s="412">
        <f>+E5829</f>
        <v>6.09</v>
      </c>
      <c r="G5837" s="367"/>
      <c r="H5837" s="367"/>
      <c r="I5837" s="367"/>
      <c r="J5837" s="368"/>
      <c r="K5837" s="88"/>
      <c r="M5837" s="535"/>
      <c r="N5837" s="537" t="s">
        <v>114</v>
      </c>
      <c r="O5837" s="537"/>
      <c r="P5837" s="537"/>
      <c r="Q5837" s="537"/>
      <c r="R5837" s="537"/>
      <c r="S5837" s="537"/>
      <c r="T5837" s="537"/>
      <c r="U5837" s="537"/>
      <c r="V5837" s="413">
        <f>+ROUND(V5836,$AA$5)</f>
        <v>0</v>
      </c>
      <c r="Y5837" s="401" t="s">
        <v>136</v>
      </c>
      <c r="Z5837" s="402">
        <f>+ROUND(Z5836,$AA$5)</f>
        <v>0</v>
      </c>
      <c r="AA5837" s="86"/>
      <c r="AB5837" s="403">
        <f>+V5837*Y5810</f>
        <v>0</v>
      </c>
      <c r="AC5837" s="414"/>
      <c r="AD5837" s="94"/>
      <c r="AE5837" s="405"/>
    </row>
    <row r="5838" spans="3:31" s="260" customFormat="1" ht="15.75" thickBot="1" x14ac:dyDescent="0.3">
      <c r="C5838" s="84"/>
      <c r="D5838" s="415"/>
      <c r="E5838" s="416"/>
      <c r="F5838" s="416"/>
      <c r="G5838" s="416"/>
      <c r="H5838" s="416"/>
      <c r="I5838" s="416"/>
      <c r="J5838" s="417"/>
      <c r="K5838" s="88"/>
      <c r="M5838" s="538" t="s">
        <v>115</v>
      </c>
      <c r="N5838" s="539"/>
      <c r="O5838" s="539"/>
      <c r="P5838" s="539"/>
      <c r="Q5838" s="539"/>
      <c r="R5838" s="539"/>
      <c r="S5838" s="539"/>
      <c r="T5838" s="539"/>
      <c r="U5838" s="539"/>
      <c r="V5838" s="540"/>
      <c r="Y5838" s="378"/>
      <c r="Z5838" s="121"/>
      <c r="AA5838" s="86"/>
      <c r="AB5838" s="409"/>
      <c r="AC5838" s="121"/>
      <c r="AD5838" s="94"/>
      <c r="AE5838" s="126"/>
    </row>
    <row r="5839" spans="3:31" s="260" customFormat="1" ht="15.75" thickBot="1" x14ac:dyDescent="0.3">
      <c r="C5839" s="84"/>
      <c r="D5839" s="375" t="s">
        <v>128</v>
      </c>
      <c r="E5839" s="376" t="s">
        <v>129</v>
      </c>
      <c r="F5839" s="376" t="s">
        <v>130</v>
      </c>
      <c r="G5839" s="376" t="s">
        <v>131</v>
      </c>
      <c r="H5839" s="376" t="s">
        <v>132</v>
      </c>
      <c r="I5839" s="376" t="s">
        <v>133</v>
      </c>
      <c r="J5839" s="377" t="s">
        <v>134</v>
      </c>
      <c r="K5839" s="88"/>
      <c r="M5839" s="99" t="s">
        <v>94</v>
      </c>
      <c r="N5839" s="98" t="s">
        <v>95</v>
      </c>
      <c r="O5839" s="95" t="s">
        <v>96</v>
      </c>
      <c r="P5839" s="359" t="s">
        <v>104</v>
      </c>
      <c r="Q5839" s="95" t="s">
        <v>116</v>
      </c>
      <c r="R5839" s="418" t="s">
        <v>117</v>
      </c>
      <c r="S5839" s="95" t="s">
        <v>347</v>
      </c>
      <c r="T5839" s="419" t="s">
        <v>118</v>
      </c>
      <c r="U5839" s="189" t="s">
        <v>119</v>
      </c>
      <c r="V5839" s="100" t="s">
        <v>98</v>
      </c>
      <c r="Y5839" s="383" t="s">
        <v>104</v>
      </c>
      <c r="Z5839" s="119" t="s">
        <v>9</v>
      </c>
      <c r="AA5839" s="86"/>
      <c r="AB5839" s="384"/>
      <c r="AC5839" s="385"/>
      <c r="AD5839" s="94"/>
      <c r="AE5839" s="410"/>
    </row>
    <row r="5840" spans="3:31" s="260" customFormat="1" ht="25.5" x14ac:dyDescent="0.25">
      <c r="C5840" s="84"/>
      <c r="D5840" s="354"/>
      <c r="E5840" s="96"/>
      <c r="F5840" s="96"/>
      <c r="G5840" s="96"/>
      <c r="H5840" s="96"/>
      <c r="I5840" s="96"/>
      <c r="J5840" s="420">
        <f>+F5837</f>
        <v>6.09</v>
      </c>
      <c r="K5840" s="88"/>
      <c r="M5840" s="102">
        <v>201</v>
      </c>
      <c r="N5840" s="347" t="str">
        <f>IFERROR(VLOOKUP(M5840,INSUMOS!$C$8:$K$928,2,0),"-----")</f>
        <v>Oficial Albañileria</v>
      </c>
      <c r="O5840" s="78" t="str">
        <f>IFERROR(VLOOKUP(M5840,INSUMOS!$C$8:$K$928,3,0),"-----")</f>
        <v>JORNAL+PS</v>
      </c>
      <c r="P5840" s="80">
        <v>1</v>
      </c>
      <c r="Q5840" s="79">
        <v>25</v>
      </c>
      <c r="R5840" s="190">
        <f>IFERROR(VLOOKUP(M5840,INSUMOS!$C$8:$K$928,4,0),"-----")</f>
        <v>85136</v>
      </c>
      <c r="S5840" s="190">
        <f>IFERROR(VLOOKUP(M5840,INSUMOS!$C$8:$K$928,6,0),"-----")</f>
        <v>68109</v>
      </c>
      <c r="T5840" s="190">
        <f>IFERROR(VLOOKUP(M5840,INSUMOS!$C$8:$K$928,5,0),"-----")</f>
        <v>0</v>
      </c>
      <c r="U5840" s="388">
        <f>SUM(R5840:T5840)</f>
        <v>153245</v>
      </c>
      <c r="V5840" s="82">
        <f>+IFERROR((P5840/Q5840)*U5840,0)</f>
        <v>6129.8</v>
      </c>
      <c r="Y5840" s="393">
        <f>+IFERROR((Y5810/Q5840*P5840),0)</f>
        <v>1.28</v>
      </c>
      <c r="Z5840" s="391">
        <f>Y5810*V5840</f>
        <v>196153.60000000001</v>
      </c>
      <c r="AA5840" s="86"/>
      <c r="AB5840" s="92">
        <f>+(U5840)*Y5840</f>
        <v>196153.60000000001</v>
      </c>
      <c r="AC5840" s="93">
        <f>+AB5840-Z5840</f>
        <v>0</v>
      </c>
      <c r="AD5840" s="421"/>
      <c r="AE5840" s="410" t="str">
        <f>+IF(V5840=0,"CERO","NO")</f>
        <v>NO</v>
      </c>
    </row>
    <row r="5841" spans="3:31" s="260" customFormat="1" ht="26.25" thickBot="1" x14ac:dyDescent="0.3">
      <c r="C5841" s="84"/>
      <c r="D5841" s="355"/>
      <c r="E5841" s="367"/>
      <c r="F5841" s="367"/>
      <c r="G5841" s="367"/>
      <c r="H5841" s="367"/>
      <c r="I5841" s="367"/>
      <c r="J5841" s="422">
        <f>+J5840</f>
        <v>6.09</v>
      </c>
      <c r="K5841" s="88"/>
      <c r="M5841" s="102">
        <v>202</v>
      </c>
      <c r="N5841" s="347" t="str">
        <f>IFERROR(VLOOKUP(M5841,INSUMOS!$C$8:$K$928,2,0),"-----")</f>
        <v>Ayudante Albañileria</v>
      </c>
      <c r="O5841" s="78" t="str">
        <f>IFERROR(VLOOKUP(M5841,INSUMOS!$C$8:$K$928,3,0),"-----")</f>
        <v>JORNAL+PS</v>
      </c>
      <c r="P5841" s="80">
        <v>1</v>
      </c>
      <c r="Q5841" s="79">
        <v>25</v>
      </c>
      <c r="R5841" s="190">
        <f>IFERROR(VLOOKUP(M5841,INSUMOS!$C$8:$K$928,4,0),"-----")</f>
        <v>63490</v>
      </c>
      <c r="S5841" s="190">
        <f>IFERROR(VLOOKUP(M5841,INSUMOS!$C$8:$K$928,6,0),"-----")</f>
        <v>50792</v>
      </c>
      <c r="T5841" s="190">
        <f>IFERROR(VLOOKUP(M5841,INSUMOS!$C$8:$K$928,5,0),"-----")</f>
        <v>0</v>
      </c>
      <c r="U5841" s="388">
        <f>SUM(R5841:T5841)</f>
        <v>114282</v>
      </c>
      <c r="V5841" s="82">
        <f>+IFERROR((P5841/Q5841)*U5841,0)</f>
        <v>4571.28</v>
      </c>
      <c r="Y5841" s="393">
        <f>+IFERROR((Y5810/Q5841*P5841),0)</f>
        <v>1.28</v>
      </c>
      <c r="Z5841" s="391">
        <f>Y5810*V5841</f>
        <v>146280.95999999999</v>
      </c>
      <c r="AA5841" s="86"/>
      <c r="AB5841" s="92">
        <f>+U5841*Y5841</f>
        <v>146280.95999999999</v>
      </c>
      <c r="AC5841" s="93">
        <f>+AB5841-Z5841</f>
        <v>0</v>
      </c>
      <c r="AD5841" s="94"/>
      <c r="AE5841" s="410" t="str">
        <f>+IF(V5841=0,"CERO","NO")</f>
        <v>NO</v>
      </c>
    </row>
    <row r="5842" spans="3:31" s="260" customFormat="1" ht="15.75" thickBot="1" x14ac:dyDescent="0.3">
      <c r="C5842" s="84"/>
      <c r="D5842" s="380"/>
      <c r="E5842" s="381"/>
      <c r="F5842" s="381"/>
      <c r="G5842" s="381"/>
      <c r="H5842" s="381"/>
      <c r="I5842" s="381"/>
      <c r="J5842" s="382"/>
      <c r="K5842" s="88"/>
      <c r="M5842" s="102">
        <v>0</v>
      </c>
      <c r="N5842" s="347"/>
      <c r="O5842" s="79"/>
      <c r="P5842" s="423"/>
      <c r="Q5842" s="81"/>
      <c r="R5842" s="111"/>
      <c r="S5842" s="357"/>
      <c r="T5842" s="111"/>
      <c r="U5842" s="388"/>
      <c r="V5842" s="426"/>
      <c r="Y5842" s="393">
        <f>+IFERROR((Y5810/Q5842*P5842),0)</f>
        <v>0</v>
      </c>
      <c r="Z5842" s="391">
        <f>Y5810*V5842</f>
        <v>0</v>
      </c>
      <c r="AA5842" s="86"/>
      <c r="AB5842" s="92">
        <f>+(U5842)*Y5842*P5842</f>
        <v>0</v>
      </c>
      <c r="AC5842" s="93">
        <f>+AB5842-Z5842</f>
        <v>0</v>
      </c>
      <c r="AD5842" s="94"/>
      <c r="AE5842" s="410" t="str">
        <f>+IF(V5842=0,"CERO","NO")</f>
        <v>CERO</v>
      </c>
    </row>
    <row r="5843" spans="3:31" s="260" customFormat="1" ht="15.75" thickBot="1" x14ac:dyDescent="0.3">
      <c r="C5843" s="84"/>
      <c r="D5843" s="375" t="s">
        <v>128</v>
      </c>
      <c r="E5843" s="376" t="s">
        <v>129</v>
      </c>
      <c r="F5843" s="376" t="s">
        <v>130</v>
      </c>
      <c r="G5843" s="376" t="s">
        <v>131</v>
      </c>
      <c r="H5843" s="376" t="s">
        <v>132</v>
      </c>
      <c r="I5843" s="376" t="s">
        <v>133</v>
      </c>
      <c r="J5843" s="377" t="s">
        <v>134</v>
      </c>
      <c r="K5843" s="88"/>
      <c r="M5843" s="534"/>
      <c r="N5843" s="536" t="s">
        <v>120</v>
      </c>
      <c r="O5843" s="536"/>
      <c r="P5843" s="536"/>
      <c r="Q5843" s="536"/>
      <c r="R5843" s="536"/>
      <c r="S5843" s="536"/>
      <c r="T5843" s="536"/>
      <c r="U5843" s="536"/>
      <c r="V5843" s="82">
        <f>+SUM(V5840:V5842)</f>
        <v>10701.08</v>
      </c>
      <c r="Y5843" s="398" t="s">
        <v>135</v>
      </c>
      <c r="Z5843" s="397">
        <f>+SUM(Z5840:Z5842)</f>
        <v>342434.56</v>
      </c>
      <c r="AA5843" s="86"/>
      <c r="AB5843" s="384"/>
      <c r="AC5843" s="385"/>
      <c r="AD5843" s="94"/>
      <c r="AE5843" s="399"/>
    </row>
    <row r="5844" spans="3:31" s="260" customFormat="1" ht="15.75" thickBot="1" x14ac:dyDescent="0.3">
      <c r="C5844" s="84"/>
      <c r="D5844" s="354"/>
      <c r="E5844" s="96"/>
      <c r="F5844" s="96"/>
      <c r="G5844" s="107">
        <f>+F5837</f>
        <v>6.09</v>
      </c>
      <c r="H5844" s="96"/>
      <c r="I5844" s="96"/>
      <c r="J5844" s="427"/>
      <c r="K5844" s="88"/>
      <c r="M5844" s="535"/>
      <c r="N5844" s="537" t="s">
        <v>121</v>
      </c>
      <c r="O5844" s="537"/>
      <c r="P5844" s="537"/>
      <c r="Q5844" s="537"/>
      <c r="R5844" s="537"/>
      <c r="S5844" s="537"/>
      <c r="T5844" s="537"/>
      <c r="U5844" s="537"/>
      <c r="V5844" s="413">
        <f>+ROUND(V5843,$AA$5)</f>
        <v>10701.08</v>
      </c>
      <c r="Y5844" s="401" t="s">
        <v>136</v>
      </c>
      <c r="Z5844" s="402">
        <f>+ROUND(Z5843,$AA$5)</f>
        <v>342434.56</v>
      </c>
      <c r="AA5844" s="86"/>
      <c r="AB5844" s="403">
        <f>+V5844*Y5810</f>
        <v>342434.56</v>
      </c>
      <c r="AC5844" s="404">
        <f>+AB5844-Z5844</f>
        <v>0</v>
      </c>
      <c r="AD5844" s="94"/>
      <c r="AE5844" s="405"/>
    </row>
    <row r="5845" spans="3:31" s="260" customFormat="1" ht="15.75" thickBot="1" x14ac:dyDescent="0.3">
      <c r="C5845" s="84"/>
      <c r="D5845" s="375" t="s">
        <v>128</v>
      </c>
      <c r="E5845" s="376" t="s">
        <v>129</v>
      </c>
      <c r="F5845" s="376" t="s">
        <v>130</v>
      </c>
      <c r="G5845" s="376" t="s">
        <v>131</v>
      </c>
      <c r="H5845" s="376" t="s">
        <v>132</v>
      </c>
      <c r="I5845" s="376" t="s">
        <v>133</v>
      </c>
      <c r="J5845" s="377" t="s">
        <v>134</v>
      </c>
      <c r="K5845" s="88"/>
      <c r="M5845" s="541"/>
      <c r="N5845" s="542"/>
      <c r="O5845" s="542"/>
      <c r="P5845" s="542"/>
      <c r="Q5845" s="542"/>
      <c r="R5845" s="542"/>
      <c r="S5845" s="542"/>
      <c r="T5845" s="542"/>
      <c r="U5845" s="542"/>
      <c r="V5845" s="543"/>
      <c r="Y5845" s="378"/>
      <c r="Z5845" s="121"/>
      <c r="AA5845" s="86"/>
      <c r="AB5845" s="409"/>
      <c r="AC5845" s="121"/>
      <c r="AD5845" s="94"/>
      <c r="AE5845" s="428"/>
    </row>
    <row r="5846" spans="3:31" s="260" customFormat="1" ht="15.75" thickBot="1" x14ac:dyDescent="0.3">
      <c r="C5846" s="84"/>
      <c r="D5846" s="355"/>
      <c r="E5846" s="367"/>
      <c r="F5846" s="367"/>
      <c r="G5846" s="367"/>
      <c r="H5846" s="412">
        <f>G5844</f>
        <v>6.09</v>
      </c>
      <c r="I5846" s="412"/>
      <c r="J5846" s="422"/>
      <c r="K5846" s="88"/>
      <c r="M5846" s="544" t="s">
        <v>122</v>
      </c>
      <c r="N5846" s="537"/>
      <c r="O5846" s="537"/>
      <c r="P5846" s="537"/>
      <c r="Q5846" s="537"/>
      <c r="R5846" s="537"/>
      <c r="S5846" s="537"/>
      <c r="T5846" s="537"/>
      <c r="U5846" s="545">
        <f>+V5844+V5837+V5829+V5820</f>
        <v>33495.450000000004</v>
      </c>
      <c r="V5846" s="546"/>
      <c r="Y5846" s="429"/>
      <c r="Z5846" s="430">
        <f>+Z5844+Z5837+Z5829+Z5820</f>
        <v>1071854.4099999999</v>
      </c>
      <c r="AA5846" s="86"/>
      <c r="AB5846" s="431">
        <f>+AB5844+AB5837+AB5829+AB5820</f>
        <v>1071854.4000000001</v>
      </c>
      <c r="AC5846" s="404">
        <f>+AB5846-Z5846</f>
        <v>-9.9999997764825821E-3</v>
      </c>
      <c r="AD5846" s="94"/>
      <c r="AE5846" s="432"/>
    </row>
    <row r="5847" spans="3:31" s="260" customFormat="1" ht="15.75" thickBot="1" x14ac:dyDescent="0.3"/>
    <row r="5848" spans="3:31" s="260" customFormat="1" x14ac:dyDescent="0.25">
      <c r="M5848" s="547" t="s">
        <v>348</v>
      </c>
      <c r="N5848" s="548"/>
      <c r="O5848" s="548"/>
      <c r="P5848" s="548"/>
      <c r="Q5848" s="548"/>
      <c r="R5848" s="548"/>
      <c r="S5848" s="548"/>
      <c r="T5848" s="548"/>
      <c r="U5848" s="548"/>
      <c r="V5848" s="549"/>
      <c r="Y5848" s="378"/>
      <c r="Z5848" s="121"/>
      <c r="AA5848" s="86"/>
      <c r="AB5848" s="94"/>
      <c r="AC5848" s="94"/>
      <c r="AD5848" s="94"/>
      <c r="AE5848" s="126" t="s">
        <v>133</v>
      </c>
    </row>
    <row r="5849" spans="3:31" s="260" customFormat="1" x14ac:dyDescent="0.25">
      <c r="M5849" s="515" t="s">
        <v>138</v>
      </c>
      <c r="N5849" s="516"/>
      <c r="O5849" s="516"/>
      <c r="P5849" s="516"/>
      <c r="Q5849" s="516"/>
      <c r="R5849" s="516"/>
      <c r="S5849" s="516"/>
      <c r="T5849" s="437">
        <v>0</v>
      </c>
      <c r="U5849" s="517">
        <f>+ROUND(U5846*T5849,$AA$5)</f>
        <v>0</v>
      </c>
      <c r="V5849" s="518"/>
      <c r="Y5849" s="390"/>
      <c r="Z5849" s="438">
        <f>+Z5846*T5849</f>
        <v>0</v>
      </c>
      <c r="AA5849" s="86"/>
      <c r="AB5849" s="94"/>
      <c r="AC5849" s="94"/>
      <c r="AD5849" s="94"/>
      <c r="AE5849" s="386" t="s">
        <v>133</v>
      </c>
    </row>
    <row r="5850" spans="3:31" s="260" customFormat="1" x14ac:dyDescent="0.25">
      <c r="M5850" s="515" t="s">
        <v>19</v>
      </c>
      <c r="N5850" s="516"/>
      <c r="O5850" s="516"/>
      <c r="P5850" s="516"/>
      <c r="Q5850" s="516"/>
      <c r="R5850" s="516"/>
      <c r="S5850" s="516"/>
      <c r="T5850" s="437">
        <v>0.05</v>
      </c>
      <c r="U5850" s="517">
        <f>+ROUND(U5846*T5850,$AA$5)</f>
        <v>1674.77</v>
      </c>
      <c r="V5850" s="518"/>
      <c r="Y5850" s="390"/>
      <c r="Z5850" s="438">
        <f>+Z5846*T5850</f>
        <v>53592.720499999996</v>
      </c>
      <c r="AA5850" s="86"/>
      <c r="AB5850" s="94"/>
      <c r="AC5850" s="94"/>
      <c r="AD5850" s="94"/>
      <c r="AE5850" s="386" t="s">
        <v>133</v>
      </c>
    </row>
    <row r="5851" spans="3:31" s="260" customFormat="1" x14ac:dyDescent="0.25">
      <c r="M5851" s="515" t="s">
        <v>20</v>
      </c>
      <c r="N5851" s="516"/>
      <c r="O5851" s="516"/>
      <c r="P5851" s="516"/>
      <c r="Q5851" s="516"/>
      <c r="R5851" s="516"/>
      <c r="S5851" s="516"/>
      <c r="T5851" s="437">
        <v>0</v>
      </c>
      <c r="U5851" s="517">
        <f>+ROUND(U5846*T5851,$AA$5)</f>
        <v>0</v>
      </c>
      <c r="V5851" s="518"/>
      <c r="Y5851" s="390"/>
      <c r="Z5851" s="438">
        <f>+Z5846*T5851</f>
        <v>0</v>
      </c>
      <c r="AA5851" s="86"/>
      <c r="AB5851" s="94"/>
      <c r="AC5851" s="94"/>
      <c r="AD5851" s="94"/>
      <c r="AE5851" s="386" t="s">
        <v>133</v>
      </c>
    </row>
    <row r="5852" spans="3:31" s="260" customFormat="1" x14ac:dyDescent="0.25">
      <c r="M5852" s="515" t="s">
        <v>21</v>
      </c>
      <c r="N5852" s="516"/>
      <c r="O5852" s="516"/>
      <c r="P5852" s="516"/>
      <c r="Q5852" s="516"/>
      <c r="R5852" s="516"/>
      <c r="S5852" s="516"/>
      <c r="T5852" s="437">
        <f>$AA$9</f>
        <v>0</v>
      </c>
      <c r="U5852" s="517">
        <f>+ROUND(U5846*T5852,$AA$5)</f>
        <v>0</v>
      </c>
      <c r="V5852" s="518"/>
      <c r="Y5852" s="390"/>
      <c r="Z5852" s="438">
        <f>+Z5851*T5852</f>
        <v>0</v>
      </c>
      <c r="AA5852" s="86"/>
      <c r="AB5852" s="94"/>
      <c r="AC5852" s="94"/>
      <c r="AD5852" s="94"/>
      <c r="AE5852" s="386" t="s">
        <v>133</v>
      </c>
    </row>
    <row r="5853" spans="3:31" s="260" customFormat="1" ht="15.75" thickBot="1" x14ac:dyDescent="0.3">
      <c r="M5853" s="519" t="s">
        <v>349</v>
      </c>
      <c r="N5853" s="520"/>
      <c r="O5853" s="520"/>
      <c r="P5853" s="520"/>
      <c r="Q5853" s="520"/>
      <c r="R5853" s="520"/>
      <c r="S5853" s="520"/>
      <c r="T5853" s="520"/>
      <c r="U5853" s="521">
        <f>+SUM(U5849:V5852)</f>
        <v>1674.77</v>
      </c>
      <c r="V5853" s="522"/>
      <c r="Y5853" s="390"/>
      <c r="Z5853" s="439">
        <f>+SUM(Z5849:Z5852)</f>
        <v>53592.720499999996</v>
      </c>
      <c r="AA5853" s="86"/>
      <c r="AB5853" s="94"/>
      <c r="AC5853" s="94"/>
      <c r="AD5853" s="94"/>
      <c r="AE5853" s="386" t="s">
        <v>133</v>
      </c>
    </row>
    <row r="5854" spans="3:31" s="260" customFormat="1" ht="15.75" thickBot="1" x14ac:dyDescent="0.3">
      <c r="D5854" s="375" t="s">
        <v>128</v>
      </c>
      <c r="E5854" s="376" t="s">
        <v>129</v>
      </c>
      <c r="F5854" s="376" t="s">
        <v>130</v>
      </c>
      <c r="G5854" s="376" t="s">
        <v>131</v>
      </c>
      <c r="H5854" s="376" t="s">
        <v>132</v>
      </c>
      <c r="I5854" s="376" t="s">
        <v>133</v>
      </c>
      <c r="J5854" s="377" t="s">
        <v>134</v>
      </c>
      <c r="M5854" s="86"/>
      <c r="N5854" s="94"/>
      <c r="O5854" s="94"/>
      <c r="P5854" s="94"/>
      <c r="Q5854" s="86"/>
      <c r="R5854" s="86"/>
      <c r="S5854" s="86"/>
      <c r="T5854" s="440"/>
      <c r="U5854" s="523"/>
      <c r="V5854" s="523"/>
      <c r="Y5854" s="390"/>
      <c r="Z5854" s="385"/>
      <c r="AA5854" s="86"/>
      <c r="AB5854" s="94"/>
      <c r="AC5854" s="94"/>
      <c r="AD5854" s="94"/>
      <c r="AE5854" s="386" t="s">
        <v>133</v>
      </c>
    </row>
    <row r="5855" spans="3:31" s="260" customFormat="1" ht="15.75" thickBot="1" x14ac:dyDescent="0.3">
      <c r="D5855" s="355"/>
      <c r="E5855" s="367"/>
      <c r="F5855" s="367"/>
      <c r="G5855" s="367"/>
      <c r="H5855" s="412"/>
      <c r="I5855" s="412">
        <f>H5846</f>
        <v>6.09</v>
      </c>
      <c r="J5855" s="422"/>
      <c r="M5855" s="524" t="s">
        <v>11</v>
      </c>
      <c r="N5855" s="525"/>
      <c r="O5855" s="525"/>
      <c r="P5855" s="525"/>
      <c r="Q5855" s="525"/>
      <c r="R5855" s="525"/>
      <c r="S5855" s="525"/>
      <c r="T5855" s="526"/>
      <c r="U5855" s="527">
        <f>+U5853+U5846</f>
        <v>35170.22</v>
      </c>
      <c r="V5855" s="528"/>
      <c r="Y5855" s="429"/>
      <c r="Z5855" s="441">
        <f>+Z5853+Z5846</f>
        <v>1125447.1305</v>
      </c>
      <c r="AA5855" s="86"/>
      <c r="AB5855" s="94"/>
      <c r="AC5855" s="94"/>
      <c r="AD5855" s="94"/>
      <c r="AE5855" s="405" t="s">
        <v>133</v>
      </c>
    </row>
    <row r="5856" spans="3:31" s="260" customFormat="1" x14ac:dyDescent="0.25"/>
    <row r="5857" spans="3:31" s="260" customFormat="1" ht="15.75" thickBot="1" x14ac:dyDescent="0.3"/>
    <row r="5858" spans="3:31" s="260" customFormat="1" ht="15.75" thickBot="1" x14ac:dyDescent="0.3">
      <c r="M5858" s="363" t="s">
        <v>88</v>
      </c>
      <c r="N5858" s="436" t="str">
        <f>+N5809</f>
        <v>CAP.6</v>
      </c>
      <c r="O5858" s="550" t="str">
        <f>IFERROR(VLOOKUP(N5858,PPTO!C:H,2,0),"----")</f>
        <v>RED DE DRENAJE</v>
      </c>
      <c r="P5858" s="551"/>
      <c r="Q5858" s="551"/>
      <c r="R5858" s="551"/>
      <c r="S5858" s="551"/>
      <c r="T5858" s="551"/>
      <c r="U5858" s="552"/>
      <c r="V5858" s="74" t="s">
        <v>91</v>
      </c>
      <c r="Y5858" s="365" t="s">
        <v>104</v>
      </c>
      <c r="Z5858" s="94"/>
      <c r="AA5858" s="188"/>
      <c r="AB5858" s="553"/>
      <c r="AC5858" s="553"/>
      <c r="AD5858" s="553"/>
      <c r="AE5858" s="94"/>
    </row>
    <row r="5859" spans="3:31" s="260" customFormat="1" ht="15.75" thickBot="1" x14ac:dyDescent="0.3">
      <c r="C5859" s="369">
        <f>+N5859</f>
        <v>6.1</v>
      </c>
      <c r="D5859" s="86"/>
      <c r="E5859" s="86"/>
      <c r="F5859" s="86"/>
      <c r="G5859" s="86"/>
      <c r="H5859" s="86"/>
      <c r="I5859" s="86"/>
      <c r="J5859" s="86"/>
      <c r="K5859" s="370"/>
      <c r="M5859" s="75" t="s">
        <v>92</v>
      </c>
      <c r="N5859" s="371">
        <f>+ROUNDUP(N5810+0.01,2)</f>
        <v>6.1</v>
      </c>
      <c r="O5859" s="554" t="str">
        <f>IFERROR(VLOOKUP(N5859,PPTO!C:H,2,0),"----")</f>
        <v>Silla Yee reducida de Ø6" a Ø4"</v>
      </c>
      <c r="P5859" s="555"/>
      <c r="Q5859" s="555"/>
      <c r="R5859" s="555"/>
      <c r="S5859" s="555"/>
      <c r="T5859" s="555"/>
      <c r="U5859" s="556"/>
      <c r="V5859" s="76" t="str">
        <f>IFERROR(VLOOKUP(N5859,PPTO!C:H,3,0),"----")</f>
        <v>UND</v>
      </c>
      <c r="Y5859" s="373">
        <f>SUMIFS(PPTO!F:F,PPTO!C:C,APUS!N5859)</f>
        <v>13</v>
      </c>
      <c r="Z5859" s="94"/>
      <c r="AA5859" s="86"/>
      <c r="AB5859" s="94"/>
      <c r="AC5859" s="94"/>
      <c r="AD5859" s="94"/>
      <c r="AE5859" s="94"/>
    </row>
    <row r="5860" spans="3:31" s="260" customFormat="1" ht="15.75" thickBot="1" x14ac:dyDescent="0.3">
      <c r="C5860" s="84"/>
      <c r="D5860" s="86"/>
      <c r="E5860" s="86"/>
      <c r="F5860" s="86"/>
      <c r="G5860" s="86"/>
      <c r="H5860" s="86"/>
      <c r="I5860" s="86"/>
      <c r="J5860" s="86"/>
      <c r="K5860" s="88"/>
      <c r="M5860" s="557"/>
      <c r="N5860" s="557"/>
      <c r="O5860" s="557"/>
      <c r="P5860" s="557"/>
      <c r="Q5860" s="557"/>
      <c r="R5860" s="557"/>
      <c r="S5860" s="557"/>
      <c r="T5860" s="557"/>
      <c r="U5860" s="557"/>
      <c r="V5860" s="557"/>
      <c r="Y5860" s="374"/>
      <c r="Z5860" s="94"/>
      <c r="AA5860" s="86"/>
      <c r="AB5860" s="94"/>
      <c r="AC5860" s="94"/>
      <c r="AD5860" s="94"/>
      <c r="AE5860" s="94"/>
    </row>
    <row r="5861" spans="3:31" s="260" customFormat="1" ht="15.75" thickBot="1" x14ac:dyDescent="0.3">
      <c r="C5861" s="84"/>
      <c r="D5861" s="375" t="s">
        <v>128</v>
      </c>
      <c r="E5861" s="376" t="s">
        <v>129</v>
      </c>
      <c r="F5861" s="376" t="s">
        <v>130</v>
      </c>
      <c r="G5861" s="376" t="s">
        <v>131</v>
      </c>
      <c r="H5861" s="376" t="s">
        <v>132</v>
      </c>
      <c r="I5861" s="376" t="s">
        <v>133</v>
      </c>
      <c r="J5861" s="377" t="s">
        <v>134</v>
      </c>
      <c r="K5861" s="88"/>
      <c r="M5861" s="558" t="s">
        <v>93</v>
      </c>
      <c r="N5861" s="559"/>
      <c r="O5861" s="559"/>
      <c r="P5861" s="559"/>
      <c r="Q5861" s="559"/>
      <c r="R5861" s="559"/>
      <c r="S5861" s="559"/>
      <c r="T5861" s="559"/>
      <c r="U5861" s="559"/>
      <c r="V5861" s="560"/>
      <c r="Y5861" s="378"/>
      <c r="Z5861" s="121"/>
      <c r="AA5861" s="86"/>
      <c r="AB5861" s="513"/>
      <c r="AC5861" s="514"/>
      <c r="AD5861" s="94"/>
      <c r="AE5861" s="379"/>
    </row>
    <row r="5862" spans="3:31" s="260" customFormat="1" x14ac:dyDescent="0.25">
      <c r="C5862" s="84"/>
      <c r="D5862" s="380"/>
      <c r="E5862" s="381"/>
      <c r="F5862" s="381"/>
      <c r="G5862" s="381"/>
      <c r="H5862" s="381"/>
      <c r="I5862" s="381"/>
      <c r="J5862" s="382"/>
      <c r="K5862" s="88"/>
      <c r="M5862" s="99" t="s">
        <v>94</v>
      </c>
      <c r="N5862" s="561" t="s">
        <v>95</v>
      </c>
      <c r="O5862" s="561"/>
      <c r="P5862" s="561"/>
      <c r="Q5862" s="561"/>
      <c r="R5862" s="95" t="s">
        <v>96</v>
      </c>
      <c r="S5862" s="95" t="s">
        <v>97</v>
      </c>
      <c r="T5862" s="562" t="s">
        <v>8</v>
      </c>
      <c r="U5862" s="562"/>
      <c r="V5862" s="100" t="s">
        <v>98</v>
      </c>
      <c r="Y5862" s="383" t="s">
        <v>104</v>
      </c>
      <c r="Z5862" s="119" t="s">
        <v>9</v>
      </c>
      <c r="AA5862" s="86"/>
      <c r="AB5862" s="384"/>
      <c r="AC5862" s="385"/>
      <c r="AD5862" s="94"/>
      <c r="AE5862" s="386"/>
    </row>
    <row r="5863" spans="3:31" s="260" customFormat="1" x14ac:dyDescent="0.25">
      <c r="C5863" s="84"/>
      <c r="D5863" s="85"/>
      <c r="E5863" s="86"/>
      <c r="F5863" s="86"/>
      <c r="G5863" s="86"/>
      <c r="H5863" s="86"/>
      <c r="I5863" s="86"/>
      <c r="J5863" s="87"/>
      <c r="K5863" s="88"/>
      <c r="M5863" s="102"/>
      <c r="N5863" s="533" t="s">
        <v>99</v>
      </c>
      <c r="O5863" s="533"/>
      <c r="P5863" s="533"/>
      <c r="Q5863" s="533"/>
      <c r="R5863" s="78" t="s">
        <v>100</v>
      </c>
      <c r="S5863" s="387">
        <f>+$AA$10</f>
        <v>0.05</v>
      </c>
      <c r="T5863" s="563">
        <f>V5893</f>
        <v>10701.08</v>
      </c>
      <c r="U5863" s="563"/>
      <c r="V5863" s="389">
        <f>+IFERROR(T5863*S5863,0)</f>
        <v>535.05399999999997</v>
      </c>
      <c r="Y5863" s="390"/>
      <c r="Z5863" s="391">
        <f>Y5859*V5863</f>
        <v>6955.7019999999993</v>
      </c>
      <c r="AA5863" s="86"/>
      <c r="AB5863" s="384"/>
      <c r="AC5863" s="385"/>
      <c r="AD5863" s="94"/>
      <c r="AE5863" s="386" t="str">
        <f>+IF(V5863=0,"CERO","NO")</f>
        <v>NO</v>
      </c>
    </row>
    <row r="5864" spans="3:31" s="260" customFormat="1" x14ac:dyDescent="0.25">
      <c r="C5864" s="84"/>
      <c r="D5864" s="85"/>
      <c r="E5864" s="86"/>
      <c r="F5864" s="86"/>
      <c r="G5864" s="86"/>
      <c r="H5864" s="86"/>
      <c r="I5864" s="86"/>
      <c r="J5864" s="87"/>
      <c r="K5864" s="88"/>
      <c r="M5864" s="106"/>
      <c r="N5864" s="533" t="str">
        <f>IFERROR(VLOOKUP(M5864,INSUMOS!$C$8:$K$928,2,0),"-----")</f>
        <v>-----</v>
      </c>
      <c r="O5864" s="533"/>
      <c r="P5864" s="533"/>
      <c r="Q5864" s="533"/>
      <c r="R5864" s="78" t="str">
        <f>IFERROR(VLOOKUP(M5864,INSUMOS!$C$8:$K$928,6,0),"-----")</f>
        <v>-----</v>
      </c>
      <c r="S5864" s="392"/>
      <c r="T5864" s="529" t="str">
        <f>IFERROR(VLOOKUP(M5864,INSUMOS!$C$8:$K$928,7,0),"0")</f>
        <v>0</v>
      </c>
      <c r="U5864" s="529"/>
      <c r="V5864" s="389">
        <f>+IFERROR(T5864*S5864,0)</f>
        <v>0</v>
      </c>
      <c r="Y5864" s="393">
        <f>+IFERROR(Y5859*S5864,0)</f>
        <v>0</v>
      </c>
      <c r="Z5864" s="391">
        <f>Y5859*V5864</f>
        <v>0</v>
      </c>
      <c r="AA5864" s="394"/>
      <c r="AB5864" s="395">
        <f>+Y5864*T5864</f>
        <v>0</v>
      </c>
      <c r="AC5864" s="93">
        <f>+AB5864-Z5864</f>
        <v>0</v>
      </c>
      <c r="AD5864" s="94"/>
      <c r="AE5864" s="386" t="str">
        <f>+IF(V5864=0,"CERO","NO")</f>
        <v>CERO</v>
      </c>
    </row>
    <row r="5865" spans="3:31" s="260" customFormat="1" x14ac:dyDescent="0.25">
      <c r="C5865" s="84"/>
      <c r="D5865" s="85"/>
      <c r="E5865" s="86"/>
      <c r="F5865" s="86"/>
      <c r="G5865" s="86"/>
      <c r="H5865" s="86"/>
      <c r="I5865" s="86"/>
      <c r="J5865" s="87"/>
      <c r="K5865" s="88"/>
      <c r="M5865" s="102">
        <v>0</v>
      </c>
      <c r="N5865" s="533"/>
      <c r="O5865" s="533"/>
      <c r="P5865" s="533"/>
      <c r="Q5865" s="533"/>
      <c r="R5865" s="78"/>
      <c r="S5865" s="396"/>
      <c r="T5865" s="529"/>
      <c r="U5865" s="529"/>
      <c r="V5865" s="397"/>
      <c r="Y5865" s="393">
        <f>+IFERROR(Y5859*S5865,0)</f>
        <v>0</v>
      </c>
      <c r="Z5865" s="391">
        <f>Y5859*V5865</f>
        <v>0</v>
      </c>
      <c r="AA5865" s="394"/>
      <c r="AB5865" s="395">
        <f>+Y5865*T5865</f>
        <v>0</v>
      </c>
      <c r="AC5865" s="93">
        <f>+AB5865-Z5865</f>
        <v>0</v>
      </c>
      <c r="AD5865" s="94"/>
      <c r="AE5865" s="386" t="str">
        <f>+IF(V5865=0,"CERO","NO")</f>
        <v>CERO</v>
      </c>
    </row>
    <row r="5866" spans="3:31" s="260" customFormat="1" x14ac:dyDescent="0.25">
      <c r="C5866" s="84"/>
      <c r="D5866" s="85"/>
      <c r="E5866" s="86"/>
      <c r="F5866" s="86"/>
      <c r="G5866" s="86"/>
      <c r="H5866" s="86"/>
      <c r="I5866" s="86"/>
      <c r="J5866" s="87"/>
      <c r="K5866" s="88"/>
      <c r="M5866" s="102">
        <v>0</v>
      </c>
      <c r="N5866" s="533"/>
      <c r="O5866" s="533"/>
      <c r="P5866" s="533"/>
      <c r="Q5866" s="533"/>
      <c r="R5866" s="78"/>
      <c r="S5866" s="396"/>
      <c r="T5866" s="529"/>
      <c r="U5866" s="529"/>
      <c r="V5866" s="397"/>
      <c r="Y5866" s="393">
        <f>+IFERROR(Y5859*S5866,0)</f>
        <v>0</v>
      </c>
      <c r="Z5866" s="391">
        <f>Y5859*V5866</f>
        <v>0</v>
      </c>
      <c r="AA5866" s="394"/>
      <c r="AB5866" s="395">
        <f>+Y5866*T5866</f>
        <v>0</v>
      </c>
      <c r="AC5866" s="93">
        <f>+AB5866-Z5866</f>
        <v>0</v>
      </c>
      <c r="AD5866" s="94"/>
      <c r="AE5866" s="386" t="str">
        <f>+IF(V5866=0,"CERO","NO")</f>
        <v>CERO</v>
      </c>
    </row>
    <row r="5867" spans="3:31" s="260" customFormat="1" ht="15.75" thickBot="1" x14ac:dyDescent="0.3">
      <c r="C5867" s="84"/>
      <c r="D5867" s="85"/>
      <c r="E5867" s="86"/>
      <c r="F5867" s="86"/>
      <c r="G5867" s="86"/>
      <c r="H5867" s="86"/>
      <c r="I5867" s="86"/>
      <c r="J5867" s="87"/>
      <c r="K5867" s="88"/>
      <c r="M5867" s="102">
        <v>0</v>
      </c>
      <c r="N5867" s="564"/>
      <c r="O5867" s="564"/>
      <c r="P5867" s="564"/>
      <c r="Q5867" s="564"/>
      <c r="R5867" s="96"/>
      <c r="S5867" s="96"/>
      <c r="T5867" s="565"/>
      <c r="U5867" s="565"/>
      <c r="V5867" s="101"/>
      <c r="Y5867" s="393">
        <f>+IFERROR(Y5859*S5867,0)</f>
        <v>0</v>
      </c>
      <c r="Z5867" s="391">
        <f>Y5859*V5867</f>
        <v>0</v>
      </c>
      <c r="AA5867" s="394"/>
      <c r="AB5867" s="395">
        <f>+Y5867*T5867</f>
        <v>0</v>
      </c>
      <c r="AC5867" s="93">
        <f>+AB5867-Z5867</f>
        <v>0</v>
      </c>
      <c r="AD5867" s="94"/>
      <c r="AE5867" s="386" t="str">
        <f>+IF(V5867=0,"CERO","NO")</f>
        <v>CERO</v>
      </c>
    </row>
    <row r="5868" spans="3:31" s="260" customFormat="1" ht="15.75" thickBot="1" x14ac:dyDescent="0.3">
      <c r="C5868" s="84"/>
      <c r="D5868" s="375" t="s">
        <v>128</v>
      </c>
      <c r="E5868" s="376" t="s">
        <v>129</v>
      </c>
      <c r="F5868" s="376" t="s">
        <v>130</v>
      </c>
      <c r="G5868" s="376" t="s">
        <v>131</v>
      </c>
      <c r="H5868" s="376" t="s">
        <v>132</v>
      </c>
      <c r="I5868" s="376" t="s">
        <v>133</v>
      </c>
      <c r="J5868" s="377" t="s">
        <v>134</v>
      </c>
      <c r="K5868" s="88"/>
      <c r="M5868" s="534"/>
      <c r="N5868" s="536" t="s">
        <v>101</v>
      </c>
      <c r="O5868" s="536"/>
      <c r="P5868" s="536"/>
      <c r="Q5868" s="536"/>
      <c r="R5868" s="536"/>
      <c r="S5868" s="536"/>
      <c r="T5868" s="536"/>
      <c r="U5868" s="536"/>
      <c r="V5868" s="389">
        <f>+SUM(V5863:V5867)</f>
        <v>535.05399999999997</v>
      </c>
      <c r="Y5868" s="398" t="s">
        <v>135</v>
      </c>
      <c r="Z5868" s="397">
        <f>+SUM(Z5863:Z5867)</f>
        <v>6955.7019999999993</v>
      </c>
      <c r="AA5868" s="86"/>
      <c r="AB5868" s="384"/>
      <c r="AC5868" s="385"/>
      <c r="AD5868" s="94"/>
      <c r="AE5868" s="399"/>
    </row>
    <row r="5869" spans="3:31" s="260" customFormat="1" ht="15.75" thickBot="1" x14ac:dyDescent="0.3">
      <c r="C5869" s="84"/>
      <c r="D5869" s="375">
        <f>C5859</f>
        <v>6.1</v>
      </c>
      <c r="E5869" s="376"/>
      <c r="F5869" s="376"/>
      <c r="G5869" s="376"/>
      <c r="H5869" s="376"/>
      <c r="I5869" s="376"/>
      <c r="J5869" s="377"/>
      <c r="K5869" s="88"/>
      <c r="M5869" s="566"/>
      <c r="N5869" s="567" t="s">
        <v>102</v>
      </c>
      <c r="O5869" s="567"/>
      <c r="P5869" s="567"/>
      <c r="Q5869" s="567"/>
      <c r="R5869" s="567"/>
      <c r="S5869" s="567"/>
      <c r="T5869" s="567"/>
      <c r="U5869" s="567"/>
      <c r="V5869" s="400">
        <f>+ROUND(V5868,$AA$5)</f>
        <v>535.04999999999995</v>
      </c>
      <c r="Y5869" s="401" t="s">
        <v>136</v>
      </c>
      <c r="Z5869" s="402">
        <f>+ROUND(Z5868,$AA$5)</f>
        <v>6955.7</v>
      </c>
      <c r="AA5869" s="86"/>
      <c r="AB5869" s="403">
        <f>+V5869*Y5859</f>
        <v>6955.65</v>
      </c>
      <c r="AC5869" s="404">
        <f>+AB5869-Z5869</f>
        <v>-5.0000000000181899E-2</v>
      </c>
      <c r="AD5869" s="94"/>
      <c r="AE5869" s="405"/>
    </row>
    <row r="5870" spans="3:31" s="260" customFormat="1" x14ac:dyDescent="0.25">
      <c r="C5870" s="84"/>
      <c r="D5870" s="380"/>
      <c r="E5870" s="381"/>
      <c r="F5870" s="381"/>
      <c r="G5870" s="381"/>
      <c r="H5870" s="381"/>
      <c r="I5870" s="381"/>
      <c r="J5870" s="382"/>
      <c r="K5870" s="88"/>
      <c r="M5870" s="510" t="s">
        <v>103</v>
      </c>
      <c r="N5870" s="511"/>
      <c r="O5870" s="511"/>
      <c r="P5870" s="511"/>
      <c r="Q5870" s="511"/>
      <c r="R5870" s="511"/>
      <c r="S5870" s="511"/>
      <c r="T5870" s="511"/>
      <c r="U5870" s="511"/>
      <c r="V5870" s="512"/>
      <c r="Y5870" s="378"/>
      <c r="Z5870" s="121"/>
      <c r="AA5870" s="86"/>
      <c r="AB5870" s="513"/>
      <c r="AC5870" s="514"/>
      <c r="AD5870" s="94"/>
      <c r="AE5870" s="126"/>
    </row>
    <row r="5871" spans="3:31" s="260" customFormat="1" x14ac:dyDescent="0.25">
      <c r="C5871" s="84"/>
      <c r="D5871" s="85"/>
      <c r="E5871" s="86"/>
      <c r="F5871" s="86"/>
      <c r="G5871" s="86"/>
      <c r="H5871" s="86"/>
      <c r="I5871" s="86"/>
      <c r="J5871" s="87"/>
      <c r="K5871" s="88"/>
      <c r="M5871" s="99" t="s">
        <v>94</v>
      </c>
      <c r="N5871" s="561" t="s">
        <v>95</v>
      </c>
      <c r="O5871" s="561"/>
      <c r="P5871" s="561"/>
      <c r="Q5871" s="561"/>
      <c r="R5871" s="95" t="s">
        <v>96</v>
      </c>
      <c r="S5871" s="95" t="s">
        <v>104</v>
      </c>
      <c r="T5871" s="356" t="s">
        <v>105</v>
      </c>
      <c r="U5871" s="356" t="s">
        <v>8</v>
      </c>
      <c r="V5871" s="100" t="s">
        <v>98</v>
      </c>
      <c r="Y5871" s="383" t="s">
        <v>104</v>
      </c>
      <c r="Z5871" s="119" t="s">
        <v>9</v>
      </c>
      <c r="AA5871" s="86"/>
      <c r="AB5871" s="384"/>
      <c r="AC5871" s="385"/>
      <c r="AD5871" s="94"/>
      <c r="AE5871" s="406"/>
    </row>
    <row r="5872" spans="3:31" s="260" customFormat="1" x14ac:dyDescent="0.25">
      <c r="C5872" s="84"/>
      <c r="D5872" s="85"/>
      <c r="E5872" s="86"/>
      <c r="F5872" s="86"/>
      <c r="G5872" s="86"/>
      <c r="H5872" s="86"/>
      <c r="I5872" s="86"/>
      <c r="J5872" s="87"/>
      <c r="K5872" s="88"/>
      <c r="M5872" s="102">
        <v>606</v>
      </c>
      <c r="N5872" s="533" t="str">
        <f>IFERROR(VLOOKUP(M5872,INSUMOS!$C$8:$K$928,2,0),"-----")</f>
        <v>Silla Yee reducida 6" a 4"</v>
      </c>
      <c r="O5872" s="533"/>
      <c r="P5872" s="533"/>
      <c r="Q5872" s="533"/>
      <c r="R5872" s="78" t="str">
        <f>IFERROR(VLOOKUP(M5872,INSUMOS!$C$8:$K$928,6,0),"-----")</f>
        <v>und</v>
      </c>
      <c r="S5872" s="396">
        <v>1</v>
      </c>
      <c r="T5872" s="387">
        <v>0</v>
      </c>
      <c r="U5872" s="388">
        <f>IFERROR(VLOOKUP(M5872,INSUMOS!$C$8:$K$928,7,0),"0")</f>
        <v>171378</v>
      </c>
      <c r="V5872" s="389">
        <f>+IFERROR(U5872*(S5872*(1+T5872)),0)</f>
        <v>171378</v>
      </c>
      <c r="Y5872" s="393">
        <f>+IFERROR(Y5859*(S5872*(1+T5872)),0)</f>
        <v>13</v>
      </c>
      <c r="Z5872" s="391">
        <f>Y5859*V5872</f>
        <v>2227914</v>
      </c>
      <c r="AA5872" s="394"/>
      <c r="AB5872" s="395">
        <f>+Y5872*U5872</f>
        <v>2227914</v>
      </c>
      <c r="AC5872" s="93">
        <f>+AB5872-Z5872</f>
        <v>0</v>
      </c>
      <c r="AD5872" s="94"/>
      <c r="AE5872" s="406" t="str">
        <f>+IF(V5872=0,"CERO","NO")</f>
        <v>NO</v>
      </c>
    </row>
    <row r="5873" spans="3:31" s="260" customFormat="1" x14ac:dyDescent="0.25">
      <c r="C5873" s="84"/>
      <c r="D5873" s="85"/>
      <c r="E5873" s="86"/>
      <c r="F5873" s="86"/>
      <c r="G5873" s="86"/>
      <c r="H5873" s="86"/>
      <c r="I5873" s="86"/>
      <c r="J5873" s="87"/>
      <c r="K5873" s="88"/>
      <c r="M5873" s="102">
        <v>699</v>
      </c>
      <c r="N5873" s="533" t="str">
        <f>IFERROR(VLOOKUP(M5873,INSUMOS!$C$8:$K$928,2,0),"-----")</f>
        <v>SOLDADURA PVC LIQUIDA 1/4"</v>
      </c>
      <c r="O5873" s="533"/>
      <c r="P5873" s="533"/>
      <c r="Q5873" s="533"/>
      <c r="R5873" s="78" t="str">
        <f>IFERROR(VLOOKUP(M5873,INSUMOS!$C$8:$K$928,6,0),"-----")</f>
        <v>und</v>
      </c>
      <c r="S5873" s="396">
        <v>0.01</v>
      </c>
      <c r="T5873" s="387">
        <v>0.02</v>
      </c>
      <c r="U5873" s="388">
        <f>IFERROR(VLOOKUP(M5873,INSUMOS!$C$8:$K$928,7,0),"0")</f>
        <v>146569</v>
      </c>
      <c r="V5873" s="389">
        <f>+IFERROR(U5873*(S5873*(1+T5873)),0)</f>
        <v>1495.0038000000002</v>
      </c>
      <c r="Y5873" s="393">
        <f>+IFERROR(Y5859*(S5873*(1+T5873)),0)</f>
        <v>0.1326</v>
      </c>
      <c r="Z5873" s="391">
        <f>Y5859*V5873</f>
        <v>19435.049400000004</v>
      </c>
      <c r="AA5873" s="394"/>
      <c r="AB5873" s="395">
        <f>+Y5873*U5873</f>
        <v>19435.0494</v>
      </c>
      <c r="AC5873" s="93">
        <f>+AB5873-Z5873</f>
        <v>0</v>
      </c>
      <c r="AD5873" s="94"/>
      <c r="AE5873" s="406" t="str">
        <f>+IF(V5873=0,"CERO","NO")</f>
        <v>NO</v>
      </c>
    </row>
    <row r="5874" spans="3:31" s="260" customFormat="1" x14ac:dyDescent="0.25">
      <c r="C5874" s="84"/>
      <c r="D5874" s="85"/>
      <c r="E5874" s="86"/>
      <c r="F5874" s="86"/>
      <c r="G5874" s="86"/>
      <c r="H5874" s="86"/>
      <c r="I5874" s="86"/>
      <c r="J5874" s="87"/>
      <c r="K5874" s="88"/>
      <c r="M5874" s="102">
        <v>700</v>
      </c>
      <c r="N5874" s="533" t="str">
        <f>IFERROR(VLOOKUP(M5874,INSUMOS!$C$8:$K$928,2,0),"-----")</f>
        <v>LIMPIADOR PVC 1/4</v>
      </c>
      <c r="O5874" s="533"/>
      <c r="P5874" s="533"/>
      <c r="Q5874" s="533"/>
      <c r="R5874" s="78" t="str">
        <f>IFERROR(VLOOKUP(M5874,INSUMOS!$C$8:$K$928,6,0),"-----")</f>
        <v>und</v>
      </c>
      <c r="S5874" s="396">
        <v>0.01</v>
      </c>
      <c r="T5874" s="387">
        <v>0.02</v>
      </c>
      <c r="U5874" s="388">
        <f>IFERROR(VLOOKUP(M5874,INSUMOS!$C$8:$K$928,7,0),"0")</f>
        <v>65913</v>
      </c>
      <c r="V5874" s="389">
        <f>+IFERROR(U5874*(S5874*(1+T5874)),0)</f>
        <v>672.31260000000009</v>
      </c>
      <c r="Y5874" s="393">
        <f>+IFERROR(Y5859*(S5874*(1+T5874)),0)</f>
        <v>0.1326</v>
      </c>
      <c r="Z5874" s="391">
        <f>Y5859*V5874</f>
        <v>8740.0638000000017</v>
      </c>
      <c r="AA5874" s="394"/>
      <c r="AB5874" s="395">
        <f>+Y5874*U5874</f>
        <v>8740.0637999999999</v>
      </c>
      <c r="AC5874" s="93">
        <f>+AB5874-Z5874</f>
        <v>0</v>
      </c>
      <c r="AD5874" s="94"/>
      <c r="AE5874" s="406" t="str">
        <f>+IF(V5874=0,"CERO","NO")</f>
        <v>NO</v>
      </c>
    </row>
    <row r="5875" spans="3:31" s="260" customFormat="1" x14ac:dyDescent="0.25">
      <c r="C5875" s="84"/>
      <c r="D5875" s="85"/>
      <c r="E5875" s="86"/>
      <c r="F5875" s="86"/>
      <c r="G5875" s="86"/>
      <c r="H5875" s="86"/>
      <c r="I5875" s="86"/>
      <c r="J5875" s="87"/>
      <c r="K5875" s="88"/>
      <c r="M5875" s="102"/>
      <c r="N5875" s="533" t="str">
        <f>IFERROR(VLOOKUP(M5875,INSUMOS!$C$8:$K$928,2,0),"-----")</f>
        <v>-----</v>
      </c>
      <c r="O5875" s="533"/>
      <c r="P5875" s="533"/>
      <c r="Q5875" s="533"/>
      <c r="R5875" s="78" t="str">
        <f>IFERROR(VLOOKUP(M5875,INSUMOS!$C$8:$K$928,6,0),"-----")</f>
        <v>-----</v>
      </c>
      <c r="S5875" s="396"/>
      <c r="T5875" s="387"/>
      <c r="U5875" s="388" t="str">
        <f>IFERROR(VLOOKUP(M5875,INSUMOS!$C$8:$K$928,7,0),"0")</f>
        <v>0</v>
      </c>
      <c r="V5875" s="389">
        <f>+IFERROR(U5875*(S5875*(1+T5875)),0)</f>
        <v>0</v>
      </c>
      <c r="Y5875" s="393">
        <f>+IFERROR(Y5859*(S5875*(1+T5875)),0)</f>
        <v>0</v>
      </c>
      <c r="Z5875" s="391">
        <f>Y5859*V5875</f>
        <v>0</v>
      </c>
      <c r="AA5875" s="394"/>
      <c r="AB5875" s="395">
        <f>+Y5875*U5875</f>
        <v>0</v>
      </c>
      <c r="AC5875" s="93">
        <f>+AB5875-Z5875</f>
        <v>0</v>
      </c>
      <c r="AD5875" s="94"/>
      <c r="AE5875" s="406" t="str">
        <f>+IF(V5875=0,"CERO","NO")</f>
        <v>CERO</v>
      </c>
    </row>
    <row r="5876" spans="3:31" s="260" customFormat="1" ht="15.75" thickBot="1" x14ac:dyDescent="0.3">
      <c r="C5876" s="84"/>
      <c r="D5876" s="85"/>
      <c r="E5876" s="86"/>
      <c r="F5876" s="86"/>
      <c r="G5876" s="86"/>
      <c r="H5876" s="86"/>
      <c r="I5876" s="86"/>
      <c r="J5876" s="87"/>
      <c r="K5876" s="88"/>
      <c r="M5876" s="102">
        <v>0</v>
      </c>
      <c r="N5876" s="564"/>
      <c r="O5876" s="564"/>
      <c r="P5876" s="564"/>
      <c r="Q5876" s="564"/>
      <c r="R5876" s="96"/>
      <c r="S5876" s="79"/>
      <c r="T5876" s="97"/>
      <c r="U5876" s="358"/>
      <c r="V5876" s="397"/>
      <c r="Y5876" s="393">
        <f>+IFERROR(Y5859*(S5876*(1+T5876)),0)</f>
        <v>0</v>
      </c>
      <c r="Z5876" s="391">
        <f>Y5859*V5876</f>
        <v>0</v>
      </c>
      <c r="AA5876" s="394"/>
      <c r="AB5876" s="395">
        <f>+Y5876*U5876</f>
        <v>0</v>
      </c>
      <c r="AC5876" s="93">
        <f>+AB5876-Z5876</f>
        <v>0</v>
      </c>
      <c r="AD5876" s="94"/>
      <c r="AE5876" s="406" t="str">
        <f>+IF(V5876=0,"CERO","NO")</f>
        <v>CERO</v>
      </c>
    </row>
    <row r="5877" spans="3:31" s="260" customFormat="1" ht="15.75" thickBot="1" x14ac:dyDescent="0.3">
      <c r="C5877" s="84"/>
      <c r="D5877" s="375" t="s">
        <v>128</v>
      </c>
      <c r="E5877" s="376" t="s">
        <v>129</v>
      </c>
      <c r="F5877" s="376" t="s">
        <v>130</v>
      </c>
      <c r="G5877" s="376" t="s">
        <v>131</v>
      </c>
      <c r="H5877" s="376" t="s">
        <v>132</v>
      </c>
      <c r="I5877" s="376" t="s">
        <v>133</v>
      </c>
      <c r="J5877" s="377" t="s">
        <v>134</v>
      </c>
      <c r="K5877" s="88"/>
      <c r="M5877" s="534"/>
      <c r="N5877" s="536" t="s">
        <v>106</v>
      </c>
      <c r="O5877" s="536"/>
      <c r="P5877" s="536"/>
      <c r="Q5877" s="536"/>
      <c r="R5877" s="536"/>
      <c r="S5877" s="536"/>
      <c r="T5877" s="536"/>
      <c r="U5877" s="536"/>
      <c r="V5877" s="389">
        <f>+SUM(V5872:V5876)</f>
        <v>173545.31640000001</v>
      </c>
      <c r="Y5877" s="398" t="s">
        <v>135</v>
      </c>
      <c r="Z5877" s="397">
        <f>+SUM(Z5872:Z5876)</f>
        <v>2256089.1132</v>
      </c>
      <c r="AA5877" s="86"/>
      <c r="AB5877" s="384"/>
      <c r="AC5877" s="385"/>
      <c r="AD5877" s="94"/>
      <c r="AE5877" s="399"/>
    </row>
    <row r="5878" spans="3:31" s="260" customFormat="1" ht="15.75" thickBot="1" x14ac:dyDescent="0.3">
      <c r="C5878" s="84"/>
      <c r="D5878" s="375"/>
      <c r="E5878" s="407">
        <f>+D5869</f>
        <v>6.1</v>
      </c>
      <c r="F5878" s="376"/>
      <c r="G5878" s="376"/>
      <c r="H5878" s="376"/>
      <c r="I5878" s="376"/>
      <c r="J5878" s="377"/>
      <c r="K5878" s="88"/>
      <c r="M5878" s="535"/>
      <c r="N5878" s="537" t="s">
        <v>107</v>
      </c>
      <c r="O5878" s="537"/>
      <c r="P5878" s="537"/>
      <c r="Q5878" s="537"/>
      <c r="R5878" s="537"/>
      <c r="S5878" s="537"/>
      <c r="T5878" s="537"/>
      <c r="U5878" s="537"/>
      <c r="V5878" s="408">
        <f>+ROUND(V5877,$AA$5)</f>
        <v>173545.32</v>
      </c>
      <c r="Y5878" s="401" t="s">
        <v>136</v>
      </c>
      <c r="Z5878" s="402">
        <f>+ROUND(Z5877,$AA$5)</f>
        <v>2256089.11</v>
      </c>
      <c r="AA5878" s="86"/>
      <c r="AB5878" s="403">
        <f>+V5878*Y5859</f>
        <v>2256089.16</v>
      </c>
      <c r="AC5878" s="404">
        <f>+AB5878-Z5878</f>
        <v>5.0000000279396772E-2</v>
      </c>
      <c r="AD5878" s="94"/>
      <c r="AE5878" s="405"/>
    </row>
    <row r="5879" spans="3:31" s="260" customFormat="1" x14ac:dyDescent="0.25">
      <c r="C5879" s="84"/>
      <c r="D5879" s="380"/>
      <c r="E5879" s="381"/>
      <c r="F5879" s="381"/>
      <c r="G5879" s="381"/>
      <c r="H5879" s="381"/>
      <c r="I5879" s="381"/>
      <c r="J5879" s="382"/>
      <c r="K5879" s="88"/>
      <c r="M5879" s="568" t="s">
        <v>108</v>
      </c>
      <c r="N5879" s="569"/>
      <c r="O5879" s="569"/>
      <c r="P5879" s="569"/>
      <c r="Q5879" s="569"/>
      <c r="R5879" s="569"/>
      <c r="S5879" s="569"/>
      <c r="T5879" s="569"/>
      <c r="U5879" s="569"/>
      <c r="V5879" s="570"/>
      <c r="Y5879" s="378"/>
      <c r="Z5879" s="121"/>
      <c r="AA5879" s="86"/>
      <c r="AB5879" s="409"/>
      <c r="AC5879" s="121"/>
      <c r="AD5879" s="94"/>
      <c r="AE5879" s="126"/>
    </row>
    <row r="5880" spans="3:31" s="260" customFormat="1" ht="25.5" x14ac:dyDescent="0.25">
      <c r="C5880" s="84"/>
      <c r="D5880" s="85"/>
      <c r="E5880" s="86"/>
      <c r="F5880" s="86"/>
      <c r="G5880" s="86"/>
      <c r="H5880" s="86"/>
      <c r="I5880" s="86"/>
      <c r="J5880" s="87"/>
      <c r="K5880" s="88"/>
      <c r="M5880" s="99" t="s">
        <v>94</v>
      </c>
      <c r="N5880" s="561" t="s">
        <v>95</v>
      </c>
      <c r="O5880" s="561"/>
      <c r="P5880" s="561"/>
      <c r="Q5880" s="95" t="s">
        <v>109</v>
      </c>
      <c r="R5880" s="95" t="s">
        <v>110</v>
      </c>
      <c r="S5880" s="95" t="s">
        <v>111</v>
      </c>
      <c r="T5880" s="562" t="s">
        <v>112</v>
      </c>
      <c r="U5880" s="562"/>
      <c r="V5880" s="100" t="s">
        <v>98</v>
      </c>
      <c r="Y5880" s="383" t="s">
        <v>104</v>
      </c>
      <c r="Z5880" s="119" t="s">
        <v>9</v>
      </c>
      <c r="AA5880" s="86"/>
      <c r="AB5880" s="384"/>
      <c r="AC5880" s="385"/>
      <c r="AD5880" s="94"/>
      <c r="AE5880" s="410"/>
    </row>
    <row r="5881" spans="3:31" s="260" customFormat="1" x14ac:dyDescent="0.25">
      <c r="C5881" s="84"/>
      <c r="D5881" s="85"/>
      <c r="E5881" s="86"/>
      <c r="F5881" s="86"/>
      <c r="G5881" s="86"/>
      <c r="H5881" s="86"/>
      <c r="I5881" s="86"/>
      <c r="J5881" s="87"/>
      <c r="K5881" s="88"/>
      <c r="M5881" s="102"/>
      <c r="N5881" s="530" t="str">
        <f>IFERROR(VLOOKUP(M5881,INSUMOS!$C$8:$K$928,2,0),"-----")</f>
        <v>-----</v>
      </c>
      <c r="O5881" s="531"/>
      <c r="P5881" s="532"/>
      <c r="Q5881" s="78" t="str">
        <f>IFERROR(VLOOKUP(M5881,INSUMOS!$C$8:$K$928,5,0),"-----")</f>
        <v>-----</v>
      </c>
      <c r="R5881" s="80"/>
      <c r="S5881" s="80" t="str">
        <f>IFERROR(VLOOKUP(M5881,INSUMOS!$C$8:$K$928,6,0),"0")</f>
        <v>0</v>
      </c>
      <c r="T5881" s="529" t="str">
        <f>IFERROR(VLOOKUP(M5881,INSUMOS!$C$8:$K$928,7,0),"0")</f>
        <v>0</v>
      </c>
      <c r="U5881" s="529"/>
      <c r="V5881" s="82">
        <f>+T5881*S5881*R5881</f>
        <v>0</v>
      </c>
      <c r="Y5881" s="393">
        <f>+IFERROR((R5881*S5881)*Y5859,0)</f>
        <v>0</v>
      </c>
      <c r="Z5881" s="391">
        <f>Y5859*V5881</f>
        <v>0</v>
      </c>
      <c r="AA5881" s="86"/>
      <c r="AB5881" s="92">
        <f>+Y5881*T5881</f>
        <v>0</v>
      </c>
      <c r="AC5881" s="93">
        <f>+AB5881-Z5881</f>
        <v>0</v>
      </c>
      <c r="AD5881" s="94"/>
      <c r="AE5881" s="406" t="str">
        <f>+IF(V5881=0,"CERO","NO")</f>
        <v>CERO</v>
      </c>
    </row>
    <row r="5882" spans="3:31" s="260" customFormat="1" x14ac:dyDescent="0.25">
      <c r="C5882" s="84"/>
      <c r="D5882" s="85"/>
      <c r="E5882" s="86"/>
      <c r="F5882" s="86"/>
      <c r="G5882" s="86"/>
      <c r="H5882" s="86"/>
      <c r="I5882" s="86"/>
      <c r="J5882" s="87"/>
      <c r="K5882" s="88"/>
      <c r="M5882" s="102">
        <v>0</v>
      </c>
      <c r="N5882" s="530" t="str">
        <f>IFERROR(VLOOKUP(M5882,INSUMOS!$C$8:$K$928,2,0),"-----")</f>
        <v>-----</v>
      </c>
      <c r="O5882" s="531"/>
      <c r="P5882" s="532"/>
      <c r="Q5882" s="78" t="str">
        <f>IFERROR(VLOOKUP(M5882,INSUMOS!$C$8:$K$928,5,0),"-----")</f>
        <v>-----</v>
      </c>
      <c r="R5882" s="80"/>
      <c r="S5882" s="80" t="str">
        <f>IFERROR(VLOOKUP(M5882,INSUMOS!$C$8:$K$928,6,0),"0")</f>
        <v>0</v>
      </c>
      <c r="T5882" s="529" t="str">
        <f>IFERROR(VLOOKUP(M5882,INSUMOS!$C$8:$K$928,7,0),"0")</f>
        <v>0</v>
      </c>
      <c r="U5882" s="529"/>
      <c r="V5882" s="82">
        <f>+T5882*S5882*R5882</f>
        <v>0</v>
      </c>
      <c r="Y5882" s="393">
        <f>+IFERROR((R5882*S5882)*Y5859,0)</f>
        <v>0</v>
      </c>
      <c r="Z5882" s="391">
        <f>Y5859*V5882</f>
        <v>0</v>
      </c>
      <c r="AA5882" s="86"/>
      <c r="AB5882" s="92">
        <f>+Y5882*T5882</f>
        <v>0</v>
      </c>
      <c r="AC5882" s="93">
        <f>+AB5882-Z5882</f>
        <v>0</v>
      </c>
      <c r="AD5882" s="94"/>
      <c r="AE5882" s="406" t="str">
        <f>+IF(V5882=0,"CERO","NO")</f>
        <v>CERO</v>
      </c>
    </row>
    <row r="5883" spans="3:31" s="260" customFormat="1" x14ac:dyDescent="0.25">
      <c r="C5883" s="84"/>
      <c r="D5883" s="85"/>
      <c r="E5883" s="86"/>
      <c r="F5883" s="86"/>
      <c r="G5883" s="86"/>
      <c r="H5883" s="86"/>
      <c r="I5883" s="86"/>
      <c r="J5883" s="87"/>
      <c r="K5883" s="88"/>
      <c r="M5883" s="102">
        <v>0</v>
      </c>
      <c r="N5883" s="530" t="str">
        <f>IFERROR(VLOOKUP(M5883,INSUMOS!$C$8:$K$928,2,0),"-----")</f>
        <v>-----</v>
      </c>
      <c r="O5883" s="531"/>
      <c r="P5883" s="532"/>
      <c r="Q5883" s="78" t="str">
        <f>IFERROR(VLOOKUP(M5883,INSUMOS!$C$8:$K$928,5,0),"-----")</f>
        <v>-----</v>
      </c>
      <c r="R5883" s="80"/>
      <c r="S5883" s="80" t="str">
        <f>IFERROR(VLOOKUP(M5883,INSUMOS!$C$8:$K$928,6,0),"0")</f>
        <v>0</v>
      </c>
      <c r="T5883" s="529" t="str">
        <f>IFERROR(VLOOKUP(M5883,INSUMOS!$C$8:$K$928,7,0),"0")</f>
        <v>0</v>
      </c>
      <c r="U5883" s="529"/>
      <c r="V5883" s="82">
        <f>+T5883*S5883*R5883</f>
        <v>0</v>
      </c>
      <c r="Y5883" s="393">
        <f>+IFERROR((R5883*S5883)*Y5859,0)</f>
        <v>0</v>
      </c>
      <c r="Z5883" s="391">
        <f>Y5859*V5883</f>
        <v>0</v>
      </c>
      <c r="AA5883" s="86"/>
      <c r="AB5883" s="92">
        <f>+Y5883*T5883</f>
        <v>0</v>
      </c>
      <c r="AC5883" s="93">
        <f>+AB5883-Z5883</f>
        <v>0</v>
      </c>
      <c r="AD5883" s="94"/>
      <c r="AE5883" s="406" t="str">
        <f>+IF(V5883=0,"CERO","NO")</f>
        <v>CERO</v>
      </c>
    </row>
    <row r="5884" spans="3:31" s="260" customFormat="1" ht="15.75" thickBot="1" x14ac:dyDescent="0.3">
      <c r="C5884" s="84"/>
      <c r="D5884" s="89"/>
      <c r="E5884" s="90"/>
      <c r="F5884" s="90"/>
      <c r="G5884" s="90"/>
      <c r="H5884" s="90"/>
      <c r="I5884" s="90"/>
      <c r="J5884" s="91"/>
      <c r="K5884" s="88"/>
      <c r="M5884" s="102">
        <v>0</v>
      </c>
      <c r="N5884" s="533"/>
      <c r="O5884" s="533"/>
      <c r="P5884" s="533"/>
      <c r="Q5884" s="79"/>
      <c r="R5884" s="78"/>
      <c r="S5884" s="81"/>
      <c r="T5884" s="529"/>
      <c r="U5884" s="529"/>
      <c r="V5884" s="82"/>
      <c r="Y5884" s="393">
        <f>+IFERROR((R5884*S5884)*Y5859,0)</f>
        <v>0</v>
      </c>
      <c r="Z5884" s="391">
        <f>Y5859*V5884</f>
        <v>0</v>
      </c>
      <c r="AA5884" s="86"/>
      <c r="AB5884" s="92">
        <f>+Y5884*T5884</f>
        <v>0</v>
      </c>
      <c r="AC5884" s="93">
        <f>+AB5884-Z5884</f>
        <v>0</v>
      </c>
      <c r="AD5884" s="94"/>
      <c r="AE5884" s="406" t="str">
        <f>+IF(V5884=0,"CERO","NO")</f>
        <v>CERO</v>
      </c>
    </row>
    <row r="5885" spans="3:31" s="260" customFormat="1" ht="15.75" thickBot="1" x14ac:dyDescent="0.3">
      <c r="C5885" s="84"/>
      <c r="D5885" s="375" t="s">
        <v>128</v>
      </c>
      <c r="E5885" s="376" t="s">
        <v>129</v>
      </c>
      <c r="F5885" s="376" t="s">
        <v>130</v>
      </c>
      <c r="G5885" s="376" t="s">
        <v>131</v>
      </c>
      <c r="H5885" s="376" t="s">
        <v>132</v>
      </c>
      <c r="I5885" s="376" t="s">
        <v>133</v>
      </c>
      <c r="J5885" s="377" t="s">
        <v>134</v>
      </c>
      <c r="K5885" s="88"/>
      <c r="M5885" s="534"/>
      <c r="N5885" s="536" t="s">
        <v>113</v>
      </c>
      <c r="O5885" s="536"/>
      <c r="P5885" s="536"/>
      <c r="Q5885" s="536"/>
      <c r="R5885" s="536"/>
      <c r="S5885" s="536"/>
      <c r="T5885" s="536"/>
      <c r="U5885" s="536"/>
      <c r="V5885" s="411">
        <f>+SUM(V5881:V5884)</f>
        <v>0</v>
      </c>
      <c r="Y5885" s="398" t="s">
        <v>135</v>
      </c>
      <c r="Z5885" s="397">
        <f>+SUM(Z5881:Z5884)</f>
        <v>0</v>
      </c>
      <c r="AA5885" s="86"/>
      <c r="AB5885" s="384"/>
      <c r="AC5885" s="385"/>
      <c r="AD5885" s="94"/>
      <c r="AE5885" s="399"/>
    </row>
    <row r="5886" spans="3:31" s="260" customFormat="1" ht="15.75" thickBot="1" x14ac:dyDescent="0.3">
      <c r="C5886" s="84"/>
      <c r="D5886" s="355"/>
      <c r="E5886" s="367"/>
      <c r="F5886" s="412">
        <f>+E5878</f>
        <v>6.1</v>
      </c>
      <c r="G5886" s="367"/>
      <c r="H5886" s="367"/>
      <c r="I5886" s="367"/>
      <c r="J5886" s="368"/>
      <c r="K5886" s="88"/>
      <c r="M5886" s="535"/>
      <c r="N5886" s="537" t="s">
        <v>114</v>
      </c>
      <c r="O5886" s="537"/>
      <c r="P5886" s="537"/>
      <c r="Q5886" s="537"/>
      <c r="R5886" s="537"/>
      <c r="S5886" s="537"/>
      <c r="T5886" s="537"/>
      <c r="U5886" s="537"/>
      <c r="V5886" s="413">
        <f>+ROUND(V5885,$AA$5)</f>
        <v>0</v>
      </c>
      <c r="Y5886" s="401" t="s">
        <v>136</v>
      </c>
      <c r="Z5886" s="402">
        <f>+ROUND(Z5885,$AA$5)</f>
        <v>0</v>
      </c>
      <c r="AA5886" s="86"/>
      <c r="AB5886" s="403">
        <f>+V5886*Y5859</f>
        <v>0</v>
      </c>
      <c r="AC5886" s="414"/>
      <c r="AD5886" s="94"/>
      <c r="AE5886" s="405"/>
    </row>
    <row r="5887" spans="3:31" s="260" customFormat="1" ht="15.75" thickBot="1" x14ac:dyDescent="0.3">
      <c r="C5887" s="84"/>
      <c r="D5887" s="415"/>
      <c r="E5887" s="416"/>
      <c r="F5887" s="416"/>
      <c r="G5887" s="416"/>
      <c r="H5887" s="416"/>
      <c r="I5887" s="416"/>
      <c r="J5887" s="417"/>
      <c r="K5887" s="88"/>
      <c r="M5887" s="538" t="s">
        <v>115</v>
      </c>
      <c r="N5887" s="539"/>
      <c r="O5887" s="539"/>
      <c r="P5887" s="539"/>
      <c r="Q5887" s="539"/>
      <c r="R5887" s="539"/>
      <c r="S5887" s="539"/>
      <c r="T5887" s="539"/>
      <c r="U5887" s="539"/>
      <c r="V5887" s="540"/>
      <c r="Y5887" s="378"/>
      <c r="Z5887" s="121"/>
      <c r="AA5887" s="86"/>
      <c r="AB5887" s="409"/>
      <c r="AC5887" s="121"/>
      <c r="AD5887" s="94"/>
      <c r="AE5887" s="126"/>
    </row>
    <row r="5888" spans="3:31" s="260" customFormat="1" ht="15.75" thickBot="1" x14ac:dyDescent="0.3">
      <c r="C5888" s="84"/>
      <c r="D5888" s="375" t="s">
        <v>128</v>
      </c>
      <c r="E5888" s="376" t="s">
        <v>129</v>
      </c>
      <c r="F5888" s="376" t="s">
        <v>130</v>
      </c>
      <c r="G5888" s="376" t="s">
        <v>131</v>
      </c>
      <c r="H5888" s="376" t="s">
        <v>132</v>
      </c>
      <c r="I5888" s="376" t="s">
        <v>133</v>
      </c>
      <c r="J5888" s="377" t="s">
        <v>134</v>
      </c>
      <c r="K5888" s="88"/>
      <c r="M5888" s="99" t="s">
        <v>94</v>
      </c>
      <c r="N5888" s="98" t="s">
        <v>95</v>
      </c>
      <c r="O5888" s="95" t="s">
        <v>96</v>
      </c>
      <c r="P5888" s="359" t="s">
        <v>104</v>
      </c>
      <c r="Q5888" s="95" t="s">
        <v>116</v>
      </c>
      <c r="R5888" s="418" t="s">
        <v>117</v>
      </c>
      <c r="S5888" s="95" t="s">
        <v>347</v>
      </c>
      <c r="T5888" s="419" t="s">
        <v>118</v>
      </c>
      <c r="U5888" s="189" t="s">
        <v>119</v>
      </c>
      <c r="V5888" s="100" t="s">
        <v>98</v>
      </c>
      <c r="Y5888" s="383" t="s">
        <v>104</v>
      </c>
      <c r="Z5888" s="119" t="s">
        <v>9</v>
      </c>
      <c r="AA5888" s="86"/>
      <c r="AB5888" s="384"/>
      <c r="AC5888" s="385"/>
      <c r="AD5888" s="94"/>
      <c r="AE5888" s="410"/>
    </row>
    <row r="5889" spans="3:31" s="260" customFormat="1" ht="25.5" x14ac:dyDescent="0.25">
      <c r="C5889" s="84"/>
      <c r="D5889" s="354"/>
      <c r="E5889" s="96"/>
      <c r="F5889" s="96"/>
      <c r="G5889" s="96"/>
      <c r="H5889" s="96"/>
      <c r="I5889" s="96"/>
      <c r="J5889" s="420">
        <f>+F5886</f>
        <v>6.1</v>
      </c>
      <c r="K5889" s="88"/>
      <c r="M5889" s="102">
        <v>201</v>
      </c>
      <c r="N5889" s="347" t="str">
        <f>IFERROR(VLOOKUP(M5889,INSUMOS!$C$8:$K$928,2,0),"-----")</f>
        <v>Oficial Albañileria</v>
      </c>
      <c r="O5889" s="78" t="str">
        <f>IFERROR(VLOOKUP(M5889,INSUMOS!$C$8:$K$928,3,0),"-----")</f>
        <v>JORNAL+PS</v>
      </c>
      <c r="P5889" s="80">
        <v>1</v>
      </c>
      <c r="Q5889" s="79">
        <v>25</v>
      </c>
      <c r="R5889" s="190">
        <f>IFERROR(VLOOKUP(M5889,INSUMOS!$C$8:$K$928,4,0),"-----")</f>
        <v>85136</v>
      </c>
      <c r="S5889" s="190">
        <f>IFERROR(VLOOKUP(M5889,INSUMOS!$C$8:$K$928,6,0),"-----")</f>
        <v>68109</v>
      </c>
      <c r="T5889" s="190">
        <f>IFERROR(VLOOKUP(M5889,INSUMOS!$C$8:$K$928,5,0),"-----")</f>
        <v>0</v>
      </c>
      <c r="U5889" s="388">
        <f>SUM(R5889:T5889)</f>
        <v>153245</v>
      </c>
      <c r="V5889" s="82">
        <f>+IFERROR((P5889/Q5889)*U5889,0)</f>
        <v>6129.8</v>
      </c>
      <c r="Y5889" s="393">
        <f>+IFERROR((Y5859/Q5889*P5889),0)</f>
        <v>0.52</v>
      </c>
      <c r="Z5889" s="391">
        <f>Y5859*V5889</f>
        <v>79687.400000000009</v>
      </c>
      <c r="AA5889" s="86"/>
      <c r="AB5889" s="92">
        <f>+(U5889)*Y5889</f>
        <v>79687.400000000009</v>
      </c>
      <c r="AC5889" s="93">
        <f>+AB5889-Z5889</f>
        <v>0</v>
      </c>
      <c r="AD5889" s="421"/>
      <c r="AE5889" s="410" t="str">
        <f>+IF(V5889=0,"CERO","NO")</f>
        <v>NO</v>
      </c>
    </row>
    <row r="5890" spans="3:31" s="260" customFormat="1" ht="26.25" thickBot="1" x14ac:dyDescent="0.3">
      <c r="C5890" s="84"/>
      <c r="D5890" s="355"/>
      <c r="E5890" s="367"/>
      <c r="F5890" s="367"/>
      <c r="G5890" s="367"/>
      <c r="H5890" s="367"/>
      <c r="I5890" s="367"/>
      <c r="J5890" s="422">
        <f>+J5889</f>
        <v>6.1</v>
      </c>
      <c r="K5890" s="88"/>
      <c r="M5890" s="102">
        <v>202</v>
      </c>
      <c r="N5890" s="347" t="str">
        <f>IFERROR(VLOOKUP(M5890,INSUMOS!$C$8:$K$928,2,0),"-----")</f>
        <v>Ayudante Albañileria</v>
      </c>
      <c r="O5890" s="78" t="str">
        <f>IFERROR(VLOOKUP(M5890,INSUMOS!$C$8:$K$928,3,0),"-----")</f>
        <v>JORNAL+PS</v>
      </c>
      <c r="P5890" s="80">
        <v>1</v>
      </c>
      <c r="Q5890" s="79">
        <v>25</v>
      </c>
      <c r="R5890" s="190">
        <f>IFERROR(VLOOKUP(M5890,INSUMOS!$C$8:$K$928,4,0),"-----")</f>
        <v>63490</v>
      </c>
      <c r="S5890" s="190">
        <f>IFERROR(VLOOKUP(M5890,INSUMOS!$C$8:$K$928,6,0),"-----")</f>
        <v>50792</v>
      </c>
      <c r="T5890" s="190">
        <f>IFERROR(VLOOKUP(M5890,INSUMOS!$C$8:$K$928,5,0),"-----")</f>
        <v>0</v>
      </c>
      <c r="U5890" s="388">
        <f>SUM(R5890:T5890)</f>
        <v>114282</v>
      </c>
      <c r="V5890" s="82">
        <f>+IFERROR((P5890/Q5890)*U5890,0)</f>
        <v>4571.28</v>
      </c>
      <c r="Y5890" s="393">
        <f>+IFERROR((Y5859/Q5890*P5890),0)</f>
        <v>0.52</v>
      </c>
      <c r="Z5890" s="391">
        <f>Y5859*V5890</f>
        <v>59426.64</v>
      </c>
      <c r="AA5890" s="86"/>
      <c r="AB5890" s="92">
        <f>+U5890*Y5890</f>
        <v>59426.64</v>
      </c>
      <c r="AC5890" s="93">
        <f>+AB5890-Z5890</f>
        <v>0</v>
      </c>
      <c r="AD5890" s="94"/>
      <c r="AE5890" s="410" t="str">
        <f>+IF(V5890=0,"CERO","NO")</f>
        <v>NO</v>
      </c>
    </row>
    <row r="5891" spans="3:31" s="260" customFormat="1" ht="15.75" thickBot="1" x14ac:dyDescent="0.3">
      <c r="C5891" s="84"/>
      <c r="D5891" s="380"/>
      <c r="E5891" s="381"/>
      <c r="F5891" s="381"/>
      <c r="G5891" s="381"/>
      <c r="H5891" s="381"/>
      <c r="I5891" s="381"/>
      <c r="J5891" s="382"/>
      <c r="K5891" s="88"/>
      <c r="M5891" s="102">
        <v>0</v>
      </c>
      <c r="N5891" s="347"/>
      <c r="O5891" s="79"/>
      <c r="P5891" s="423"/>
      <c r="Q5891" s="81"/>
      <c r="R5891" s="111"/>
      <c r="S5891" s="357"/>
      <c r="T5891" s="111"/>
      <c r="U5891" s="388"/>
      <c r="V5891" s="426"/>
      <c r="Y5891" s="393">
        <f>+IFERROR((Y5859/Q5891*P5891),0)</f>
        <v>0</v>
      </c>
      <c r="Z5891" s="391">
        <f>Y5859*V5891</f>
        <v>0</v>
      </c>
      <c r="AA5891" s="86"/>
      <c r="AB5891" s="92">
        <f>+(U5891)*Y5891*P5891</f>
        <v>0</v>
      </c>
      <c r="AC5891" s="93">
        <f>+AB5891-Z5891</f>
        <v>0</v>
      </c>
      <c r="AD5891" s="94"/>
      <c r="AE5891" s="410" t="str">
        <f>+IF(V5891=0,"CERO","NO")</f>
        <v>CERO</v>
      </c>
    </row>
    <row r="5892" spans="3:31" s="260" customFormat="1" ht="15.75" thickBot="1" x14ac:dyDescent="0.3">
      <c r="C5892" s="84"/>
      <c r="D5892" s="375" t="s">
        <v>128</v>
      </c>
      <c r="E5892" s="376" t="s">
        <v>129</v>
      </c>
      <c r="F5892" s="376" t="s">
        <v>130</v>
      </c>
      <c r="G5892" s="376" t="s">
        <v>131</v>
      </c>
      <c r="H5892" s="376" t="s">
        <v>132</v>
      </c>
      <c r="I5892" s="376" t="s">
        <v>133</v>
      </c>
      <c r="J5892" s="377" t="s">
        <v>134</v>
      </c>
      <c r="K5892" s="88"/>
      <c r="M5892" s="534"/>
      <c r="N5892" s="536" t="s">
        <v>120</v>
      </c>
      <c r="O5892" s="536"/>
      <c r="P5892" s="536"/>
      <c r="Q5892" s="536"/>
      <c r="R5892" s="536"/>
      <c r="S5892" s="536"/>
      <c r="T5892" s="536"/>
      <c r="U5892" s="536"/>
      <c r="V5892" s="82">
        <f>+SUM(V5889:V5891)</f>
        <v>10701.08</v>
      </c>
      <c r="Y5892" s="398" t="s">
        <v>135</v>
      </c>
      <c r="Z5892" s="397">
        <f>+SUM(Z5889:Z5891)</f>
        <v>139114.04</v>
      </c>
      <c r="AA5892" s="86"/>
      <c r="AB5892" s="384"/>
      <c r="AC5892" s="385"/>
      <c r="AD5892" s="94"/>
      <c r="AE5892" s="399"/>
    </row>
    <row r="5893" spans="3:31" s="260" customFormat="1" ht="15.75" thickBot="1" x14ac:dyDescent="0.3">
      <c r="C5893" s="84"/>
      <c r="D5893" s="354"/>
      <c r="E5893" s="96"/>
      <c r="F5893" s="96"/>
      <c r="G5893" s="107">
        <f>+F5886</f>
        <v>6.1</v>
      </c>
      <c r="H5893" s="96"/>
      <c r="I5893" s="96"/>
      <c r="J5893" s="427"/>
      <c r="K5893" s="88"/>
      <c r="M5893" s="535"/>
      <c r="N5893" s="537" t="s">
        <v>121</v>
      </c>
      <c r="O5893" s="537"/>
      <c r="P5893" s="537"/>
      <c r="Q5893" s="537"/>
      <c r="R5893" s="537"/>
      <c r="S5893" s="537"/>
      <c r="T5893" s="537"/>
      <c r="U5893" s="537"/>
      <c r="V5893" s="413">
        <f>+ROUND(V5892,$AA$5)</f>
        <v>10701.08</v>
      </c>
      <c r="Y5893" s="401" t="s">
        <v>136</v>
      </c>
      <c r="Z5893" s="402">
        <f>+ROUND(Z5892,$AA$5)</f>
        <v>139114.04</v>
      </c>
      <c r="AA5893" s="86"/>
      <c r="AB5893" s="403">
        <f>+V5893*Y5859</f>
        <v>139114.04</v>
      </c>
      <c r="AC5893" s="404">
        <f>+AB5893-Z5893</f>
        <v>0</v>
      </c>
      <c r="AD5893" s="94"/>
      <c r="AE5893" s="405"/>
    </row>
    <row r="5894" spans="3:31" s="260" customFormat="1" ht="15.75" thickBot="1" x14ac:dyDescent="0.3">
      <c r="C5894" s="84"/>
      <c r="D5894" s="375" t="s">
        <v>128</v>
      </c>
      <c r="E5894" s="376" t="s">
        <v>129</v>
      </c>
      <c r="F5894" s="376" t="s">
        <v>130</v>
      </c>
      <c r="G5894" s="376" t="s">
        <v>131</v>
      </c>
      <c r="H5894" s="376" t="s">
        <v>132</v>
      </c>
      <c r="I5894" s="376" t="s">
        <v>133</v>
      </c>
      <c r="J5894" s="377" t="s">
        <v>134</v>
      </c>
      <c r="K5894" s="88"/>
      <c r="M5894" s="541"/>
      <c r="N5894" s="542"/>
      <c r="O5894" s="542"/>
      <c r="P5894" s="542"/>
      <c r="Q5894" s="542"/>
      <c r="R5894" s="542"/>
      <c r="S5894" s="542"/>
      <c r="T5894" s="542"/>
      <c r="U5894" s="542"/>
      <c r="V5894" s="543"/>
      <c r="Y5894" s="378"/>
      <c r="Z5894" s="121"/>
      <c r="AA5894" s="86"/>
      <c r="AB5894" s="409"/>
      <c r="AC5894" s="121"/>
      <c r="AD5894" s="94"/>
      <c r="AE5894" s="428"/>
    </row>
    <row r="5895" spans="3:31" s="260" customFormat="1" ht="15.75" thickBot="1" x14ac:dyDescent="0.3">
      <c r="C5895" s="84"/>
      <c r="D5895" s="355"/>
      <c r="E5895" s="367"/>
      <c r="F5895" s="367"/>
      <c r="G5895" s="367"/>
      <c r="H5895" s="412">
        <f>G5893</f>
        <v>6.1</v>
      </c>
      <c r="I5895" s="412"/>
      <c r="J5895" s="422"/>
      <c r="K5895" s="88"/>
      <c r="M5895" s="544" t="s">
        <v>122</v>
      </c>
      <c r="N5895" s="537"/>
      <c r="O5895" s="537"/>
      <c r="P5895" s="537"/>
      <c r="Q5895" s="537"/>
      <c r="R5895" s="537"/>
      <c r="S5895" s="537"/>
      <c r="T5895" s="537"/>
      <c r="U5895" s="545">
        <f>+V5893+V5886+V5878+V5869</f>
        <v>184781.44999999998</v>
      </c>
      <c r="V5895" s="546"/>
      <c r="Y5895" s="429"/>
      <c r="Z5895" s="430">
        <f>+Z5893+Z5886+Z5878+Z5869</f>
        <v>2402158.85</v>
      </c>
      <c r="AA5895" s="86"/>
      <c r="AB5895" s="431">
        <f>+AB5893+AB5886+AB5878+AB5869</f>
        <v>2402158.85</v>
      </c>
      <c r="AC5895" s="404">
        <f>+AB5895-Z5895</f>
        <v>0</v>
      </c>
      <c r="AD5895" s="94"/>
      <c r="AE5895" s="432"/>
    </row>
    <row r="5896" spans="3:31" s="260" customFormat="1" ht="15.75" thickBot="1" x14ac:dyDescent="0.3"/>
    <row r="5897" spans="3:31" s="260" customFormat="1" x14ac:dyDescent="0.25">
      <c r="M5897" s="547" t="s">
        <v>348</v>
      </c>
      <c r="N5897" s="548"/>
      <c r="O5897" s="548"/>
      <c r="P5897" s="548"/>
      <c r="Q5897" s="548"/>
      <c r="R5897" s="548"/>
      <c r="S5897" s="548"/>
      <c r="T5897" s="548"/>
      <c r="U5897" s="548"/>
      <c r="V5897" s="549"/>
      <c r="Y5897" s="378"/>
      <c r="Z5897" s="121"/>
      <c r="AA5897" s="86"/>
      <c r="AB5897" s="94"/>
      <c r="AC5897" s="94"/>
      <c r="AD5897" s="94"/>
      <c r="AE5897" s="126" t="s">
        <v>133</v>
      </c>
    </row>
    <row r="5898" spans="3:31" s="260" customFormat="1" x14ac:dyDescent="0.25">
      <c r="M5898" s="515" t="s">
        <v>138</v>
      </c>
      <c r="N5898" s="516"/>
      <c r="O5898" s="516"/>
      <c r="P5898" s="516"/>
      <c r="Q5898" s="516"/>
      <c r="R5898" s="516"/>
      <c r="S5898" s="516"/>
      <c r="T5898" s="437">
        <v>0</v>
      </c>
      <c r="U5898" s="517">
        <f>+ROUND(U5895*T5898,$AA$5)</f>
        <v>0</v>
      </c>
      <c r="V5898" s="518"/>
      <c r="Y5898" s="390"/>
      <c r="Z5898" s="438">
        <f>+Z5895*T5898</f>
        <v>0</v>
      </c>
      <c r="AA5898" s="86"/>
      <c r="AB5898" s="94"/>
      <c r="AC5898" s="94"/>
      <c r="AD5898" s="94"/>
      <c r="AE5898" s="386" t="s">
        <v>133</v>
      </c>
    </row>
    <row r="5899" spans="3:31" s="260" customFormat="1" x14ac:dyDescent="0.25">
      <c r="M5899" s="515" t="s">
        <v>19</v>
      </c>
      <c r="N5899" s="516"/>
      <c r="O5899" s="516"/>
      <c r="P5899" s="516"/>
      <c r="Q5899" s="516"/>
      <c r="R5899" s="516"/>
      <c r="S5899" s="516"/>
      <c r="T5899" s="437">
        <v>0.05</v>
      </c>
      <c r="U5899" s="517">
        <f>+ROUND(U5895*T5899,$AA$5)</f>
        <v>9239.07</v>
      </c>
      <c r="V5899" s="518"/>
      <c r="Y5899" s="390"/>
      <c r="Z5899" s="438">
        <f>+Z5895*T5899</f>
        <v>120107.9425</v>
      </c>
      <c r="AA5899" s="86"/>
      <c r="AB5899" s="94"/>
      <c r="AC5899" s="94"/>
      <c r="AD5899" s="94"/>
      <c r="AE5899" s="386" t="s">
        <v>133</v>
      </c>
    </row>
    <row r="5900" spans="3:31" s="260" customFormat="1" x14ac:dyDescent="0.25">
      <c r="M5900" s="515" t="s">
        <v>20</v>
      </c>
      <c r="N5900" s="516"/>
      <c r="O5900" s="516"/>
      <c r="P5900" s="516"/>
      <c r="Q5900" s="516"/>
      <c r="R5900" s="516"/>
      <c r="S5900" s="516"/>
      <c r="T5900" s="437">
        <v>0</v>
      </c>
      <c r="U5900" s="517">
        <f>+ROUND(U5895*T5900,$AA$5)</f>
        <v>0</v>
      </c>
      <c r="V5900" s="518"/>
      <c r="Y5900" s="390"/>
      <c r="Z5900" s="438">
        <f>+Z5895*T5900</f>
        <v>0</v>
      </c>
      <c r="AA5900" s="86"/>
      <c r="AB5900" s="94"/>
      <c r="AC5900" s="94"/>
      <c r="AD5900" s="94"/>
      <c r="AE5900" s="386" t="s">
        <v>133</v>
      </c>
    </row>
    <row r="5901" spans="3:31" s="260" customFormat="1" x14ac:dyDescent="0.25">
      <c r="M5901" s="515" t="s">
        <v>21</v>
      </c>
      <c r="N5901" s="516"/>
      <c r="O5901" s="516"/>
      <c r="P5901" s="516"/>
      <c r="Q5901" s="516"/>
      <c r="R5901" s="516"/>
      <c r="S5901" s="516"/>
      <c r="T5901" s="437">
        <f>$AA$9</f>
        <v>0</v>
      </c>
      <c r="U5901" s="517">
        <f>+ROUND(U5895*T5901,$AA$5)</f>
        <v>0</v>
      </c>
      <c r="V5901" s="518"/>
      <c r="Y5901" s="390"/>
      <c r="Z5901" s="438">
        <f>+Z5900*T5901</f>
        <v>0</v>
      </c>
      <c r="AA5901" s="86"/>
      <c r="AB5901" s="94"/>
      <c r="AC5901" s="94"/>
      <c r="AD5901" s="94"/>
      <c r="AE5901" s="386" t="s">
        <v>133</v>
      </c>
    </row>
    <row r="5902" spans="3:31" s="260" customFormat="1" ht="15.75" thickBot="1" x14ac:dyDescent="0.3">
      <c r="M5902" s="519" t="s">
        <v>349</v>
      </c>
      <c r="N5902" s="520"/>
      <c r="O5902" s="520"/>
      <c r="P5902" s="520"/>
      <c r="Q5902" s="520"/>
      <c r="R5902" s="520"/>
      <c r="S5902" s="520"/>
      <c r="T5902" s="520"/>
      <c r="U5902" s="521">
        <f>+SUM(U5898:V5901)</f>
        <v>9239.07</v>
      </c>
      <c r="V5902" s="522"/>
      <c r="Y5902" s="390"/>
      <c r="Z5902" s="439">
        <f>+SUM(Z5898:Z5901)</f>
        <v>120107.9425</v>
      </c>
      <c r="AA5902" s="86"/>
      <c r="AB5902" s="94"/>
      <c r="AC5902" s="94"/>
      <c r="AD5902" s="94"/>
      <c r="AE5902" s="386" t="s">
        <v>133</v>
      </c>
    </row>
    <row r="5903" spans="3:31" s="260" customFormat="1" ht="15.75" thickBot="1" x14ac:dyDescent="0.3">
      <c r="D5903" s="375" t="s">
        <v>128</v>
      </c>
      <c r="E5903" s="376" t="s">
        <v>129</v>
      </c>
      <c r="F5903" s="376" t="s">
        <v>130</v>
      </c>
      <c r="G5903" s="376" t="s">
        <v>131</v>
      </c>
      <c r="H5903" s="376" t="s">
        <v>132</v>
      </c>
      <c r="I5903" s="376" t="s">
        <v>133</v>
      </c>
      <c r="J5903" s="377" t="s">
        <v>134</v>
      </c>
      <c r="M5903" s="86"/>
      <c r="N5903" s="94"/>
      <c r="O5903" s="94"/>
      <c r="P5903" s="94"/>
      <c r="Q5903" s="86"/>
      <c r="R5903" s="86"/>
      <c r="S5903" s="86"/>
      <c r="T5903" s="440"/>
      <c r="U5903" s="523"/>
      <c r="V5903" s="523"/>
      <c r="Y5903" s="390"/>
      <c r="Z5903" s="385"/>
      <c r="AA5903" s="86"/>
      <c r="AB5903" s="94"/>
      <c r="AC5903" s="94"/>
      <c r="AD5903" s="94"/>
      <c r="AE5903" s="386" t="s">
        <v>133</v>
      </c>
    </row>
    <row r="5904" spans="3:31" s="260" customFormat="1" ht="15.75" thickBot="1" x14ac:dyDescent="0.3">
      <c r="D5904" s="355"/>
      <c r="E5904" s="367"/>
      <c r="F5904" s="367"/>
      <c r="G5904" s="367"/>
      <c r="H5904" s="412"/>
      <c r="I5904" s="412">
        <f>H5895</f>
        <v>6.1</v>
      </c>
      <c r="J5904" s="422"/>
      <c r="M5904" s="524" t="s">
        <v>11</v>
      </c>
      <c r="N5904" s="525"/>
      <c r="O5904" s="525"/>
      <c r="P5904" s="525"/>
      <c r="Q5904" s="525"/>
      <c r="R5904" s="525"/>
      <c r="S5904" s="525"/>
      <c r="T5904" s="526"/>
      <c r="U5904" s="527">
        <f>+U5902+U5895</f>
        <v>194020.52</v>
      </c>
      <c r="V5904" s="528"/>
      <c r="Y5904" s="429"/>
      <c r="Z5904" s="441">
        <f>+Z5902+Z5895</f>
        <v>2522266.7925</v>
      </c>
      <c r="AA5904" s="86"/>
      <c r="AB5904" s="94"/>
      <c r="AC5904" s="94"/>
      <c r="AD5904" s="94"/>
      <c r="AE5904" s="405" t="s">
        <v>133</v>
      </c>
    </row>
    <row r="5905" spans="3:31" s="260" customFormat="1" x14ac:dyDescent="0.25"/>
    <row r="5906" spans="3:31" s="260" customFormat="1" ht="15.75" thickBot="1" x14ac:dyDescent="0.3"/>
    <row r="5907" spans="3:31" s="260" customFormat="1" ht="15.75" thickBot="1" x14ac:dyDescent="0.3">
      <c r="M5907" s="363" t="s">
        <v>88</v>
      </c>
      <c r="N5907" s="436" t="str">
        <f>+N5858</f>
        <v>CAP.6</v>
      </c>
      <c r="O5907" s="550" t="str">
        <f>IFERROR(VLOOKUP(N5907,PPTO!C:H,2,0),"----")</f>
        <v>RED DE DRENAJE</v>
      </c>
      <c r="P5907" s="551"/>
      <c r="Q5907" s="551"/>
      <c r="R5907" s="551"/>
      <c r="S5907" s="551"/>
      <c r="T5907" s="551"/>
      <c r="U5907" s="552"/>
      <c r="V5907" s="74" t="s">
        <v>91</v>
      </c>
      <c r="Y5907" s="365" t="s">
        <v>104</v>
      </c>
      <c r="Z5907" s="94"/>
      <c r="AA5907" s="188"/>
      <c r="AB5907" s="553"/>
      <c r="AC5907" s="553"/>
      <c r="AD5907" s="553"/>
      <c r="AE5907" s="94"/>
    </row>
    <row r="5908" spans="3:31" s="260" customFormat="1" ht="15.75" thickBot="1" x14ac:dyDescent="0.3">
      <c r="C5908" s="369">
        <f>+N5908</f>
        <v>6.11</v>
      </c>
      <c r="D5908" s="86"/>
      <c r="E5908" s="86"/>
      <c r="F5908" s="86"/>
      <c r="G5908" s="86"/>
      <c r="H5908" s="86"/>
      <c r="I5908" s="86"/>
      <c r="J5908" s="86"/>
      <c r="K5908" s="370"/>
      <c r="M5908" s="75" t="s">
        <v>92</v>
      </c>
      <c r="N5908" s="371">
        <f>+ROUNDUP(N5859+0.01,2)</f>
        <v>6.11</v>
      </c>
      <c r="O5908" s="554" t="str">
        <f>IFERROR(VLOOKUP(N5908,PPTO!C:H,2,0),"----")</f>
        <v>Silla Yee Ø4"</v>
      </c>
      <c r="P5908" s="555"/>
      <c r="Q5908" s="555"/>
      <c r="R5908" s="555"/>
      <c r="S5908" s="555"/>
      <c r="T5908" s="555"/>
      <c r="U5908" s="556"/>
      <c r="V5908" s="76" t="str">
        <f>IFERROR(VLOOKUP(N5908,PPTO!C:H,3,0),"----")</f>
        <v>UND</v>
      </c>
      <c r="Y5908" s="373">
        <f>SUMIFS(PPTO!F:F,PPTO!C:C,APUS!N5908)</f>
        <v>6</v>
      </c>
      <c r="Z5908" s="94"/>
      <c r="AA5908" s="86"/>
      <c r="AB5908" s="94"/>
      <c r="AC5908" s="94"/>
      <c r="AD5908" s="94"/>
      <c r="AE5908" s="94"/>
    </row>
    <row r="5909" spans="3:31" s="260" customFormat="1" ht="15.75" thickBot="1" x14ac:dyDescent="0.3">
      <c r="C5909" s="84"/>
      <c r="D5909" s="86"/>
      <c r="E5909" s="86"/>
      <c r="F5909" s="86"/>
      <c r="G5909" s="86"/>
      <c r="H5909" s="86"/>
      <c r="I5909" s="86"/>
      <c r="J5909" s="86"/>
      <c r="K5909" s="88"/>
      <c r="M5909" s="557"/>
      <c r="N5909" s="557"/>
      <c r="O5909" s="557"/>
      <c r="P5909" s="557"/>
      <c r="Q5909" s="557"/>
      <c r="R5909" s="557"/>
      <c r="S5909" s="557"/>
      <c r="T5909" s="557"/>
      <c r="U5909" s="557"/>
      <c r="V5909" s="557"/>
      <c r="Y5909" s="374"/>
      <c r="Z5909" s="94"/>
      <c r="AA5909" s="86"/>
      <c r="AB5909" s="94"/>
      <c r="AC5909" s="94"/>
      <c r="AD5909" s="94"/>
      <c r="AE5909" s="94"/>
    </row>
    <row r="5910" spans="3:31" s="260" customFormat="1" ht="15.75" thickBot="1" x14ac:dyDescent="0.3">
      <c r="C5910" s="84"/>
      <c r="D5910" s="375" t="s">
        <v>128</v>
      </c>
      <c r="E5910" s="376" t="s">
        <v>129</v>
      </c>
      <c r="F5910" s="376" t="s">
        <v>130</v>
      </c>
      <c r="G5910" s="376" t="s">
        <v>131</v>
      </c>
      <c r="H5910" s="376" t="s">
        <v>132</v>
      </c>
      <c r="I5910" s="376" t="s">
        <v>133</v>
      </c>
      <c r="J5910" s="377" t="s">
        <v>134</v>
      </c>
      <c r="K5910" s="88"/>
      <c r="M5910" s="558" t="s">
        <v>93</v>
      </c>
      <c r="N5910" s="559"/>
      <c r="O5910" s="559"/>
      <c r="P5910" s="559"/>
      <c r="Q5910" s="559"/>
      <c r="R5910" s="559"/>
      <c r="S5910" s="559"/>
      <c r="T5910" s="559"/>
      <c r="U5910" s="559"/>
      <c r="V5910" s="560"/>
      <c r="Y5910" s="378"/>
      <c r="Z5910" s="121"/>
      <c r="AA5910" s="86"/>
      <c r="AB5910" s="513"/>
      <c r="AC5910" s="514"/>
      <c r="AD5910" s="94"/>
      <c r="AE5910" s="379"/>
    </row>
    <row r="5911" spans="3:31" s="260" customFormat="1" x14ac:dyDescent="0.25">
      <c r="C5911" s="84"/>
      <c r="D5911" s="380"/>
      <c r="E5911" s="381"/>
      <c r="F5911" s="381"/>
      <c r="G5911" s="381"/>
      <c r="H5911" s="381"/>
      <c r="I5911" s="381"/>
      <c r="J5911" s="382"/>
      <c r="K5911" s="88"/>
      <c r="M5911" s="99" t="s">
        <v>94</v>
      </c>
      <c r="N5911" s="561" t="s">
        <v>95</v>
      </c>
      <c r="O5911" s="561"/>
      <c r="P5911" s="561"/>
      <c r="Q5911" s="561"/>
      <c r="R5911" s="95" t="s">
        <v>96</v>
      </c>
      <c r="S5911" s="95" t="s">
        <v>97</v>
      </c>
      <c r="T5911" s="562" t="s">
        <v>8</v>
      </c>
      <c r="U5911" s="562"/>
      <c r="V5911" s="100" t="s">
        <v>98</v>
      </c>
      <c r="Y5911" s="383" t="s">
        <v>104</v>
      </c>
      <c r="Z5911" s="119" t="s">
        <v>9</v>
      </c>
      <c r="AA5911" s="86"/>
      <c r="AB5911" s="384"/>
      <c r="AC5911" s="385"/>
      <c r="AD5911" s="94"/>
      <c r="AE5911" s="386"/>
    </row>
    <row r="5912" spans="3:31" s="260" customFormat="1" x14ac:dyDescent="0.25">
      <c r="C5912" s="84"/>
      <c r="D5912" s="85"/>
      <c r="E5912" s="86"/>
      <c r="F5912" s="86"/>
      <c r="G5912" s="86"/>
      <c r="H5912" s="86"/>
      <c r="I5912" s="86"/>
      <c r="J5912" s="87"/>
      <c r="K5912" s="88"/>
      <c r="M5912" s="102"/>
      <c r="N5912" s="533" t="s">
        <v>99</v>
      </c>
      <c r="O5912" s="533"/>
      <c r="P5912" s="533"/>
      <c r="Q5912" s="533"/>
      <c r="R5912" s="78" t="s">
        <v>100</v>
      </c>
      <c r="S5912" s="387">
        <f>+$AA$10</f>
        <v>0.05</v>
      </c>
      <c r="T5912" s="563">
        <f>V5942</f>
        <v>10701.08</v>
      </c>
      <c r="U5912" s="563"/>
      <c r="V5912" s="389">
        <f>+IFERROR(T5912*S5912,0)</f>
        <v>535.05399999999997</v>
      </c>
      <c r="Y5912" s="390"/>
      <c r="Z5912" s="391">
        <f>Y5908*V5912</f>
        <v>3210.3239999999996</v>
      </c>
      <c r="AA5912" s="86"/>
      <c r="AB5912" s="384"/>
      <c r="AC5912" s="385"/>
      <c r="AD5912" s="94"/>
      <c r="AE5912" s="386" t="str">
        <f>+IF(V5912=0,"CERO","NO")</f>
        <v>NO</v>
      </c>
    </row>
    <row r="5913" spans="3:31" s="260" customFormat="1" x14ac:dyDescent="0.25">
      <c r="C5913" s="84"/>
      <c r="D5913" s="85"/>
      <c r="E5913" s="86"/>
      <c r="F5913" s="86"/>
      <c r="G5913" s="86"/>
      <c r="H5913" s="86"/>
      <c r="I5913" s="86"/>
      <c r="J5913" s="87"/>
      <c r="K5913" s="88"/>
      <c r="M5913" s="106"/>
      <c r="N5913" s="533" t="str">
        <f>IFERROR(VLOOKUP(M5913,INSUMOS!$C$8:$K$928,2,0),"-----")</f>
        <v>-----</v>
      </c>
      <c r="O5913" s="533"/>
      <c r="P5913" s="533"/>
      <c r="Q5913" s="533"/>
      <c r="R5913" s="78" t="str">
        <f>IFERROR(VLOOKUP(M5913,INSUMOS!$C$8:$K$928,6,0),"-----")</f>
        <v>-----</v>
      </c>
      <c r="S5913" s="392"/>
      <c r="T5913" s="529" t="str">
        <f>IFERROR(VLOOKUP(M5913,INSUMOS!$C$8:$K$928,7,0),"0")</f>
        <v>0</v>
      </c>
      <c r="U5913" s="529"/>
      <c r="V5913" s="389">
        <f>+IFERROR(T5913*S5913,0)</f>
        <v>0</v>
      </c>
      <c r="Y5913" s="393">
        <f>+IFERROR(Y5908*S5913,0)</f>
        <v>0</v>
      </c>
      <c r="Z5913" s="391">
        <f>Y5908*V5913</f>
        <v>0</v>
      </c>
      <c r="AA5913" s="394"/>
      <c r="AB5913" s="395">
        <f>+Y5913*T5913</f>
        <v>0</v>
      </c>
      <c r="AC5913" s="93">
        <f>+AB5913-Z5913</f>
        <v>0</v>
      </c>
      <c r="AD5913" s="94"/>
      <c r="AE5913" s="386" t="str">
        <f>+IF(V5913=0,"CERO","NO")</f>
        <v>CERO</v>
      </c>
    </row>
    <row r="5914" spans="3:31" s="260" customFormat="1" x14ac:dyDescent="0.25">
      <c r="C5914" s="84"/>
      <c r="D5914" s="85"/>
      <c r="E5914" s="86"/>
      <c r="F5914" s="86"/>
      <c r="G5914" s="86"/>
      <c r="H5914" s="86"/>
      <c r="I5914" s="86"/>
      <c r="J5914" s="87"/>
      <c r="K5914" s="88"/>
      <c r="M5914" s="102">
        <v>0</v>
      </c>
      <c r="N5914" s="533"/>
      <c r="O5914" s="533"/>
      <c r="P5914" s="533"/>
      <c r="Q5914" s="533"/>
      <c r="R5914" s="78"/>
      <c r="S5914" s="396"/>
      <c r="T5914" s="529"/>
      <c r="U5914" s="529"/>
      <c r="V5914" s="397"/>
      <c r="Y5914" s="393">
        <f>+IFERROR(Y5908*S5914,0)</f>
        <v>0</v>
      </c>
      <c r="Z5914" s="391">
        <f>Y5908*V5914</f>
        <v>0</v>
      </c>
      <c r="AA5914" s="394"/>
      <c r="AB5914" s="395">
        <f>+Y5914*T5914</f>
        <v>0</v>
      </c>
      <c r="AC5914" s="93">
        <f>+AB5914-Z5914</f>
        <v>0</v>
      </c>
      <c r="AD5914" s="94"/>
      <c r="AE5914" s="386" t="str">
        <f>+IF(V5914=0,"CERO","NO")</f>
        <v>CERO</v>
      </c>
    </row>
    <row r="5915" spans="3:31" s="260" customFormat="1" x14ac:dyDescent="0.25">
      <c r="C5915" s="84"/>
      <c r="D5915" s="85"/>
      <c r="E5915" s="86"/>
      <c r="F5915" s="86"/>
      <c r="G5915" s="86"/>
      <c r="H5915" s="86"/>
      <c r="I5915" s="86"/>
      <c r="J5915" s="87"/>
      <c r="K5915" s="88"/>
      <c r="M5915" s="102">
        <v>0</v>
      </c>
      <c r="N5915" s="533"/>
      <c r="O5915" s="533"/>
      <c r="P5915" s="533"/>
      <c r="Q5915" s="533"/>
      <c r="R5915" s="78"/>
      <c r="S5915" s="396"/>
      <c r="T5915" s="529"/>
      <c r="U5915" s="529"/>
      <c r="V5915" s="397"/>
      <c r="Y5915" s="393">
        <f>+IFERROR(Y5908*S5915,0)</f>
        <v>0</v>
      </c>
      <c r="Z5915" s="391">
        <f>Y5908*V5915</f>
        <v>0</v>
      </c>
      <c r="AA5915" s="394"/>
      <c r="AB5915" s="395">
        <f>+Y5915*T5915</f>
        <v>0</v>
      </c>
      <c r="AC5915" s="93">
        <f>+AB5915-Z5915</f>
        <v>0</v>
      </c>
      <c r="AD5915" s="94"/>
      <c r="AE5915" s="386" t="str">
        <f>+IF(V5915=0,"CERO","NO")</f>
        <v>CERO</v>
      </c>
    </row>
    <row r="5916" spans="3:31" s="260" customFormat="1" ht="15.75" thickBot="1" x14ac:dyDescent="0.3">
      <c r="C5916" s="84"/>
      <c r="D5916" s="85"/>
      <c r="E5916" s="86"/>
      <c r="F5916" s="86"/>
      <c r="G5916" s="86"/>
      <c r="H5916" s="86"/>
      <c r="I5916" s="86"/>
      <c r="J5916" s="87"/>
      <c r="K5916" s="88"/>
      <c r="M5916" s="102">
        <v>0</v>
      </c>
      <c r="N5916" s="564"/>
      <c r="O5916" s="564"/>
      <c r="P5916" s="564"/>
      <c r="Q5916" s="564"/>
      <c r="R5916" s="96"/>
      <c r="S5916" s="96"/>
      <c r="T5916" s="565"/>
      <c r="U5916" s="565"/>
      <c r="V5916" s="101"/>
      <c r="Y5916" s="393">
        <f>+IFERROR(Y5908*S5916,0)</f>
        <v>0</v>
      </c>
      <c r="Z5916" s="391">
        <f>Y5908*V5916</f>
        <v>0</v>
      </c>
      <c r="AA5916" s="394"/>
      <c r="AB5916" s="395">
        <f>+Y5916*T5916</f>
        <v>0</v>
      </c>
      <c r="AC5916" s="93">
        <f>+AB5916-Z5916</f>
        <v>0</v>
      </c>
      <c r="AD5916" s="94"/>
      <c r="AE5916" s="386" t="str">
        <f>+IF(V5916=0,"CERO","NO")</f>
        <v>CERO</v>
      </c>
    </row>
    <row r="5917" spans="3:31" s="260" customFormat="1" ht="15.75" thickBot="1" x14ac:dyDescent="0.3">
      <c r="C5917" s="84"/>
      <c r="D5917" s="375" t="s">
        <v>128</v>
      </c>
      <c r="E5917" s="376" t="s">
        <v>129</v>
      </c>
      <c r="F5917" s="376" t="s">
        <v>130</v>
      </c>
      <c r="G5917" s="376" t="s">
        <v>131</v>
      </c>
      <c r="H5917" s="376" t="s">
        <v>132</v>
      </c>
      <c r="I5917" s="376" t="s">
        <v>133</v>
      </c>
      <c r="J5917" s="377" t="s">
        <v>134</v>
      </c>
      <c r="K5917" s="88"/>
      <c r="M5917" s="534"/>
      <c r="N5917" s="536" t="s">
        <v>101</v>
      </c>
      <c r="O5917" s="536"/>
      <c r="P5917" s="536"/>
      <c r="Q5917" s="536"/>
      <c r="R5917" s="536"/>
      <c r="S5917" s="536"/>
      <c r="T5917" s="536"/>
      <c r="U5917" s="536"/>
      <c r="V5917" s="389">
        <f>+SUM(V5912:V5916)</f>
        <v>535.05399999999997</v>
      </c>
      <c r="Y5917" s="398" t="s">
        <v>135</v>
      </c>
      <c r="Z5917" s="397">
        <f>+SUM(Z5912:Z5916)</f>
        <v>3210.3239999999996</v>
      </c>
      <c r="AA5917" s="86"/>
      <c r="AB5917" s="384"/>
      <c r="AC5917" s="385"/>
      <c r="AD5917" s="94"/>
      <c r="AE5917" s="399"/>
    </row>
    <row r="5918" spans="3:31" s="260" customFormat="1" ht="15.75" thickBot="1" x14ac:dyDescent="0.3">
      <c r="C5918" s="84"/>
      <c r="D5918" s="375">
        <f>C5908</f>
        <v>6.11</v>
      </c>
      <c r="E5918" s="376"/>
      <c r="F5918" s="376"/>
      <c r="G5918" s="376"/>
      <c r="H5918" s="376"/>
      <c r="I5918" s="376"/>
      <c r="J5918" s="377"/>
      <c r="K5918" s="88"/>
      <c r="M5918" s="566"/>
      <c r="N5918" s="567" t="s">
        <v>102</v>
      </c>
      <c r="O5918" s="567"/>
      <c r="P5918" s="567"/>
      <c r="Q5918" s="567"/>
      <c r="R5918" s="567"/>
      <c r="S5918" s="567"/>
      <c r="T5918" s="567"/>
      <c r="U5918" s="567"/>
      <c r="V5918" s="400">
        <f>+ROUND(V5917,$AA$5)</f>
        <v>535.04999999999995</v>
      </c>
      <c r="Y5918" s="401" t="s">
        <v>136</v>
      </c>
      <c r="Z5918" s="402">
        <f>+ROUND(Z5917,$AA$5)</f>
        <v>3210.32</v>
      </c>
      <c r="AA5918" s="86"/>
      <c r="AB5918" s="403">
        <f>+V5918*Y5908</f>
        <v>3210.2999999999997</v>
      </c>
      <c r="AC5918" s="404">
        <f>+AB5918-Z5918</f>
        <v>-2.0000000000436557E-2</v>
      </c>
      <c r="AD5918" s="94"/>
      <c r="AE5918" s="405"/>
    </row>
    <row r="5919" spans="3:31" s="260" customFormat="1" x14ac:dyDescent="0.25">
      <c r="C5919" s="84"/>
      <c r="D5919" s="380"/>
      <c r="E5919" s="381"/>
      <c r="F5919" s="381"/>
      <c r="G5919" s="381"/>
      <c r="H5919" s="381"/>
      <c r="I5919" s="381"/>
      <c r="J5919" s="382"/>
      <c r="K5919" s="88"/>
      <c r="M5919" s="510" t="s">
        <v>103</v>
      </c>
      <c r="N5919" s="511"/>
      <c r="O5919" s="511"/>
      <c r="P5919" s="511"/>
      <c r="Q5919" s="511"/>
      <c r="R5919" s="511"/>
      <c r="S5919" s="511"/>
      <c r="T5919" s="511"/>
      <c r="U5919" s="511"/>
      <c r="V5919" s="512"/>
      <c r="Y5919" s="378"/>
      <c r="Z5919" s="121"/>
      <c r="AA5919" s="86"/>
      <c r="AB5919" s="513"/>
      <c r="AC5919" s="514"/>
      <c r="AD5919" s="94"/>
      <c r="AE5919" s="126"/>
    </row>
    <row r="5920" spans="3:31" s="260" customFormat="1" x14ac:dyDescent="0.25">
      <c r="C5920" s="84"/>
      <c r="D5920" s="85"/>
      <c r="E5920" s="86"/>
      <c r="F5920" s="86"/>
      <c r="G5920" s="86"/>
      <c r="H5920" s="86"/>
      <c r="I5920" s="86"/>
      <c r="J5920" s="87"/>
      <c r="K5920" s="88"/>
      <c r="M5920" s="99" t="s">
        <v>94</v>
      </c>
      <c r="N5920" s="561" t="s">
        <v>95</v>
      </c>
      <c r="O5920" s="561"/>
      <c r="P5920" s="561"/>
      <c r="Q5920" s="561"/>
      <c r="R5920" s="95" t="s">
        <v>96</v>
      </c>
      <c r="S5920" s="95" t="s">
        <v>104</v>
      </c>
      <c r="T5920" s="356" t="s">
        <v>105</v>
      </c>
      <c r="U5920" s="356" t="s">
        <v>8</v>
      </c>
      <c r="V5920" s="100" t="s">
        <v>98</v>
      </c>
      <c r="Y5920" s="383" t="s">
        <v>104</v>
      </c>
      <c r="Z5920" s="119" t="s">
        <v>9</v>
      </c>
      <c r="AA5920" s="86"/>
      <c r="AB5920" s="384"/>
      <c r="AC5920" s="385"/>
      <c r="AD5920" s="94"/>
      <c r="AE5920" s="406"/>
    </row>
    <row r="5921" spans="3:31" s="260" customFormat="1" x14ac:dyDescent="0.25">
      <c r="C5921" s="84"/>
      <c r="D5921" s="85"/>
      <c r="E5921" s="86"/>
      <c r="F5921" s="86"/>
      <c r="G5921" s="86"/>
      <c r="H5921" s="86"/>
      <c r="I5921" s="86"/>
      <c r="J5921" s="87"/>
      <c r="K5921" s="88"/>
      <c r="M5921" s="102">
        <v>607</v>
      </c>
      <c r="N5921" s="533" t="str">
        <f>IFERROR(VLOOKUP(M5921,INSUMOS!$C$8:$K$928,2,0),"-----")</f>
        <v>Silla Yee 4"</v>
      </c>
      <c r="O5921" s="533"/>
      <c r="P5921" s="533"/>
      <c r="Q5921" s="533"/>
      <c r="R5921" s="78" t="str">
        <f>IFERROR(VLOOKUP(M5921,INSUMOS!$C$8:$K$928,6,0),"-----")</f>
        <v>und</v>
      </c>
      <c r="S5921" s="396">
        <v>1</v>
      </c>
      <c r="T5921" s="387">
        <v>0</v>
      </c>
      <c r="U5921" s="388">
        <f>IFERROR(VLOOKUP(M5921,INSUMOS!$C$8:$K$928,7,0),"0")</f>
        <v>171378</v>
      </c>
      <c r="V5921" s="389">
        <f>+IFERROR(U5921*(S5921*(1+T5921)),0)</f>
        <v>171378</v>
      </c>
      <c r="Y5921" s="393">
        <f>+IFERROR(Y5908*(S5921*(1+T5921)),0)</f>
        <v>6</v>
      </c>
      <c r="Z5921" s="391">
        <f>Y5908*V5921</f>
        <v>1028268</v>
      </c>
      <c r="AA5921" s="394"/>
      <c r="AB5921" s="395">
        <f>+Y5921*U5921</f>
        <v>1028268</v>
      </c>
      <c r="AC5921" s="93">
        <f>+AB5921-Z5921</f>
        <v>0</v>
      </c>
      <c r="AD5921" s="94"/>
      <c r="AE5921" s="406" t="str">
        <f>+IF(V5921=0,"CERO","NO")</f>
        <v>NO</v>
      </c>
    </row>
    <row r="5922" spans="3:31" s="260" customFormat="1" x14ac:dyDescent="0.25">
      <c r="C5922" s="84"/>
      <c r="D5922" s="85"/>
      <c r="E5922" s="86"/>
      <c r="F5922" s="86"/>
      <c r="G5922" s="86"/>
      <c r="H5922" s="86"/>
      <c r="I5922" s="86"/>
      <c r="J5922" s="87"/>
      <c r="K5922" s="88"/>
      <c r="M5922" s="102">
        <v>699</v>
      </c>
      <c r="N5922" s="533" t="str">
        <f>IFERROR(VLOOKUP(M5922,INSUMOS!$C$8:$K$928,2,0),"-----")</f>
        <v>SOLDADURA PVC LIQUIDA 1/4"</v>
      </c>
      <c r="O5922" s="533"/>
      <c r="P5922" s="533"/>
      <c r="Q5922" s="533"/>
      <c r="R5922" s="78" t="str">
        <f>IFERROR(VLOOKUP(M5922,INSUMOS!$C$8:$K$928,6,0),"-----")</f>
        <v>und</v>
      </c>
      <c r="S5922" s="396">
        <v>0.01</v>
      </c>
      <c r="T5922" s="387">
        <v>0.02</v>
      </c>
      <c r="U5922" s="388">
        <f>IFERROR(VLOOKUP(M5922,INSUMOS!$C$8:$K$928,7,0),"0")</f>
        <v>146569</v>
      </c>
      <c r="V5922" s="389">
        <f>+IFERROR(U5922*(S5922*(1+T5922)),0)</f>
        <v>1495.0038000000002</v>
      </c>
      <c r="Y5922" s="393">
        <f>+IFERROR(Y5908*(S5922*(1+T5922)),0)</f>
        <v>6.1200000000000004E-2</v>
      </c>
      <c r="Z5922" s="391">
        <f>Y5908*V5922</f>
        <v>8970.0228000000006</v>
      </c>
      <c r="AA5922" s="394"/>
      <c r="AB5922" s="395">
        <f>+Y5922*U5922</f>
        <v>8970.0228000000006</v>
      </c>
      <c r="AC5922" s="93">
        <f>+AB5922-Z5922</f>
        <v>0</v>
      </c>
      <c r="AD5922" s="94"/>
      <c r="AE5922" s="406" t="str">
        <f>+IF(V5922=0,"CERO","NO")</f>
        <v>NO</v>
      </c>
    </row>
    <row r="5923" spans="3:31" s="260" customFormat="1" x14ac:dyDescent="0.25">
      <c r="C5923" s="84"/>
      <c r="D5923" s="85"/>
      <c r="E5923" s="86"/>
      <c r="F5923" s="86"/>
      <c r="G5923" s="86"/>
      <c r="H5923" s="86"/>
      <c r="I5923" s="86"/>
      <c r="J5923" s="87"/>
      <c r="K5923" s="88"/>
      <c r="M5923" s="102">
        <v>700</v>
      </c>
      <c r="N5923" s="533" t="str">
        <f>IFERROR(VLOOKUP(M5923,INSUMOS!$C$8:$K$928,2,0),"-----")</f>
        <v>LIMPIADOR PVC 1/4</v>
      </c>
      <c r="O5923" s="533"/>
      <c r="P5923" s="533"/>
      <c r="Q5923" s="533"/>
      <c r="R5923" s="78" t="str">
        <f>IFERROR(VLOOKUP(M5923,INSUMOS!$C$8:$K$928,6,0),"-----")</f>
        <v>und</v>
      </c>
      <c r="S5923" s="396">
        <v>0.01</v>
      </c>
      <c r="T5923" s="387">
        <v>0.02</v>
      </c>
      <c r="U5923" s="388">
        <f>IFERROR(VLOOKUP(M5923,INSUMOS!$C$8:$K$928,7,0),"0")</f>
        <v>65913</v>
      </c>
      <c r="V5923" s="389">
        <f>+IFERROR(U5923*(S5923*(1+T5923)),0)</f>
        <v>672.31260000000009</v>
      </c>
      <c r="Y5923" s="393">
        <f>+IFERROR(Y5908*(S5923*(1+T5923)),0)</f>
        <v>6.1200000000000004E-2</v>
      </c>
      <c r="Z5923" s="391">
        <f>Y5908*V5923</f>
        <v>4033.8756000000003</v>
      </c>
      <c r="AA5923" s="394"/>
      <c r="AB5923" s="395">
        <f>+Y5923*U5923</f>
        <v>4033.8756000000003</v>
      </c>
      <c r="AC5923" s="93">
        <f>+AB5923-Z5923</f>
        <v>0</v>
      </c>
      <c r="AD5923" s="94"/>
      <c r="AE5923" s="406" t="str">
        <f>+IF(V5923=0,"CERO","NO")</f>
        <v>NO</v>
      </c>
    </row>
    <row r="5924" spans="3:31" s="260" customFormat="1" x14ac:dyDescent="0.25">
      <c r="C5924" s="84"/>
      <c r="D5924" s="85"/>
      <c r="E5924" s="86"/>
      <c r="F5924" s="86"/>
      <c r="G5924" s="86"/>
      <c r="H5924" s="86"/>
      <c r="I5924" s="86"/>
      <c r="J5924" s="87"/>
      <c r="K5924" s="88"/>
      <c r="M5924" s="102"/>
      <c r="N5924" s="533" t="str">
        <f>IFERROR(VLOOKUP(M5924,INSUMOS!$C$8:$K$928,2,0),"-----")</f>
        <v>-----</v>
      </c>
      <c r="O5924" s="533"/>
      <c r="P5924" s="533"/>
      <c r="Q5924" s="533"/>
      <c r="R5924" s="78" t="str">
        <f>IFERROR(VLOOKUP(M5924,INSUMOS!$C$8:$K$928,6,0),"-----")</f>
        <v>-----</v>
      </c>
      <c r="S5924" s="396"/>
      <c r="T5924" s="387"/>
      <c r="U5924" s="388" t="str">
        <f>IFERROR(VLOOKUP(M5924,INSUMOS!$C$8:$K$928,7,0),"0")</f>
        <v>0</v>
      </c>
      <c r="V5924" s="389">
        <f>+IFERROR(U5924*(S5924*(1+T5924)),0)</f>
        <v>0</v>
      </c>
      <c r="Y5924" s="393">
        <f>+IFERROR(Y5908*(S5924*(1+T5924)),0)</f>
        <v>0</v>
      </c>
      <c r="Z5924" s="391">
        <f>Y5908*V5924</f>
        <v>0</v>
      </c>
      <c r="AA5924" s="394"/>
      <c r="AB5924" s="395">
        <f>+Y5924*U5924</f>
        <v>0</v>
      </c>
      <c r="AC5924" s="93">
        <f>+AB5924-Z5924</f>
        <v>0</v>
      </c>
      <c r="AD5924" s="94"/>
      <c r="AE5924" s="406" t="str">
        <f>+IF(V5924=0,"CERO","NO")</f>
        <v>CERO</v>
      </c>
    </row>
    <row r="5925" spans="3:31" s="260" customFormat="1" ht="15.75" thickBot="1" x14ac:dyDescent="0.3">
      <c r="C5925" s="84"/>
      <c r="D5925" s="85"/>
      <c r="E5925" s="86"/>
      <c r="F5925" s="86"/>
      <c r="G5925" s="86"/>
      <c r="H5925" s="86"/>
      <c r="I5925" s="86"/>
      <c r="J5925" s="87"/>
      <c r="K5925" s="88"/>
      <c r="M5925" s="102"/>
      <c r="N5925" s="564"/>
      <c r="O5925" s="564"/>
      <c r="P5925" s="564"/>
      <c r="Q5925" s="564"/>
      <c r="R5925" s="96"/>
      <c r="S5925" s="79"/>
      <c r="T5925" s="97"/>
      <c r="U5925" s="358"/>
      <c r="V5925" s="397"/>
      <c r="Y5925" s="393">
        <f>+IFERROR(Y5908*(S5925*(1+T5925)),0)</f>
        <v>0</v>
      </c>
      <c r="Z5925" s="391">
        <f>Y5908*V5925</f>
        <v>0</v>
      </c>
      <c r="AA5925" s="394"/>
      <c r="AB5925" s="395">
        <f>+Y5925*U5925</f>
        <v>0</v>
      </c>
      <c r="AC5925" s="93">
        <f>+AB5925-Z5925</f>
        <v>0</v>
      </c>
      <c r="AD5925" s="94"/>
      <c r="AE5925" s="406" t="str">
        <f>+IF(V5925=0,"CERO","NO")</f>
        <v>CERO</v>
      </c>
    </row>
    <row r="5926" spans="3:31" s="260" customFormat="1" ht="15.75" thickBot="1" x14ac:dyDescent="0.3">
      <c r="C5926" s="84"/>
      <c r="D5926" s="375" t="s">
        <v>128</v>
      </c>
      <c r="E5926" s="376" t="s">
        <v>129</v>
      </c>
      <c r="F5926" s="376" t="s">
        <v>130</v>
      </c>
      <c r="G5926" s="376" t="s">
        <v>131</v>
      </c>
      <c r="H5926" s="376" t="s">
        <v>132</v>
      </c>
      <c r="I5926" s="376" t="s">
        <v>133</v>
      </c>
      <c r="J5926" s="377" t="s">
        <v>134</v>
      </c>
      <c r="K5926" s="88"/>
      <c r="M5926" s="534"/>
      <c r="N5926" s="536" t="s">
        <v>106</v>
      </c>
      <c r="O5926" s="536"/>
      <c r="P5926" s="536"/>
      <c r="Q5926" s="536"/>
      <c r="R5926" s="536"/>
      <c r="S5926" s="536"/>
      <c r="T5926" s="536"/>
      <c r="U5926" s="536"/>
      <c r="V5926" s="389">
        <f>+SUM(V5921:V5925)</f>
        <v>173545.31640000001</v>
      </c>
      <c r="Y5926" s="398" t="s">
        <v>135</v>
      </c>
      <c r="Z5926" s="397">
        <f>+SUM(Z5921:Z5925)</f>
        <v>1041271.8984000001</v>
      </c>
      <c r="AA5926" s="86"/>
      <c r="AB5926" s="384"/>
      <c r="AC5926" s="385"/>
      <c r="AD5926" s="94"/>
      <c r="AE5926" s="399"/>
    </row>
    <row r="5927" spans="3:31" s="260" customFormat="1" ht="15.75" thickBot="1" x14ac:dyDescent="0.3">
      <c r="C5927" s="84"/>
      <c r="D5927" s="375"/>
      <c r="E5927" s="407">
        <f>+D5918</f>
        <v>6.11</v>
      </c>
      <c r="F5927" s="376"/>
      <c r="G5927" s="376"/>
      <c r="H5927" s="376"/>
      <c r="I5927" s="376"/>
      <c r="J5927" s="377"/>
      <c r="K5927" s="88"/>
      <c r="M5927" s="535"/>
      <c r="N5927" s="537" t="s">
        <v>107</v>
      </c>
      <c r="O5927" s="537"/>
      <c r="P5927" s="537"/>
      <c r="Q5927" s="537"/>
      <c r="R5927" s="537"/>
      <c r="S5927" s="537"/>
      <c r="T5927" s="537"/>
      <c r="U5927" s="537"/>
      <c r="V5927" s="408">
        <f>+ROUND(V5926,$AA$5)</f>
        <v>173545.32</v>
      </c>
      <c r="Y5927" s="401" t="s">
        <v>136</v>
      </c>
      <c r="Z5927" s="402">
        <f>+ROUND(Z5926,$AA$5)</f>
        <v>1041271.9</v>
      </c>
      <c r="AA5927" s="86"/>
      <c r="AB5927" s="403">
        <f>+V5927*Y5908</f>
        <v>1041271.92</v>
      </c>
      <c r="AC5927" s="404">
        <f>+AB5927-Z5927</f>
        <v>2.0000000018626451E-2</v>
      </c>
      <c r="AD5927" s="94"/>
      <c r="AE5927" s="405"/>
    </row>
    <row r="5928" spans="3:31" s="260" customFormat="1" x14ac:dyDescent="0.25">
      <c r="C5928" s="84"/>
      <c r="D5928" s="380"/>
      <c r="E5928" s="381"/>
      <c r="F5928" s="381"/>
      <c r="G5928" s="381"/>
      <c r="H5928" s="381"/>
      <c r="I5928" s="381"/>
      <c r="J5928" s="382"/>
      <c r="K5928" s="88"/>
      <c r="M5928" s="568" t="s">
        <v>108</v>
      </c>
      <c r="N5928" s="569"/>
      <c r="O5928" s="569"/>
      <c r="P5928" s="569"/>
      <c r="Q5928" s="569"/>
      <c r="R5928" s="569"/>
      <c r="S5928" s="569"/>
      <c r="T5928" s="569"/>
      <c r="U5928" s="569"/>
      <c r="V5928" s="570"/>
      <c r="Y5928" s="378"/>
      <c r="Z5928" s="121"/>
      <c r="AA5928" s="86"/>
      <c r="AB5928" s="409"/>
      <c r="AC5928" s="121"/>
      <c r="AD5928" s="94"/>
      <c r="AE5928" s="126"/>
    </row>
    <row r="5929" spans="3:31" s="260" customFormat="1" ht="25.5" x14ac:dyDescent="0.25">
      <c r="C5929" s="84"/>
      <c r="D5929" s="85"/>
      <c r="E5929" s="86"/>
      <c r="F5929" s="86"/>
      <c r="G5929" s="86"/>
      <c r="H5929" s="86"/>
      <c r="I5929" s="86"/>
      <c r="J5929" s="87"/>
      <c r="K5929" s="88"/>
      <c r="M5929" s="99" t="s">
        <v>94</v>
      </c>
      <c r="N5929" s="561" t="s">
        <v>95</v>
      </c>
      <c r="O5929" s="561"/>
      <c r="P5929" s="561"/>
      <c r="Q5929" s="95" t="s">
        <v>109</v>
      </c>
      <c r="R5929" s="95" t="s">
        <v>110</v>
      </c>
      <c r="S5929" s="95" t="s">
        <v>111</v>
      </c>
      <c r="T5929" s="562" t="s">
        <v>112</v>
      </c>
      <c r="U5929" s="562"/>
      <c r="V5929" s="100" t="s">
        <v>98</v>
      </c>
      <c r="Y5929" s="383" t="s">
        <v>104</v>
      </c>
      <c r="Z5929" s="119" t="s">
        <v>9</v>
      </c>
      <c r="AA5929" s="86"/>
      <c r="AB5929" s="384"/>
      <c r="AC5929" s="385"/>
      <c r="AD5929" s="94"/>
      <c r="AE5929" s="410"/>
    </row>
    <row r="5930" spans="3:31" s="260" customFormat="1" x14ac:dyDescent="0.25">
      <c r="C5930" s="84"/>
      <c r="D5930" s="85"/>
      <c r="E5930" s="86"/>
      <c r="F5930" s="86"/>
      <c r="G5930" s="86"/>
      <c r="H5930" s="86"/>
      <c r="I5930" s="86"/>
      <c r="J5930" s="87"/>
      <c r="K5930" s="88"/>
      <c r="M5930" s="102"/>
      <c r="N5930" s="530" t="str">
        <f>IFERROR(VLOOKUP(M5930,INSUMOS!$C$8:$K$928,2,0),"-----")</f>
        <v>-----</v>
      </c>
      <c r="O5930" s="531"/>
      <c r="P5930" s="532"/>
      <c r="Q5930" s="78" t="str">
        <f>IFERROR(VLOOKUP(M5930,INSUMOS!$C$8:$K$928,5,0),"-----")</f>
        <v>-----</v>
      </c>
      <c r="R5930" s="80"/>
      <c r="S5930" s="80" t="str">
        <f>IFERROR(VLOOKUP(M5930,INSUMOS!$C$8:$K$928,6,0),"0")</f>
        <v>0</v>
      </c>
      <c r="T5930" s="529" t="str">
        <f>IFERROR(VLOOKUP(M5930,INSUMOS!$C$8:$K$928,7,0),"0")</f>
        <v>0</v>
      </c>
      <c r="U5930" s="529"/>
      <c r="V5930" s="82">
        <f>+T5930*S5930*R5930</f>
        <v>0</v>
      </c>
      <c r="Y5930" s="393">
        <f>+IFERROR((R5930*S5930)*Y5908,0)</f>
        <v>0</v>
      </c>
      <c r="Z5930" s="391">
        <f>Y5908*V5930</f>
        <v>0</v>
      </c>
      <c r="AA5930" s="86"/>
      <c r="AB5930" s="92">
        <f>+Y5930*T5930</f>
        <v>0</v>
      </c>
      <c r="AC5930" s="93">
        <f>+AB5930-Z5930</f>
        <v>0</v>
      </c>
      <c r="AD5930" s="94"/>
      <c r="AE5930" s="406" t="str">
        <f>+IF(V5930=0,"CERO","NO")</f>
        <v>CERO</v>
      </c>
    </row>
    <row r="5931" spans="3:31" s="260" customFormat="1" x14ac:dyDescent="0.25">
      <c r="C5931" s="84"/>
      <c r="D5931" s="85"/>
      <c r="E5931" s="86"/>
      <c r="F5931" s="86"/>
      <c r="G5931" s="86"/>
      <c r="H5931" s="86"/>
      <c r="I5931" s="86"/>
      <c r="J5931" s="87"/>
      <c r="K5931" s="88"/>
      <c r="M5931" s="102">
        <v>0</v>
      </c>
      <c r="N5931" s="530" t="str">
        <f>IFERROR(VLOOKUP(M5931,INSUMOS!$C$8:$K$928,2,0),"-----")</f>
        <v>-----</v>
      </c>
      <c r="O5931" s="531"/>
      <c r="P5931" s="532"/>
      <c r="Q5931" s="78" t="str">
        <f>IFERROR(VLOOKUP(M5931,INSUMOS!$C$8:$K$928,5,0),"-----")</f>
        <v>-----</v>
      </c>
      <c r="R5931" s="80"/>
      <c r="S5931" s="80" t="str">
        <f>IFERROR(VLOOKUP(M5931,INSUMOS!$C$8:$K$928,6,0),"0")</f>
        <v>0</v>
      </c>
      <c r="T5931" s="529" t="str">
        <f>IFERROR(VLOOKUP(M5931,INSUMOS!$C$8:$K$928,7,0),"0")</f>
        <v>0</v>
      </c>
      <c r="U5931" s="529"/>
      <c r="V5931" s="82">
        <f>+T5931*S5931*R5931</f>
        <v>0</v>
      </c>
      <c r="Y5931" s="393">
        <f>+IFERROR((R5931*S5931)*Y5908,0)</f>
        <v>0</v>
      </c>
      <c r="Z5931" s="391">
        <f>Y5908*V5931</f>
        <v>0</v>
      </c>
      <c r="AA5931" s="86"/>
      <c r="AB5931" s="92">
        <f>+Y5931*T5931</f>
        <v>0</v>
      </c>
      <c r="AC5931" s="93">
        <f>+AB5931-Z5931</f>
        <v>0</v>
      </c>
      <c r="AD5931" s="94"/>
      <c r="AE5931" s="406" t="str">
        <f>+IF(V5931=0,"CERO","NO")</f>
        <v>CERO</v>
      </c>
    </row>
    <row r="5932" spans="3:31" s="260" customFormat="1" x14ac:dyDescent="0.25">
      <c r="C5932" s="84"/>
      <c r="D5932" s="85"/>
      <c r="E5932" s="86"/>
      <c r="F5932" s="86"/>
      <c r="G5932" s="86"/>
      <c r="H5932" s="86"/>
      <c r="I5932" s="86"/>
      <c r="J5932" s="87"/>
      <c r="K5932" s="88"/>
      <c r="M5932" s="102">
        <v>0</v>
      </c>
      <c r="N5932" s="530" t="str">
        <f>IFERROR(VLOOKUP(M5932,INSUMOS!$C$8:$K$928,2,0),"-----")</f>
        <v>-----</v>
      </c>
      <c r="O5932" s="531"/>
      <c r="P5932" s="532"/>
      <c r="Q5932" s="78" t="str">
        <f>IFERROR(VLOOKUP(M5932,INSUMOS!$C$8:$K$928,5,0),"-----")</f>
        <v>-----</v>
      </c>
      <c r="R5932" s="80"/>
      <c r="S5932" s="80" t="str">
        <f>IFERROR(VLOOKUP(M5932,INSUMOS!$C$8:$K$928,6,0),"0")</f>
        <v>0</v>
      </c>
      <c r="T5932" s="529" t="str">
        <f>IFERROR(VLOOKUP(M5932,INSUMOS!$C$8:$K$928,7,0),"0")</f>
        <v>0</v>
      </c>
      <c r="U5932" s="529"/>
      <c r="V5932" s="82">
        <f>+T5932*S5932*R5932</f>
        <v>0</v>
      </c>
      <c r="Y5932" s="393">
        <f>+IFERROR((R5932*S5932)*Y5908,0)</f>
        <v>0</v>
      </c>
      <c r="Z5932" s="391">
        <f>Y5908*V5932</f>
        <v>0</v>
      </c>
      <c r="AA5932" s="86"/>
      <c r="AB5932" s="92">
        <f>+Y5932*T5932</f>
        <v>0</v>
      </c>
      <c r="AC5932" s="93">
        <f>+AB5932-Z5932</f>
        <v>0</v>
      </c>
      <c r="AD5932" s="94"/>
      <c r="AE5932" s="406" t="str">
        <f>+IF(V5932=0,"CERO","NO")</f>
        <v>CERO</v>
      </c>
    </row>
    <row r="5933" spans="3:31" s="260" customFormat="1" ht="15.75" thickBot="1" x14ac:dyDescent="0.3">
      <c r="C5933" s="84"/>
      <c r="D5933" s="89"/>
      <c r="E5933" s="90"/>
      <c r="F5933" s="90"/>
      <c r="G5933" s="90"/>
      <c r="H5933" s="90"/>
      <c r="I5933" s="90"/>
      <c r="J5933" s="91"/>
      <c r="K5933" s="88"/>
      <c r="M5933" s="102">
        <v>0</v>
      </c>
      <c r="N5933" s="533"/>
      <c r="O5933" s="533"/>
      <c r="P5933" s="533"/>
      <c r="Q5933" s="79"/>
      <c r="R5933" s="78"/>
      <c r="S5933" s="81"/>
      <c r="T5933" s="529"/>
      <c r="U5933" s="529"/>
      <c r="V5933" s="82"/>
      <c r="Y5933" s="393">
        <f>+IFERROR((R5933*S5933)*Y5908,0)</f>
        <v>0</v>
      </c>
      <c r="Z5933" s="391">
        <f>Y5908*V5933</f>
        <v>0</v>
      </c>
      <c r="AA5933" s="86"/>
      <c r="AB5933" s="92">
        <f>+Y5933*T5933</f>
        <v>0</v>
      </c>
      <c r="AC5933" s="93">
        <f>+AB5933-Z5933</f>
        <v>0</v>
      </c>
      <c r="AD5933" s="94"/>
      <c r="AE5933" s="406" t="str">
        <f>+IF(V5933=0,"CERO","NO")</f>
        <v>CERO</v>
      </c>
    </row>
    <row r="5934" spans="3:31" s="260" customFormat="1" ht="15.75" thickBot="1" x14ac:dyDescent="0.3">
      <c r="C5934" s="84"/>
      <c r="D5934" s="375" t="s">
        <v>128</v>
      </c>
      <c r="E5934" s="376" t="s">
        <v>129</v>
      </c>
      <c r="F5934" s="376" t="s">
        <v>130</v>
      </c>
      <c r="G5934" s="376" t="s">
        <v>131</v>
      </c>
      <c r="H5934" s="376" t="s">
        <v>132</v>
      </c>
      <c r="I5934" s="376" t="s">
        <v>133</v>
      </c>
      <c r="J5934" s="377" t="s">
        <v>134</v>
      </c>
      <c r="K5934" s="88"/>
      <c r="M5934" s="534"/>
      <c r="N5934" s="536" t="s">
        <v>113</v>
      </c>
      <c r="O5934" s="536"/>
      <c r="P5934" s="536"/>
      <c r="Q5934" s="536"/>
      <c r="R5934" s="536"/>
      <c r="S5934" s="536"/>
      <c r="T5934" s="536"/>
      <c r="U5934" s="536"/>
      <c r="V5934" s="411">
        <f>+SUM(V5930:V5933)</f>
        <v>0</v>
      </c>
      <c r="Y5934" s="398" t="s">
        <v>135</v>
      </c>
      <c r="Z5934" s="397">
        <f>+SUM(Z5930:Z5933)</f>
        <v>0</v>
      </c>
      <c r="AA5934" s="86"/>
      <c r="AB5934" s="384"/>
      <c r="AC5934" s="385"/>
      <c r="AD5934" s="94"/>
      <c r="AE5934" s="399"/>
    </row>
    <row r="5935" spans="3:31" s="260" customFormat="1" ht="15.75" thickBot="1" x14ac:dyDescent="0.3">
      <c r="C5935" s="84"/>
      <c r="D5935" s="355"/>
      <c r="E5935" s="367"/>
      <c r="F5935" s="412">
        <f>+E5927</f>
        <v>6.11</v>
      </c>
      <c r="G5935" s="367"/>
      <c r="H5935" s="367"/>
      <c r="I5935" s="367"/>
      <c r="J5935" s="368"/>
      <c r="K5935" s="88"/>
      <c r="M5935" s="535"/>
      <c r="N5935" s="537" t="s">
        <v>114</v>
      </c>
      <c r="O5935" s="537"/>
      <c r="P5935" s="537"/>
      <c r="Q5935" s="537"/>
      <c r="R5935" s="537"/>
      <c r="S5935" s="537"/>
      <c r="T5935" s="537"/>
      <c r="U5935" s="537"/>
      <c r="V5935" s="413">
        <f>+ROUND(V5934,$AA$5)</f>
        <v>0</v>
      </c>
      <c r="Y5935" s="401" t="s">
        <v>136</v>
      </c>
      <c r="Z5935" s="402">
        <f>+ROUND(Z5934,$AA$5)</f>
        <v>0</v>
      </c>
      <c r="AA5935" s="86"/>
      <c r="AB5935" s="403">
        <f>+V5935*Y5908</f>
        <v>0</v>
      </c>
      <c r="AC5935" s="414"/>
      <c r="AD5935" s="94"/>
      <c r="AE5935" s="405"/>
    </row>
    <row r="5936" spans="3:31" s="260" customFormat="1" ht="15.75" thickBot="1" x14ac:dyDescent="0.3">
      <c r="C5936" s="84"/>
      <c r="D5936" s="415"/>
      <c r="E5936" s="416"/>
      <c r="F5936" s="416"/>
      <c r="G5936" s="416"/>
      <c r="H5936" s="416"/>
      <c r="I5936" s="416"/>
      <c r="J5936" s="417"/>
      <c r="K5936" s="88"/>
      <c r="M5936" s="538" t="s">
        <v>115</v>
      </c>
      <c r="N5936" s="539"/>
      <c r="O5936" s="539"/>
      <c r="P5936" s="539"/>
      <c r="Q5936" s="539"/>
      <c r="R5936" s="539"/>
      <c r="S5936" s="539"/>
      <c r="T5936" s="539"/>
      <c r="U5936" s="539"/>
      <c r="V5936" s="540"/>
      <c r="Y5936" s="378"/>
      <c r="Z5936" s="121"/>
      <c r="AA5936" s="86"/>
      <c r="AB5936" s="409"/>
      <c r="AC5936" s="121"/>
      <c r="AD5936" s="94"/>
      <c r="AE5936" s="126"/>
    </row>
    <row r="5937" spans="3:31" s="260" customFormat="1" ht="15.75" thickBot="1" x14ac:dyDescent="0.3">
      <c r="C5937" s="84"/>
      <c r="D5937" s="375" t="s">
        <v>128</v>
      </c>
      <c r="E5937" s="376" t="s">
        <v>129</v>
      </c>
      <c r="F5937" s="376" t="s">
        <v>130</v>
      </c>
      <c r="G5937" s="376" t="s">
        <v>131</v>
      </c>
      <c r="H5937" s="376" t="s">
        <v>132</v>
      </c>
      <c r="I5937" s="376" t="s">
        <v>133</v>
      </c>
      <c r="J5937" s="377" t="s">
        <v>134</v>
      </c>
      <c r="K5937" s="88"/>
      <c r="M5937" s="99" t="s">
        <v>94</v>
      </c>
      <c r="N5937" s="98" t="s">
        <v>95</v>
      </c>
      <c r="O5937" s="95" t="s">
        <v>96</v>
      </c>
      <c r="P5937" s="359" t="s">
        <v>104</v>
      </c>
      <c r="Q5937" s="95" t="s">
        <v>116</v>
      </c>
      <c r="R5937" s="418" t="s">
        <v>117</v>
      </c>
      <c r="S5937" s="95" t="s">
        <v>347</v>
      </c>
      <c r="T5937" s="419" t="s">
        <v>118</v>
      </c>
      <c r="U5937" s="189" t="s">
        <v>119</v>
      </c>
      <c r="V5937" s="100" t="s">
        <v>98</v>
      </c>
      <c r="Y5937" s="383" t="s">
        <v>104</v>
      </c>
      <c r="Z5937" s="119" t="s">
        <v>9</v>
      </c>
      <c r="AA5937" s="86"/>
      <c r="AB5937" s="384"/>
      <c r="AC5937" s="385"/>
      <c r="AD5937" s="94"/>
      <c r="AE5937" s="410"/>
    </row>
    <row r="5938" spans="3:31" s="260" customFormat="1" ht="25.5" x14ac:dyDescent="0.25">
      <c r="C5938" s="84"/>
      <c r="D5938" s="354"/>
      <c r="E5938" s="96"/>
      <c r="F5938" s="96"/>
      <c r="G5938" s="96"/>
      <c r="H5938" s="96"/>
      <c r="I5938" s="96"/>
      <c r="J5938" s="420">
        <f>+F5935</f>
        <v>6.11</v>
      </c>
      <c r="K5938" s="88"/>
      <c r="M5938" s="102">
        <v>201</v>
      </c>
      <c r="N5938" s="347" t="str">
        <f>IFERROR(VLOOKUP(M5938,INSUMOS!$C$8:$K$928,2,0),"-----")</f>
        <v>Oficial Albañileria</v>
      </c>
      <c r="O5938" s="78" t="str">
        <f>IFERROR(VLOOKUP(M5938,INSUMOS!$C$8:$K$928,3,0),"-----")</f>
        <v>JORNAL+PS</v>
      </c>
      <c r="P5938" s="80">
        <v>1</v>
      </c>
      <c r="Q5938" s="79">
        <v>25</v>
      </c>
      <c r="R5938" s="190">
        <f>IFERROR(VLOOKUP(M5938,INSUMOS!$C$8:$K$928,4,0),"-----")</f>
        <v>85136</v>
      </c>
      <c r="S5938" s="190">
        <f>IFERROR(VLOOKUP(M5938,INSUMOS!$C$8:$K$928,6,0),"-----")</f>
        <v>68109</v>
      </c>
      <c r="T5938" s="190">
        <f>IFERROR(VLOOKUP(M5938,INSUMOS!$C$8:$K$928,5,0),"-----")</f>
        <v>0</v>
      </c>
      <c r="U5938" s="388">
        <f>SUM(R5938:T5938)</f>
        <v>153245</v>
      </c>
      <c r="V5938" s="82">
        <f>+IFERROR((P5938/Q5938)*U5938,0)</f>
        <v>6129.8</v>
      </c>
      <c r="Y5938" s="393">
        <f>+IFERROR((Y5908/Q5938*P5938),0)</f>
        <v>0.24</v>
      </c>
      <c r="Z5938" s="391">
        <f>Y5908*V5938</f>
        <v>36778.800000000003</v>
      </c>
      <c r="AA5938" s="86"/>
      <c r="AB5938" s="92">
        <f>+(U5938)*Y5938</f>
        <v>36778.799999999996</v>
      </c>
      <c r="AC5938" s="93">
        <f>+AB5938-Z5938</f>
        <v>0</v>
      </c>
      <c r="AD5938" s="421"/>
      <c r="AE5938" s="410" t="str">
        <f>+IF(V5938=0,"CERO","NO")</f>
        <v>NO</v>
      </c>
    </row>
    <row r="5939" spans="3:31" s="260" customFormat="1" ht="26.25" thickBot="1" x14ac:dyDescent="0.3">
      <c r="C5939" s="84"/>
      <c r="D5939" s="355"/>
      <c r="E5939" s="367"/>
      <c r="F5939" s="367"/>
      <c r="G5939" s="367"/>
      <c r="H5939" s="367"/>
      <c r="I5939" s="367"/>
      <c r="J5939" s="422">
        <f>+J5938</f>
        <v>6.11</v>
      </c>
      <c r="K5939" s="88"/>
      <c r="M5939" s="102">
        <v>202</v>
      </c>
      <c r="N5939" s="347" t="str">
        <f>IFERROR(VLOOKUP(M5939,INSUMOS!$C$8:$K$928,2,0),"-----")</f>
        <v>Ayudante Albañileria</v>
      </c>
      <c r="O5939" s="78" t="str">
        <f>IFERROR(VLOOKUP(M5939,INSUMOS!$C$8:$K$928,3,0),"-----")</f>
        <v>JORNAL+PS</v>
      </c>
      <c r="P5939" s="80">
        <v>1</v>
      </c>
      <c r="Q5939" s="79">
        <v>25</v>
      </c>
      <c r="R5939" s="190">
        <f>IFERROR(VLOOKUP(M5939,INSUMOS!$C$8:$K$928,4,0),"-----")</f>
        <v>63490</v>
      </c>
      <c r="S5939" s="190">
        <f>IFERROR(VLOOKUP(M5939,INSUMOS!$C$8:$K$928,6,0),"-----")</f>
        <v>50792</v>
      </c>
      <c r="T5939" s="190">
        <f>IFERROR(VLOOKUP(M5939,INSUMOS!$C$8:$K$928,5,0),"-----")</f>
        <v>0</v>
      </c>
      <c r="U5939" s="388">
        <f>SUM(R5939:T5939)</f>
        <v>114282</v>
      </c>
      <c r="V5939" s="82">
        <f>+IFERROR((P5939/Q5939)*U5939,0)</f>
        <v>4571.28</v>
      </c>
      <c r="Y5939" s="393">
        <f>+IFERROR((Y5908/Q5939*P5939),0)</f>
        <v>0.24</v>
      </c>
      <c r="Z5939" s="391">
        <f>Y5908*V5939</f>
        <v>27427.68</v>
      </c>
      <c r="AA5939" s="86"/>
      <c r="AB5939" s="92">
        <f>+U5939*Y5939</f>
        <v>27427.68</v>
      </c>
      <c r="AC5939" s="93">
        <f>+AB5939-Z5939</f>
        <v>0</v>
      </c>
      <c r="AD5939" s="94"/>
      <c r="AE5939" s="410" t="str">
        <f>+IF(V5939=0,"CERO","NO")</f>
        <v>NO</v>
      </c>
    </row>
    <row r="5940" spans="3:31" s="260" customFormat="1" ht="15.75" thickBot="1" x14ac:dyDescent="0.3">
      <c r="C5940" s="84"/>
      <c r="D5940" s="380"/>
      <c r="E5940" s="381"/>
      <c r="F5940" s="381"/>
      <c r="G5940" s="381"/>
      <c r="H5940" s="381"/>
      <c r="I5940" s="381"/>
      <c r="J5940" s="382"/>
      <c r="K5940" s="88"/>
      <c r="M5940" s="102">
        <v>0</v>
      </c>
      <c r="N5940" s="347"/>
      <c r="O5940" s="79"/>
      <c r="P5940" s="423"/>
      <c r="Q5940" s="81"/>
      <c r="R5940" s="111"/>
      <c r="S5940" s="357"/>
      <c r="T5940" s="111"/>
      <c r="U5940" s="388"/>
      <c r="V5940" s="426"/>
      <c r="Y5940" s="393">
        <f>+IFERROR((Y5908/Q5940*P5940),0)</f>
        <v>0</v>
      </c>
      <c r="Z5940" s="391">
        <f>Y5908*V5940</f>
        <v>0</v>
      </c>
      <c r="AA5940" s="86"/>
      <c r="AB5940" s="92">
        <f>+(U5940)*Y5940*P5940</f>
        <v>0</v>
      </c>
      <c r="AC5940" s="93">
        <f>+AB5940-Z5940</f>
        <v>0</v>
      </c>
      <c r="AD5940" s="94"/>
      <c r="AE5940" s="410" t="str">
        <f>+IF(V5940=0,"CERO","NO")</f>
        <v>CERO</v>
      </c>
    </row>
    <row r="5941" spans="3:31" s="260" customFormat="1" ht="15.75" thickBot="1" x14ac:dyDescent="0.3">
      <c r="C5941" s="84"/>
      <c r="D5941" s="375" t="s">
        <v>128</v>
      </c>
      <c r="E5941" s="376" t="s">
        <v>129</v>
      </c>
      <c r="F5941" s="376" t="s">
        <v>130</v>
      </c>
      <c r="G5941" s="376" t="s">
        <v>131</v>
      </c>
      <c r="H5941" s="376" t="s">
        <v>132</v>
      </c>
      <c r="I5941" s="376" t="s">
        <v>133</v>
      </c>
      <c r="J5941" s="377" t="s">
        <v>134</v>
      </c>
      <c r="K5941" s="88"/>
      <c r="M5941" s="534"/>
      <c r="N5941" s="536" t="s">
        <v>120</v>
      </c>
      <c r="O5941" s="536"/>
      <c r="P5941" s="536"/>
      <c r="Q5941" s="536"/>
      <c r="R5941" s="536"/>
      <c r="S5941" s="536"/>
      <c r="T5941" s="536"/>
      <c r="U5941" s="536"/>
      <c r="V5941" s="82">
        <f>+SUM(V5938:V5940)</f>
        <v>10701.08</v>
      </c>
      <c r="Y5941" s="398" t="s">
        <v>135</v>
      </c>
      <c r="Z5941" s="397">
        <f>+SUM(Z5938:Z5940)</f>
        <v>64206.48</v>
      </c>
      <c r="AA5941" s="86"/>
      <c r="AB5941" s="384"/>
      <c r="AC5941" s="385"/>
      <c r="AD5941" s="94"/>
      <c r="AE5941" s="399"/>
    </row>
    <row r="5942" spans="3:31" s="260" customFormat="1" ht="15.75" thickBot="1" x14ac:dyDescent="0.3">
      <c r="C5942" s="84"/>
      <c r="D5942" s="354"/>
      <c r="E5942" s="96"/>
      <c r="F5942" s="96"/>
      <c r="G5942" s="107">
        <f>+F5935</f>
        <v>6.11</v>
      </c>
      <c r="H5942" s="96"/>
      <c r="I5942" s="96"/>
      <c r="J5942" s="427"/>
      <c r="K5942" s="88"/>
      <c r="M5942" s="535"/>
      <c r="N5942" s="537" t="s">
        <v>121</v>
      </c>
      <c r="O5942" s="537"/>
      <c r="P5942" s="537"/>
      <c r="Q5942" s="537"/>
      <c r="R5942" s="537"/>
      <c r="S5942" s="537"/>
      <c r="T5942" s="537"/>
      <c r="U5942" s="537"/>
      <c r="V5942" s="413">
        <f>+ROUND(V5941,$AA$5)</f>
        <v>10701.08</v>
      </c>
      <c r="Y5942" s="401" t="s">
        <v>136</v>
      </c>
      <c r="Z5942" s="402">
        <f>+ROUND(Z5941,$AA$5)</f>
        <v>64206.48</v>
      </c>
      <c r="AA5942" s="86"/>
      <c r="AB5942" s="403">
        <f>+V5942*Y5908</f>
        <v>64206.479999999996</v>
      </c>
      <c r="AC5942" s="404">
        <f>+AB5942-Z5942</f>
        <v>0</v>
      </c>
      <c r="AD5942" s="94"/>
      <c r="AE5942" s="405"/>
    </row>
    <row r="5943" spans="3:31" s="260" customFormat="1" ht="15.75" thickBot="1" x14ac:dyDescent="0.3">
      <c r="C5943" s="84"/>
      <c r="D5943" s="375" t="s">
        <v>128</v>
      </c>
      <c r="E5943" s="376" t="s">
        <v>129</v>
      </c>
      <c r="F5943" s="376" t="s">
        <v>130</v>
      </c>
      <c r="G5943" s="376" t="s">
        <v>131</v>
      </c>
      <c r="H5943" s="376" t="s">
        <v>132</v>
      </c>
      <c r="I5943" s="376" t="s">
        <v>133</v>
      </c>
      <c r="J5943" s="377" t="s">
        <v>134</v>
      </c>
      <c r="K5943" s="88"/>
      <c r="M5943" s="541"/>
      <c r="N5943" s="542"/>
      <c r="O5943" s="542"/>
      <c r="P5943" s="542"/>
      <c r="Q5943" s="542"/>
      <c r="R5943" s="542"/>
      <c r="S5943" s="542"/>
      <c r="T5943" s="542"/>
      <c r="U5943" s="542"/>
      <c r="V5943" s="543"/>
      <c r="Y5943" s="378"/>
      <c r="Z5943" s="121"/>
      <c r="AA5943" s="86"/>
      <c r="AB5943" s="409"/>
      <c r="AC5943" s="121"/>
      <c r="AD5943" s="94"/>
      <c r="AE5943" s="428"/>
    </row>
    <row r="5944" spans="3:31" s="260" customFormat="1" ht="15.75" thickBot="1" x14ac:dyDescent="0.3">
      <c r="C5944" s="84"/>
      <c r="D5944" s="355"/>
      <c r="E5944" s="367"/>
      <c r="F5944" s="367"/>
      <c r="G5944" s="367"/>
      <c r="H5944" s="412">
        <f>G5942</f>
        <v>6.11</v>
      </c>
      <c r="I5944" s="412"/>
      <c r="J5944" s="422"/>
      <c r="K5944" s="88"/>
      <c r="M5944" s="544" t="s">
        <v>122</v>
      </c>
      <c r="N5944" s="537"/>
      <c r="O5944" s="537"/>
      <c r="P5944" s="537"/>
      <c r="Q5944" s="537"/>
      <c r="R5944" s="537"/>
      <c r="S5944" s="537"/>
      <c r="T5944" s="537"/>
      <c r="U5944" s="545">
        <f>+V5942+V5935+V5927+V5918</f>
        <v>184781.44999999998</v>
      </c>
      <c r="V5944" s="546"/>
      <c r="Y5944" s="429"/>
      <c r="Z5944" s="430">
        <f>+Z5942+Z5935+Z5927+Z5918</f>
        <v>1108688.7000000002</v>
      </c>
      <c r="AA5944" s="86"/>
      <c r="AB5944" s="431">
        <f>+AB5942+AB5935+AB5927+AB5918</f>
        <v>1108688.7000000002</v>
      </c>
      <c r="AC5944" s="404">
        <f>+AB5944-Z5944</f>
        <v>0</v>
      </c>
      <c r="AD5944" s="94"/>
      <c r="AE5944" s="432"/>
    </row>
    <row r="5945" spans="3:31" s="260" customFormat="1" ht="15.75" thickBot="1" x14ac:dyDescent="0.3"/>
    <row r="5946" spans="3:31" s="260" customFormat="1" x14ac:dyDescent="0.25">
      <c r="M5946" s="547" t="s">
        <v>348</v>
      </c>
      <c r="N5946" s="548"/>
      <c r="O5946" s="548"/>
      <c r="P5946" s="548"/>
      <c r="Q5946" s="548"/>
      <c r="R5946" s="548"/>
      <c r="S5946" s="548"/>
      <c r="T5946" s="548"/>
      <c r="U5946" s="548"/>
      <c r="V5946" s="549"/>
      <c r="Y5946" s="378"/>
      <c r="Z5946" s="121"/>
      <c r="AA5946" s="86"/>
      <c r="AB5946" s="94"/>
      <c r="AC5946" s="94"/>
      <c r="AD5946" s="94"/>
      <c r="AE5946" s="126" t="s">
        <v>133</v>
      </c>
    </row>
    <row r="5947" spans="3:31" s="260" customFormat="1" x14ac:dyDescent="0.25">
      <c r="M5947" s="515" t="s">
        <v>138</v>
      </c>
      <c r="N5947" s="516"/>
      <c r="O5947" s="516"/>
      <c r="P5947" s="516"/>
      <c r="Q5947" s="516"/>
      <c r="R5947" s="516"/>
      <c r="S5947" s="516"/>
      <c r="T5947" s="437">
        <v>0</v>
      </c>
      <c r="U5947" s="517">
        <f>+ROUND(U5944*T5947,$AA$5)</f>
        <v>0</v>
      </c>
      <c r="V5947" s="518"/>
      <c r="Y5947" s="390"/>
      <c r="Z5947" s="438">
        <f>+Z5944*T5947</f>
        <v>0</v>
      </c>
      <c r="AA5947" s="86"/>
      <c r="AB5947" s="94"/>
      <c r="AC5947" s="94"/>
      <c r="AD5947" s="94"/>
      <c r="AE5947" s="386" t="s">
        <v>133</v>
      </c>
    </row>
    <row r="5948" spans="3:31" s="260" customFormat="1" x14ac:dyDescent="0.25">
      <c r="M5948" s="515" t="s">
        <v>19</v>
      </c>
      <c r="N5948" s="516"/>
      <c r="O5948" s="516"/>
      <c r="P5948" s="516"/>
      <c r="Q5948" s="516"/>
      <c r="R5948" s="516"/>
      <c r="S5948" s="516"/>
      <c r="T5948" s="437">
        <v>0.05</v>
      </c>
      <c r="U5948" s="517">
        <f>+ROUND(U5944*T5948,$AA$5)</f>
        <v>9239.07</v>
      </c>
      <c r="V5948" s="518"/>
      <c r="Y5948" s="390"/>
      <c r="Z5948" s="438">
        <f>+Z5944*T5948</f>
        <v>55434.435000000012</v>
      </c>
      <c r="AA5948" s="86"/>
      <c r="AB5948" s="94"/>
      <c r="AC5948" s="94"/>
      <c r="AD5948" s="94"/>
      <c r="AE5948" s="386" t="s">
        <v>133</v>
      </c>
    </row>
    <row r="5949" spans="3:31" s="260" customFormat="1" x14ac:dyDescent="0.25">
      <c r="M5949" s="515" t="s">
        <v>20</v>
      </c>
      <c r="N5949" s="516"/>
      <c r="O5949" s="516"/>
      <c r="P5949" s="516"/>
      <c r="Q5949" s="516"/>
      <c r="R5949" s="516"/>
      <c r="S5949" s="516"/>
      <c r="T5949" s="437">
        <v>0</v>
      </c>
      <c r="U5949" s="517">
        <f>+ROUND(U5944*T5949,$AA$5)</f>
        <v>0</v>
      </c>
      <c r="V5949" s="518"/>
      <c r="Y5949" s="390"/>
      <c r="Z5949" s="438">
        <f>+Z5944*T5949</f>
        <v>0</v>
      </c>
      <c r="AA5949" s="86"/>
      <c r="AB5949" s="94"/>
      <c r="AC5949" s="94"/>
      <c r="AD5949" s="94"/>
      <c r="AE5949" s="386" t="s">
        <v>133</v>
      </c>
    </row>
    <row r="5950" spans="3:31" s="260" customFormat="1" x14ac:dyDescent="0.25">
      <c r="M5950" s="515" t="s">
        <v>21</v>
      </c>
      <c r="N5950" s="516"/>
      <c r="O5950" s="516"/>
      <c r="P5950" s="516"/>
      <c r="Q5950" s="516"/>
      <c r="R5950" s="516"/>
      <c r="S5950" s="516"/>
      <c r="T5950" s="437">
        <f>$AA$9</f>
        <v>0</v>
      </c>
      <c r="U5950" s="517">
        <f>+ROUND(U5944*T5950,$AA$5)</f>
        <v>0</v>
      </c>
      <c r="V5950" s="518"/>
      <c r="Y5950" s="390"/>
      <c r="Z5950" s="438">
        <f>+Z5949*T5950</f>
        <v>0</v>
      </c>
      <c r="AA5950" s="86"/>
      <c r="AB5950" s="94"/>
      <c r="AC5950" s="94"/>
      <c r="AD5950" s="94"/>
      <c r="AE5950" s="386" t="s">
        <v>133</v>
      </c>
    </row>
    <row r="5951" spans="3:31" s="260" customFormat="1" ht="15.75" thickBot="1" x14ac:dyDescent="0.3">
      <c r="M5951" s="519" t="s">
        <v>349</v>
      </c>
      <c r="N5951" s="520"/>
      <c r="O5951" s="520"/>
      <c r="P5951" s="520"/>
      <c r="Q5951" s="520"/>
      <c r="R5951" s="520"/>
      <c r="S5951" s="520"/>
      <c r="T5951" s="520"/>
      <c r="U5951" s="521">
        <f>+SUM(U5947:V5950)</f>
        <v>9239.07</v>
      </c>
      <c r="V5951" s="522"/>
      <c r="Y5951" s="390"/>
      <c r="Z5951" s="439">
        <f>+SUM(Z5947:Z5950)</f>
        <v>55434.435000000012</v>
      </c>
      <c r="AA5951" s="86"/>
      <c r="AB5951" s="94"/>
      <c r="AC5951" s="94"/>
      <c r="AD5951" s="94"/>
      <c r="AE5951" s="386" t="s">
        <v>133</v>
      </c>
    </row>
    <row r="5952" spans="3:31" s="260" customFormat="1" ht="15.75" thickBot="1" x14ac:dyDescent="0.3">
      <c r="D5952" s="375" t="s">
        <v>128</v>
      </c>
      <c r="E5952" s="376" t="s">
        <v>129</v>
      </c>
      <c r="F5952" s="376" t="s">
        <v>130</v>
      </c>
      <c r="G5952" s="376" t="s">
        <v>131</v>
      </c>
      <c r="H5952" s="376" t="s">
        <v>132</v>
      </c>
      <c r="I5952" s="376" t="s">
        <v>133</v>
      </c>
      <c r="J5952" s="377" t="s">
        <v>134</v>
      </c>
      <c r="M5952" s="86"/>
      <c r="N5952" s="94"/>
      <c r="O5952" s="94"/>
      <c r="P5952" s="94"/>
      <c r="Q5952" s="86"/>
      <c r="R5952" s="86"/>
      <c r="S5952" s="86"/>
      <c r="T5952" s="440"/>
      <c r="U5952" s="523"/>
      <c r="V5952" s="523"/>
      <c r="Y5952" s="390"/>
      <c r="Z5952" s="385"/>
      <c r="AA5952" s="86"/>
      <c r="AB5952" s="94"/>
      <c r="AC5952" s="94"/>
      <c r="AD5952" s="94"/>
      <c r="AE5952" s="386" t="s">
        <v>133</v>
      </c>
    </row>
    <row r="5953" spans="4:31" s="260" customFormat="1" ht="15.75" thickBot="1" x14ac:dyDescent="0.3">
      <c r="D5953" s="355"/>
      <c r="E5953" s="367"/>
      <c r="F5953" s="367"/>
      <c r="G5953" s="367"/>
      <c r="H5953" s="412"/>
      <c r="I5953" s="412">
        <f>H5944</f>
        <v>6.11</v>
      </c>
      <c r="J5953" s="422"/>
      <c r="M5953" s="524" t="s">
        <v>11</v>
      </c>
      <c r="N5953" s="525"/>
      <c r="O5953" s="525"/>
      <c r="P5953" s="525"/>
      <c r="Q5953" s="525"/>
      <c r="R5953" s="525"/>
      <c r="S5953" s="525"/>
      <c r="T5953" s="526"/>
      <c r="U5953" s="527">
        <f>+U5951+U5944</f>
        <v>194020.52</v>
      </c>
      <c r="V5953" s="528"/>
      <c r="Y5953" s="429"/>
      <c r="Z5953" s="441">
        <f>+Z5951+Z5944</f>
        <v>1164123.1350000002</v>
      </c>
      <c r="AA5953" s="86"/>
      <c r="AB5953" s="94"/>
      <c r="AC5953" s="94"/>
      <c r="AD5953" s="94"/>
      <c r="AE5953" s="405" t="s">
        <v>133</v>
      </c>
    </row>
    <row r="5954" spans="4:31" s="260" customFormat="1" x14ac:dyDescent="0.25"/>
  </sheetData>
  <mergeCells count="8147">
    <mergeCell ref="U3800:V3800"/>
    <mergeCell ref="M3801:T3801"/>
    <mergeCell ref="U3801:V3801"/>
    <mergeCell ref="M3784:V3784"/>
    <mergeCell ref="M3789:M3790"/>
    <mergeCell ref="N3789:U3789"/>
    <mergeCell ref="N3790:U3790"/>
    <mergeCell ref="M3791:V3791"/>
    <mergeCell ref="M3792:T3792"/>
    <mergeCell ref="U3792:V3792"/>
    <mergeCell ref="M3794:V3794"/>
    <mergeCell ref="M3795:S3795"/>
    <mergeCell ref="U3795:V3795"/>
    <mergeCell ref="M3796:S3796"/>
    <mergeCell ref="U3796:V3796"/>
    <mergeCell ref="M3797:S3797"/>
    <mergeCell ref="U3797:V3797"/>
    <mergeCell ref="M3798:S3798"/>
    <mergeCell ref="U3798:V3798"/>
    <mergeCell ref="M3799:T3799"/>
    <mergeCell ref="U3799:V3799"/>
    <mergeCell ref="N3772:Q3772"/>
    <mergeCell ref="N3773:Q3773"/>
    <mergeCell ref="M3774:M3775"/>
    <mergeCell ref="N3774:U3774"/>
    <mergeCell ref="N3775:U3775"/>
    <mergeCell ref="M3776:V3776"/>
    <mergeCell ref="N3777:P3777"/>
    <mergeCell ref="T3777:U3777"/>
    <mergeCell ref="N3778:P3778"/>
    <mergeCell ref="T3778:U3778"/>
    <mergeCell ref="N3779:P3779"/>
    <mergeCell ref="T3779:U3779"/>
    <mergeCell ref="N3780:P3780"/>
    <mergeCell ref="T3780:U3780"/>
    <mergeCell ref="N3781:P3781"/>
    <mergeCell ref="T3781:U3781"/>
    <mergeCell ref="M3782:M3783"/>
    <mergeCell ref="N3782:U3782"/>
    <mergeCell ref="N3783:U3783"/>
    <mergeCell ref="N3761:Q3761"/>
    <mergeCell ref="T3761:U3761"/>
    <mergeCell ref="N3762:Q3762"/>
    <mergeCell ref="T3762:U3762"/>
    <mergeCell ref="N3763:Q3763"/>
    <mergeCell ref="T3763:U3763"/>
    <mergeCell ref="N3764:Q3764"/>
    <mergeCell ref="T3764:U3764"/>
    <mergeCell ref="M3765:M3766"/>
    <mergeCell ref="N3765:U3765"/>
    <mergeCell ref="N3766:U3766"/>
    <mergeCell ref="M3767:V3767"/>
    <mergeCell ref="AB3767:AC3767"/>
    <mergeCell ref="N3768:Q3768"/>
    <mergeCell ref="N3769:Q3769"/>
    <mergeCell ref="N3770:Q3770"/>
    <mergeCell ref="N3771:Q3771"/>
    <mergeCell ref="M3749:S3749"/>
    <mergeCell ref="U3749:V3749"/>
    <mergeCell ref="M3750:T3750"/>
    <mergeCell ref="U3750:V3750"/>
    <mergeCell ref="U3751:V3751"/>
    <mergeCell ref="M3752:T3752"/>
    <mergeCell ref="U3752:V3752"/>
    <mergeCell ref="O3755:U3755"/>
    <mergeCell ref="AB3755:AD3755"/>
    <mergeCell ref="O3756:U3756"/>
    <mergeCell ref="M3757:V3757"/>
    <mergeCell ref="M3758:V3758"/>
    <mergeCell ref="AB3758:AC3758"/>
    <mergeCell ref="N3759:Q3759"/>
    <mergeCell ref="T3759:U3759"/>
    <mergeCell ref="N3760:Q3760"/>
    <mergeCell ref="T3760:U3760"/>
    <mergeCell ref="M3733:M3734"/>
    <mergeCell ref="N3733:U3733"/>
    <mergeCell ref="N3734:U3734"/>
    <mergeCell ref="M3735:V3735"/>
    <mergeCell ref="M3740:M3741"/>
    <mergeCell ref="N3740:U3740"/>
    <mergeCell ref="N3741:U3741"/>
    <mergeCell ref="M3742:V3742"/>
    <mergeCell ref="M3743:T3743"/>
    <mergeCell ref="U3743:V3743"/>
    <mergeCell ref="M3745:V3745"/>
    <mergeCell ref="M3746:S3746"/>
    <mergeCell ref="U3746:V3746"/>
    <mergeCell ref="M3747:S3747"/>
    <mergeCell ref="U3747:V3747"/>
    <mergeCell ref="M3748:S3748"/>
    <mergeCell ref="U3748:V3748"/>
    <mergeCell ref="N3721:Q3721"/>
    <mergeCell ref="N3722:Q3722"/>
    <mergeCell ref="N3723:Q3723"/>
    <mergeCell ref="N3724:Q3724"/>
    <mergeCell ref="M3725:M3726"/>
    <mergeCell ref="N3725:U3725"/>
    <mergeCell ref="N3726:U3726"/>
    <mergeCell ref="M3727:V3727"/>
    <mergeCell ref="N3728:P3728"/>
    <mergeCell ref="T3728:U3728"/>
    <mergeCell ref="N3729:P3729"/>
    <mergeCell ref="T3729:U3729"/>
    <mergeCell ref="N3730:P3730"/>
    <mergeCell ref="T3730:U3730"/>
    <mergeCell ref="N3731:P3731"/>
    <mergeCell ref="T3731:U3731"/>
    <mergeCell ref="N3732:P3732"/>
    <mergeCell ref="T3732:U3732"/>
    <mergeCell ref="N3711:Q3711"/>
    <mergeCell ref="T3711:U3711"/>
    <mergeCell ref="N3712:Q3712"/>
    <mergeCell ref="T3712:U3712"/>
    <mergeCell ref="N3713:Q3713"/>
    <mergeCell ref="T3713:U3713"/>
    <mergeCell ref="N3714:Q3714"/>
    <mergeCell ref="T3714:U3714"/>
    <mergeCell ref="N3715:Q3715"/>
    <mergeCell ref="T3715:U3715"/>
    <mergeCell ref="M3716:M3717"/>
    <mergeCell ref="N3716:U3716"/>
    <mergeCell ref="N3717:U3717"/>
    <mergeCell ref="M3718:V3718"/>
    <mergeCell ref="AB3718:AC3718"/>
    <mergeCell ref="N3719:Q3719"/>
    <mergeCell ref="N3720:Q3720"/>
    <mergeCell ref="M3699:S3699"/>
    <mergeCell ref="U3699:V3699"/>
    <mergeCell ref="M3700:S3700"/>
    <mergeCell ref="U3700:V3700"/>
    <mergeCell ref="M3701:T3701"/>
    <mergeCell ref="U3701:V3701"/>
    <mergeCell ref="U3702:V3702"/>
    <mergeCell ref="M3703:T3703"/>
    <mergeCell ref="U3703:V3703"/>
    <mergeCell ref="O3706:U3706"/>
    <mergeCell ref="AB3706:AD3706"/>
    <mergeCell ref="O3707:U3707"/>
    <mergeCell ref="M3708:V3708"/>
    <mergeCell ref="M3709:V3709"/>
    <mergeCell ref="AB3709:AC3709"/>
    <mergeCell ref="N3710:Q3710"/>
    <mergeCell ref="T3710:U3710"/>
    <mergeCell ref="N3683:P3683"/>
    <mergeCell ref="T3683:U3683"/>
    <mergeCell ref="M3684:M3685"/>
    <mergeCell ref="N3684:U3684"/>
    <mergeCell ref="N3685:U3685"/>
    <mergeCell ref="M3686:V3686"/>
    <mergeCell ref="M3691:M3692"/>
    <mergeCell ref="N3691:U3691"/>
    <mergeCell ref="N3692:U3692"/>
    <mergeCell ref="M3693:V3693"/>
    <mergeCell ref="M3694:T3694"/>
    <mergeCell ref="U3694:V3694"/>
    <mergeCell ref="M3696:V3696"/>
    <mergeCell ref="M3697:S3697"/>
    <mergeCell ref="U3697:V3697"/>
    <mergeCell ref="M3698:S3698"/>
    <mergeCell ref="U3698:V3698"/>
    <mergeCell ref="N3670:Q3670"/>
    <mergeCell ref="N3671:Q3671"/>
    <mergeCell ref="N3672:Q3672"/>
    <mergeCell ref="N3673:Q3673"/>
    <mergeCell ref="N3674:Q3674"/>
    <mergeCell ref="N3675:Q3675"/>
    <mergeCell ref="M3676:M3677"/>
    <mergeCell ref="N3676:U3676"/>
    <mergeCell ref="N3677:U3677"/>
    <mergeCell ref="M3678:V3678"/>
    <mergeCell ref="N3679:P3679"/>
    <mergeCell ref="T3679:U3679"/>
    <mergeCell ref="N3680:P3680"/>
    <mergeCell ref="T3680:U3680"/>
    <mergeCell ref="N3681:P3681"/>
    <mergeCell ref="T3681:U3681"/>
    <mergeCell ref="N3682:P3682"/>
    <mergeCell ref="T3682:U3682"/>
    <mergeCell ref="N3661:Q3661"/>
    <mergeCell ref="T3661:U3661"/>
    <mergeCell ref="N3662:Q3662"/>
    <mergeCell ref="T3662:U3662"/>
    <mergeCell ref="N3663:Q3663"/>
    <mergeCell ref="T3663:U3663"/>
    <mergeCell ref="N3664:Q3664"/>
    <mergeCell ref="T3664:U3664"/>
    <mergeCell ref="N3665:Q3665"/>
    <mergeCell ref="T3665:U3665"/>
    <mergeCell ref="N3666:Q3666"/>
    <mergeCell ref="T3666:U3666"/>
    <mergeCell ref="M3667:M3668"/>
    <mergeCell ref="N3667:U3667"/>
    <mergeCell ref="N3668:U3668"/>
    <mergeCell ref="M3669:V3669"/>
    <mergeCell ref="AB3669:AC3669"/>
    <mergeCell ref="M3649:S3649"/>
    <mergeCell ref="U3649:V3649"/>
    <mergeCell ref="M3650:S3650"/>
    <mergeCell ref="U3650:V3650"/>
    <mergeCell ref="M3651:S3651"/>
    <mergeCell ref="U3651:V3651"/>
    <mergeCell ref="M3652:T3652"/>
    <mergeCell ref="U3652:V3652"/>
    <mergeCell ref="U3653:V3653"/>
    <mergeCell ref="M3654:T3654"/>
    <mergeCell ref="U3654:V3654"/>
    <mergeCell ref="O3657:U3657"/>
    <mergeCell ref="AB3657:AD3657"/>
    <mergeCell ref="O3658:U3658"/>
    <mergeCell ref="M3659:V3659"/>
    <mergeCell ref="M3660:V3660"/>
    <mergeCell ref="AB3660:AC3660"/>
    <mergeCell ref="N3633:P3633"/>
    <mergeCell ref="T3633:U3633"/>
    <mergeCell ref="N3634:P3634"/>
    <mergeCell ref="T3634:U3634"/>
    <mergeCell ref="M3635:M3636"/>
    <mergeCell ref="N3635:U3635"/>
    <mergeCell ref="N3636:U3636"/>
    <mergeCell ref="M3637:V3637"/>
    <mergeCell ref="M3642:M3643"/>
    <mergeCell ref="N3642:U3642"/>
    <mergeCell ref="N3643:U3643"/>
    <mergeCell ref="M3644:V3644"/>
    <mergeCell ref="M3645:T3645"/>
    <mergeCell ref="U3645:V3645"/>
    <mergeCell ref="M3647:V3647"/>
    <mergeCell ref="M3648:S3648"/>
    <mergeCell ref="U3648:V3648"/>
    <mergeCell ref="M3620:V3620"/>
    <mergeCell ref="AB3620:AC3620"/>
    <mergeCell ref="N3621:Q3621"/>
    <mergeCell ref="N3622:Q3622"/>
    <mergeCell ref="N3623:Q3623"/>
    <mergeCell ref="N3624:Q3624"/>
    <mergeCell ref="N3625:Q3625"/>
    <mergeCell ref="N3626:Q3626"/>
    <mergeCell ref="M3627:M3628"/>
    <mergeCell ref="N3627:U3627"/>
    <mergeCell ref="N3628:U3628"/>
    <mergeCell ref="M3629:V3629"/>
    <mergeCell ref="N3630:P3630"/>
    <mergeCell ref="T3630:U3630"/>
    <mergeCell ref="N3631:P3631"/>
    <mergeCell ref="T3631:U3631"/>
    <mergeCell ref="N3632:P3632"/>
    <mergeCell ref="T3632:U3632"/>
    <mergeCell ref="O3609:U3609"/>
    <mergeCell ref="M3610:V3610"/>
    <mergeCell ref="M3611:V3611"/>
    <mergeCell ref="AB3611:AC3611"/>
    <mergeCell ref="N3612:Q3612"/>
    <mergeCell ref="T3612:U3612"/>
    <mergeCell ref="N3613:Q3613"/>
    <mergeCell ref="T3613:U3613"/>
    <mergeCell ref="N3614:Q3614"/>
    <mergeCell ref="T3614:U3614"/>
    <mergeCell ref="N3615:Q3615"/>
    <mergeCell ref="T3615:U3615"/>
    <mergeCell ref="N3616:Q3616"/>
    <mergeCell ref="T3616:U3616"/>
    <mergeCell ref="N3617:Q3617"/>
    <mergeCell ref="T3617:U3617"/>
    <mergeCell ref="M3618:M3619"/>
    <mergeCell ref="N3618:U3618"/>
    <mergeCell ref="N3619:U3619"/>
    <mergeCell ref="M3561:V3561"/>
    <mergeCell ref="M3562:V3562"/>
    <mergeCell ref="AB3562:AC3562"/>
    <mergeCell ref="N3563:Q3563"/>
    <mergeCell ref="T3563:U3563"/>
    <mergeCell ref="N3564:Q3564"/>
    <mergeCell ref="T3564:U3564"/>
    <mergeCell ref="N3565:Q3565"/>
    <mergeCell ref="T3565:U3565"/>
    <mergeCell ref="N3566:Q3566"/>
    <mergeCell ref="T3566:U3566"/>
    <mergeCell ref="N3567:Q3567"/>
    <mergeCell ref="T3567:U3567"/>
    <mergeCell ref="N3568:Q3568"/>
    <mergeCell ref="T3568:U3568"/>
    <mergeCell ref="O3608:U3608"/>
    <mergeCell ref="AB3608:AD3608"/>
    <mergeCell ref="M3598:V3598"/>
    <mergeCell ref="M3599:S3599"/>
    <mergeCell ref="U3599:V3599"/>
    <mergeCell ref="M3600:S3600"/>
    <mergeCell ref="U3600:V3600"/>
    <mergeCell ref="M3601:S3601"/>
    <mergeCell ref="U3601:V3601"/>
    <mergeCell ref="M3602:S3602"/>
    <mergeCell ref="U3602:V3602"/>
    <mergeCell ref="M3603:T3603"/>
    <mergeCell ref="U3603:V3603"/>
    <mergeCell ref="U3604:V3604"/>
    <mergeCell ref="M3605:T3605"/>
    <mergeCell ref="U3605:V3605"/>
    <mergeCell ref="N3582:P3582"/>
    <mergeCell ref="M3549:V3549"/>
    <mergeCell ref="M3550:S3550"/>
    <mergeCell ref="U3550:V3550"/>
    <mergeCell ref="M3551:S3551"/>
    <mergeCell ref="U3551:V3551"/>
    <mergeCell ref="M3552:S3552"/>
    <mergeCell ref="U3552:V3552"/>
    <mergeCell ref="M3553:S3553"/>
    <mergeCell ref="U3553:V3553"/>
    <mergeCell ref="M3554:T3554"/>
    <mergeCell ref="U3554:V3554"/>
    <mergeCell ref="U3555:V3555"/>
    <mergeCell ref="M3556:T3556"/>
    <mergeCell ref="U3556:V3556"/>
    <mergeCell ref="O3559:U3559"/>
    <mergeCell ref="AB3559:AD3559"/>
    <mergeCell ref="O3560:U3560"/>
    <mergeCell ref="N3533:P3533"/>
    <mergeCell ref="T3533:U3533"/>
    <mergeCell ref="N3534:P3534"/>
    <mergeCell ref="T3534:U3534"/>
    <mergeCell ref="N3535:P3535"/>
    <mergeCell ref="T3535:U3535"/>
    <mergeCell ref="N3536:P3536"/>
    <mergeCell ref="T3536:U3536"/>
    <mergeCell ref="M3537:M3538"/>
    <mergeCell ref="N3537:U3537"/>
    <mergeCell ref="N3538:U3538"/>
    <mergeCell ref="M3539:V3539"/>
    <mergeCell ref="M3544:M3545"/>
    <mergeCell ref="N3544:U3544"/>
    <mergeCell ref="N3545:U3545"/>
    <mergeCell ref="M3546:V3546"/>
    <mergeCell ref="M3547:T3547"/>
    <mergeCell ref="U3547:V3547"/>
    <mergeCell ref="M3520:M3521"/>
    <mergeCell ref="N3520:U3520"/>
    <mergeCell ref="N3521:U3521"/>
    <mergeCell ref="M3522:V3522"/>
    <mergeCell ref="AB3522:AC3522"/>
    <mergeCell ref="N3523:Q3523"/>
    <mergeCell ref="N3524:Q3524"/>
    <mergeCell ref="N3525:Q3525"/>
    <mergeCell ref="N3526:Q3526"/>
    <mergeCell ref="N3527:Q3527"/>
    <mergeCell ref="N3528:Q3528"/>
    <mergeCell ref="M3529:M3530"/>
    <mergeCell ref="N3529:U3529"/>
    <mergeCell ref="N3530:U3530"/>
    <mergeCell ref="M3531:V3531"/>
    <mergeCell ref="N3532:P3532"/>
    <mergeCell ref="T3532:U3532"/>
    <mergeCell ref="O3510:U3510"/>
    <mergeCell ref="AB3510:AD3510"/>
    <mergeCell ref="O3511:U3511"/>
    <mergeCell ref="M3512:V3512"/>
    <mergeCell ref="M3513:V3513"/>
    <mergeCell ref="AB3513:AC3513"/>
    <mergeCell ref="N3514:Q3514"/>
    <mergeCell ref="T3514:U3514"/>
    <mergeCell ref="N3515:Q3515"/>
    <mergeCell ref="T3515:U3515"/>
    <mergeCell ref="N3516:Q3516"/>
    <mergeCell ref="T3516:U3516"/>
    <mergeCell ref="N3517:Q3517"/>
    <mergeCell ref="T3517:U3517"/>
    <mergeCell ref="N3518:Q3518"/>
    <mergeCell ref="T3518:U3518"/>
    <mergeCell ref="N3519:Q3519"/>
    <mergeCell ref="T3519:U3519"/>
    <mergeCell ref="T3582:U3582"/>
    <mergeCell ref="N3583:P3583"/>
    <mergeCell ref="T3583:U3583"/>
    <mergeCell ref="N3584:P3584"/>
    <mergeCell ref="T3584:U3584"/>
    <mergeCell ref="N3585:P3585"/>
    <mergeCell ref="T3585:U3585"/>
    <mergeCell ref="M3586:M3587"/>
    <mergeCell ref="N3586:U3586"/>
    <mergeCell ref="N3587:U3587"/>
    <mergeCell ref="M3588:V3588"/>
    <mergeCell ref="M3593:M3594"/>
    <mergeCell ref="N3593:U3593"/>
    <mergeCell ref="N3594:U3594"/>
    <mergeCell ref="M3595:V3595"/>
    <mergeCell ref="M3596:T3596"/>
    <mergeCell ref="U3596:V3596"/>
    <mergeCell ref="M3569:M3570"/>
    <mergeCell ref="N3569:U3569"/>
    <mergeCell ref="N3570:U3570"/>
    <mergeCell ref="M3571:V3571"/>
    <mergeCell ref="AB3571:AC3571"/>
    <mergeCell ref="N3572:Q3572"/>
    <mergeCell ref="N3573:Q3573"/>
    <mergeCell ref="N3574:Q3574"/>
    <mergeCell ref="N3575:Q3575"/>
    <mergeCell ref="N3576:Q3576"/>
    <mergeCell ref="N3577:Q3577"/>
    <mergeCell ref="M3578:M3579"/>
    <mergeCell ref="N3578:U3578"/>
    <mergeCell ref="N3579:U3579"/>
    <mergeCell ref="M3580:V3580"/>
    <mergeCell ref="N3581:P3581"/>
    <mergeCell ref="T3581:U3581"/>
    <mergeCell ref="M3500:V3500"/>
    <mergeCell ref="M3501:S3501"/>
    <mergeCell ref="U3501:V3501"/>
    <mergeCell ref="M3502:S3502"/>
    <mergeCell ref="U3502:V3502"/>
    <mergeCell ref="M3503:S3503"/>
    <mergeCell ref="U3503:V3503"/>
    <mergeCell ref="M3504:S3504"/>
    <mergeCell ref="U3504:V3504"/>
    <mergeCell ref="M3505:T3505"/>
    <mergeCell ref="U3505:V3505"/>
    <mergeCell ref="U3506:V3506"/>
    <mergeCell ref="M3507:T3507"/>
    <mergeCell ref="U3507:V3507"/>
    <mergeCell ref="N3484:P3484"/>
    <mergeCell ref="T3484:U3484"/>
    <mergeCell ref="N3485:P3485"/>
    <mergeCell ref="T3485:U3485"/>
    <mergeCell ref="N3486:P3486"/>
    <mergeCell ref="T3486:U3486"/>
    <mergeCell ref="N3487:P3487"/>
    <mergeCell ref="T3487:U3487"/>
    <mergeCell ref="M3488:M3489"/>
    <mergeCell ref="N3488:U3488"/>
    <mergeCell ref="N3489:U3489"/>
    <mergeCell ref="M3490:V3490"/>
    <mergeCell ref="M3495:M3496"/>
    <mergeCell ref="N3495:U3495"/>
    <mergeCell ref="N3496:U3496"/>
    <mergeCell ref="M3497:V3497"/>
    <mergeCell ref="M3498:T3498"/>
    <mergeCell ref="U3498:V3498"/>
    <mergeCell ref="M3471:M3472"/>
    <mergeCell ref="N3471:U3471"/>
    <mergeCell ref="N3472:U3472"/>
    <mergeCell ref="M3473:V3473"/>
    <mergeCell ref="AB3473:AC3473"/>
    <mergeCell ref="N3474:Q3474"/>
    <mergeCell ref="N3475:Q3475"/>
    <mergeCell ref="N3476:Q3476"/>
    <mergeCell ref="N3477:Q3477"/>
    <mergeCell ref="N3478:Q3478"/>
    <mergeCell ref="N3479:Q3479"/>
    <mergeCell ref="M3480:M3481"/>
    <mergeCell ref="N3480:U3480"/>
    <mergeCell ref="N3481:U3481"/>
    <mergeCell ref="M3482:V3482"/>
    <mergeCell ref="N3483:P3483"/>
    <mergeCell ref="T3483:U3483"/>
    <mergeCell ref="O3461:U3461"/>
    <mergeCell ref="AB3461:AD3461"/>
    <mergeCell ref="O3462:U3462"/>
    <mergeCell ref="M3463:V3463"/>
    <mergeCell ref="M3464:V3464"/>
    <mergeCell ref="AB3464:AC3464"/>
    <mergeCell ref="N3465:Q3465"/>
    <mergeCell ref="T3465:U3465"/>
    <mergeCell ref="N3466:Q3466"/>
    <mergeCell ref="T3466:U3466"/>
    <mergeCell ref="N3467:Q3467"/>
    <mergeCell ref="T3467:U3467"/>
    <mergeCell ref="N3468:Q3468"/>
    <mergeCell ref="T3468:U3468"/>
    <mergeCell ref="N3469:Q3469"/>
    <mergeCell ref="T3469:U3469"/>
    <mergeCell ref="N3470:Q3470"/>
    <mergeCell ref="T3470:U3470"/>
    <mergeCell ref="M5056:M5057"/>
    <mergeCell ref="N5056:U5056"/>
    <mergeCell ref="N5057:U5057"/>
    <mergeCell ref="U5074:V5074"/>
    <mergeCell ref="M5075:T5075"/>
    <mergeCell ref="U5075:V5075"/>
    <mergeCell ref="M5058:V5058"/>
    <mergeCell ref="M5063:M5064"/>
    <mergeCell ref="N5063:U5063"/>
    <mergeCell ref="N5064:U5064"/>
    <mergeCell ref="M5065:V5065"/>
    <mergeCell ref="M5066:T5066"/>
    <mergeCell ref="U5066:V5066"/>
    <mergeCell ref="M5068:V5068"/>
    <mergeCell ref="M5069:S5069"/>
    <mergeCell ref="U5069:V5069"/>
    <mergeCell ref="M5070:S5070"/>
    <mergeCell ref="U5070:V5070"/>
    <mergeCell ref="M5071:S5071"/>
    <mergeCell ref="U5071:V5071"/>
    <mergeCell ref="M5072:S5072"/>
    <mergeCell ref="U5072:V5072"/>
    <mergeCell ref="M5073:T5073"/>
    <mergeCell ref="U5073:V5073"/>
    <mergeCell ref="N5044:Q5044"/>
    <mergeCell ref="N5045:Q5045"/>
    <mergeCell ref="N5046:Q5046"/>
    <mergeCell ref="N5047:Q5047"/>
    <mergeCell ref="M5048:M5049"/>
    <mergeCell ref="N5048:U5048"/>
    <mergeCell ref="N5049:U5049"/>
    <mergeCell ref="M5050:V5050"/>
    <mergeCell ref="N5051:P5051"/>
    <mergeCell ref="T5051:U5051"/>
    <mergeCell ref="N5052:P5052"/>
    <mergeCell ref="T5052:U5052"/>
    <mergeCell ref="N5053:P5053"/>
    <mergeCell ref="T5053:U5053"/>
    <mergeCell ref="N5054:P5054"/>
    <mergeCell ref="T5054:U5054"/>
    <mergeCell ref="N5055:P5055"/>
    <mergeCell ref="T5055:U5055"/>
    <mergeCell ref="N5034:Q5034"/>
    <mergeCell ref="T5034:U5034"/>
    <mergeCell ref="N5035:Q5035"/>
    <mergeCell ref="T5035:U5035"/>
    <mergeCell ref="N5036:Q5036"/>
    <mergeCell ref="T5036:U5036"/>
    <mergeCell ref="N5037:Q5037"/>
    <mergeCell ref="T5037:U5037"/>
    <mergeCell ref="N5038:Q5038"/>
    <mergeCell ref="T5038:U5038"/>
    <mergeCell ref="M5039:M5040"/>
    <mergeCell ref="N5039:U5039"/>
    <mergeCell ref="N5040:U5040"/>
    <mergeCell ref="M5041:V5041"/>
    <mergeCell ref="AB5041:AC5041"/>
    <mergeCell ref="N5042:Q5042"/>
    <mergeCell ref="N5043:Q5043"/>
    <mergeCell ref="M5022:S5022"/>
    <mergeCell ref="U5022:V5022"/>
    <mergeCell ref="M5023:S5023"/>
    <mergeCell ref="U5023:V5023"/>
    <mergeCell ref="M5024:T5024"/>
    <mergeCell ref="U5024:V5024"/>
    <mergeCell ref="U5025:V5025"/>
    <mergeCell ref="M5026:T5026"/>
    <mergeCell ref="U5026:V5026"/>
    <mergeCell ref="O5029:U5029"/>
    <mergeCell ref="AB5029:AD5029"/>
    <mergeCell ref="O5030:U5030"/>
    <mergeCell ref="M5031:V5031"/>
    <mergeCell ref="M5032:V5032"/>
    <mergeCell ref="AB5032:AC5032"/>
    <mergeCell ref="N5033:Q5033"/>
    <mergeCell ref="T5033:U5033"/>
    <mergeCell ref="N5006:P5006"/>
    <mergeCell ref="T5006:U5006"/>
    <mergeCell ref="M5007:M5008"/>
    <mergeCell ref="N5007:U5007"/>
    <mergeCell ref="N5008:U5008"/>
    <mergeCell ref="M5009:V5009"/>
    <mergeCell ref="M5014:M5015"/>
    <mergeCell ref="N5014:U5014"/>
    <mergeCell ref="N5015:U5015"/>
    <mergeCell ref="M5016:V5016"/>
    <mergeCell ref="M5017:T5017"/>
    <mergeCell ref="U5017:V5017"/>
    <mergeCell ref="M5019:V5019"/>
    <mergeCell ref="M5020:S5020"/>
    <mergeCell ref="U5020:V5020"/>
    <mergeCell ref="M5021:S5021"/>
    <mergeCell ref="U5021:V5021"/>
    <mergeCell ref="N4993:Q4993"/>
    <mergeCell ref="N4994:Q4994"/>
    <mergeCell ref="N4995:Q4995"/>
    <mergeCell ref="N4996:Q4996"/>
    <mergeCell ref="N4997:Q4997"/>
    <mergeCell ref="N4998:Q4998"/>
    <mergeCell ref="M4999:M5000"/>
    <mergeCell ref="N4999:U4999"/>
    <mergeCell ref="N5000:U5000"/>
    <mergeCell ref="M5001:V5001"/>
    <mergeCell ref="N5002:P5002"/>
    <mergeCell ref="T5002:U5002"/>
    <mergeCell ref="N5003:P5003"/>
    <mergeCell ref="T5003:U5003"/>
    <mergeCell ref="N5004:P5004"/>
    <mergeCell ref="T5004:U5004"/>
    <mergeCell ref="N5005:P5005"/>
    <mergeCell ref="T5005:U5005"/>
    <mergeCell ref="N4984:Q4984"/>
    <mergeCell ref="T4984:U4984"/>
    <mergeCell ref="N4985:Q4985"/>
    <mergeCell ref="T4985:U4985"/>
    <mergeCell ref="N4986:Q4986"/>
    <mergeCell ref="T4986:U4986"/>
    <mergeCell ref="N4987:Q4987"/>
    <mergeCell ref="T4987:U4987"/>
    <mergeCell ref="N4988:Q4988"/>
    <mergeCell ref="T4988:U4988"/>
    <mergeCell ref="N4989:Q4989"/>
    <mergeCell ref="T4989:U4989"/>
    <mergeCell ref="M4990:M4991"/>
    <mergeCell ref="N4990:U4990"/>
    <mergeCell ref="N4991:U4991"/>
    <mergeCell ref="M4992:V4992"/>
    <mergeCell ref="AB4992:AC4992"/>
    <mergeCell ref="M4972:S4972"/>
    <mergeCell ref="U4972:V4972"/>
    <mergeCell ref="M4973:S4973"/>
    <mergeCell ref="U4973:V4973"/>
    <mergeCell ref="M4974:S4974"/>
    <mergeCell ref="U4974:V4974"/>
    <mergeCell ref="M4975:T4975"/>
    <mergeCell ref="U4975:V4975"/>
    <mergeCell ref="U4976:V4976"/>
    <mergeCell ref="M4977:T4977"/>
    <mergeCell ref="U4977:V4977"/>
    <mergeCell ref="O4980:U4980"/>
    <mergeCell ref="AB4980:AD4980"/>
    <mergeCell ref="O4981:U4981"/>
    <mergeCell ref="M4982:V4982"/>
    <mergeCell ref="M4983:V4983"/>
    <mergeCell ref="AB4983:AC4983"/>
    <mergeCell ref="N4956:P4956"/>
    <mergeCell ref="T4956:U4956"/>
    <mergeCell ref="N4957:P4957"/>
    <mergeCell ref="T4957:U4957"/>
    <mergeCell ref="M4958:M4959"/>
    <mergeCell ref="N4958:U4958"/>
    <mergeCell ref="N4959:U4959"/>
    <mergeCell ref="M4960:V4960"/>
    <mergeCell ref="M4965:M4966"/>
    <mergeCell ref="N4965:U4965"/>
    <mergeCell ref="N4966:U4966"/>
    <mergeCell ref="M4967:V4967"/>
    <mergeCell ref="M4968:T4968"/>
    <mergeCell ref="U4968:V4968"/>
    <mergeCell ref="M4970:V4970"/>
    <mergeCell ref="M4971:S4971"/>
    <mergeCell ref="U4971:V4971"/>
    <mergeCell ref="M4943:V4943"/>
    <mergeCell ref="AB4943:AC4943"/>
    <mergeCell ref="N4944:Q4944"/>
    <mergeCell ref="N4945:Q4945"/>
    <mergeCell ref="N4946:Q4946"/>
    <mergeCell ref="N4947:Q4947"/>
    <mergeCell ref="N4948:Q4948"/>
    <mergeCell ref="N4949:Q4949"/>
    <mergeCell ref="M4950:M4951"/>
    <mergeCell ref="N4950:U4950"/>
    <mergeCell ref="N4951:U4951"/>
    <mergeCell ref="M4952:V4952"/>
    <mergeCell ref="N4953:P4953"/>
    <mergeCell ref="T4953:U4953"/>
    <mergeCell ref="N4954:P4954"/>
    <mergeCell ref="T4954:U4954"/>
    <mergeCell ref="N4955:P4955"/>
    <mergeCell ref="T4955:U4955"/>
    <mergeCell ref="M4188:S4188"/>
    <mergeCell ref="U4188:V4188"/>
    <mergeCell ref="M4189:S4189"/>
    <mergeCell ref="U4189:V4189"/>
    <mergeCell ref="M4190:S4190"/>
    <mergeCell ref="U4190:V4190"/>
    <mergeCell ref="M4191:T4191"/>
    <mergeCell ref="U4191:V4191"/>
    <mergeCell ref="U4192:V4192"/>
    <mergeCell ref="M4193:T4193"/>
    <mergeCell ref="U4193:V4193"/>
    <mergeCell ref="O4931:U4931"/>
    <mergeCell ref="AB4931:AD4931"/>
    <mergeCell ref="O4932:U4932"/>
    <mergeCell ref="M4933:V4933"/>
    <mergeCell ref="M4934:V4934"/>
    <mergeCell ref="AB4934:AC4934"/>
    <mergeCell ref="N4201:Q4201"/>
    <mergeCell ref="T4201:U4201"/>
    <mergeCell ref="N4202:Q4202"/>
    <mergeCell ref="T4202:U4202"/>
    <mergeCell ref="N4203:Q4203"/>
    <mergeCell ref="T4203:U4203"/>
    <mergeCell ref="N4204:Q4204"/>
    <mergeCell ref="T4204:U4204"/>
    <mergeCell ref="N4205:Q4205"/>
    <mergeCell ref="T4205:U4205"/>
    <mergeCell ref="M4206:M4207"/>
    <mergeCell ref="N4206:U4206"/>
    <mergeCell ref="N4207:U4207"/>
    <mergeCell ref="M4208:V4208"/>
    <mergeCell ref="AB4208:AC4208"/>
    <mergeCell ref="N4172:P4172"/>
    <mergeCell ref="T4172:U4172"/>
    <mergeCell ref="N4173:P4173"/>
    <mergeCell ref="T4173:U4173"/>
    <mergeCell ref="M4174:M4175"/>
    <mergeCell ref="N4174:U4174"/>
    <mergeCell ref="N4175:U4175"/>
    <mergeCell ref="M4176:V4176"/>
    <mergeCell ref="M4181:M4182"/>
    <mergeCell ref="N4181:U4181"/>
    <mergeCell ref="N4182:U4182"/>
    <mergeCell ref="M4183:V4183"/>
    <mergeCell ref="M4184:T4184"/>
    <mergeCell ref="U4184:V4184"/>
    <mergeCell ref="M4186:V4186"/>
    <mergeCell ref="M4187:S4187"/>
    <mergeCell ref="U4187:V4187"/>
    <mergeCell ref="M4159:V4159"/>
    <mergeCell ref="AB4159:AC4159"/>
    <mergeCell ref="N4160:Q4160"/>
    <mergeCell ref="N4161:Q4161"/>
    <mergeCell ref="N4162:Q4162"/>
    <mergeCell ref="N4163:Q4163"/>
    <mergeCell ref="N4164:Q4164"/>
    <mergeCell ref="N4165:Q4165"/>
    <mergeCell ref="M4166:M4167"/>
    <mergeCell ref="N4166:U4166"/>
    <mergeCell ref="N4167:U4167"/>
    <mergeCell ref="M4168:V4168"/>
    <mergeCell ref="N4169:P4169"/>
    <mergeCell ref="T4169:U4169"/>
    <mergeCell ref="N4170:P4170"/>
    <mergeCell ref="T4170:U4170"/>
    <mergeCell ref="N4171:P4171"/>
    <mergeCell ref="T4171:U4171"/>
    <mergeCell ref="M4149:V4149"/>
    <mergeCell ref="M4150:V4150"/>
    <mergeCell ref="AB4150:AC4150"/>
    <mergeCell ref="N4151:Q4151"/>
    <mergeCell ref="T4151:U4151"/>
    <mergeCell ref="N4152:Q4152"/>
    <mergeCell ref="T4152:U4152"/>
    <mergeCell ref="N4153:Q4153"/>
    <mergeCell ref="T4153:U4153"/>
    <mergeCell ref="N4154:Q4154"/>
    <mergeCell ref="T4154:U4154"/>
    <mergeCell ref="N4155:Q4155"/>
    <mergeCell ref="T4155:U4155"/>
    <mergeCell ref="N4156:Q4156"/>
    <mergeCell ref="T4156:U4156"/>
    <mergeCell ref="M4157:M4158"/>
    <mergeCell ref="N4157:U4157"/>
    <mergeCell ref="N4158:U4158"/>
    <mergeCell ref="M321:S321"/>
    <mergeCell ref="U321:V321"/>
    <mergeCell ref="M322:S322"/>
    <mergeCell ref="U322:V322"/>
    <mergeCell ref="M323:S323"/>
    <mergeCell ref="U323:V323"/>
    <mergeCell ref="M324:T324"/>
    <mergeCell ref="U324:V324"/>
    <mergeCell ref="U325:V325"/>
    <mergeCell ref="M326:T326"/>
    <mergeCell ref="U326:V326"/>
    <mergeCell ref="O4147:U4147"/>
    <mergeCell ref="AB4147:AD4147"/>
    <mergeCell ref="O4148:U4148"/>
    <mergeCell ref="M2616:V2616"/>
    <mergeCell ref="M2617:S2617"/>
    <mergeCell ref="U2617:V2617"/>
    <mergeCell ref="M2618:S2618"/>
    <mergeCell ref="U2618:V2618"/>
    <mergeCell ref="M2619:S2619"/>
    <mergeCell ref="U2619:V2619"/>
    <mergeCell ref="M2620:S2620"/>
    <mergeCell ref="U2620:V2620"/>
    <mergeCell ref="M2621:T2621"/>
    <mergeCell ref="U2621:V2621"/>
    <mergeCell ref="U2622:V2622"/>
    <mergeCell ref="M2623:T2623"/>
    <mergeCell ref="U2623:V2623"/>
    <mergeCell ref="N2600:P2600"/>
    <mergeCell ref="M2604:M2605"/>
    <mergeCell ref="N2604:U2604"/>
    <mergeCell ref="N2605:U2605"/>
    <mergeCell ref="N306:P306"/>
    <mergeCell ref="T306:U306"/>
    <mergeCell ref="N307:P307"/>
    <mergeCell ref="T307:U307"/>
    <mergeCell ref="M308:M309"/>
    <mergeCell ref="N308:U308"/>
    <mergeCell ref="N309:U309"/>
    <mergeCell ref="M310:V310"/>
    <mergeCell ref="M314:M315"/>
    <mergeCell ref="N314:U314"/>
    <mergeCell ref="N315:U315"/>
    <mergeCell ref="M316:V316"/>
    <mergeCell ref="M317:T317"/>
    <mergeCell ref="U317:V317"/>
    <mergeCell ref="M319:V319"/>
    <mergeCell ref="M320:S320"/>
    <mergeCell ref="U320:V320"/>
    <mergeCell ref="AB293:AC293"/>
    <mergeCell ref="N294:Q294"/>
    <mergeCell ref="N295:Q295"/>
    <mergeCell ref="N296:Q296"/>
    <mergeCell ref="N297:Q297"/>
    <mergeCell ref="N298:Q298"/>
    <mergeCell ref="N299:Q299"/>
    <mergeCell ref="M300:M301"/>
    <mergeCell ref="N300:U300"/>
    <mergeCell ref="N301:U301"/>
    <mergeCell ref="M302:V302"/>
    <mergeCell ref="N303:P303"/>
    <mergeCell ref="T303:U303"/>
    <mergeCell ref="N304:P304"/>
    <mergeCell ref="T304:U304"/>
    <mergeCell ref="N305:P305"/>
    <mergeCell ref="T305:U305"/>
    <mergeCell ref="M2606:V2606"/>
    <mergeCell ref="M2611:M2612"/>
    <mergeCell ref="N2611:U2611"/>
    <mergeCell ref="N2612:U2612"/>
    <mergeCell ref="M2613:V2613"/>
    <mergeCell ref="M2614:T2614"/>
    <mergeCell ref="U2614:V2614"/>
    <mergeCell ref="O281:U281"/>
    <mergeCell ref="AB281:AD281"/>
    <mergeCell ref="O282:U282"/>
    <mergeCell ref="M283:V283"/>
    <mergeCell ref="M284:V284"/>
    <mergeCell ref="AB284:AC284"/>
    <mergeCell ref="N285:Q285"/>
    <mergeCell ref="T285:U285"/>
    <mergeCell ref="N286:Q286"/>
    <mergeCell ref="T286:U286"/>
    <mergeCell ref="N287:Q287"/>
    <mergeCell ref="T287:U287"/>
    <mergeCell ref="N288:Q288"/>
    <mergeCell ref="T288:U288"/>
    <mergeCell ref="N289:Q289"/>
    <mergeCell ref="T289:U289"/>
    <mergeCell ref="N290:Q290"/>
    <mergeCell ref="T290:U290"/>
    <mergeCell ref="M291:M292"/>
    <mergeCell ref="N291:U291"/>
    <mergeCell ref="N292:U292"/>
    <mergeCell ref="M293:V293"/>
    <mergeCell ref="N2592:Q2592"/>
    <mergeCell ref="N2593:Q2593"/>
    <mergeCell ref="N2594:Q2594"/>
    <mergeCell ref="N2581:Q2581"/>
    <mergeCell ref="T2581:U2581"/>
    <mergeCell ref="N2595:Q2595"/>
    <mergeCell ref="M2596:M2597"/>
    <mergeCell ref="N2596:U2596"/>
    <mergeCell ref="N2597:U2597"/>
    <mergeCell ref="M2598:V2598"/>
    <mergeCell ref="N2599:P2599"/>
    <mergeCell ref="T2599:U2599"/>
    <mergeCell ref="T2600:U2600"/>
    <mergeCell ref="N2601:P2601"/>
    <mergeCell ref="T2601:U2601"/>
    <mergeCell ref="N2602:P2602"/>
    <mergeCell ref="T2602:U2602"/>
    <mergeCell ref="N2603:P2603"/>
    <mergeCell ref="T2603:U2603"/>
    <mergeCell ref="N2582:Q2582"/>
    <mergeCell ref="T2582:U2582"/>
    <mergeCell ref="N2583:Q2583"/>
    <mergeCell ref="T2583:U2583"/>
    <mergeCell ref="N2584:Q2584"/>
    <mergeCell ref="T2584:U2584"/>
    <mergeCell ref="N2585:Q2585"/>
    <mergeCell ref="T2585:U2585"/>
    <mergeCell ref="N2586:Q2586"/>
    <mergeCell ref="T2586:U2586"/>
    <mergeCell ref="M2587:M2588"/>
    <mergeCell ref="N2587:U2587"/>
    <mergeCell ref="N2588:U2588"/>
    <mergeCell ref="M2589:V2589"/>
    <mergeCell ref="N2591:Q2591"/>
    <mergeCell ref="M2555:M2556"/>
    <mergeCell ref="N2555:U2555"/>
    <mergeCell ref="N2556:U2556"/>
    <mergeCell ref="M2557:V2557"/>
    <mergeCell ref="M2562:M2563"/>
    <mergeCell ref="N2562:U2562"/>
    <mergeCell ref="N2563:U2563"/>
    <mergeCell ref="M2564:V2564"/>
    <mergeCell ref="M2565:T2565"/>
    <mergeCell ref="U2565:V2565"/>
    <mergeCell ref="M2567:V2567"/>
    <mergeCell ref="M2568:S2568"/>
    <mergeCell ref="U2568:V2568"/>
    <mergeCell ref="M2569:S2569"/>
    <mergeCell ref="U2569:V2569"/>
    <mergeCell ref="AB2589:AC2589"/>
    <mergeCell ref="N2590:Q2590"/>
    <mergeCell ref="M2570:S2570"/>
    <mergeCell ref="U2570:V2570"/>
    <mergeCell ref="M2571:S2571"/>
    <mergeCell ref="U2571:V2571"/>
    <mergeCell ref="M2572:T2572"/>
    <mergeCell ref="U2572:V2572"/>
    <mergeCell ref="U2573:V2573"/>
    <mergeCell ref="M2574:T2574"/>
    <mergeCell ref="U2574:V2574"/>
    <mergeCell ref="O2577:U2577"/>
    <mergeCell ref="AB2577:AD2577"/>
    <mergeCell ref="O2578:U2578"/>
    <mergeCell ref="M2579:V2579"/>
    <mergeCell ref="M2580:V2580"/>
    <mergeCell ref="AB2580:AC2580"/>
    <mergeCell ref="N2543:Q2543"/>
    <mergeCell ref="N2544:Q2544"/>
    <mergeCell ref="N2545:Q2545"/>
    <mergeCell ref="N2546:Q2546"/>
    <mergeCell ref="M2547:M2548"/>
    <mergeCell ref="N2547:U2547"/>
    <mergeCell ref="N2548:U2548"/>
    <mergeCell ref="M2549:V2549"/>
    <mergeCell ref="N2550:P2550"/>
    <mergeCell ref="T2550:U2550"/>
    <mergeCell ref="N2551:P2551"/>
    <mergeCell ref="T2551:U2551"/>
    <mergeCell ref="N2552:P2552"/>
    <mergeCell ref="T2552:U2552"/>
    <mergeCell ref="N2553:P2553"/>
    <mergeCell ref="T2553:U2553"/>
    <mergeCell ref="N2554:P2554"/>
    <mergeCell ref="T2554:U2554"/>
    <mergeCell ref="M4141:S4141"/>
    <mergeCell ref="U4141:V4141"/>
    <mergeCell ref="M4142:T4142"/>
    <mergeCell ref="U4142:V4142"/>
    <mergeCell ref="U4143:V4143"/>
    <mergeCell ref="M4144:T4144"/>
    <mergeCell ref="U4144:V4144"/>
    <mergeCell ref="M4134:V4134"/>
    <mergeCell ref="M4135:T4135"/>
    <mergeCell ref="U4135:V4135"/>
    <mergeCell ref="M4137:V4137"/>
    <mergeCell ref="M4138:S4138"/>
    <mergeCell ref="U4138:V4138"/>
    <mergeCell ref="M4139:S4139"/>
    <mergeCell ref="U4139:V4139"/>
    <mergeCell ref="M4140:S4140"/>
    <mergeCell ref="U4140:V4140"/>
    <mergeCell ref="N4124:P4124"/>
    <mergeCell ref="T4124:U4124"/>
    <mergeCell ref="M4125:M4126"/>
    <mergeCell ref="N4125:U4125"/>
    <mergeCell ref="N4126:U4126"/>
    <mergeCell ref="M4127:V4127"/>
    <mergeCell ref="M4132:M4133"/>
    <mergeCell ref="N4132:U4132"/>
    <mergeCell ref="N4133:U4133"/>
    <mergeCell ref="M4119:V4119"/>
    <mergeCell ref="N4120:P4120"/>
    <mergeCell ref="T4120:U4120"/>
    <mergeCell ref="N4121:P4121"/>
    <mergeCell ref="T4121:U4121"/>
    <mergeCell ref="N4122:P4122"/>
    <mergeCell ref="T4122:U4122"/>
    <mergeCell ref="N4123:P4123"/>
    <mergeCell ref="T4123:U4123"/>
    <mergeCell ref="M4110:V4110"/>
    <mergeCell ref="AB4110:AC4110"/>
    <mergeCell ref="N4111:Q4111"/>
    <mergeCell ref="N4112:Q4112"/>
    <mergeCell ref="N4113:Q4113"/>
    <mergeCell ref="N4114:Q4114"/>
    <mergeCell ref="N4115:Q4115"/>
    <mergeCell ref="N4116:Q4116"/>
    <mergeCell ref="M4117:M4118"/>
    <mergeCell ref="N4117:U4117"/>
    <mergeCell ref="N4118:U4118"/>
    <mergeCell ref="N4105:Q4105"/>
    <mergeCell ref="T4105:U4105"/>
    <mergeCell ref="N4106:Q4106"/>
    <mergeCell ref="T4106:U4106"/>
    <mergeCell ref="N4107:Q4107"/>
    <mergeCell ref="T4107:U4107"/>
    <mergeCell ref="M4108:M4109"/>
    <mergeCell ref="N4108:U4108"/>
    <mergeCell ref="N4109:U4109"/>
    <mergeCell ref="O4099:U4099"/>
    <mergeCell ref="M4100:V4100"/>
    <mergeCell ref="M4101:V4101"/>
    <mergeCell ref="AB4101:AC4101"/>
    <mergeCell ref="N4102:Q4102"/>
    <mergeCell ref="T4102:U4102"/>
    <mergeCell ref="N4103:Q4103"/>
    <mergeCell ref="T4103:U4103"/>
    <mergeCell ref="N4104:Q4104"/>
    <mergeCell ref="T4104:U4104"/>
    <mergeCell ref="M4092:S4092"/>
    <mergeCell ref="U4092:V4092"/>
    <mergeCell ref="M4093:T4093"/>
    <mergeCell ref="U4093:V4093"/>
    <mergeCell ref="U4094:V4094"/>
    <mergeCell ref="M4095:T4095"/>
    <mergeCell ref="U4095:V4095"/>
    <mergeCell ref="O4098:U4098"/>
    <mergeCell ref="AB4098:AD4098"/>
    <mergeCell ref="M4085:V4085"/>
    <mergeCell ref="M4086:T4086"/>
    <mergeCell ref="U4086:V4086"/>
    <mergeCell ref="M4088:V4088"/>
    <mergeCell ref="M4089:S4089"/>
    <mergeCell ref="U4089:V4089"/>
    <mergeCell ref="M4090:S4090"/>
    <mergeCell ref="U4090:V4090"/>
    <mergeCell ref="M4091:S4091"/>
    <mergeCell ref="U4091:V4091"/>
    <mergeCell ref="N4075:P4075"/>
    <mergeCell ref="T4075:U4075"/>
    <mergeCell ref="M4076:M4077"/>
    <mergeCell ref="N4076:U4076"/>
    <mergeCell ref="N4077:U4077"/>
    <mergeCell ref="M4078:V4078"/>
    <mergeCell ref="M4083:M4084"/>
    <mergeCell ref="N4083:U4083"/>
    <mergeCell ref="N4084:U4084"/>
    <mergeCell ref="M4070:V4070"/>
    <mergeCell ref="N4071:P4071"/>
    <mergeCell ref="T4071:U4071"/>
    <mergeCell ref="N4072:P4072"/>
    <mergeCell ref="T4072:U4072"/>
    <mergeCell ref="N4073:P4073"/>
    <mergeCell ref="T4073:U4073"/>
    <mergeCell ref="N4074:P4074"/>
    <mergeCell ref="T4074:U4074"/>
    <mergeCell ref="M4061:V4061"/>
    <mergeCell ref="AB4061:AC4061"/>
    <mergeCell ref="N4062:Q4062"/>
    <mergeCell ref="N4063:Q4063"/>
    <mergeCell ref="N4064:Q4064"/>
    <mergeCell ref="N4065:Q4065"/>
    <mergeCell ref="N4066:Q4066"/>
    <mergeCell ref="N4067:Q4067"/>
    <mergeCell ref="M4068:M4069"/>
    <mergeCell ref="N4068:U4068"/>
    <mergeCell ref="N4069:U4069"/>
    <mergeCell ref="N4056:Q4056"/>
    <mergeCell ref="T4056:U4056"/>
    <mergeCell ref="N4057:Q4057"/>
    <mergeCell ref="T4057:U4057"/>
    <mergeCell ref="N4058:Q4058"/>
    <mergeCell ref="T4058:U4058"/>
    <mergeCell ref="M4059:M4060"/>
    <mergeCell ref="N4059:U4059"/>
    <mergeCell ref="N4060:U4060"/>
    <mergeCell ref="O4050:U4050"/>
    <mergeCell ref="M4051:V4051"/>
    <mergeCell ref="M4052:V4052"/>
    <mergeCell ref="AB4052:AC4052"/>
    <mergeCell ref="N4053:Q4053"/>
    <mergeCell ref="T4053:U4053"/>
    <mergeCell ref="N4054:Q4054"/>
    <mergeCell ref="T4054:U4054"/>
    <mergeCell ref="N4055:Q4055"/>
    <mergeCell ref="T4055:U4055"/>
    <mergeCell ref="M4043:S4043"/>
    <mergeCell ref="U4043:V4043"/>
    <mergeCell ref="M4044:T4044"/>
    <mergeCell ref="U4044:V4044"/>
    <mergeCell ref="U4045:V4045"/>
    <mergeCell ref="M4046:T4046"/>
    <mergeCell ref="U4046:V4046"/>
    <mergeCell ref="O4049:U4049"/>
    <mergeCell ref="AB4049:AD4049"/>
    <mergeCell ref="M4036:V4036"/>
    <mergeCell ref="M4037:T4037"/>
    <mergeCell ref="U4037:V4037"/>
    <mergeCell ref="M4039:V4039"/>
    <mergeCell ref="M4040:S4040"/>
    <mergeCell ref="U4040:V4040"/>
    <mergeCell ref="M4041:S4041"/>
    <mergeCell ref="U4041:V4041"/>
    <mergeCell ref="M4042:S4042"/>
    <mergeCell ref="U4042:V4042"/>
    <mergeCell ref="N4026:P4026"/>
    <mergeCell ref="T4026:U4026"/>
    <mergeCell ref="M4027:M4028"/>
    <mergeCell ref="N4027:U4027"/>
    <mergeCell ref="N4028:U4028"/>
    <mergeCell ref="M4029:V4029"/>
    <mergeCell ref="M4034:M4035"/>
    <mergeCell ref="N4034:U4034"/>
    <mergeCell ref="N4035:U4035"/>
    <mergeCell ref="M4021:V4021"/>
    <mergeCell ref="N4022:P4022"/>
    <mergeCell ref="T4022:U4022"/>
    <mergeCell ref="N4023:P4023"/>
    <mergeCell ref="T4023:U4023"/>
    <mergeCell ref="N4024:P4024"/>
    <mergeCell ref="T4024:U4024"/>
    <mergeCell ref="N4025:P4025"/>
    <mergeCell ref="T4025:U4025"/>
    <mergeCell ref="M4012:V4012"/>
    <mergeCell ref="AB4012:AC4012"/>
    <mergeCell ref="N4013:Q4013"/>
    <mergeCell ref="N4014:Q4014"/>
    <mergeCell ref="N4015:Q4015"/>
    <mergeCell ref="N4016:Q4016"/>
    <mergeCell ref="N4017:Q4017"/>
    <mergeCell ref="N4018:Q4018"/>
    <mergeCell ref="M4019:M4020"/>
    <mergeCell ref="N4019:U4019"/>
    <mergeCell ref="N4020:U4020"/>
    <mergeCell ref="N4007:Q4007"/>
    <mergeCell ref="T4007:U4007"/>
    <mergeCell ref="N4008:Q4008"/>
    <mergeCell ref="T4008:U4008"/>
    <mergeCell ref="N4009:Q4009"/>
    <mergeCell ref="T4009:U4009"/>
    <mergeCell ref="M4010:M4011"/>
    <mergeCell ref="N4010:U4010"/>
    <mergeCell ref="N4011:U4011"/>
    <mergeCell ref="O4001:U4001"/>
    <mergeCell ref="M4002:V4002"/>
    <mergeCell ref="M4003:V4003"/>
    <mergeCell ref="AB4003:AC4003"/>
    <mergeCell ref="N4004:Q4004"/>
    <mergeCell ref="T4004:U4004"/>
    <mergeCell ref="N4005:Q4005"/>
    <mergeCell ref="T4005:U4005"/>
    <mergeCell ref="N4006:Q4006"/>
    <mergeCell ref="T4006:U4006"/>
    <mergeCell ref="M3994:S3994"/>
    <mergeCell ref="U3994:V3994"/>
    <mergeCell ref="M3995:T3995"/>
    <mergeCell ref="U3995:V3995"/>
    <mergeCell ref="U3996:V3996"/>
    <mergeCell ref="M3997:T3997"/>
    <mergeCell ref="U3997:V3997"/>
    <mergeCell ref="O4000:U4000"/>
    <mergeCell ref="AB4000:AD4000"/>
    <mergeCell ref="M3987:V3987"/>
    <mergeCell ref="M3988:T3988"/>
    <mergeCell ref="U3988:V3988"/>
    <mergeCell ref="M3990:V3990"/>
    <mergeCell ref="M3991:S3991"/>
    <mergeCell ref="U3991:V3991"/>
    <mergeCell ref="M3992:S3992"/>
    <mergeCell ref="U3992:V3992"/>
    <mergeCell ref="M3993:S3993"/>
    <mergeCell ref="U3993:V3993"/>
    <mergeCell ref="N3977:P3977"/>
    <mergeCell ref="T3977:U3977"/>
    <mergeCell ref="M3978:M3979"/>
    <mergeCell ref="N3978:U3978"/>
    <mergeCell ref="N3979:U3979"/>
    <mergeCell ref="M3980:V3980"/>
    <mergeCell ref="M3985:M3986"/>
    <mergeCell ref="N3985:U3985"/>
    <mergeCell ref="N3986:U3986"/>
    <mergeCell ref="M3972:V3972"/>
    <mergeCell ref="N3973:P3973"/>
    <mergeCell ref="T3973:U3973"/>
    <mergeCell ref="N3974:P3974"/>
    <mergeCell ref="T3974:U3974"/>
    <mergeCell ref="N3975:P3975"/>
    <mergeCell ref="T3975:U3975"/>
    <mergeCell ref="N3976:P3976"/>
    <mergeCell ref="T3976:U3976"/>
    <mergeCell ref="M3963:V3963"/>
    <mergeCell ref="AB3963:AC3963"/>
    <mergeCell ref="N3964:Q3964"/>
    <mergeCell ref="N3965:Q3965"/>
    <mergeCell ref="N3966:Q3966"/>
    <mergeCell ref="N3967:Q3967"/>
    <mergeCell ref="N3968:Q3968"/>
    <mergeCell ref="N3969:Q3969"/>
    <mergeCell ref="M3970:M3971"/>
    <mergeCell ref="N3970:U3970"/>
    <mergeCell ref="N3971:U3971"/>
    <mergeCell ref="N3958:Q3958"/>
    <mergeCell ref="T3958:U3958"/>
    <mergeCell ref="N3959:Q3959"/>
    <mergeCell ref="T3959:U3959"/>
    <mergeCell ref="N3960:Q3960"/>
    <mergeCell ref="T3960:U3960"/>
    <mergeCell ref="M3961:M3962"/>
    <mergeCell ref="N3961:U3961"/>
    <mergeCell ref="N3962:U3962"/>
    <mergeCell ref="O3952:U3952"/>
    <mergeCell ref="M3953:V3953"/>
    <mergeCell ref="M3954:V3954"/>
    <mergeCell ref="AB3954:AC3954"/>
    <mergeCell ref="N3955:Q3955"/>
    <mergeCell ref="T3955:U3955"/>
    <mergeCell ref="N3956:Q3956"/>
    <mergeCell ref="T3956:U3956"/>
    <mergeCell ref="N3957:Q3957"/>
    <mergeCell ref="T3957:U3957"/>
    <mergeCell ref="M3945:S3945"/>
    <mergeCell ref="U3945:V3945"/>
    <mergeCell ref="M3946:T3946"/>
    <mergeCell ref="U3946:V3946"/>
    <mergeCell ref="U3947:V3947"/>
    <mergeCell ref="M3948:T3948"/>
    <mergeCell ref="U3948:V3948"/>
    <mergeCell ref="O3951:U3951"/>
    <mergeCell ref="AB3951:AD3951"/>
    <mergeCell ref="M3938:V3938"/>
    <mergeCell ref="M3939:T3939"/>
    <mergeCell ref="U3939:V3939"/>
    <mergeCell ref="M3941:V3941"/>
    <mergeCell ref="M3942:S3942"/>
    <mergeCell ref="U3942:V3942"/>
    <mergeCell ref="M3943:S3943"/>
    <mergeCell ref="U3943:V3943"/>
    <mergeCell ref="M3944:S3944"/>
    <mergeCell ref="U3944:V3944"/>
    <mergeCell ref="N3928:P3928"/>
    <mergeCell ref="T3928:U3928"/>
    <mergeCell ref="M3929:M3930"/>
    <mergeCell ref="N3929:U3929"/>
    <mergeCell ref="N3930:U3930"/>
    <mergeCell ref="M3931:V3931"/>
    <mergeCell ref="M3936:M3937"/>
    <mergeCell ref="N3936:U3936"/>
    <mergeCell ref="N3937:U3937"/>
    <mergeCell ref="M3923:V3923"/>
    <mergeCell ref="N3924:P3924"/>
    <mergeCell ref="T3924:U3924"/>
    <mergeCell ref="N3925:P3925"/>
    <mergeCell ref="T3925:U3925"/>
    <mergeCell ref="N3926:P3926"/>
    <mergeCell ref="T3926:U3926"/>
    <mergeCell ref="N3927:P3927"/>
    <mergeCell ref="T3927:U3927"/>
    <mergeCell ref="M3914:V3914"/>
    <mergeCell ref="AB3914:AC3914"/>
    <mergeCell ref="N3915:Q3915"/>
    <mergeCell ref="N3916:Q3916"/>
    <mergeCell ref="N3917:Q3917"/>
    <mergeCell ref="N3918:Q3918"/>
    <mergeCell ref="N3919:Q3919"/>
    <mergeCell ref="N3920:Q3920"/>
    <mergeCell ref="M3921:M3922"/>
    <mergeCell ref="N3921:U3921"/>
    <mergeCell ref="N3922:U3922"/>
    <mergeCell ref="N3909:Q3909"/>
    <mergeCell ref="T3909:U3909"/>
    <mergeCell ref="N3910:Q3910"/>
    <mergeCell ref="T3910:U3910"/>
    <mergeCell ref="N3911:Q3911"/>
    <mergeCell ref="T3911:U3911"/>
    <mergeCell ref="M3912:M3913"/>
    <mergeCell ref="N3912:U3912"/>
    <mergeCell ref="N3913:U3913"/>
    <mergeCell ref="O3903:U3903"/>
    <mergeCell ref="M3904:V3904"/>
    <mergeCell ref="M3905:V3905"/>
    <mergeCell ref="AB3905:AC3905"/>
    <mergeCell ref="N3906:Q3906"/>
    <mergeCell ref="T3906:U3906"/>
    <mergeCell ref="N3907:Q3907"/>
    <mergeCell ref="T3907:U3907"/>
    <mergeCell ref="N3908:Q3908"/>
    <mergeCell ref="T3908:U3908"/>
    <mergeCell ref="M3896:S3896"/>
    <mergeCell ref="U3896:V3896"/>
    <mergeCell ref="M3897:T3897"/>
    <mergeCell ref="U3897:V3897"/>
    <mergeCell ref="U3898:V3898"/>
    <mergeCell ref="M3899:T3899"/>
    <mergeCell ref="U3899:V3899"/>
    <mergeCell ref="O3902:U3902"/>
    <mergeCell ref="AB3902:AD3902"/>
    <mergeCell ref="M3889:V3889"/>
    <mergeCell ref="M3890:T3890"/>
    <mergeCell ref="U3890:V3890"/>
    <mergeCell ref="M3892:V3892"/>
    <mergeCell ref="M3893:S3893"/>
    <mergeCell ref="U3893:V3893"/>
    <mergeCell ref="M3894:S3894"/>
    <mergeCell ref="U3894:V3894"/>
    <mergeCell ref="M3895:S3895"/>
    <mergeCell ref="U3895:V3895"/>
    <mergeCell ref="N3879:P3879"/>
    <mergeCell ref="T3879:U3879"/>
    <mergeCell ref="M3880:M3881"/>
    <mergeCell ref="N3880:U3880"/>
    <mergeCell ref="N3881:U3881"/>
    <mergeCell ref="M3882:V3882"/>
    <mergeCell ref="M3887:M3888"/>
    <mergeCell ref="N3887:U3887"/>
    <mergeCell ref="N3888:U3888"/>
    <mergeCell ref="M3874:V3874"/>
    <mergeCell ref="N3875:P3875"/>
    <mergeCell ref="T3875:U3875"/>
    <mergeCell ref="N3876:P3876"/>
    <mergeCell ref="T3876:U3876"/>
    <mergeCell ref="N3877:P3877"/>
    <mergeCell ref="T3877:U3877"/>
    <mergeCell ref="N3878:P3878"/>
    <mergeCell ref="T3878:U3878"/>
    <mergeCell ref="M3865:V3865"/>
    <mergeCell ref="AB3865:AC3865"/>
    <mergeCell ref="N3866:Q3866"/>
    <mergeCell ref="N3867:Q3867"/>
    <mergeCell ref="N3868:Q3868"/>
    <mergeCell ref="N3869:Q3869"/>
    <mergeCell ref="N3870:Q3870"/>
    <mergeCell ref="N3871:Q3871"/>
    <mergeCell ref="M3872:M3873"/>
    <mergeCell ref="N3872:U3872"/>
    <mergeCell ref="N3873:U3873"/>
    <mergeCell ref="N3861:Q3861"/>
    <mergeCell ref="T3861:U3861"/>
    <mergeCell ref="N3862:Q3862"/>
    <mergeCell ref="T3862:U3862"/>
    <mergeCell ref="M3863:M3864"/>
    <mergeCell ref="N3863:U3863"/>
    <mergeCell ref="N3864:U3864"/>
    <mergeCell ref="O3854:U3854"/>
    <mergeCell ref="M3855:V3855"/>
    <mergeCell ref="M3856:V3856"/>
    <mergeCell ref="AB3856:AC3856"/>
    <mergeCell ref="N3857:Q3857"/>
    <mergeCell ref="T3857:U3857"/>
    <mergeCell ref="N3858:Q3858"/>
    <mergeCell ref="T3858:U3858"/>
    <mergeCell ref="N3859:Q3859"/>
    <mergeCell ref="T3859:U3859"/>
    <mergeCell ref="U3849:V3849"/>
    <mergeCell ref="M3850:T3850"/>
    <mergeCell ref="U3850:V3850"/>
    <mergeCell ref="O3853:U3853"/>
    <mergeCell ref="AB3853:AD3853"/>
    <mergeCell ref="M3840:V3840"/>
    <mergeCell ref="M3841:T3841"/>
    <mergeCell ref="U3841:V3841"/>
    <mergeCell ref="M3843:V3843"/>
    <mergeCell ref="M3844:S3844"/>
    <mergeCell ref="U3844:V3844"/>
    <mergeCell ref="M3845:S3845"/>
    <mergeCell ref="U3845:V3845"/>
    <mergeCell ref="M3846:S3846"/>
    <mergeCell ref="U3846:V3846"/>
    <mergeCell ref="N3860:Q3860"/>
    <mergeCell ref="T3860:U3860"/>
    <mergeCell ref="M3833:V3833"/>
    <mergeCell ref="M3838:M3839"/>
    <mergeCell ref="N3838:U3838"/>
    <mergeCell ref="N3839:U3839"/>
    <mergeCell ref="M3825:V3825"/>
    <mergeCell ref="N3826:P3826"/>
    <mergeCell ref="T3826:U3826"/>
    <mergeCell ref="N3827:P3827"/>
    <mergeCell ref="T3827:U3827"/>
    <mergeCell ref="N3828:P3828"/>
    <mergeCell ref="T3828:U3828"/>
    <mergeCell ref="N3829:P3829"/>
    <mergeCell ref="T3829:U3829"/>
    <mergeCell ref="M3847:S3847"/>
    <mergeCell ref="U3847:V3847"/>
    <mergeCell ref="M3848:T3848"/>
    <mergeCell ref="U3848:V3848"/>
    <mergeCell ref="N3822:Q3822"/>
    <mergeCell ref="M3823:M3824"/>
    <mergeCell ref="N3823:U3823"/>
    <mergeCell ref="N3824:U3824"/>
    <mergeCell ref="N3811:Q3811"/>
    <mergeCell ref="T3811:U3811"/>
    <mergeCell ref="N3812:Q3812"/>
    <mergeCell ref="T3812:U3812"/>
    <mergeCell ref="N3813:Q3813"/>
    <mergeCell ref="T3813:U3813"/>
    <mergeCell ref="M3814:M3815"/>
    <mergeCell ref="N3814:U3814"/>
    <mergeCell ref="N3815:U3815"/>
    <mergeCell ref="N3830:P3830"/>
    <mergeCell ref="T3830:U3830"/>
    <mergeCell ref="M3831:M3832"/>
    <mergeCell ref="N3831:U3831"/>
    <mergeCell ref="N3832:U3832"/>
    <mergeCell ref="M2523:T2523"/>
    <mergeCell ref="U2523:V2523"/>
    <mergeCell ref="U2524:V2524"/>
    <mergeCell ref="M2525:T2525"/>
    <mergeCell ref="U2525:V2525"/>
    <mergeCell ref="O3804:U3804"/>
    <mergeCell ref="AB3804:AD3804"/>
    <mergeCell ref="O2528:U2528"/>
    <mergeCell ref="AB2528:AD2528"/>
    <mergeCell ref="O2529:U2529"/>
    <mergeCell ref="M2530:V2530"/>
    <mergeCell ref="M2531:V2531"/>
    <mergeCell ref="AB2531:AC2531"/>
    <mergeCell ref="N2532:Q2532"/>
    <mergeCell ref="T2532:U2532"/>
    <mergeCell ref="N2533:Q2533"/>
    <mergeCell ref="T2533:U2533"/>
    <mergeCell ref="N2534:Q2534"/>
    <mergeCell ref="T2534:U2534"/>
    <mergeCell ref="N2535:Q2535"/>
    <mergeCell ref="T2535:U2535"/>
    <mergeCell ref="N2536:Q2536"/>
    <mergeCell ref="T2536:U2536"/>
    <mergeCell ref="N2537:Q2537"/>
    <mergeCell ref="T2537:U2537"/>
    <mergeCell ref="M2538:M2539"/>
    <mergeCell ref="N2538:U2538"/>
    <mergeCell ref="N2539:U2539"/>
    <mergeCell ref="M2540:V2540"/>
    <mergeCell ref="AB2540:AC2540"/>
    <mergeCell ref="N2541:Q2541"/>
    <mergeCell ref="N2542:Q2542"/>
    <mergeCell ref="M2518:V2518"/>
    <mergeCell ref="M2519:S2519"/>
    <mergeCell ref="U2519:V2519"/>
    <mergeCell ref="M2520:S2520"/>
    <mergeCell ref="U2520:V2520"/>
    <mergeCell ref="M2521:S2521"/>
    <mergeCell ref="U2521:V2521"/>
    <mergeCell ref="N2505:P2505"/>
    <mergeCell ref="T2505:U2505"/>
    <mergeCell ref="M2506:M2507"/>
    <mergeCell ref="N2506:U2506"/>
    <mergeCell ref="N2507:U2507"/>
    <mergeCell ref="M2508:V2508"/>
    <mergeCell ref="M2513:M2514"/>
    <mergeCell ref="N2513:U2513"/>
    <mergeCell ref="N2514:U2514"/>
    <mergeCell ref="M2522:S2522"/>
    <mergeCell ref="U2522:V2522"/>
    <mergeCell ref="T2485:U2485"/>
    <mergeCell ref="M2500:V2500"/>
    <mergeCell ref="N2501:P2501"/>
    <mergeCell ref="T2501:U2501"/>
    <mergeCell ref="N2502:P2502"/>
    <mergeCell ref="T2502:U2502"/>
    <mergeCell ref="N2503:P2503"/>
    <mergeCell ref="T2503:U2503"/>
    <mergeCell ref="N2504:P2504"/>
    <mergeCell ref="T2504:U2504"/>
    <mergeCell ref="M2491:V2491"/>
    <mergeCell ref="AB2491:AC2491"/>
    <mergeCell ref="N2492:Q2492"/>
    <mergeCell ref="N2493:Q2493"/>
    <mergeCell ref="N2494:Q2494"/>
    <mergeCell ref="N2495:Q2495"/>
    <mergeCell ref="N2496:Q2496"/>
    <mergeCell ref="N2497:Q2497"/>
    <mergeCell ref="M2498:M2499"/>
    <mergeCell ref="N2498:U2498"/>
    <mergeCell ref="N2499:U2499"/>
    <mergeCell ref="M807:S807"/>
    <mergeCell ref="U807:V807"/>
    <mergeCell ref="M808:T808"/>
    <mergeCell ref="U808:V808"/>
    <mergeCell ref="U809:V809"/>
    <mergeCell ref="M810:T810"/>
    <mergeCell ref="U810:V810"/>
    <mergeCell ref="O2479:U2479"/>
    <mergeCell ref="AB2479:AD2479"/>
    <mergeCell ref="M800:V800"/>
    <mergeCell ref="M801:T801"/>
    <mergeCell ref="U801:V801"/>
    <mergeCell ref="M803:V803"/>
    <mergeCell ref="M804:S804"/>
    <mergeCell ref="U804:V804"/>
    <mergeCell ref="M805:S805"/>
    <mergeCell ref="U805:V805"/>
    <mergeCell ref="M806:S806"/>
    <mergeCell ref="U806:V806"/>
    <mergeCell ref="M2469:V2469"/>
    <mergeCell ref="M2472:S2472"/>
    <mergeCell ref="M2473:S2473"/>
    <mergeCell ref="U2475:V2475"/>
    <mergeCell ref="M2474:T2474"/>
    <mergeCell ref="AB2433:AC2433"/>
    <mergeCell ref="M2467:T2467"/>
    <mergeCell ref="U2467:V2467"/>
    <mergeCell ref="M2476:T2476"/>
    <mergeCell ref="U2476:V2476"/>
    <mergeCell ref="N2450:U2450"/>
    <mergeCell ref="M2442:V2442"/>
    <mergeCell ref="N2441:U2441"/>
    <mergeCell ref="N790:P790"/>
    <mergeCell ref="T790:U790"/>
    <mergeCell ref="M791:M792"/>
    <mergeCell ref="N791:U791"/>
    <mergeCell ref="N792:U792"/>
    <mergeCell ref="M793:V793"/>
    <mergeCell ref="M798:M799"/>
    <mergeCell ref="N798:U798"/>
    <mergeCell ref="N799:U799"/>
    <mergeCell ref="M785:V785"/>
    <mergeCell ref="N786:P786"/>
    <mergeCell ref="T786:U786"/>
    <mergeCell ref="N787:P787"/>
    <mergeCell ref="T787:U787"/>
    <mergeCell ref="N788:P788"/>
    <mergeCell ref="T788:U788"/>
    <mergeCell ref="N789:P789"/>
    <mergeCell ref="T789:U789"/>
    <mergeCell ref="M776:V776"/>
    <mergeCell ref="AB776:AC776"/>
    <mergeCell ref="N777:Q777"/>
    <mergeCell ref="N778:Q778"/>
    <mergeCell ref="N779:Q779"/>
    <mergeCell ref="N780:Q780"/>
    <mergeCell ref="N781:Q781"/>
    <mergeCell ref="N782:Q782"/>
    <mergeCell ref="M783:M784"/>
    <mergeCell ref="N783:U783"/>
    <mergeCell ref="N784:U784"/>
    <mergeCell ref="N770:Q770"/>
    <mergeCell ref="T770:U770"/>
    <mergeCell ref="N771:Q771"/>
    <mergeCell ref="T771:U771"/>
    <mergeCell ref="N772:Q772"/>
    <mergeCell ref="T772:U772"/>
    <mergeCell ref="N773:Q773"/>
    <mergeCell ref="T773:U773"/>
    <mergeCell ref="M774:M775"/>
    <mergeCell ref="N774:U774"/>
    <mergeCell ref="N775:U775"/>
    <mergeCell ref="O764:U764"/>
    <mergeCell ref="AB764:AD764"/>
    <mergeCell ref="O765:U765"/>
    <mergeCell ref="M766:V766"/>
    <mergeCell ref="M767:V767"/>
    <mergeCell ref="AB767:AC767"/>
    <mergeCell ref="N768:Q768"/>
    <mergeCell ref="T768:U768"/>
    <mergeCell ref="N769:Q769"/>
    <mergeCell ref="T769:U769"/>
    <mergeCell ref="M758:S758"/>
    <mergeCell ref="U758:V758"/>
    <mergeCell ref="M759:T759"/>
    <mergeCell ref="U759:V759"/>
    <mergeCell ref="U760:V760"/>
    <mergeCell ref="M761:T761"/>
    <mergeCell ref="U761:V761"/>
    <mergeCell ref="M751:V751"/>
    <mergeCell ref="M752:T752"/>
    <mergeCell ref="U752:V752"/>
    <mergeCell ref="M754:V754"/>
    <mergeCell ref="M755:S755"/>
    <mergeCell ref="U755:V755"/>
    <mergeCell ref="M756:S756"/>
    <mergeCell ref="U756:V756"/>
    <mergeCell ref="M757:S757"/>
    <mergeCell ref="U757:V757"/>
    <mergeCell ref="N741:P741"/>
    <mergeCell ref="T741:U741"/>
    <mergeCell ref="M742:M743"/>
    <mergeCell ref="N742:U742"/>
    <mergeCell ref="N743:U743"/>
    <mergeCell ref="M744:V744"/>
    <mergeCell ref="M749:M750"/>
    <mergeCell ref="N749:U749"/>
    <mergeCell ref="N750:U750"/>
    <mergeCell ref="M736:V736"/>
    <mergeCell ref="N737:P737"/>
    <mergeCell ref="T737:U737"/>
    <mergeCell ref="N738:P738"/>
    <mergeCell ref="T738:U738"/>
    <mergeCell ref="N739:P739"/>
    <mergeCell ref="T739:U739"/>
    <mergeCell ref="N740:P740"/>
    <mergeCell ref="T740:U740"/>
    <mergeCell ref="M727:V727"/>
    <mergeCell ref="AB727:AC727"/>
    <mergeCell ref="N728:Q728"/>
    <mergeCell ref="N729:Q729"/>
    <mergeCell ref="N730:Q730"/>
    <mergeCell ref="N731:Q731"/>
    <mergeCell ref="N732:Q732"/>
    <mergeCell ref="N733:Q733"/>
    <mergeCell ref="M734:M735"/>
    <mergeCell ref="N734:U734"/>
    <mergeCell ref="N735:U735"/>
    <mergeCell ref="N722:Q722"/>
    <mergeCell ref="T722:U722"/>
    <mergeCell ref="N723:Q723"/>
    <mergeCell ref="T723:U723"/>
    <mergeCell ref="N724:Q724"/>
    <mergeCell ref="T724:U724"/>
    <mergeCell ref="M725:M726"/>
    <mergeCell ref="N725:U725"/>
    <mergeCell ref="N726:U726"/>
    <mergeCell ref="O716:U716"/>
    <mergeCell ref="M717:V717"/>
    <mergeCell ref="M718:V718"/>
    <mergeCell ref="AB718:AC718"/>
    <mergeCell ref="N719:Q719"/>
    <mergeCell ref="T719:U719"/>
    <mergeCell ref="N720:Q720"/>
    <mergeCell ref="T720:U720"/>
    <mergeCell ref="N721:Q721"/>
    <mergeCell ref="T721:U721"/>
    <mergeCell ref="M709:S709"/>
    <mergeCell ref="U709:V709"/>
    <mergeCell ref="M710:T710"/>
    <mergeCell ref="U710:V710"/>
    <mergeCell ref="U711:V711"/>
    <mergeCell ref="M712:T712"/>
    <mergeCell ref="U712:V712"/>
    <mergeCell ref="O715:U715"/>
    <mergeCell ref="AB715:AD715"/>
    <mergeCell ref="M702:V702"/>
    <mergeCell ref="M703:T703"/>
    <mergeCell ref="U703:V703"/>
    <mergeCell ref="M705:V705"/>
    <mergeCell ref="M706:S706"/>
    <mergeCell ref="U706:V706"/>
    <mergeCell ref="M707:S707"/>
    <mergeCell ref="U707:V707"/>
    <mergeCell ref="M708:S708"/>
    <mergeCell ref="U708:V708"/>
    <mergeCell ref="N692:P692"/>
    <mergeCell ref="T692:U692"/>
    <mergeCell ref="M693:M694"/>
    <mergeCell ref="N693:U693"/>
    <mergeCell ref="N694:U694"/>
    <mergeCell ref="M695:V695"/>
    <mergeCell ref="M700:M701"/>
    <mergeCell ref="N700:U700"/>
    <mergeCell ref="N701:U701"/>
    <mergeCell ref="M687:V687"/>
    <mergeCell ref="N688:P688"/>
    <mergeCell ref="T688:U688"/>
    <mergeCell ref="N689:P689"/>
    <mergeCell ref="T689:U689"/>
    <mergeCell ref="N690:P690"/>
    <mergeCell ref="T690:U690"/>
    <mergeCell ref="N691:P691"/>
    <mergeCell ref="T691:U691"/>
    <mergeCell ref="N679:Q679"/>
    <mergeCell ref="N680:Q680"/>
    <mergeCell ref="N681:Q681"/>
    <mergeCell ref="N682:Q682"/>
    <mergeCell ref="N683:Q683"/>
    <mergeCell ref="N684:Q684"/>
    <mergeCell ref="M685:M686"/>
    <mergeCell ref="N685:U685"/>
    <mergeCell ref="N686:U686"/>
    <mergeCell ref="N674:Q674"/>
    <mergeCell ref="T674:U674"/>
    <mergeCell ref="N675:Q675"/>
    <mergeCell ref="T675:U675"/>
    <mergeCell ref="M676:M677"/>
    <mergeCell ref="N676:U676"/>
    <mergeCell ref="N677:U677"/>
    <mergeCell ref="M678:V678"/>
    <mergeCell ref="N634:Q634"/>
    <mergeCell ref="N635:Q635"/>
    <mergeCell ref="N636:U636"/>
    <mergeCell ref="O618:U618"/>
    <mergeCell ref="M619:V619"/>
    <mergeCell ref="M620:V620"/>
    <mergeCell ref="N621:Q621"/>
    <mergeCell ref="T621:U621"/>
    <mergeCell ref="N622:Q622"/>
    <mergeCell ref="T622:U622"/>
    <mergeCell ref="N623:Q623"/>
    <mergeCell ref="T623:U623"/>
    <mergeCell ref="N624:Q624"/>
    <mergeCell ref="T624:U624"/>
    <mergeCell ref="N625:Q625"/>
    <mergeCell ref="T625:U625"/>
    <mergeCell ref="N596:U596"/>
    <mergeCell ref="U608:V608"/>
    <mergeCell ref="AB678:AC678"/>
    <mergeCell ref="AB669:AC669"/>
    <mergeCell ref="N670:Q670"/>
    <mergeCell ref="T670:U670"/>
    <mergeCell ref="N671:Q671"/>
    <mergeCell ref="T671:U671"/>
    <mergeCell ref="N672:Q672"/>
    <mergeCell ref="T672:U672"/>
    <mergeCell ref="N673:Q673"/>
    <mergeCell ref="T673:U673"/>
    <mergeCell ref="N588:U588"/>
    <mergeCell ref="U566:V566"/>
    <mergeCell ref="O570:U570"/>
    <mergeCell ref="M572:V572"/>
    <mergeCell ref="N587:Q587"/>
    <mergeCell ref="M92:M93"/>
    <mergeCell ref="N92:U92"/>
    <mergeCell ref="N93:U93"/>
    <mergeCell ref="AB581:AC581"/>
    <mergeCell ref="N583:Q583"/>
    <mergeCell ref="M602:M603"/>
    <mergeCell ref="N602:U602"/>
    <mergeCell ref="N626:Q626"/>
    <mergeCell ref="T626:U626"/>
    <mergeCell ref="M607:V607"/>
    <mergeCell ref="M610:S610"/>
    <mergeCell ref="M608:S608"/>
    <mergeCell ref="M656:V656"/>
    <mergeCell ref="M657:S657"/>
    <mergeCell ref="U657:V657"/>
    <mergeCell ref="M658:S658"/>
    <mergeCell ref="U658:V658"/>
    <mergeCell ref="T79:U79"/>
    <mergeCell ref="N80:P80"/>
    <mergeCell ref="T80:U80"/>
    <mergeCell ref="N81:P81"/>
    <mergeCell ref="T81:U81"/>
    <mergeCell ref="N82:P82"/>
    <mergeCell ref="T82:U82"/>
    <mergeCell ref="N83:P83"/>
    <mergeCell ref="T83:U83"/>
    <mergeCell ref="M94:V94"/>
    <mergeCell ref="M95:T95"/>
    <mergeCell ref="U95:V95"/>
    <mergeCell ref="N603:U603"/>
    <mergeCell ref="M604:V604"/>
    <mergeCell ref="M605:T605"/>
    <mergeCell ref="U605:V605"/>
    <mergeCell ref="M596:M597"/>
    <mergeCell ref="N597:U597"/>
    <mergeCell ref="M598:V598"/>
    <mergeCell ref="U562:V562"/>
    <mergeCell ref="T543:U543"/>
    <mergeCell ref="O569:U569"/>
    <mergeCell ref="M531:M532"/>
    <mergeCell ref="M548:M549"/>
    <mergeCell ref="N544:P544"/>
    <mergeCell ref="T544:U544"/>
    <mergeCell ref="M588:M589"/>
    <mergeCell ref="N589:U589"/>
    <mergeCell ref="M590:V590"/>
    <mergeCell ref="U230:V230"/>
    <mergeCell ref="N526:Q526"/>
    <mergeCell ref="T527:U527"/>
    <mergeCell ref="U659:V659"/>
    <mergeCell ref="N632:Q632"/>
    <mergeCell ref="N633:Q633"/>
    <mergeCell ref="AB54:AD54"/>
    <mergeCell ref="O55:U55"/>
    <mergeCell ref="AB55:AD55"/>
    <mergeCell ref="O56:U56"/>
    <mergeCell ref="M57:V57"/>
    <mergeCell ref="M58:V58"/>
    <mergeCell ref="AB58:AC58"/>
    <mergeCell ref="N59:Q59"/>
    <mergeCell ref="T59:U59"/>
    <mergeCell ref="N72:Q72"/>
    <mergeCell ref="N73:Q73"/>
    <mergeCell ref="N74:Q74"/>
    <mergeCell ref="N75:Q75"/>
    <mergeCell ref="M76:M77"/>
    <mergeCell ref="N76:U76"/>
    <mergeCell ref="N77:U77"/>
    <mergeCell ref="M78:V78"/>
    <mergeCell ref="N84:P84"/>
    <mergeCell ref="T84:U84"/>
    <mergeCell ref="M85:M86"/>
    <mergeCell ref="N85:U85"/>
    <mergeCell ref="N86:U86"/>
    <mergeCell ref="M87:V87"/>
    <mergeCell ref="M609:S609"/>
    <mergeCell ref="U609:V609"/>
    <mergeCell ref="U610:V610"/>
    <mergeCell ref="M611:S611"/>
    <mergeCell ref="T639:U639"/>
    <mergeCell ref="N79:P79"/>
    <mergeCell ref="AB521:AD521"/>
    <mergeCell ref="AB524:AC524"/>
    <mergeCell ref="T525:U525"/>
    <mergeCell ref="M560:S560"/>
    <mergeCell ref="U560:V560"/>
    <mergeCell ref="N554:U554"/>
    <mergeCell ref="N547:P547"/>
    <mergeCell ref="T547:U547"/>
    <mergeCell ref="N549:U549"/>
    <mergeCell ref="M550:V550"/>
    <mergeCell ref="AB533:AC533"/>
    <mergeCell ref="N534:Q534"/>
    <mergeCell ref="M540:M541"/>
    <mergeCell ref="N540:U540"/>
    <mergeCell ref="M542:V542"/>
    <mergeCell ref="N543:P543"/>
    <mergeCell ref="T574:U574"/>
    <mergeCell ref="AB572:AC572"/>
    <mergeCell ref="T526:U526"/>
    <mergeCell ref="O521:U521"/>
    <mergeCell ref="M523:V523"/>
    <mergeCell ref="N594:P594"/>
    <mergeCell ref="T594:U594"/>
    <mergeCell ref="T595:U595"/>
    <mergeCell ref="N591:P591"/>
    <mergeCell ref="N595:P595"/>
    <mergeCell ref="N642:P642"/>
    <mergeCell ref="T642:U642"/>
    <mergeCell ref="N643:P643"/>
    <mergeCell ref="U613:V613"/>
    <mergeCell ref="U611:V611"/>
    <mergeCell ref="M612:T612"/>
    <mergeCell ref="U612:V612"/>
    <mergeCell ref="M627:M628"/>
    <mergeCell ref="N627:U627"/>
    <mergeCell ref="M2464:M2465"/>
    <mergeCell ref="N2464:U2464"/>
    <mergeCell ref="N2465:U2465"/>
    <mergeCell ref="M2433:V2433"/>
    <mergeCell ref="N2444:Q2444"/>
    <mergeCell ref="N2445:Q2445"/>
    <mergeCell ref="N2446:Q2446"/>
    <mergeCell ref="N2447:Q2447"/>
    <mergeCell ref="N2435:Q2435"/>
    <mergeCell ref="T2435:U2435"/>
    <mergeCell ref="T2437:U2437"/>
    <mergeCell ref="N2434:Q2434"/>
    <mergeCell ref="T2434:U2434"/>
    <mergeCell ref="M614:T614"/>
    <mergeCell ref="T822:U822"/>
    <mergeCell ref="M823:M824"/>
    <mergeCell ref="N640:P640"/>
    <mergeCell ref="T640:U640"/>
    <mergeCell ref="N821:Q821"/>
    <mergeCell ref="T821:U821"/>
    <mergeCell ref="N822:Q822"/>
    <mergeCell ref="M2466:V2466"/>
    <mergeCell ref="M2449:M2450"/>
    <mergeCell ref="N2449:U2449"/>
    <mergeCell ref="M2451:V2451"/>
    <mergeCell ref="N2455:P2455"/>
    <mergeCell ref="T2455:U2455"/>
    <mergeCell ref="N2454:P2454"/>
    <mergeCell ref="T2454:U2454"/>
    <mergeCell ref="T2452:U2452"/>
    <mergeCell ref="N2452:P2452"/>
    <mergeCell ref="N641:P641"/>
    <mergeCell ref="T641:U641"/>
    <mergeCell ref="U614:V614"/>
    <mergeCell ref="N637:U637"/>
    <mergeCell ref="M638:V638"/>
    <mergeCell ref="N639:P639"/>
    <mergeCell ref="M636:M637"/>
    <mergeCell ref="U663:V663"/>
    <mergeCell ref="O666:U666"/>
    <mergeCell ref="O667:U667"/>
    <mergeCell ref="M668:V668"/>
    <mergeCell ref="M669:V669"/>
    <mergeCell ref="N2448:Q2448"/>
    <mergeCell ref="N628:U628"/>
    <mergeCell ref="M629:V629"/>
    <mergeCell ref="O617:U617"/>
    <mergeCell ref="U660:V660"/>
    <mergeCell ref="M661:T661"/>
    <mergeCell ref="U661:V661"/>
    <mergeCell ref="AB629:AC629"/>
    <mergeCell ref="AB617:AD617"/>
    <mergeCell ref="AB620:AC620"/>
    <mergeCell ref="AB666:AD666"/>
    <mergeCell ref="U662:V662"/>
    <mergeCell ref="M663:T663"/>
    <mergeCell ref="M815:V815"/>
    <mergeCell ref="M816:V816"/>
    <mergeCell ref="AB816:AC816"/>
    <mergeCell ref="N817:Q817"/>
    <mergeCell ref="T817:U817"/>
    <mergeCell ref="N818:Q818"/>
    <mergeCell ref="T818:U818"/>
    <mergeCell ref="N819:Q819"/>
    <mergeCell ref="T819:U819"/>
    <mergeCell ref="N820:Q820"/>
    <mergeCell ref="T820:U820"/>
    <mergeCell ref="M660:S660"/>
    <mergeCell ref="T643:U643"/>
    <mergeCell ref="M644:M645"/>
    <mergeCell ref="N644:U644"/>
    <mergeCell ref="N645:U645"/>
    <mergeCell ref="M646:V646"/>
    <mergeCell ref="M651:M652"/>
    <mergeCell ref="N651:U651"/>
    <mergeCell ref="N652:U652"/>
    <mergeCell ref="M653:V653"/>
    <mergeCell ref="M654:T654"/>
    <mergeCell ref="U654:V654"/>
    <mergeCell ref="N630:Q630"/>
    <mergeCell ref="N631:Q631"/>
    <mergeCell ref="M659:S659"/>
    <mergeCell ref="N577:Q577"/>
    <mergeCell ref="T577:U577"/>
    <mergeCell ref="N579:U579"/>
    <mergeCell ref="N582:Q582"/>
    <mergeCell ref="N578:Q578"/>
    <mergeCell ref="T578:U578"/>
    <mergeCell ref="N575:Q575"/>
    <mergeCell ref="T575:U575"/>
    <mergeCell ref="M579:M580"/>
    <mergeCell ref="N580:U580"/>
    <mergeCell ref="M581:V581"/>
    <mergeCell ref="T591:U591"/>
    <mergeCell ref="N592:P592"/>
    <mergeCell ref="T592:U592"/>
    <mergeCell ref="N593:P593"/>
    <mergeCell ref="N573:Q573"/>
    <mergeCell ref="N576:Q576"/>
    <mergeCell ref="T576:U576"/>
    <mergeCell ref="T573:U573"/>
    <mergeCell ref="N574:Q574"/>
    <mergeCell ref="T593:U593"/>
    <mergeCell ref="N584:Q584"/>
    <mergeCell ref="N585:Q585"/>
    <mergeCell ref="N586:Q586"/>
    <mergeCell ref="M226:S226"/>
    <mergeCell ref="U226:V226"/>
    <mergeCell ref="U561:V561"/>
    <mergeCell ref="U565:V565"/>
    <mergeCell ref="U564:V564"/>
    <mergeCell ref="N528:Q528"/>
    <mergeCell ref="T528:U528"/>
    <mergeCell ref="N527:Q527"/>
    <mergeCell ref="N548:U548"/>
    <mergeCell ref="N541:U541"/>
    <mergeCell ref="N535:Q535"/>
    <mergeCell ref="N536:Q536"/>
    <mergeCell ref="N531:U531"/>
    <mergeCell ref="M533:V533"/>
    <mergeCell ref="T529:U529"/>
    <mergeCell ref="N530:Q530"/>
    <mergeCell ref="N525:Q525"/>
    <mergeCell ref="M562:S562"/>
    <mergeCell ref="M561:S561"/>
    <mergeCell ref="M230:T230"/>
    <mergeCell ref="T530:U530"/>
    <mergeCell ref="N545:P545"/>
    <mergeCell ref="N537:Q537"/>
    <mergeCell ref="N538:Q538"/>
    <mergeCell ref="O233:U233"/>
    <mergeCell ref="M243:M244"/>
    <mergeCell ref="N243:U243"/>
    <mergeCell ref="N244:U244"/>
    <mergeCell ref="M245:V245"/>
    <mergeCell ref="M273:S273"/>
    <mergeCell ref="U273:V273"/>
    <mergeCell ref="M274:S274"/>
    <mergeCell ref="M42:M43"/>
    <mergeCell ref="N64:Q64"/>
    <mergeCell ref="T64:U64"/>
    <mergeCell ref="M65:M66"/>
    <mergeCell ref="N65:U65"/>
    <mergeCell ref="N66:U66"/>
    <mergeCell ref="M67:V67"/>
    <mergeCell ref="N49:U49"/>
    <mergeCell ref="M571:V571"/>
    <mergeCell ref="U221:V221"/>
    <mergeCell ref="M223:V223"/>
    <mergeCell ref="N539:Q539"/>
    <mergeCell ref="O522:U522"/>
    <mergeCell ref="M524:V524"/>
    <mergeCell ref="T206:U206"/>
    <mergeCell ref="M221:T221"/>
    <mergeCell ref="N202:Q202"/>
    <mergeCell ref="M203:M204"/>
    <mergeCell ref="M225:S225"/>
    <mergeCell ref="U225:V225"/>
    <mergeCell ref="N529:Q529"/>
    <mergeCell ref="N207:P207"/>
    <mergeCell ref="T207:U207"/>
    <mergeCell ref="N208:P208"/>
    <mergeCell ref="T208:U208"/>
    <mergeCell ref="M224:S224"/>
    <mergeCell ref="U224:V224"/>
    <mergeCell ref="M227:S227"/>
    <mergeCell ref="U227:V227"/>
    <mergeCell ref="M228:T228"/>
    <mergeCell ref="U228:V228"/>
    <mergeCell ref="U229:V229"/>
    <mergeCell ref="T170:U170"/>
    <mergeCell ref="M180:V180"/>
    <mergeCell ref="M181:T181"/>
    <mergeCell ref="U181:V181"/>
    <mergeCell ref="T190:U190"/>
    <mergeCell ref="O184:U184"/>
    <mergeCell ref="N201:Q201"/>
    <mergeCell ref="M194:M195"/>
    <mergeCell ref="N194:U194"/>
    <mergeCell ref="N195:U195"/>
    <mergeCell ref="M196:V196"/>
    <mergeCell ref="N191:Q191"/>
    <mergeCell ref="T191:U191"/>
    <mergeCell ref="N192:Q192"/>
    <mergeCell ref="T192:U192"/>
    <mergeCell ref="N193:Q193"/>
    <mergeCell ref="T193:U193"/>
    <mergeCell ref="N188:Q188"/>
    <mergeCell ref="T188:U188"/>
    <mergeCell ref="N189:Q189"/>
    <mergeCell ref="T189:U189"/>
    <mergeCell ref="N190:Q190"/>
    <mergeCell ref="N171:U171"/>
    <mergeCell ref="M4:N4"/>
    <mergeCell ref="AB6:AD6"/>
    <mergeCell ref="AB7:AD7"/>
    <mergeCell ref="N20:Q20"/>
    <mergeCell ref="T20:U20"/>
    <mergeCell ref="N21:Q21"/>
    <mergeCell ref="T21:U21"/>
    <mergeCell ref="M22:M23"/>
    <mergeCell ref="N22:U22"/>
    <mergeCell ref="N23:U23"/>
    <mergeCell ref="N28:Q28"/>
    <mergeCell ref="N29:Q29"/>
    <mergeCell ref="M10:V10"/>
    <mergeCell ref="T37:U37"/>
    <mergeCell ref="N38:P38"/>
    <mergeCell ref="T38:U38"/>
    <mergeCell ref="M178:M179"/>
    <mergeCell ref="N178:U178"/>
    <mergeCell ref="N179:U179"/>
    <mergeCell ref="N169:P169"/>
    <mergeCell ref="T169:U169"/>
    <mergeCell ref="N170:P170"/>
    <mergeCell ref="T167:U167"/>
    <mergeCell ref="N168:P168"/>
    <mergeCell ref="T168:U168"/>
    <mergeCell ref="T39:U39"/>
    <mergeCell ref="N40:P40"/>
    <mergeCell ref="T40:U40"/>
    <mergeCell ref="N41:P41"/>
    <mergeCell ref="T41:U41"/>
    <mergeCell ref="O12:U12"/>
    <mergeCell ref="N18:Q18"/>
    <mergeCell ref="AB8:AD8"/>
    <mergeCell ref="N6:Q6"/>
    <mergeCell ref="R6:R8"/>
    <mergeCell ref="S6:V6"/>
    <mergeCell ref="M5:N5"/>
    <mergeCell ref="O5:R5"/>
    <mergeCell ref="N7:Q7"/>
    <mergeCell ref="S7:V7"/>
    <mergeCell ref="N8:Q8"/>
    <mergeCell ref="S8:V8"/>
    <mergeCell ref="O4:U4"/>
    <mergeCell ref="V2:V4"/>
    <mergeCell ref="O3:U3"/>
    <mergeCell ref="M2:U2"/>
    <mergeCell ref="AB3:AD3"/>
    <mergeCell ref="AB5:AD5"/>
    <mergeCell ref="N39:P39"/>
    <mergeCell ref="N31:Q31"/>
    <mergeCell ref="N32:Q32"/>
    <mergeCell ref="AA2:AC2"/>
    <mergeCell ref="S5:T5"/>
    <mergeCell ref="U5:V5"/>
    <mergeCell ref="AB9:AD9"/>
    <mergeCell ref="AB10:AD10"/>
    <mergeCell ref="AB11:AD11"/>
    <mergeCell ref="M3:N3"/>
    <mergeCell ref="M6:M8"/>
    <mergeCell ref="M33:M34"/>
    <mergeCell ref="N33:U33"/>
    <mergeCell ref="N34:U34"/>
    <mergeCell ref="M35:V35"/>
    <mergeCell ref="N36:P36"/>
    <mergeCell ref="N42:U42"/>
    <mergeCell ref="N43:U43"/>
    <mergeCell ref="N60:Q60"/>
    <mergeCell ref="T60:U60"/>
    <mergeCell ref="N61:Q61"/>
    <mergeCell ref="T61:U61"/>
    <mergeCell ref="N62:Q62"/>
    <mergeCell ref="T62:U62"/>
    <mergeCell ref="N63:Q63"/>
    <mergeCell ref="T63:U63"/>
    <mergeCell ref="AB12:AD12"/>
    <mergeCell ref="O13:U13"/>
    <mergeCell ref="M14:V14"/>
    <mergeCell ref="M15:V15"/>
    <mergeCell ref="AB15:AC15"/>
    <mergeCell ref="N16:Q16"/>
    <mergeCell ref="T16:U16"/>
    <mergeCell ref="N17:Q17"/>
    <mergeCell ref="T17:U17"/>
    <mergeCell ref="T36:U36"/>
    <mergeCell ref="N37:P37"/>
    <mergeCell ref="M24:V24"/>
    <mergeCell ref="AB24:AC24"/>
    <mergeCell ref="N25:Q25"/>
    <mergeCell ref="N26:Q26"/>
    <mergeCell ref="N27:Q27"/>
    <mergeCell ref="M44:V44"/>
    <mergeCell ref="M49:M50"/>
    <mergeCell ref="T18:U18"/>
    <mergeCell ref="N19:Q19"/>
    <mergeCell ref="T19:U19"/>
    <mergeCell ref="N30:Q30"/>
    <mergeCell ref="AB153:AC153"/>
    <mergeCell ref="N154:Q154"/>
    <mergeCell ref="N155:Q155"/>
    <mergeCell ref="N156:Q156"/>
    <mergeCell ref="N157:Q157"/>
    <mergeCell ref="N158:Q158"/>
    <mergeCell ref="N159:Q159"/>
    <mergeCell ref="N160:Q160"/>
    <mergeCell ref="M162:M163"/>
    <mergeCell ref="N162:U162"/>
    <mergeCell ref="N163:U163"/>
    <mergeCell ref="T165:U165"/>
    <mergeCell ref="N166:P166"/>
    <mergeCell ref="T166:U166"/>
    <mergeCell ref="N161:Q161"/>
    <mergeCell ref="N50:U50"/>
    <mergeCell ref="M51:V51"/>
    <mergeCell ref="M52:T52"/>
    <mergeCell ref="U52:V52"/>
    <mergeCell ref="O141:U141"/>
    <mergeCell ref="AB141:AD141"/>
    <mergeCell ref="AB67:AC67"/>
    <mergeCell ref="N68:Q68"/>
    <mergeCell ref="N69:Q69"/>
    <mergeCell ref="N70:Q70"/>
    <mergeCell ref="N71:Q71"/>
    <mergeCell ref="T106:U106"/>
    <mergeCell ref="AB110:AC110"/>
    <mergeCell ref="T107:U107"/>
    <mergeCell ref="T147:U147"/>
    <mergeCell ref="N148:Q148"/>
    <mergeCell ref="T148:U148"/>
    <mergeCell ref="AB184:AD184"/>
    <mergeCell ref="O185:U185"/>
    <mergeCell ref="M186:V186"/>
    <mergeCell ref="M187:V187"/>
    <mergeCell ref="AB187:AC187"/>
    <mergeCell ref="AB144:AC144"/>
    <mergeCell ref="N145:Q145"/>
    <mergeCell ref="T145:U145"/>
    <mergeCell ref="N146:Q146"/>
    <mergeCell ref="T149:U149"/>
    <mergeCell ref="N150:Q150"/>
    <mergeCell ref="T150:U150"/>
    <mergeCell ref="M151:M152"/>
    <mergeCell ref="N112:Q112"/>
    <mergeCell ref="N113:Q113"/>
    <mergeCell ref="N114:Q114"/>
    <mergeCell ref="N111:Q111"/>
    <mergeCell ref="N115:Q115"/>
    <mergeCell ref="N116:Q116"/>
    <mergeCell ref="N117:Q117"/>
    <mergeCell ref="N118:Q118"/>
    <mergeCell ref="M153:V153"/>
    <mergeCell ref="M164:V164"/>
    <mergeCell ref="N165:P165"/>
    <mergeCell ref="N172:U172"/>
    <mergeCell ref="M173:V173"/>
    <mergeCell ref="N151:U151"/>
    <mergeCell ref="N152:U152"/>
    <mergeCell ref="M144:V144"/>
    <mergeCell ref="T146:U146"/>
    <mergeCell ref="N147:Q147"/>
    <mergeCell ref="M171:M172"/>
    <mergeCell ref="AB196:AC196"/>
    <mergeCell ref="M213:V213"/>
    <mergeCell ref="M218:M219"/>
    <mergeCell ref="N218:U218"/>
    <mergeCell ref="N219:U219"/>
    <mergeCell ref="M220:V220"/>
    <mergeCell ref="N209:P209"/>
    <mergeCell ref="T209:U209"/>
    <mergeCell ref="N210:P210"/>
    <mergeCell ref="T210:U210"/>
    <mergeCell ref="M211:M212"/>
    <mergeCell ref="N211:U211"/>
    <mergeCell ref="N212:U212"/>
    <mergeCell ref="N206:P206"/>
    <mergeCell ref="N197:Q197"/>
    <mergeCell ref="N198:Q198"/>
    <mergeCell ref="N199:Q199"/>
    <mergeCell ref="N200:Q200"/>
    <mergeCell ref="N203:U203"/>
    <mergeCell ref="N204:U204"/>
    <mergeCell ref="M205:V205"/>
    <mergeCell ref="N149:Q149"/>
    <mergeCell ref="N167:P167"/>
    <mergeCell ref="N107:Q107"/>
    <mergeCell ref="O142:U142"/>
    <mergeCell ref="M135:M136"/>
    <mergeCell ref="N135:U135"/>
    <mergeCell ref="N136:U136"/>
    <mergeCell ref="M137:V137"/>
    <mergeCell ref="M138:T138"/>
    <mergeCell ref="U138:V138"/>
    <mergeCell ref="M121:V121"/>
    <mergeCell ref="N122:P122"/>
    <mergeCell ref="T122:U122"/>
    <mergeCell ref="N123:P123"/>
    <mergeCell ref="T123:U123"/>
    <mergeCell ref="N124:P124"/>
    <mergeCell ref="T124:U124"/>
    <mergeCell ref="N125:P125"/>
    <mergeCell ref="M143:V143"/>
    <mergeCell ref="N126:P126"/>
    <mergeCell ref="T126:U126"/>
    <mergeCell ref="N127:P127"/>
    <mergeCell ref="T127:U127"/>
    <mergeCell ref="M128:M129"/>
    <mergeCell ref="N128:U128"/>
    <mergeCell ref="N129:U129"/>
    <mergeCell ref="M130:V130"/>
    <mergeCell ref="AB97:AD97"/>
    <mergeCell ref="O98:U98"/>
    <mergeCell ref="AB98:AD98"/>
    <mergeCell ref="O99:U99"/>
    <mergeCell ref="M100:V100"/>
    <mergeCell ref="M101:V101"/>
    <mergeCell ref="AB101:AC101"/>
    <mergeCell ref="N102:Q102"/>
    <mergeCell ref="T102:U102"/>
    <mergeCell ref="N103:Q103"/>
    <mergeCell ref="T103:U103"/>
    <mergeCell ref="N104:Q104"/>
    <mergeCell ref="T104:U104"/>
    <mergeCell ref="N105:Q105"/>
    <mergeCell ref="T105:U105"/>
    <mergeCell ref="N106:Q106"/>
    <mergeCell ref="T125:U125"/>
    <mergeCell ref="M108:M109"/>
    <mergeCell ref="N108:U108"/>
    <mergeCell ref="N109:U109"/>
    <mergeCell ref="M110:V110"/>
    <mergeCell ref="M119:M120"/>
    <mergeCell ref="N119:U119"/>
    <mergeCell ref="N120:U120"/>
    <mergeCell ref="AB233:AD233"/>
    <mergeCell ref="O234:U234"/>
    <mergeCell ref="M235:V235"/>
    <mergeCell ref="M236:V236"/>
    <mergeCell ref="AB236:AC236"/>
    <mergeCell ref="N237:Q237"/>
    <mergeCell ref="T237:U237"/>
    <mergeCell ref="N238:Q238"/>
    <mergeCell ref="T238:U238"/>
    <mergeCell ref="N239:Q239"/>
    <mergeCell ref="T239:U239"/>
    <mergeCell ref="N240:Q240"/>
    <mergeCell ref="T240:U240"/>
    <mergeCell ref="N241:Q241"/>
    <mergeCell ref="T241:U241"/>
    <mergeCell ref="N242:Q242"/>
    <mergeCell ref="T242:U242"/>
    <mergeCell ref="AB245:AC245"/>
    <mergeCell ref="N246:Q246"/>
    <mergeCell ref="N247:Q247"/>
    <mergeCell ref="N248:Q248"/>
    <mergeCell ref="N249:Q249"/>
    <mergeCell ref="N250:Q250"/>
    <mergeCell ref="N251:Q251"/>
    <mergeCell ref="M252:M253"/>
    <mergeCell ref="N252:U252"/>
    <mergeCell ref="N253:U253"/>
    <mergeCell ref="M254:V254"/>
    <mergeCell ref="N255:P255"/>
    <mergeCell ref="T255:U255"/>
    <mergeCell ref="N256:P256"/>
    <mergeCell ref="T256:U256"/>
    <mergeCell ref="M272:S272"/>
    <mergeCell ref="U272:V272"/>
    <mergeCell ref="U274:V274"/>
    <mergeCell ref="M275:S275"/>
    <mergeCell ref="U275:V275"/>
    <mergeCell ref="M276:T276"/>
    <mergeCell ref="U276:V276"/>
    <mergeCell ref="U277:V277"/>
    <mergeCell ref="M278:T278"/>
    <mergeCell ref="U278:V278"/>
    <mergeCell ref="N257:P257"/>
    <mergeCell ref="T257:U257"/>
    <mergeCell ref="N258:P258"/>
    <mergeCell ref="T258:U258"/>
    <mergeCell ref="N259:P259"/>
    <mergeCell ref="T259:U259"/>
    <mergeCell ref="M260:M261"/>
    <mergeCell ref="N260:U260"/>
    <mergeCell ref="N261:U261"/>
    <mergeCell ref="M262:V262"/>
    <mergeCell ref="M266:M267"/>
    <mergeCell ref="N266:U266"/>
    <mergeCell ref="N267:U267"/>
    <mergeCell ref="M268:V268"/>
    <mergeCell ref="M269:T269"/>
    <mergeCell ref="U269:V269"/>
    <mergeCell ref="M271:V271"/>
    <mergeCell ref="O329:U329"/>
    <mergeCell ref="AB329:AD329"/>
    <mergeCell ref="O330:U330"/>
    <mergeCell ref="M331:V331"/>
    <mergeCell ref="M332:V332"/>
    <mergeCell ref="AB332:AC332"/>
    <mergeCell ref="N333:Q333"/>
    <mergeCell ref="T333:U333"/>
    <mergeCell ref="N334:Q334"/>
    <mergeCell ref="T334:U334"/>
    <mergeCell ref="N335:Q335"/>
    <mergeCell ref="T335:U335"/>
    <mergeCell ref="N336:Q336"/>
    <mergeCell ref="T336:U336"/>
    <mergeCell ref="N337:Q337"/>
    <mergeCell ref="T337:U337"/>
    <mergeCell ref="N338:Q338"/>
    <mergeCell ref="T338:U338"/>
    <mergeCell ref="M339:M340"/>
    <mergeCell ref="N339:U339"/>
    <mergeCell ref="N340:U340"/>
    <mergeCell ref="M341:V341"/>
    <mergeCell ref="AB341:AC341"/>
    <mergeCell ref="N342:Q342"/>
    <mergeCell ref="N343:Q343"/>
    <mergeCell ref="N344:Q344"/>
    <mergeCell ref="N345:Q345"/>
    <mergeCell ref="N346:Q346"/>
    <mergeCell ref="N347:Q347"/>
    <mergeCell ref="M348:M349"/>
    <mergeCell ref="N348:U348"/>
    <mergeCell ref="N349:U349"/>
    <mergeCell ref="M350:V350"/>
    <mergeCell ref="N351:P351"/>
    <mergeCell ref="T351:U351"/>
    <mergeCell ref="N352:P352"/>
    <mergeCell ref="T352:U352"/>
    <mergeCell ref="N353:P353"/>
    <mergeCell ref="T353:U353"/>
    <mergeCell ref="N354:P354"/>
    <mergeCell ref="T354:U354"/>
    <mergeCell ref="N355:P355"/>
    <mergeCell ref="T355:U355"/>
    <mergeCell ref="M356:M357"/>
    <mergeCell ref="N356:U356"/>
    <mergeCell ref="N357:U357"/>
    <mergeCell ref="M358:V358"/>
    <mergeCell ref="M362:M363"/>
    <mergeCell ref="N362:U362"/>
    <mergeCell ref="N363:U363"/>
    <mergeCell ref="M364:V364"/>
    <mergeCell ref="M365:T365"/>
    <mergeCell ref="U365:V365"/>
    <mergeCell ref="M367:V367"/>
    <mergeCell ref="M368:S368"/>
    <mergeCell ref="U368:V368"/>
    <mergeCell ref="M369:S369"/>
    <mergeCell ref="U369:V369"/>
    <mergeCell ref="M370:S370"/>
    <mergeCell ref="U370:V370"/>
    <mergeCell ref="M371:S371"/>
    <mergeCell ref="U371:V371"/>
    <mergeCell ref="M372:T372"/>
    <mergeCell ref="U372:V372"/>
    <mergeCell ref="U373:V373"/>
    <mergeCell ref="M374:T374"/>
    <mergeCell ref="U374:V374"/>
    <mergeCell ref="O813:U813"/>
    <mergeCell ref="AB813:AD813"/>
    <mergeCell ref="O814:U814"/>
    <mergeCell ref="AB569:AD569"/>
    <mergeCell ref="M557:T557"/>
    <mergeCell ref="U557:V557"/>
    <mergeCell ref="N532:U532"/>
    <mergeCell ref="T545:U545"/>
    <mergeCell ref="N546:P546"/>
    <mergeCell ref="T546:U546"/>
    <mergeCell ref="M559:V559"/>
    <mergeCell ref="M554:M555"/>
    <mergeCell ref="N555:U555"/>
    <mergeCell ref="M556:V556"/>
    <mergeCell ref="M563:S563"/>
    <mergeCell ref="M564:T564"/>
    <mergeCell ref="M566:T566"/>
    <mergeCell ref="U563:V563"/>
    <mergeCell ref="N823:U823"/>
    <mergeCell ref="N824:U824"/>
    <mergeCell ref="M825:V825"/>
    <mergeCell ref="AB825:AC825"/>
    <mergeCell ref="N826:Q826"/>
    <mergeCell ref="N827:Q827"/>
    <mergeCell ref="N828:Q828"/>
    <mergeCell ref="N829:Q829"/>
    <mergeCell ref="N830:Q830"/>
    <mergeCell ref="N831:Q831"/>
    <mergeCell ref="M832:M833"/>
    <mergeCell ref="N832:U832"/>
    <mergeCell ref="N833:U833"/>
    <mergeCell ref="M834:V834"/>
    <mergeCell ref="N835:P835"/>
    <mergeCell ref="T835:U835"/>
    <mergeCell ref="N836:P836"/>
    <mergeCell ref="T836:U836"/>
    <mergeCell ref="N837:P837"/>
    <mergeCell ref="T837:U837"/>
    <mergeCell ref="N838:P838"/>
    <mergeCell ref="T838:U838"/>
    <mergeCell ref="N839:P839"/>
    <mergeCell ref="T839:U839"/>
    <mergeCell ref="M840:M841"/>
    <mergeCell ref="N840:U840"/>
    <mergeCell ref="N841:U841"/>
    <mergeCell ref="M842:V842"/>
    <mergeCell ref="M847:M848"/>
    <mergeCell ref="N847:U847"/>
    <mergeCell ref="N848:U848"/>
    <mergeCell ref="M849:V849"/>
    <mergeCell ref="M850:T850"/>
    <mergeCell ref="U850:V850"/>
    <mergeCell ref="M852:V852"/>
    <mergeCell ref="M853:S853"/>
    <mergeCell ref="U853:V853"/>
    <mergeCell ref="M854:S854"/>
    <mergeCell ref="U854:V854"/>
    <mergeCell ref="M855:S855"/>
    <mergeCell ref="U855:V855"/>
    <mergeCell ref="M856:S856"/>
    <mergeCell ref="U856:V856"/>
    <mergeCell ref="M857:T857"/>
    <mergeCell ref="U857:V857"/>
    <mergeCell ref="U858:V858"/>
    <mergeCell ref="M859:T859"/>
    <mergeCell ref="U859:V859"/>
    <mergeCell ref="O862:U862"/>
    <mergeCell ref="AB862:AD862"/>
    <mergeCell ref="O863:U863"/>
    <mergeCell ref="M864:V864"/>
    <mergeCell ref="M865:V865"/>
    <mergeCell ref="AB865:AC865"/>
    <mergeCell ref="N866:Q866"/>
    <mergeCell ref="T866:U866"/>
    <mergeCell ref="N867:Q867"/>
    <mergeCell ref="T867:U867"/>
    <mergeCell ref="N868:Q868"/>
    <mergeCell ref="T868:U868"/>
    <mergeCell ref="N869:Q869"/>
    <mergeCell ref="T869:U869"/>
    <mergeCell ref="N870:Q870"/>
    <mergeCell ref="T870:U870"/>
    <mergeCell ref="N871:Q871"/>
    <mergeCell ref="T871:U871"/>
    <mergeCell ref="M872:M873"/>
    <mergeCell ref="N872:U872"/>
    <mergeCell ref="N873:U873"/>
    <mergeCell ref="M874:V874"/>
    <mergeCell ref="AB874:AC874"/>
    <mergeCell ref="N875:Q875"/>
    <mergeCell ref="N876:Q876"/>
    <mergeCell ref="N877:Q877"/>
    <mergeCell ref="N878:Q878"/>
    <mergeCell ref="N879:Q879"/>
    <mergeCell ref="N880:Q880"/>
    <mergeCell ref="M881:M882"/>
    <mergeCell ref="N881:U881"/>
    <mergeCell ref="N882:U882"/>
    <mergeCell ref="M883:V883"/>
    <mergeCell ref="N884:P884"/>
    <mergeCell ref="T884:U884"/>
    <mergeCell ref="N885:P885"/>
    <mergeCell ref="T885:U885"/>
    <mergeCell ref="N886:P886"/>
    <mergeCell ref="T886:U886"/>
    <mergeCell ref="N887:P887"/>
    <mergeCell ref="T887:U887"/>
    <mergeCell ref="N888:P888"/>
    <mergeCell ref="T888:U888"/>
    <mergeCell ref="M889:M890"/>
    <mergeCell ref="N889:U889"/>
    <mergeCell ref="N890:U890"/>
    <mergeCell ref="M891:V891"/>
    <mergeCell ref="M896:M897"/>
    <mergeCell ref="N896:U896"/>
    <mergeCell ref="N897:U897"/>
    <mergeCell ref="M898:V898"/>
    <mergeCell ref="M899:T899"/>
    <mergeCell ref="U899:V899"/>
    <mergeCell ref="M901:V901"/>
    <mergeCell ref="M902:S902"/>
    <mergeCell ref="U902:V902"/>
    <mergeCell ref="M903:S903"/>
    <mergeCell ref="U903:V903"/>
    <mergeCell ref="M904:S904"/>
    <mergeCell ref="U904:V904"/>
    <mergeCell ref="M905:S905"/>
    <mergeCell ref="U905:V905"/>
    <mergeCell ref="M906:T906"/>
    <mergeCell ref="U906:V906"/>
    <mergeCell ref="U907:V907"/>
    <mergeCell ref="M908:T908"/>
    <mergeCell ref="U908:V908"/>
    <mergeCell ref="O911:U911"/>
    <mergeCell ref="AB911:AD911"/>
    <mergeCell ref="O912:U912"/>
    <mergeCell ref="M913:V913"/>
    <mergeCell ref="M914:V914"/>
    <mergeCell ref="AB914:AC914"/>
    <mergeCell ref="N915:Q915"/>
    <mergeCell ref="T915:U915"/>
    <mergeCell ref="N916:Q916"/>
    <mergeCell ref="T916:U916"/>
    <mergeCell ref="N917:Q917"/>
    <mergeCell ref="T917:U917"/>
    <mergeCell ref="N918:Q918"/>
    <mergeCell ref="T918:U918"/>
    <mergeCell ref="N919:Q919"/>
    <mergeCell ref="T919:U919"/>
    <mergeCell ref="N920:Q920"/>
    <mergeCell ref="T920:U920"/>
    <mergeCell ref="M921:M922"/>
    <mergeCell ref="N921:U921"/>
    <mergeCell ref="N922:U922"/>
    <mergeCell ref="M923:V923"/>
    <mergeCell ref="AB923:AC923"/>
    <mergeCell ref="N924:Q924"/>
    <mergeCell ref="N925:Q925"/>
    <mergeCell ref="N926:Q926"/>
    <mergeCell ref="N927:Q927"/>
    <mergeCell ref="N928:Q928"/>
    <mergeCell ref="N929:Q929"/>
    <mergeCell ref="M930:M931"/>
    <mergeCell ref="N930:U930"/>
    <mergeCell ref="N931:U931"/>
    <mergeCell ref="M932:V932"/>
    <mergeCell ref="N933:P933"/>
    <mergeCell ref="T933:U933"/>
    <mergeCell ref="N934:P934"/>
    <mergeCell ref="T934:U934"/>
    <mergeCell ref="N935:P935"/>
    <mergeCell ref="T935:U935"/>
    <mergeCell ref="N936:P936"/>
    <mergeCell ref="T936:U936"/>
    <mergeCell ref="N937:P937"/>
    <mergeCell ref="T937:U937"/>
    <mergeCell ref="M938:M939"/>
    <mergeCell ref="N938:U938"/>
    <mergeCell ref="N939:U939"/>
    <mergeCell ref="M940:V940"/>
    <mergeCell ref="M945:M946"/>
    <mergeCell ref="N945:U945"/>
    <mergeCell ref="N946:U946"/>
    <mergeCell ref="M947:V947"/>
    <mergeCell ref="M948:T948"/>
    <mergeCell ref="U948:V948"/>
    <mergeCell ref="M950:V950"/>
    <mergeCell ref="M951:S951"/>
    <mergeCell ref="U951:V951"/>
    <mergeCell ref="M952:S952"/>
    <mergeCell ref="U952:V952"/>
    <mergeCell ref="M953:S953"/>
    <mergeCell ref="U953:V953"/>
    <mergeCell ref="M954:S954"/>
    <mergeCell ref="U954:V954"/>
    <mergeCell ref="M955:T955"/>
    <mergeCell ref="U955:V955"/>
    <mergeCell ref="U956:V956"/>
    <mergeCell ref="M957:T957"/>
    <mergeCell ref="U957:V957"/>
    <mergeCell ref="O960:U960"/>
    <mergeCell ref="AB960:AD960"/>
    <mergeCell ref="O961:U961"/>
    <mergeCell ref="M962:V962"/>
    <mergeCell ref="M963:V963"/>
    <mergeCell ref="AB963:AC963"/>
    <mergeCell ref="N964:Q964"/>
    <mergeCell ref="T964:U964"/>
    <mergeCell ref="N965:Q965"/>
    <mergeCell ref="T965:U965"/>
    <mergeCell ref="N966:Q966"/>
    <mergeCell ref="T966:U966"/>
    <mergeCell ref="N967:Q967"/>
    <mergeCell ref="T967:U967"/>
    <mergeCell ref="N968:Q968"/>
    <mergeCell ref="T968:U968"/>
    <mergeCell ref="N969:Q969"/>
    <mergeCell ref="T969:U969"/>
    <mergeCell ref="M970:M971"/>
    <mergeCell ref="N970:U970"/>
    <mergeCell ref="N971:U971"/>
    <mergeCell ref="M972:V972"/>
    <mergeCell ref="AB972:AC972"/>
    <mergeCell ref="N973:Q973"/>
    <mergeCell ref="N974:Q974"/>
    <mergeCell ref="N975:Q975"/>
    <mergeCell ref="N976:Q976"/>
    <mergeCell ref="N977:Q977"/>
    <mergeCell ref="N978:Q978"/>
    <mergeCell ref="M979:M980"/>
    <mergeCell ref="N979:U979"/>
    <mergeCell ref="N980:U980"/>
    <mergeCell ref="M981:V981"/>
    <mergeCell ref="N982:P982"/>
    <mergeCell ref="T982:U982"/>
    <mergeCell ref="N983:P983"/>
    <mergeCell ref="T983:U983"/>
    <mergeCell ref="N984:P984"/>
    <mergeCell ref="T984:U984"/>
    <mergeCell ref="N985:P985"/>
    <mergeCell ref="T985:U985"/>
    <mergeCell ref="N986:P986"/>
    <mergeCell ref="T986:U986"/>
    <mergeCell ref="M987:M988"/>
    <mergeCell ref="N987:U987"/>
    <mergeCell ref="N988:U988"/>
    <mergeCell ref="M989:V989"/>
    <mergeCell ref="M994:M995"/>
    <mergeCell ref="N994:U994"/>
    <mergeCell ref="N995:U995"/>
    <mergeCell ref="M996:V996"/>
    <mergeCell ref="M997:T997"/>
    <mergeCell ref="U997:V997"/>
    <mergeCell ref="M999:V999"/>
    <mergeCell ref="M1000:S1000"/>
    <mergeCell ref="U1000:V1000"/>
    <mergeCell ref="M1001:S1001"/>
    <mergeCell ref="U1001:V1001"/>
    <mergeCell ref="M1002:S1002"/>
    <mergeCell ref="U1002:V1002"/>
    <mergeCell ref="M1003:S1003"/>
    <mergeCell ref="U1003:V1003"/>
    <mergeCell ref="M1004:T1004"/>
    <mergeCell ref="U1004:V1004"/>
    <mergeCell ref="U1005:V1005"/>
    <mergeCell ref="M1006:T1006"/>
    <mergeCell ref="U1006:V1006"/>
    <mergeCell ref="O1009:U1009"/>
    <mergeCell ref="AB1009:AD1009"/>
    <mergeCell ref="O1010:U1010"/>
    <mergeCell ref="M1011:V1011"/>
    <mergeCell ref="M1012:V1012"/>
    <mergeCell ref="AB1012:AC1012"/>
    <mergeCell ref="N1013:Q1013"/>
    <mergeCell ref="T1013:U1013"/>
    <mergeCell ref="N1014:Q1014"/>
    <mergeCell ref="T1014:U1014"/>
    <mergeCell ref="N1015:Q1015"/>
    <mergeCell ref="T1015:U1015"/>
    <mergeCell ref="N1016:Q1016"/>
    <mergeCell ref="T1016:U1016"/>
    <mergeCell ref="N1017:Q1017"/>
    <mergeCell ref="T1017:U1017"/>
    <mergeCell ref="N1018:Q1018"/>
    <mergeCell ref="T1018:U1018"/>
    <mergeCell ref="M1019:M1020"/>
    <mergeCell ref="N1019:U1019"/>
    <mergeCell ref="N1020:U1020"/>
    <mergeCell ref="M1021:V1021"/>
    <mergeCell ref="AB1021:AC1021"/>
    <mergeCell ref="N1022:Q1022"/>
    <mergeCell ref="N1023:Q1023"/>
    <mergeCell ref="N1024:Q1024"/>
    <mergeCell ref="N1025:Q1025"/>
    <mergeCell ref="N1026:Q1026"/>
    <mergeCell ref="N1027:Q1027"/>
    <mergeCell ref="M1028:M1029"/>
    <mergeCell ref="N1028:U1028"/>
    <mergeCell ref="N1029:U1029"/>
    <mergeCell ref="M1030:V1030"/>
    <mergeCell ref="N1031:P1031"/>
    <mergeCell ref="T1031:U1031"/>
    <mergeCell ref="N1032:P1032"/>
    <mergeCell ref="T1032:U1032"/>
    <mergeCell ref="N1033:P1033"/>
    <mergeCell ref="T1033:U1033"/>
    <mergeCell ref="N1034:P1034"/>
    <mergeCell ref="T1034:U1034"/>
    <mergeCell ref="N1035:P1035"/>
    <mergeCell ref="T1035:U1035"/>
    <mergeCell ref="M1036:M1037"/>
    <mergeCell ref="N1036:U1036"/>
    <mergeCell ref="N1037:U1037"/>
    <mergeCell ref="M1038:V1038"/>
    <mergeCell ref="M1043:M1044"/>
    <mergeCell ref="N1043:U1043"/>
    <mergeCell ref="N1044:U1044"/>
    <mergeCell ref="M1045:V1045"/>
    <mergeCell ref="M1046:T1046"/>
    <mergeCell ref="U1046:V1046"/>
    <mergeCell ref="M1048:V1048"/>
    <mergeCell ref="M1049:S1049"/>
    <mergeCell ref="U1049:V1049"/>
    <mergeCell ref="M1050:S1050"/>
    <mergeCell ref="U1050:V1050"/>
    <mergeCell ref="M1051:S1051"/>
    <mergeCell ref="U1051:V1051"/>
    <mergeCell ref="M1052:S1052"/>
    <mergeCell ref="U1052:V1052"/>
    <mergeCell ref="M1053:T1053"/>
    <mergeCell ref="U1053:V1053"/>
    <mergeCell ref="U1054:V1054"/>
    <mergeCell ref="M1055:T1055"/>
    <mergeCell ref="U1055:V1055"/>
    <mergeCell ref="O1058:U1058"/>
    <mergeCell ref="AB1058:AD1058"/>
    <mergeCell ref="O1059:U1059"/>
    <mergeCell ref="M1060:V1060"/>
    <mergeCell ref="M1061:V1061"/>
    <mergeCell ref="AB1061:AC1061"/>
    <mergeCell ref="N1062:Q1062"/>
    <mergeCell ref="T1062:U1062"/>
    <mergeCell ref="N1063:Q1063"/>
    <mergeCell ref="T1063:U1063"/>
    <mergeCell ref="N1064:Q1064"/>
    <mergeCell ref="T1064:U1064"/>
    <mergeCell ref="N1065:Q1065"/>
    <mergeCell ref="T1065:U1065"/>
    <mergeCell ref="N1066:Q1066"/>
    <mergeCell ref="T1066:U1066"/>
    <mergeCell ref="N1067:Q1067"/>
    <mergeCell ref="T1067:U1067"/>
    <mergeCell ref="M1068:M1069"/>
    <mergeCell ref="N1068:U1068"/>
    <mergeCell ref="N1069:U1069"/>
    <mergeCell ref="M1070:V1070"/>
    <mergeCell ref="AB1070:AC1070"/>
    <mergeCell ref="N1071:Q1071"/>
    <mergeCell ref="N1072:Q1072"/>
    <mergeCell ref="N1073:Q1073"/>
    <mergeCell ref="N1074:Q1074"/>
    <mergeCell ref="N1075:Q1075"/>
    <mergeCell ref="N1076:Q1076"/>
    <mergeCell ref="M1077:M1078"/>
    <mergeCell ref="N1077:U1077"/>
    <mergeCell ref="N1078:U1078"/>
    <mergeCell ref="M1079:V1079"/>
    <mergeCell ref="N1080:P1080"/>
    <mergeCell ref="T1080:U1080"/>
    <mergeCell ref="N1081:P1081"/>
    <mergeCell ref="T1081:U1081"/>
    <mergeCell ref="N1082:P1082"/>
    <mergeCell ref="T1082:U1082"/>
    <mergeCell ref="N1083:P1083"/>
    <mergeCell ref="T1083:U1083"/>
    <mergeCell ref="N1084:P1084"/>
    <mergeCell ref="T1084:U1084"/>
    <mergeCell ref="M1085:M1086"/>
    <mergeCell ref="N1085:U1085"/>
    <mergeCell ref="N1086:U1086"/>
    <mergeCell ref="M1087:V1087"/>
    <mergeCell ref="M1092:M1093"/>
    <mergeCell ref="N1092:U1092"/>
    <mergeCell ref="N1093:U1093"/>
    <mergeCell ref="M1094:V1094"/>
    <mergeCell ref="M1095:T1095"/>
    <mergeCell ref="U1095:V1095"/>
    <mergeCell ref="M1097:V1097"/>
    <mergeCell ref="M1098:S1098"/>
    <mergeCell ref="U1098:V1098"/>
    <mergeCell ref="M1099:S1099"/>
    <mergeCell ref="U1099:V1099"/>
    <mergeCell ref="M1100:S1100"/>
    <mergeCell ref="U1100:V1100"/>
    <mergeCell ref="M1101:S1101"/>
    <mergeCell ref="U1101:V1101"/>
    <mergeCell ref="M1102:T1102"/>
    <mergeCell ref="U1102:V1102"/>
    <mergeCell ref="U1103:V1103"/>
    <mergeCell ref="M1104:T1104"/>
    <mergeCell ref="U1104:V1104"/>
    <mergeCell ref="O1107:U1107"/>
    <mergeCell ref="AB1107:AD1107"/>
    <mergeCell ref="O1108:U1108"/>
    <mergeCell ref="M1109:V1109"/>
    <mergeCell ref="M1110:V1110"/>
    <mergeCell ref="AB1110:AC1110"/>
    <mergeCell ref="N1111:Q1111"/>
    <mergeCell ref="T1111:U1111"/>
    <mergeCell ref="N1112:Q1112"/>
    <mergeCell ref="T1112:U1112"/>
    <mergeCell ref="N1113:Q1113"/>
    <mergeCell ref="T1113:U1113"/>
    <mergeCell ref="N1114:Q1114"/>
    <mergeCell ref="T1114:U1114"/>
    <mergeCell ref="N1115:Q1115"/>
    <mergeCell ref="T1115:U1115"/>
    <mergeCell ref="N1116:Q1116"/>
    <mergeCell ref="T1116:U1116"/>
    <mergeCell ref="M1117:M1118"/>
    <mergeCell ref="N1117:U1117"/>
    <mergeCell ref="N1118:U1118"/>
    <mergeCell ref="M1119:V1119"/>
    <mergeCell ref="AB1119:AC1119"/>
    <mergeCell ref="N1120:Q1120"/>
    <mergeCell ref="N1121:Q1121"/>
    <mergeCell ref="N1122:Q1122"/>
    <mergeCell ref="N1123:Q1123"/>
    <mergeCell ref="N1124:Q1124"/>
    <mergeCell ref="N1125:Q1125"/>
    <mergeCell ref="M1126:M1127"/>
    <mergeCell ref="N1126:U1126"/>
    <mergeCell ref="N1127:U1127"/>
    <mergeCell ref="M1128:V1128"/>
    <mergeCell ref="N1129:P1129"/>
    <mergeCell ref="T1129:U1129"/>
    <mergeCell ref="N1130:P1130"/>
    <mergeCell ref="T1130:U1130"/>
    <mergeCell ref="N1131:P1131"/>
    <mergeCell ref="T1131:U1131"/>
    <mergeCell ref="N1132:P1132"/>
    <mergeCell ref="T1132:U1132"/>
    <mergeCell ref="N1133:P1133"/>
    <mergeCell ref="T1133:U1133"/>
    <mergeCell ref="M1134:M1135"/>
    <mergeCell ref="N1134:U1134"/>
    <mergeCell ref="N1135:U1135"/>
    <mergeCell ref="M1136:V1136"/>
    <mergeCell ref="M1141:M1142"/>
    <mergeCell ref="N1141:U1141"/>
    <mergeCell ref="N1142:U1142"/>
    <mergeCell ref="M1143:V1143"/>
    <mergeCell ref="M1144:T1144"/>
    <mergeCell ref="U1144:V1144"/>
    <mergeCell ref="M1146:V1146"/>
    <mergeCell ref="M1147:S1147"/>
    <mergeCell ref="U1147:V1147"/>
    <mergeCell ref="M1148:S1148"/>
    <mergeCell ref="U1148:V1148"/>
    <mergeCell ref="M1149:S1149"/>
    <mergeCell ref="U1149:V1149"/>
    <mergeCell ref="M1150:S1150"/>
    <mergeCell ref="U1150:V1150"/>
    <mergeCell ref="M1151:T1151"/>
    <mergeCell ref="U1151:V1151"/>
    <mergeCell ref="U1152:V1152"/>
    <mergeCell ref="M1153:T1153"/>
    <mergeCell ref="U1153:V1153"/>
    <mergeCell ref="O1156:U1156"/>
    <mergeCell ref="AB1156:AD1156"/>
    <mergeCell ref="O1157:U1157"/>
    <mergeCell ref="M1158:V1158"/>
    <mergeCell ref="M1159:V1159"/>
    <mergeCell ref="AB1159:AC1159"/>
    <mergeCell ref="N1160:Q1160"/>
    <mergeCell ref="T1160:U1160"/>
    <mergeCell ref="N1161:Q1161"/>
    <mergeCell ref="T1161:U1161"/>
    <mergeCell ref="N1162:Q1162"/>
    <mergeCell ref="T1162:U1162"/>
    <mergeCell ref="N1163:Q1163"/>
    <mergeCell ref="T1163:U1163"/>
    <mergeCell ref="N1164:Q1164"/>
    <mergeCell ref="T1164:U1164"/>
    <mergeCell ref="N1165:Q1165"/>
    <mergeCell ref="T1165:U1165"/>
    <mergeCell ref="M1166:M1167"/>
    <mergeCell ref="N1166:U1166"/>
    <mergeCell ref="N1167:U1167"/>
    <mergeCell ref="M1168:V1168"/>
    <mergeCell ref="AB1168:AC1168"/>
    <mergeCell ref="N1169:Q1169"/>
    <mergeCell ref="N1170:Q1170"/>
    <mergeCell ref="N1171:Q1171"/>
    <mergeCell ref="N1172:Q1172"/>
    <mergeCell ref="N1173:Q1173"/>
    <mergeCell ref="N1174:Q1174"/>
    <mergeCell ref="M1175:M1176"/>
    <mergeCell ref="N1175:U1175"/>
    <mergeCell ref="N1176:U1176"/>
    <mergeCell ref="M1177:V1177"/>
    <mergeCell ref="N1178:P1178"/>
    <mergeCell ref="T1178:U1178"/>
    <mergeCell ref="N1179:P1179"/>
    <mergeCell ref="T1179:U1179"/>
    <mergeCell ref="N1180:P1180"/>
    <mergeCell ref="T1180:U1180"/>
    <mergeCell ref="N1181:P1181"/>
    <mergeCell ref="T1181:U1181"/>
    <mergeCell ref="N1182:P1182"/>
    <mergeCell ref="T1182:U1182"/>
    <mergeCell ref="M1183:M1184"/>
    <mergeCell ref="N1183:U1183"/>
    <mergeCell ref="N1184:U1184"/>
    <mergeCell ref="M1185:V1185"/>
    <mergeCell ref="M1190:M1191"/>
    <mergeCell ref="N1190:U1190"/>
    <mergeCell ref="N1191:U1191"/>
    <mergeCell ref="M1192:V1192"/>
    <mergeCell ref="M1193:T1193"/>
    <mergeCell ref="U1193:V1193"/>
    <mergeCell ref="M1195:V1195"/>
    <mergeCell ref="M1196:S1196"/>
    <mergeCell ref="U1196:V1196"/>
    <mergeCell ref="M1197:S1197"/>
    <mergeCell ref="U1197:V1197"/>
    <mergeCell ref="M1198:S1198"/>
    <mergeCell ref="U1198:V1198"/>
    <mergeCell ref="M1199:S1199"/>
    <mergeCell ref="U1199:V1199"/>
    <mergeCell ref="M1200:T1200"/>
    <mergeCell ref="U1200:V1200"/>
    <mergeCell ref="U1201:V1201"/>
    <mergeCell ref="M1202:T1202"/>
    <mergeCell ref="U1202:V1202"/>
    <mergeCell ref="O1205:U1205"/>
    <mergeCell ref="AB1205:AD1205"/>
    <mergeCell ref="O1206:U1206"/>
    <mergeCell ref="M1207:V1207"/>
    <mergeCell ref="M1208:V1208"/>
    <mergeCell ref="AB1208:AC1208"/>
    <mergeCell ref="N1209:Q1209"/>
    <mergeCell ref="T1209:U1209"/>
    <mergeCell ref="N1210:Q1210"/>
    <mergeCell ref="T1210:U1210"/>
    <mergeCell ref="N1211:Q1211"/>
    <mergeCell ref="T1211:U1211"/>
    <mergeCell ref="N1212:Q1212"/>
    <mergeCell ref="T1212:U1212"/>
    <mergeCell ref="N1213:Q1213"/>
    <mergeCell ref="T1213:U1213"/>
    <mergeCell ref="N1214:Q1214"/>
    <mergeCell ref="T1214:U1214"/>
    <mergeCell ref="M1215:M1216"/>
    <mergeCell ref="N1215:U1215"/>
    <mergeCell ref="N1216:U1216"/>
    <mergeCell ref="M1217:V1217"/>
    <mergeCell ref="AB1217:AC1217"/>
    <mergeCell ref="N1218:Q1218"/>
    <mergeCell ref="N1219:Q1219"/>
    <mergeCell ref="N1220:Q1220"/>
    <mergeCell ref="N1221:Q1221"/>
    <mergeCell ref="N1222:Q1222"/>
    <mergeCell ref="N1223:Q1223"/>
    <mergeCell ref="M1224:M1225"/>
    <mergeCell ref="N1224:U1224"/>
    <mergeCell ref="N1225:U1225"/>
    <mergeCell ref="M1226:V1226"/>
    <mergeCell ref="N1227:P1227"/>
    <mergeCell ref="T1227:U1227"/>
    <mergeCell ref="N1228:P1228"/>
    <mergeCell ref="T1228:U1228"/>
    <mergeCell ref="N1229:P1229"/>
    <mergeCell ref="T1229:U1229"/>
    <mergeCell ref="N1230:P1230"/>
    <mergeCell ref="T1230:U1230"/>
    <mergeCell ref="N1231:P1231"/>
    <mergeCell ref="T1231:U1231"/>
    <mergeCell ref="M1232:M1233"/>
    <mergeCell ref="N1232:U1232"/>
    <mergeCell ref="N1233:U1233"/>
    <mergeCell ref="M1234:V1234"/>
    <mergeCell ref="M1239:M1240"/>
    <mergeCell ref="N1239:U1239"/>
    <mergeCell ref="N1240:U1240"/>
    <mergeCell ref="M1241:V1241"/>
    <mergeCell ref="M1242:T1242"/>
    <mergeCell ref="U1242:V1242"/>
    <mergeCell ref="M1244:V1244"/>
    <mergeCell ref="M1245:S1245"/>
    <mergeCell ref="U1245:V1245"/>
    <mergeCell ref="M1246:S1246"/>
    <mergeCell ref="U1246:V1246"/>
    <mergeCell ref="M1247:S1247"/>
    <mergeCell ref="U1247:V1247"/>
    <mergeCell ref="M1248:S1248"/>
    <mergeCell ref="U1248:V1248"/>
    <mergeCell ref="M1249:T1249"/>
    <mergeCell ref="U1249:V1249"/>
    <mergeCell ref="U1250:V1250"/>
    <mergeCell ref="M1251:T1251"/>
    <mergeCell ref="U1251:V1251"/>
    <mergeCell ref="O1254:U1254"/>
    <mergeCell ref="AB1254:AD1254"/>
    <mergeCell ref="O1255:U1255"/>
    <mergeCell ref="M1256:V1256"/>
    <mergeCell ref="M1257:V1257"/>
    <mergeCell ref="AB1257:AC1257"/>
    <mergeCell ref="N1258:Q1258"/>
    <mergeCell ref="T1258:U1258"/>
    <mergeCell ref="N1259:Q1259"/>
    <mergeCell ref="T1259:U1259"/>
    <mergeCell ref="N1260:Q1260"/>
    <mergeCell ref="T1260:U1260"/>
    <mergeCell ref="N1261:Q1261"/>
    <mergeCell ref="T1261:U1261"/>
    <mergeCell ref="N1262:Q1262"/>
    <mergeCell ref="T1262:U1262"/>
    <mergeCell ref="N1263:Q1263"/>
    <mergeCell ref="T1263:U1263"/>
    <mergeCell ref="M1264:M1265"/>
    <mergeCell ref="N1264:U1264"/>
    <mergeCell ref="N1265:U1265"/>
    <mergeCell ref="M1266:V1266"/>
    <mergeCell ref="AB1266:AC1266"/>
    <mergeCell ref="N1267:Q1267"/>
    <mergeCell ref="N1268:Q1268"/>
    <mergeCell ref="N1269:Q1269"/>
    <mergeCell ref="N1270:Q1270"/>
    <mergeCell ref="N1271:Q1271"/>
    <mergeCell ref="N1272:Q1272"/>
    <mergeCell ref="M1273:M1274"/>
    <mergeCell ref="N1273:U1273"/>
    <mergeCell ref="N1274:U1274"/>
    <mergeCell ref="M1275:V1275"/>
    <mergeCell ref="N1276:P1276"/>
    <mergeCell ref="T1276:U1276"/>
    <mergeCell ref="N1277:P1277"/>
    <mergeCell ref="T1277:U1277"/>
    <mergeCell ref="N1278:P1278"/>
    <mergeCell ref="T1278:U1278"/>
    <mergeCell ref="N1279:P1279"/>
    <mergeCell ref="T1279:U1279"/>
    <mergeCell ref="N1280:P1280"/>
    <mergeCell ref="T1280:U1280"/>
    <mergeCell ref="M1281:M1282"/>
    <mergeCell ref="N1281:U1281"/>
    <mergeCell ref="N1282:U1282"/>
    <mergeCell ref="M1283:V1283"/>
    <mergeCell ref="M1288:M1289"/>
    <mergeCell ref="N1288:U1288"/>
    <mergeCell ref="N1289:U1289"/>
    <mergeCell ref="M1290:V1290"/>
    <mergeCell ref="M1291:T1291"/>
    <mergeCell ref="U1291:V1291"/>
    <mergeCell ref="M1293:V1293"/>
    <mergeCell ref="M1294:S1294"/>
    <mergeCell ref="U1294:V1294"/>
    <mergeCell ref="M1295:S1295"/>
    <mergeCell ref="U1295:V1295"/>
    <mergeCell ref="M1296:S1296"/>
    <mergeCell ref="U1296:V1296"/>
    <mergeCell ref="M1297:S1297"/>
    <mergeCell ref="U1297:V1297"/>
    <mergeCell ref="M1298:T1298"/>
    <mergeCell ref="U1298:V1298"/>
    <mergeCell ref="U1299:V1299"/>
    <mergeCell ref="M1300:T1300"/>
    <mergeCell ref="U1300:V1300"/>
    <mergeCell ref="O1303:U1303"/>
    <mergeCell ref="AB1303:AD1303"/>
    <mergeCell ref="O1304:U1304"/>
    <mergeCell ref="M1305:V1305"/>
    <mergeCell ref="M1306:V1306"/>
    <mergeCell ref="AB1306:AC1306"/>
    <mergeCell ref="N1307:Q1307"/>
    <mergeCell ref="T1307:U1307"/>
    <mergeCell ref="N1308:Q1308"/>
    <mergeCell ref="T1308:U1308"/>
    <mergeCell ref="N1309:Q1309"/>
    <mergeCell ref="T1309:U1309"/>
    <mergeCell ref="N1310:Q1310"/>
    <mergeCell ref="T1310:U1310"/>
    <mergeCell ref="N1311:Q1311"/>
    <mergeCell ref="T1311:U1311"/>
    <mergeCell ref="N1312:Q1312"/>
    <mergeCell ref="T1312:U1312"/>
    <mergeCell ref="M1313:M1314"/>
    <mergeCell ref="N1313:U1313"/>
    <mergeCell ref="N1314:U1314"/>
    <mergeCell ref="M1315:V1315"/>
    <mergeCell ref="AB1315:AC1315"/>
    <mergeCell ref="N1316:Q1316"/>
    <mergeCell ref="N1317:Q1317"/>
    <mergeCell ref="N1318:Q1318"/>
    <mergeCell ref="N1319:Q1319"/>
    <mergeCell ref="N1320:Q1320"/>
    <mergeCell ref="N1321:Q1321"/>
    <mergeCell ref="M1322:M1323"/>
    <mergeCell ref="N1322:U1322"/>
    <mergeCell ref="N1323:U1323"/>
    <mergeCell ref="M1324:V1324"/>
    <mergeCell ref="N1325:P1325"/>
    <mergeCell ref="T1325:U1325"/>
    <mergeCell ref="N1326:P1326"/>
    <mergeCell ref="T1326:U1326"/>
    <mergeCell ref="N1327:P1327"/>
    <mergeCell ref="T1327:U1327"/>
    <mergeCell ref="N1328:P1328"/>
    <mergeCell ref="T1328:U1328"/>
    <mergeCell ref="N1329:P1329"/>
    <mergeCell ref="T1329:U1329"/>
    <mergeCell ref="M1330:M1331"/>
    <mergeCell ref="N1330:U1330"/>
    <mergeCell ref="N1331:U1331"/>
    <mergeCell ref="M1332:V1332"/>
    <mergeCell ref="M1337:M1338"/>
    <mergeCell ref="N1337:U1337"/>
    <mergeCell ref="N1338:U1338"/>
    <mergeCell ref="M1339:V1339"/>
    <mergeCell ref="M1340:T1340"/>
    <mergeCell ref="U1340:V1340"/>
    <mergeCell ref="M1342:V1342"/>
    <mergeCell ref="M1343:S1343"/>
    <mergeCell ref="U1343:V1343"/>
    <mergeCell ref="M1344:S1344"/>
    <mergeCell ref="U1344:V1344"/>
    <mergeCell ref="M1345:S1345"/>
    <mergeCell ref="U1345:V1345"/>
    <mergeCell ref="M1346:S1346"/>
    <mergeCell ref="U1346:V1346"/>
    <mergeCell ref="M1347:T1347"/>
    <mergeCell ref="U1347:V1347"/>
    <mergeCell ref="U1348:V1348"/>
    <mergeCell ref="M1349:T1349"/>
    <mergeCell ref="U1349:V1349"/>
    <mergeCell ref="O1352:U1352"/>
    <mergeCell ref="AB1352:AD1352"/>
    <mergeCell ref="O1353:U1353"/>
    <mergeCell ref="M1354:V1354"/>
    <mergeCell ref="M1355:V1355"/>
    <mergeCell ref="AB1355:AC1355"/>
    <mergeCell ref="N1356:Q1356"/>
    <mergeCell ref="T1356:U1356"/>
    <mergeCell ref="N1357:Q1357"/>
    <mergeCell ref="T1357:U1357"/>
    <mergeCell ref="N1358:Q1358"/>
    <mergeCell ref="T1358:U1358"/>
    <mergeCell ref="N1359:Q1359"/>
    <mergeCell ref="T1359:U1359"/>
    <mergeCell ref="N1360:Q1360"/>
    <mergeCell ref="T1360:U1360"/>
    <mergeCell ref="N1361:Q1361"/>
    <mergeCell ref="T1361:U1361"/>
    <mergeCell ref="M1362:M1363"/>
    <mergeCell ref="N1362:U1362"/>
    <mergeCell ref="N1363:U1363"/>
    <mergeCell ref="M1364:V1364"/>
    <mergeCell ref="AB1364:AC1364"/>
    <mergeCell ref="N1365:Q1365"/>
    <mergeCell ref="N1366:Q1366"/>
    <mergeCell ref="N1367:Q1367"/>
    <mergeCell ref="N1368:Q1368"/>
    <mergeCell ref="N1369:Q1369"/>
    <mergeCell ref="N1370:Q1370"/>
    <mergeCell ref="M1371:M1372"/>
    <mergeCell ref="N1371:U1371"/>
    <mergeCell ref="N1372:U1372"/>
    <mergeCell ref="M1373:V1373"/>
    <mergeCell ref="N1374:P1374"/>
    <mergeCell ref="T1374:U1374"/>
    <mergeCell ref="N1375:P1375"/>
    <mergeCell ref="T1375:U1375"/>
    <mergeCell ref="N1376:P1376"/>
    <mergeCell ref="T1376:U1376"/>
    <mergeCell ref="N1377:P1377"/>
    <mergeCell ref="T1377:U1377"/>
    <mergeCell ref="N1378:P1378"/>
    <mergeCell ref="T1378:U1378"/>
    <mergeCell ref="M1379:M1380"/>
    <mergeCell ref="N1379:U1379"/>
    <mergeCell ref="N1380:U1380"/>
    <mergeCell ref="M1381:V1381"/>
    <mergeCell ref="M1386:M1387"/>
    <mergeCell ref="N1386:U1386"/>
    <mergeCell ref="N1387:U1387"/>
    <mergeCell ref="M1388:V1388"/>
    <mergeCell ref="M1389:T1389"/>
    <mergeCell ref="U1389:V1389"/>
    <mergeCell ref="M1391:V1391"/>
    <mergeCell ref="M1392:S1392"/>
    <mergeCell ref="U1392:V1392"/>
    <mergeCell ref="M1393:S1393"/>
    <mergeCell ref="U1393:V1393"/>
    <mergeCell ref="M1394:S1394"/>
    <mergeCell ref="U1394:V1394"/>
    <mergeCell ref="M1395:S1395"/>
    <mergeCell ref="U1395:V1395"/>
    <mergeCell ref="M1396:T1396"/>
    <mergeCell ref="U1396:V1396"/>
    <mergeCell ref="U1397:V1397"/>
    <mergeCell ref="M1398:T1398"/>
    <mergeCell ref="U1398:V1398"/>
    <mergeCell ref="O1401:U1401"/>
    <mergeCell ref="AB1401:AD1401"/>
    <mergeCell ref="O1402:U1402"/>
    <mergeCell ref="M1403:V1403"/>
    <mergeCell ref="M1404:V1404"/>
    <mergeCell ref="AB1404:AC1404"/>
    <mergeCell ref="N1405:Q1405"/>
    <mergeCell ref="T1405:U1405"/>
    <mergeCell ref="N1406:Q1406"/>
    <mergeCell ref="T1406:U1406"/>
    <mergeCell ref="N1407:Q1407"/>
    <mergeCell ref="T1407:U1407"/>
    <mergeCell ref="N1408:Q1408"/>
    <mergeCell ref="T1408:U1408"/>
    <mergeCell ref="N1409:Q1409"/>
    <mergeCell ref="T1409:U1409"/>
    <mergeCell ref="N1410:Q1410"/>
    <mergeCell ref="T1410:U1410"/>
    <mergeCell ref="M1411:M1412"/>
    <mergeCell ref="N1411:U1411"/>
    <mergeCell ref="N1412:U1412"/>
    <mergeCell ref="M1413:V1413"/>
    <mergeCell ref="AB1413:AC1413"/>
    <mergeCell ref="N1414:Q1414"/>
    <mergeCell ref="N1415:Q1415"/>
    <mergeCell ref="N1416:Q1416"/>
    <mergeCell ref="N1417:Q1417"/>
    <mergeCell ref="N1418:Q1418"/>
    <mergeCell ref="N1419:Q1419"/>
    <mergeCell ref="M1420:M1421"/>
    <mergeCell ref="N1420:U1420"/>
    <mergeCell ref="N1421:U1421"/>
    <mergeCell ref="M1422:V1422"/>
    <mergeCell ref="N1423:P1423"/>
    <mergeCell ref="T1423:U1423"/>
    <mergeCell ref="N1424:P1424"/>
    <mergeCell ref="T1424:U1424"/>
    <mergeCell ref="N1425:P1425"/>
    <mergeCell ref="T1425:U1425"/>
    <mergeCell ref="N1426:P1426"/>
    <mergeCell ref="T1426:U1426"/>
    <mergeCell ref="N1427:P1427"/>
    <mergeCell ref="T1427:U1427"/>
    <mergeCell ref="M1428:M1429"/>
    <mergeCell ref="N1428:U1428"/>
    <mergeCell ref="N1429:U1429"/>
    <mergeCell ref="M1430:V1430"/>
    <mergeCell ref="M1435:M1436"/>
    <mergeCell ref="N1435:U1435"/>
    <mergeCell ref="N1436:U1436"/>
    <mergeCell ref="M1437:V1437"/>
    <mergeCell ref="M1438:T1438"/>
    <mergeCell ref="U1438:V1438"/>
    <mergeCell ref="M1440:V1440"/>
    <mergeCell ref="M1441:S1441"/>
    <mergeCell ref="U1441:V1441"/>
    <mergeCell ref="M1442:S1442"/>
    <mergeCell ref="U1442:V1442"/>
    <mergeCell ref="M1443:S1443"/>
    <mergeCell ref="U1443:V1443"/>
    <mergeCell ref="M1444:S1444"/>
    <mergeCell ref="U1444:V1444"/>
    <mergeCell ref="M1445:T1445"/>
    <mergeCell ref="U1445:V1445"/>
    <mergeCell ref="U1446:V1446"/>
    <mergeCell ref="M1447:T1447"/>
    <mergeCell ref="U1447:V1447"/>
    <mergeCell ref="O1450:U1450"/>
    <mergeCell ref="AB1450:AD1450"/>
    <mergeCell ref="O1451:U1451"/>
    <mergeCell ref="M1452:V1452"/>
    <mergeCell ref="M1453:V1453"/>
    <mergeCell ref="AB1453:AC1453"/>
    <mergeCell ref="N1454:Q1454"/>
    <mergeCell ref="T1454:U1454"/>
    <mergeCell ref="N1455:Q1455"/>
    <mergeCell ref="T1455:U1455"/>
    <mergeCell ref="N1456:Q1456"/>
    <mergeCell ref="T1456:U1456"/>
    <mergeCell ref="N1457:Q1457"/>
    <mergeCell ref="T1457:U1457"/>
    <mergeCell ref="N1458:Q1458"/>
    <mergeCell ref="T1458:U1458"/>
    <mergeCell ref="N1459:Q1459"/>
    <mergeCell ref="T1459:U1459"/>
    <mergeCell ref="M1460:M1461"/>
    <mergeCell ref="N1460:U1460"/>
    <mergeCell ref="N1461:U1461"/>
    <mergeCell ref="M1462:V1462"/>
    <mergeCell ref="AB1462:AC1462"/>
    <mergeCell ref="N1463:Q1463"/>
    <mergeCell ref="N1464:Q1464"/>
    <mergeCell ref="N1465:Q1465"/>
    <mergeCell ref="N1466:Q1466"/>
    <mergeCell ref="N1467:Q1467"/>
    <mergeCell ref="N1468:Q1468"/>
    <mergeCell ref="M1469:M1470"/>
    <mergeCell ref="N1469:U1469"/>
    <mergeCell ref="N1470:U1470"/>
    <mergeCell ref="M1471:V1471"/>
    <mergeCell ref="N1472:P1472"/>
    <mergeCell ref="T1472:U1472"/>
    <mergeCell ref="N1473:P1473"/>
    <mergeCell ref="T1473:U1473"/>
    <mergeCell ref="N1474:P1474"/>
    <mergeCell ref="T1474:U1474"/>
    <mergeCell ref="N1475:P1475"/>
    <mergeCell ref="T1475:U1475"/>
    <mergeCell ref="N1476:P1476"/>
    <mergeCell ref="T1476:U1476"/>
    <mergeCell ref="M1477:M1478"/>
    <mergeCell ref="N1477:U1477"/>
    <mergeCell ref="N1478:U1478"/>
    <mergeCell ref="M1479:V1479"/>
    <mergeCell ref="M1484:M1485"/>
    <mergeCell ref="N1484:U1484"/>
    <mergeCell ref="N1485:U1485"/>
    <mergeCell ref="M1486:V1486"/>
    <mergeCell ref="M1487:T1487"/>
    <mergeCell ref="U1487:V1487"/>
    <mergeCell ref="M1489:V1489"/>
    <mergeCell ref="M1490:S1490"/>
    <mergeCell ref="U1490:V1490"/>
    <mergeCell ref="M1491:S1491"/>
    <mergeCell ref="U1491:V1491"/>
    <mergeCell ref="M1492:S1492"/>
    <mergeCell ref="U1492:V1492"/>
    <mergeCell ref="M1493:S1493"/>
    <mergeCell ref="U1493:V1493"/>
    <mergeCell ref="M1494:T1494"/>
    <mergeCell ref="U1494:V1494"/>
    <mergeCell ref="U1495:V1495"/>
    <mergeCell ref="M1496:T1496"/>
    <mergeCell ref="U1496:V1496"/>
    <mergeCell ref="O1499:U1499"/>
    <mergeCell ref="AB1499:AD1499"/>
    <mergeCell ref="O1500:U1500"/>
    <mergeCell ref="M1501:V1501"/>
    <mergeCell ref="M1502:V1502"/>
    <mergeCell ref="AB1502:AC1502"/>
    <mergeCell ref="N1503:Q1503"/>
    <mergeCell ref="T1503:U1503"/>
    <mergeCell ref="N1504:Q1504"/>
    <mergeCell ref="T1504:U1504"/>
    <mergeCell ref="N1505:Q1505"/>
    <mergeCell ref="T1505:U1505"/>
    <mergeCell ref="N1506:Q1506"/>
    <mergeCell ref="T1506:U1506"/>
    <mergeCell ref="N1507:Q1507"/>
    <mergeCell ref="T1507:U1507"/>
    <mergeCell ref="N1508:Q1508"/>
    <mergeCell ref="T1508:U1508"/>
    <mergeCell ref="M1509:M1510"/>
    <mergeCell ref="N1509:U1509"/>
    <mergeCell ref="N1510:U1510"/>
    <mergeCell ref="M1511:V1511"/>
    <mergeCell ref="AB1511:AC1511"/>
    <mergeCell ref="N1512:Q1512"/>
    <mergeCell ref="N1513:Q1513"/>
    <mergeCell ref="N1514:Q1514"/>
    <mergeCell ref="N1515:Q1515"/>
    <mergeCell ref="N1516:Q1516"/>
    <mergeCell ref="N1517:Q1517"/>
    <mergeCell ref="M1518:M1519"/>
    <mergeCell ref="N1518:U1518"/>
    <mergeCell ref="N1519:U1519"/>
    <mergeCell ref="M1520:V1520"/>
    <mergeCell ref="N1521:P1521"/>
    <mergeCell ref="T1521:U1521"/>
    <mergeCell ref="N1522:P1522"/>
    <mergeCell ref="T1522:U1522"/>
    <mergeCell ref="N1523:P1523"/>
    <mergeCell ref="T1523:U1523"/>
    <mergeCell ref="N1524:P1524"/>
    <mergeCell ref="T1524:U1524"/>
    <mergeCell ref="N1525:P1525"/>
    <mergeCell ref="T1525:U1525"/>
    <mergeCell ref="M1526:M1527"/>
    <mergeCell ref="N1526:U1526"/>
    <mergeCell ref="N1527:U1527"/>
    <mergeCell ref="M1528:V1528"/>
    <mergeCell ref="M1533:M1534"/>
    <mergeCell ref="N1533:U1533"/>
    <mergeCell ref="N1534:U1534"/>
    <mergeCell ref="M1535:V1535"/>
    <mergeCell ref="M1536:T1536"/>
    <mergeCell ref="U1536:V1536"/>
    <mergeCell ref="M1538:V1538"/>
    <mergeCell ref="M1539:S1539"/>
    <mergeCell ref="U1539:V1539"/>
    <mergeCell ref="M1540:S1540"/>
    <mergeCell ref="U1540:V1540"/>
    <mergeCell ref="M1541:S1541"/>
    <mergeCell ref="U1541:V1541"/>
    <mergeCell ref="M1542:S1542"/>
    <mergeCell ref="U1542:V1542"/>
    <mergeCell ref="M1543:T1543"/>
    <mergeCell ref="U1543:V1543"/>
    <mergeCell ref="U1544:V1544"/>
    <mergeCell ref="M1545:T1545"/>
    <mergeCell ref="U1545:V1545"/>
    <mergeCell ref="O1548:U1548"/>
    <mergeCell ref="AB1548:AD1548"/>
    <mergeCell ref="O1549:U1549"/>
    <mergeCell ref="M1550:V1550"/>
    <mergeCell ref="M1551:V1551"/>
    <mergeCell ref="AB1551:AC1551"/>
    <mergeCell ref="N1552:Q1552"/>
    <mergeCell ref="T1552:U1552"/>
    <mergeCell ref="N1553:Q1553"/>
    <mergeCell ref="T1553:U1553"/>
    <mergeCell ref="N1554:Q1554"/>
    <mergeCell ref="T1554:U1554"/>
    <mergeCell ref="N1555:Q1555"/>
    <mergeCell ref="T1555:U1555"/>
    <mergeCell ref="N1556:Q1556"/>
    <mergeCell ref="T1556:U1556"/>
    <mergeCell ref="N1557:Q1557"/>
    <mergeCell ref="T1557:U1557"/>
    <mergeCell ref="M1558:M1559"/>
    <mergeCell ref="N1558:U1558"/>
    <mergeCell ref="N1559:U1559"/>
    <mergeCell ref="M1560:V1560"/>
    <mergeCell ref="AB1560:AC1560"/>
    <mergeCell ref="N1561:Q1561"/>
    <mergeCell ref="N1562:Q1562"/>
    <mergeCell ref="N1563:Q1563"/>
    <mergeCell ref="N1564:Q1564"/>
    <mergeCell ref="N1565:Q1565"/>
    <mergeCell ref="N1566:Q1566"/>
    <mergeCell ref="M1567:M1568"/>
    <mergeCell ref="N1567:U1567"/>
    <mergeCell ref="N1568:U1568"/>
    <mergeCell ref="M1569:V1569"/>
    <mergeCell ref="N1570:P1570"/>
    <mergeCell ref="T1570:U1570"/>
    <mergeCell ref="N1571:P1571"/>
    <mergeCell ref="T1571:U1571"/>
    <mergeCell ref="N1572:P1572"/>
    <mergeCell ref="T1572:U1572"/>
    <mergeCell ref="N1573:P1573"/>
    <mergeCell ref="T1573:U1573"/>
    <mergeCell ref="N1574:P1574"/>
    <mergeCell ref="T1574:U1574"/>
    <mergeCell ref="M1575:M1576"/>
    <mergeCell ref="N1575:U1575"/>
    <mergeCell ref="N1576:U1576"/>
    <mergeCell ref="M1577:V1577"/>
    <mergeCell ref="M1582:M1583"/>
    <mergeCell ref="N1582:U1582"/>
    <mergeCell ref="N1583:U1583"/>
    <mergeCell ref="M1584:V1584"/>
    <mergeCell ref="M1585:T1585"/>
    <mergeCell ref="U1585:V1585"/>
    <mergeCell ref="M1587:V1587"/>
    <mergeCell ref="M1588:S1588"/>
    <mergeCell ref="U1588:V1588"/>
    <mergeCell ref="M1589:S1589"/>
    <mergeCell ref="U1589:V1589"/>
    <mergeCell ref="M1590:S1590"/>
    <mergeCell ref="U1590:V1590"/>
    <mergeCell ref="M1591:S1591"/>
    <mergeCell ref="U1591:V1591"/>
    <mergeCell ref="M1592:T1592"/>
    <mergeCell ref="U1592:V1592"/>
    <mergeCell ref="U1593:V1593"/>
    <mergeCell ref="M1594:T1594"/>
    <mergeCell ref="U1594:V1594"/>
    <mergeCell ref="O1597:U1597"/>
    <mergeCell ref="AB1597:AD1597"/>
    <mergeCell ref="O1598:U1598"/>
    <mergeCell ref="M1599:V1599"/>
    <mergeCell ref="M1600:V1600"/>
    <mergeCell ref="AB1600:AC1600"/>
    <mergeCell ref="N1601:Q1601"/>
    <mergeCell ref="T1601:U1601"/>
    <mergeCell ref="N1602:Q1602"/>
    <mergeCell ref="T1602:U1602"/>
    <mergeCell ref="N1603:Q1603"/>
    <mergeCell ref="T1603:U1603"/>
    <mergeCell ref="N1604:Q1604"/>
    <mergeCell ref="T1604:U1604"/>
    <mergeCell ref="N1605:Q1605"/>
    <mergeCell ref="T1605:U1605"/>
    <mergeCell ref="N1606:Q1606"/>
    <mergeCell ref="T1606:U1606"/>
    <mergeCell ref="M1607:M1608"/>
    <mergeCell ref="N1607:U1607"/>
    <mergeCell ref="N1608:U1608"/>
    <mergeCell ref="M1609:V1609"/>
    <mergeCell ref="AB1609:AC1609"/>
    <mergeCell ref="N1610:Q1610"/>
    <mergeCell ref="N1611:Q1611"/>
    <mergeCell ref="N1612:Q1612"/>
    <mergeCell ref="N1613:Q1613"/>
    <mergeCell ref="N1614:Q1614"/>
    <mergeCell ref="N1615:Q1615"/>
    <mergeCell ref="M1616:M1617"/>
    <mergeCell ref="N1616:U1616"/>
    <mergeCell ref="N1617:U1617"/>
    <mergeCell ref="M1618:V1618"/>
    <mergeCell ref="N1619:P1619"/>
    <mergeCell ref="T1619:U1619"/>
    <mergeCell ref="N1620:P1620"/>
    <mergeCell ref="T1620:U1620"/>
    <mergeCell ref="N1621:P1621"/>
    <mergeCell ref="T1621:U1621"/>
    <mergeCell ref="N1622:P1622"/>
    <mergeCell ref="T1622:U1622"/>
    <mergeCell ref="N1623:P1623"/>
    <mergeCell ref="T1623:U1623"/>
    <mergeCell ref="M1624:M1625"/>
    <mergeCell ref="N1624:U1624"/>
    <mergeCell ref="N1625:U1625"/>
    <mergeCell ref="M1626:V1626"/>
    <mergeCell ref="M1631:M1632"/>
    <mergeCell ref="N1631:U1631"/>
    <mergeCell ref="N1632:U1632"/>
    <mergeCell ref="M1633:V1633"/>
    <mergeCell ref="M1634:T1634"/>
    <mergeCell ref="U1634:V1634"/>
    <mergeCell ref="M1636:V1636"/>
    <mergeCell ref="M1637:S1637"/>
    <mergeCell ref="U1637:V1637"/>
    <mergeCell ref="M1638:S1638"/>
    <mergeCell ref="U1638:V1638"/>
    <mergeCell ref="M1639:S1639"/>
    <mergeCell ref="U1639:V1639"/>
    <mergeCell ref="M1640:S1640"/>
    <mergeCell ref="U1640:V1640"/>
    <mergeCell ref="M1641:T1641"/>
    <mergeCell ref="U1641:V1641"/>
    <mergeCell ref="U1642:V1642"/>
    <mergeCell ref="M1643:T1643"/>
    <mergeCell ref="U1643:V1643"/>
    <mergeCell ref="O1646:U1646"/>
    <mergeCell ref="AB1646:AD1646"/>
    <mergeCell ref="O1647:U1647"/>
    <mergeCell ref="M1648:V1648"/>
    <mergeCell ref="M1649:V1649"/>
    <mergeCell ref="AB1649:AC1649"/>
    <mergeCell ref="N1650:Q1650"/>
    <mergeCell ref="T1650:U1650"/>
    <mergeCell ref="N1651:Q1651"/>
    <mergeCell ref="T1651:U1651"/>
    <mergeCell ref="N1652:Q1652"/>
    <mergeCell ref="T1652:U1652"/>
    <mergeCell ref="N1653:Q1653"/>
    <mergeCell ref="T1653:U1653"/>
    <mergeCell ref="N1654:Q1654"/>
    <mergeCell ref="T1654:U1654"/>
    <mergeCell ref="N1655:Q1655"/>
    <mergeCell ref="T1655:U1655"/>
    <mergeCell ref="M1656:M1657"/>
    <mergeCell ref="N1656:U1656"/>
    <mergeCell ref="N1657:U1657"/>
    <mergeCell ref="M1658:V1658"/>
    <mergeCell ref="AB1658:AC1658"/>
    <mergeCell ref="N1659:Q1659"/>
    <mergeCell ref="N1660:Q1660"/>
    <mergeCell ref="N1661:Q1661"/>
    <mergeCell ref="N1662:Q1662"/>
    <mergeCell ref="N1663:Q1663"/>
    <mergeCell ref="N1664:Q1664"/>
    <mergeCell ref="M1665:M1666"/>
    <mergeCell ref="N1665:U1665"/>
    <mergeCell ref="N1666:U1666"/>
    <mergeCell ref="M1667:V1667"/>
    <mergeCell ref="N1668:P1668"/>
    <mergeCell ref="T1668:U1668"/>
    <mergeCell ref="N1669:P1669"/>
    <mergeCell ref="T1669:U1669"/>
    <mergeCell ref="N1670:P1670"/>
    <mergeCell ref="T1670:U1670"/>
    <mergeCell ref="N1671:P1671"/>
    <mergeCell ref="T1671:U1671"/>
    <mergeCell ref="N1672:P1672"/>
    <mergeCell ref="T1672:U1672"/>
    <mergeCell ref="M1673:M1674"/>
    <mergeCell ref="N1673:U1673"/>
    <mergeCell ref="N1674:U1674"/>
    <mergeCell ref="M1675:V1675"/>
    <mergeCell ref="M1680:M1681"/>
    <mergeCell ref="N1680:U1680"/>
    <mergeCell ref="N1681:U1681"/>
    <mergeCell ref="M1682:V1682"/>
    <mergeCell ref="M1683:T1683"/>
    <mergeCell ref="U1683:V1683"/>
    <mergeCell ref="M1685:V1685"/>
    <mergeCell ref="M1686:S1686"/>
    <mergeCell ref="U1686:V1686"/>
    <mergeCell ref="M1687:S1687"/>
    <mergeCell ref="U1687:V1687"/>
    <mergeCell ref="M1688:S1688"/>
    <mergeCell ref="U1688:V1688"/>
    <mergeCell ref="M1689:S1689"/>
    <mergeCell ref="U1689:V1689"/>
    <mergeCell ref="M1690:T1690"/>
    <mergeCell ref="U1690:V1690"/>
    <mergeCell ref="U1691:V1691"/>
    <mergeCell ref="M1692:T1692"/>
    <mergeCell ref="U1692:V1692"/>
    <mergeCell ref="O1695:U1695"/>
    <mergeCell ref="AB1695:AD1695"/>
    <mergeCell ref="O1696:U1696"/>
    <mergeCell ref="M1697:V1697"/>
    <mergeCell ref="M1698:V1698"/>
    <mergeCell ref="AB1698:AC1698"/>
    <mergeCell ref="N1699:Q1699"/>
    <mergeCell ref="T1699:U1699"/>
    <mergeCell ref="N1700:Q1700"/>
    <mergeCell ref="T1700:U1700"/>
    <mergeCell ref="N1701:Q1701"/>
    <mergeCell ref="T1701:U1701"/>
    <mergeCell ref="N1702:Q1702"/>
    <mergeCell ref="T1702:U1702"/>
    <mergeCell ref="N1703:Q1703"/>
    <mergeCell ref="T1703:U1703"/>
    <mergeCell ref="N1704:Q1704"/>
    <mergeCell ref="T1704:U1704"/>
    <mergeCell ref="M1705:M1706"/>
    <mergeCell ref="N1705:U1705"/>
    <mergeCell ref="N1706:U1706"/>
    <mergeCell ref="M1707:V1707"/>
    <mergeCell ref="AB1707:AC1707"/>
    <mergeCell ref="N1708:Q1708"/>
    <mergeCell ref="N1709:Q1709"/>
    <mergeCell ref="N1710:Q1710"/>
    <mergeCell ref="N1711:Q1711"/>
    <mergeCell ref="N1712:Q1712"/>
    <mergeCell ref="N1713:Q1713"/>
    <mergeCell ref="M1714:M1715"/>
    <mergeCell ref="N1714:U1714"/>
    <mergeCell ref="N1715:U1715"/>
    <mergeCell ref="M1716:V1716"/>
    <mergeCell ref="N1717:P1717"/>
    <mergeCell ref="T1717:U1717"/>
    <mergeCell ref="N1718:P1718"/>
    <mergeCell ref="T1718:U1718"/>
    <mergeCell ref="N1719:P1719"/>
    <mergeCell ref="T1719:U1719"/>
    <mergeCell ref="N1720:P1720"/>
    <mergeCell ref="T1720:U1720"/>
    <mergeCell ref="N1721:P1721"/>
    <mergeCell ref="T1721:U1721"/>
    <mergeCell ref="M1722:M1723"/>
    <mergeCell ref="N1722:U1722"/>
    <mergeCell ref="N1723:U1723"/>
    <mergeCell ref="M1724:V1724"/>
    <mergeCell ref="M1729:M1730"/>
    <mergeCell ref="N1729:U1729"/>
    <mergeCell ref="N1730:U1730"/>
    <mergeCell ref="M1731:V1731"/>
    <mergeCell ref="M1732:T1732"/>
    <mergeCell ref="U1732:V1732"/>
    <mergeCell ref="M1734:V1734"/>
    <mergeCell ref="M1735:S1735"/>
    <mergeCell ref="U1735:V1735"/>
    <mergeCell ref="M1736:S1736"/>
    <mergeCell ref="U1736:V1736"/>
    <mergeCell ref="M1737:S1737"/>
    <mergeCell ref="U1737:V1737"/>
    <mergeCell ref="M1738:S1738"/>
    <mergeCell ref="U1738:V1738"/>
    <mergeCell ref="M1739:T1739"/>
    <mergeCell ref="U1739:V1739"/>
    <mergeCell ref="U1740:V1740"/>
    <mergeCell ref="M1741:T1741"/>
    <mergeCell ref="U1741:V1741"/>
    <mergeCell ref="O1744:U1744"/>
    <mergeCell ref="AB1744:AD1744"/>
    <mergeCell ref="O1745:U1745"/>
    <mergeCell ref="M1746:V1746"/>
    <mergeCell ref="M1747:V1747"/>
    <mergeCell ref="AB1747:AC1747"/>
    <mergeCell ref="N1748:Q1748"/>
    <mergeCell ref="T1748:U1748"/>
    <mergeCell ref="N1749:Q1749"/>
    <mergeCell ref="T1749:U1749"/>
    <mergeCell ref="N1750:Q1750"/>
    <mergeCell ref="T1750:U1750"/>
    <mergeCell ref="N1751:Q1751"/>
    <mergeCell ref="T1751:U1751"/>
    <mergeCell ref="N1752:Q1752"/>
    <mergeCell ref="T1752:U1752"/>
    <mergeCell ref="N1753:Q1753"/>
    <mergeCell ref="T1753:U1753"/>
    <mergeCell ref="M1754:M1755"/>
    <mergeCell ref="N1754:U1754"/>
    <mergeCell ref="N1755:U1755"/>
    <mergeCell ref="M1756:V1756"/>
    <mergeCell ref="AB1756:AC1756"/>
    <mergeCell ref="N1757:Q1757"/>
    <mergeCell ref="N1758:Q1758"/>
    <mergeCell ref="N1759:Q1759"/>
    <mergeCell ref="N1760:Q1760"/>
    <mergeCell ref="N1761:Q1761"/>
    <mergeCell ref="N1762:Q1762"/>
    <mergeCell ref="M1763:M1764"/>
    <mergeCell ref="N1763:U1763"/>
    <mergeCell ref="N1764:U1764"/>
    <mergeCell ref="M1765:V1765"/>
    <mergeCell ref="N1766:P1766"/>
    <mergeCell ref="T1766:U1766"/>
    <mergeCell ref="N1767:P1767"/>
    <mergeCell ref="T1767:U1767"/>
    <mergeCell ref="N1768:P1768"/>
    <mergeCell ref="T1768:U1768"/>
    <mergeCell ref="N1769:P1769"/>
    <mergeCell ref="T1769:U1769"/>
    <mergeCell ref="N1770:P1770"/>
    <mergeCell ref="T1770:U1770"/>
    <mergeCell ref="M1771:M1772"/>
    <mergeCell ref="N1771:U1771"/>
    <mergeCell ref="N1772:U1772"/>
    <mergeCell ref="M1773:V1773"/>
    <mergeCell ref="M1778:M1779"/>
    <mergeCell ref="N1778:U1778"/>
    <mergeCell ref="N1779:U1779"/>
    <mergeCell ref="M1780:V1780"/>
    <mergeCell ref="M1781:T1781"/>
    <mergeCell ref="U1781:V1781"/>
    <mergeCell ref="M1783:V1783"/>
    <mergeCell ref="M1784:S1784"/>
    <mergeCell ref="U1784:V1784"/>
    <mergeCell ref="M1785:S1785"/>
    <mergeCell ref="U1785:V1785"/>
    <mergeCell ref="M1786:S1786"/>
    <mergeCell ref="U1786:V1786"/>
    <mergeCell ref="M1787:S1787"/>
    <mergeCell ref="U1787:V1787"/>
    <mergeCell ref="M1788:T1788"/>
    <mergeCell ref="U1788:V1788"/>
    <mergeCell ref="U1789:V1789"/>
    <mergeCell ref="M1790:T1790"/>
    <mergeCell ref="U1790:V1790"/>
    <mergeCell ref="O1793:U1793"/>
    <mergeCell ref="AB1793:AD1793"/>
    <mergeCell ref="O1794:U1794"/>
    <mergeCell ref="M1795:V1795"/>
    <mergeCell ref="M1796:V1796"/>
    <mergeCell ref="AB1796:AC1796"/>
    <mergeCell ref="N1797:Q1797"/>
    <mergeCell ref="T1797:U1797"/>
    <mergeCell ref="N1798:Q1798"/>
    <mergeCell ref="T1798:U1798"/>
    <mergeCell ref="N1799:Q1799"/>
    <mergeCell ref="T1799:U1799"/>
    <mergeCell ref="N1800:Q1800"/>
    <mergeCell ref="T1800:U1800"/>
    <mergeCell ref="N1801:Q1801"/>
    <mergeCell ref="T1801:U1801"/>
    <mergeCell ref="N1802:Q1802"/>
    <mergeCell ref="T1802:U1802"/>
    <mergeCell ref="M1803:M1804"/>
    <mergeCell ref="N1803:U1803"/>
    <mergeCell ref="N1804:U1804"/>
    <mergeCell ref="M1805:V1805"/>
    <mergeCell ref="AB1805:AC1805"/>
    <mergeCell ref="N1806:Q1806"/>
    <mergeCell ref="N1807:Q1807"/>
    <mergeCell ref="N1808:Q1808"/>
    <mergeCell ref="N1809:Q1809"/>
    <mergeCell ref="N1810:Q1810"/>
    <mergeCell ref="N1811:Q1811"/>
    <mergeCell ref="M1812:M1813"/>
    <mergeCell ref="N1812:U1812"/>
    <mergeCell ref="N1813:U1813"/>
    <mergeCell ref="M1814:V1814"/>
    <mergeCell ref="N1815:P1815"/>
    <mergeCell ref="T1815:U1815"/>
    <mergeCell ref="N1816:P1816"/>
    <mergeCell ref="T1816:U1816"/>
    <mergeCell ref="N1817:P1817"/>
    <mergeCell ref="T1817:U1817"/>
    <mergeCell ref="N1818:P1818"/>
    <mergeCell ref="T1818:U1818"/>
    <mergeCell ref="N1819:P1819"/>
    <mergeCell ref="T1819:U1819"/>
    <mergeCell ref="M1820:M1821"/>
    <mergeCell ref="N1820:U1820"/>
    <mergeCell ref="N1821:U1821"/>
    <mergeCell ref="M1822:V1822"/>
    <mergeCell ref="M1827:M1828"/>
    <mergeCell ref="N1827:U1827"/>
    <mergeCell ref="N1828:U1828"/>
    <mergeCell ref="M1829:V1829"/>
    <mergeCell ref="M1830:T1830"/>
    <mergeCell ref="U1830:V1830"/>
    <mergeCell ref="M1832:V1832"/>
    <mergeCell ref="M1833:S1833"/>
    <mergeCell ref="U1833:V1833"/>
    <mergeCell ref="M1834:S1834"/>
    <mergeCell ref="U1834:V1834"/>
    <mergeCell ref="M1835:S1835"/>
    <mergeCell ref="U1835:V1835"/>
    <mergeCell ref="M1836:S1836"/>
    <mergeCell ref="U1836:V1836"/>
    <mergeCell ref="M1837:T1837"/>
    <mergeCell ref="U1837:V1837"/>
    <mergeCell ref="U1838:V1838"/>
    <mergeCell ref="M1839:T1839"/>
    <mergeCell ref="U1839:V1839"/>
    <mergeCell ref="O1842:U1842"/>
    <mergeCell ref="AB1842:AD1842"/>
    <mergeCell ref="O1843:U1843"/>
    <mergeCell ref="M1844:V1844"/>
    <mergeCell ref="M1845:V1845"/>
    <mergeCell ref="AB1845:AC1845"/>
    <mergeCell ref="N1846:Q1846"/>
    <mergeCell ref="T1846:U1846"/>
    <mergeCell ref="N1847:Q1847"/>
    <mergeCell ref="T1847:U1847"/>
    <mergeCell ref="N1848:Q1848"/>
    <mergeCell ref="T1848:U1848"/>
    <mergeCell ref="N1849:Q1849"/>
    <mergeCell ref="T1849:U1849"/>
    <mergeCell ref="N1850:Q1850"/>
    <mergeCell ref="T1850:U1850"/>
    <mergeCell ref="N1851:Q1851"/>
    <mergeCell ref="T1851:U1851"/>
    <mergeCell ref="M1852:M1853"/>
    <mergeCell ref="N1852:U1852"/>
    <mergeCell ref="N1853:U1853"/>
    <mergeCell ref="M1854:V1854"/>
    <mergeCell ref="AB1854:AC1854"/>
    <mergeCell ref="N1855:Q1855"/>
    <mergeCell ref="N1856:Q1856"/>
    <mergeCell ref="N1857:Q1857"/>
    <mergeCell ref="N1858:Q1858"/>
    <mergeCell ref="N1859:Q1859"/>
    <mergeCell ref="N1860:Q1860"/>
    <mergeCell ref="M1861:M1862"/>
    <mergeCell ref="N1861:U1861"/>
    <mergeCell ref="N1862:U1862"/>
    <mergeCell ref="M1863:V1863"/>
    <mergeCell ref="N1864:P1864"/>
    <mergeCell ref="T1864:U1864"/>
    <mergeCell ref="N1865:P1865"/>
    <mergeCell ref="T1865:U1865"/>
    <mergeCell ref="N1866:P1866"/>
    <mergeCell ref="T1866:U1866"/>
    <mergeCell ref="N1867:P1867"/>
    <mergeCell ref="T1867:U1867"/>
    <mergeCell ref="N1868:P1868"/>
    <mergeCell ref="T1868:U1868"/>
    <mergeCell ref="M1869:M1870"/>
    <mergeCell ref="N1869:U1869"/>
    <mergeCell ref="N1870:U1870"/>
    <mergeCell ref="M1871:V1871"/>
    <mergeCell ref="M1876:M1877"/>
    <mergeCell ref="N1876:U1876"/>
    <mergeCell ref="N1877:U1877"/>
    <mergeCell ref="M1878:V1878"/>
    <mergeCell ref="M1879:T1879"/>
    <mergeCell ref="U1879:V1879"/>
    <mergeCell ref="M1881:V1881"/>
    <mergeCell ref="M1882:S1882"/>
    <mergeCell ref="U1882:V1882"/>
    <mergeCell ref="M1883:S1883"/>
    <mergeCell ref="U1883:V1883"/>
    <mergeCell ref="M1884:S1884"/>
    <mergeCell ref="U1884:V1884"/>
    <mergeCell ref="M1885:S1885"/>
    <mergeCell ref="U1885:V1885"/>
    <mergeCell ref="M1886:T1886"/>
    <mergeCell ref="U1886:V1886"/>
    <mergeCell ref="U1887:V1887"/>
    <mergeCell ref="M1888:T1888"/>
    <mergeCell ref="U1888:V1888"/>
    <mergeCell ref="O1891:U1891"/>
    <mergeCell ref="AB1891:AD1891"/>
    <mergeCell ref="O1892:U1892"/>
    <mergeCell ref="M1893:V1893"/>
    <mergeCell ref="M1894:V1894"/>
    <mergeCell ref="AB1894:AC1894"/>
    <mergeCell ref="N1895:Q1895"/>
    <mergeCell ref="T1895:U1895"/>
    <mergeCell ref="N1896:Q1896"/>
    <mergeCell ref="T1896:U1896"/>
    <mergeCell ref="N1897:Q1897"/>
    <mergeCell ref="T1897:U1897"/>
    <mergeCell ref="N1898:Q1898"/>
    <mergeCell ref="T1898:U1898"/>
    <mergeCell ref="N1899:Q1899"/>
    <mergeCell ref="T1899:U1899"/>
    <mergeCell ref="N1900:Q1900"/>
    <mergeCell ref="T1900:U1900"/>
    <mergeCell ref="M1901:M1902"/>
    <mergeCell ref="N1901:U1901"/>
    <mergeCell ref="N1902:U1902"/>
    <mergeCell ref="M1903:V1903"/>
    <mergeCell ref="AB1903:AC1903"/>
    <mergeCell ref="N1904:Q1904"/>
    <mergeCell ref="N1905:Q1905"/>
    <mergeCell ref="N1906:Q1906"/>
    <mergeCell ref="N1907:Q1907"/>
    <mergeCell ref="N1908:Q1908"/>
    <mergeCell ref="N1909:Q1909"/>
    <mergeCell ref="M1910:M1911"/>
    <mergeCell ref="N1910:U1910"/>
    <mergeCell ref="N1911:U1911"/>
    <mergeCell ref="M1912:V1912"/>
    <mergeCell ref="N1913:P1913"/>
    <mergeCell ref="T1913:U1913"/>
    <mergeCell ref="N1914:P1914"/>
    <mergeCell ref="T1914:U1914"/>
    <mergeCell ref="N1915:P1915"/>
    <mergeCell ref="T1915:U1915"/>
    <mergeCell ref="N1916:P1916"/>
    <mergeCell ref="T1916:U1916"/>
    <mergeCell ref="N1917:P1917"/>
    <mergeCell ref="T1917:U1917"/>
    <mergeCell ref="M1918:M1919"/>
    <mergeCell ref="N1918:U1918"/>
    <mergeCell ref="N1919:U1919"/>
    <mergeCell ref="M1920:V1920"/>
    <mergeCell ref="M1925:M1926"/>
    <mergeCell ref="N1925:U1925"/>
    <mergeCell ref="N1926:U1926"/>
    <mergeCell ref="M1927:V1927"/>
    <mergeCell ref="M1928:T1928"/>
    <mergeCell ref="U1928:V1928"/>
    <mergeCell ref="M1930:V1930"/>
    <mergeCell ref="M1931:S1931"/>
    <mergeCell ref="U1931:V1931"/>
    <mergeCell ref="M1932:S1932"/>
    <mergeCell ref="U1932:V1932"/>
    <mergeCell ref="M1933:S1933"/>
    <mergeCell ref="U1933:V1933"/>
    <mergeCell ref="M1934:S1934"/>
    <mergeCell ref="U1934:V1934"/>
    <mergeCell ref="M1935:T1935"/>
    <mergeCell ref="U1935:V1935"/>
    <mergeCell ref="U1936:V1936"/>
    <mergeCell ref="M1937:T1937"/>
    <mergeCell ref="U1937:V1937"/>
    <mergeCell ref="O1940:U1940"/>
    <mergeCell ref="AB1940:AD1940"/>
    <mergeCell ref="O1941:U1941"/>
    <mergeCell ref="M1942:V1942"/>
    <mergeCell ref="M1943:V1943"/>
    <mergeCell ref="AB1943:AC1943"/>
    <mergeCell ref="N1944:Q1944"/>
    <mergeCell ref="T1944:U1944"/>
    <mergeCell ref="N1945:Q1945"/>
    <mergeCell ref="T1945:U1945"/>
    <mergeCell ref="N1946:Q1946"/>
    <mergeCell ref="T1946:U1946"/>
    <mergeCell ref="N1947:Q1947"/>
    <mergeCell ref="T1947:U1947"/>
    <mergeCell ref="N1948:Q1948"/>
    <mergeCell ref="T1948:U1948"/>
    <mergeCell ref="N1949:Q1949"/>
    <mergeCell ref="T1949:U1949"/>
    <mergeCell ref="M1950:M1951"/>
    <mergeCell ref="N1950:U1950"/>
    <mergeCell ref="N1951:U1951"/>
    <mergeCell ref="M1952:V1952"/>
    <mergeCell ref="AB1952:AC1952"/>
    <mergeCell ref="N1953:Q1953"/>
    <mergeCell ref="N1954:Q1954"/>
    <mergeCell ref="N1955:Q1955"/>
    <mergeCell ref="N1956:Q1956"/>
    <mergeCell ref="N1957:Q1957"/>
    <mergeCell ref="N1958:Q1958"/>
    <mergeCell ref="M1959:M1960"/>
    <mergeCell ref="N1959:U1959"/>
    <mergeCell ref="N1960:U1960"/>
    <mergeCell ref="M1961:V1961"/>
    <mergeCell ref="N1962:P1962"/>
    <mergeCell ref="T1962:U1962"/>
    <mergeCell ref="N1963:P1963"/>
    <mergeCell ref="T1963:U1963"/>
    <mergeCell ref="N1964:P1964"/>
    <mergeCell ref="T1964:U1964"/>
    <mergeCell ref="N1965:P1965"/>
    <mergeCell ref="T1965:U1965"/>
    <mergeCell ref="N1966:P1966"/>
    <mergeCell ref="T1966:U1966"/>
    <mergeCell ref="M1967:M1968"/>
    <mergeCell ref="N1967:U1967"/>
    <mergeCell ref="N1968:U1968"/>
    <mergeCell ref="M1969:V1969"/>
    <mergeCell ref="M1974:M1975"/>
    <mergeCell ref="N1974:U1974"/>
    <mergeCell ref="N1975:U1975"/>
    <mergeCell ref="M1976:V1976"/>
    <mergeCell ref="M1977:T1977"/>
    <mergeCell ref="U1977:V1977"/>
    <mergeCell ref="M1979:V1979"/>
    <mergeCell ref="M1980:S1980"/>
    <mergeCell ref="U1980:V1980"/>
    <mergeCell ref="M1981:S1981"/>
    <mergeCell ref="U1981:V1981"/>
    <mergeCell ref="M1982:S1982"/>
    <mergeCell ref="U1982:V1982"/>
    <mergeCell ref="M1983:S1983"/>
    <mergeCell ref="U1983:V1983"/>
    <mergeCell ref="M1984:T1984"/>
    <mergeCell ref="U1984:V1984"/>
    <mergeCell ref="U1985:V1985"/>
    <mergeCell ref="M1986:T1986"/>
    <mergeCell ref="U1986:V1986"/>
    <mergeCell ref="O1989:U1989"/>
    <mergeCell ref="AB1989:AD1989"/>
    <mergeCell ref="O1990:U1990"/>
    <mergeCell ref="M1991:V1991"/>
    <mergeCell ref="M1992:V1992"/>
    <mergeCell ref="AB1992:AC1992"/>
    <mergeCell ref="N1993:Q1993"/>
    <mergeCell ref="T1993:U1993"/>
    <mergeCell ref="N1994:Q1994"/>
    <mergeCell ref="T1994:U1994"/>
    <mergeCell ref="N1995:Q1995"/>
    <mergeCell ref="T1995:U1995"/>
    <mergeCell ref="N1996:Q1996"/>
    <mergeCell ref="T1996:U1996"/>
    <mergeCell ref="N1997:Q1997"/>
    <mergeCell ref="T1997:U1997"/>
    <mergeCell ref="N1998:Q1998"/>
    <mergeCell ref="T1998:U1998"/>
    <mergeCell ref="M1999:M2000"/>
    <mergeCell ref="N1999:U1999"/>
    <mergeCell ref="N2000:U2000"/>
    <mergeCell ref="M2001:V2001"/>
    <mergeCell ref="AB2001:AC2001"/>
    <mergeCell ref="N2002:Q2002"/>
    <mergeCell ref="N2003:Q2003"/>
    <mergeCell ref="N2004:Q2004"/>
    <mergeCell ref="N2005:Q2005"/>
    <mergeCell ref="N2006:Q2006"/>
    <mergeCell ref="N2007:Q2007"/>
    <mergeCell ref="M2008:M2009"/>
    <mergeCell ref="N2008:U2008"/>
    <mergeCell ref="N2009:U2009"/>
    <mergeCell ref="M2010:V2010"/>
    <mergeCell ref="N2011:P2011"/>
    <mergeCell ref="T2011:U2011"/>
    <mergeCell ref="N2012:P2012"/>
    <mergeCell ref="T2012:U2012"/>
    <mergeCell ref="N2013:P2013"/>
    <mergeCell ref="T2013:U2013"/>
    <mergeCell ref="N2014:P2014"/>
    <mergeCell ref="T2014:U2014"/>
    <mergeCell ref="N2015:P2015"/>
    <mergeCell ref="T2015:U2015"/>
    <mergeCell ref="M2016:M2017"/>
    <mergeCell ref="N2016:U2016"/>
    <mergeCell ref="N2017:U2017"/>
    <mergeCell ref="M2018:V2018"/>
    <mergeCell ref="M2023:M2024"/>
    <mergeCell ref="N2023:U2023"/>
    <mergeCell ref="N2024:U2024"/>
    <mergeCell ref="M2025:V2025"/>
    <mergeCell ref="M2026:T2026"/>
    <mergeCell ref="U2026:V2026"/>
    <mergeCell ref="M2028:V2028"/>
    <mergeCell ref="M2029:S2029"/>
    <mergeCell ref="U2029:V2029"/>
    <mergeCell ref="M2030:S2030"/>
    <mergeCell ref="U2030:V2030"/>
    <mergeCell ref="M2031:S2031"/>
    <mergeCell ref="U2031:V2031"/>
    <mergeCell ref="M2032:S2032"/>
    <mergeCell ref="U2032:V2032"/>
    <mergeCell ref="M2033:T2033"/>
    <mergeCell ref="U2033:V2033"/>
    <mergeCell ref="U2034:V2034"/>
    <mergeCell ref="M2035:T2035"/>
    <mergeCell ref="U2035:V2035"/>
    <mergeCell ref="O2038:U2038"/>
    <mergeCell ref="AB2038:AD2038"/>
    <mergeCell ref="O2039:U2039"/>
    <mergeCell ref="M2040:V2040"/>
    <mergeCell ref="M2041:V2041"/>
    <mergeCell ref="AB2041:AC2041"/>
    <mergeCell ref="N2042:Q2042"/>
    <mergeCell ref="T2042:U2042"/>
    <mergeCell ref="N2043:Q2043"/>
    <mergeCell ref="T2043:U2043"/>
    <mergeCell ref="N2044:Q2044"/>
    <mergeCell ref="T2044:U2044"/>
    <mergeCell ref="N2045:Q2045"/>
    <mergeCell ref="T2045:U2045"/>
    <mergeCell ref="N2046:Q2046"/>
    <mergeCell ref="T2046:U2046"/>
    <mergeCell ref="N2047:Q2047"/>
    <mergeCell ref="T2047:U2047"/>
    <mergeCell ref="M2048:M2049"/>
    <mergeCell ref="N2048:U2048"/>
    <mergeCell ref="N2049:U2049"/>
    <mergeCell ref="M2050:V2050"/>
    <mergeCell ref="AB2050:AC2050"/>
    <mergeCell ref="N2051:Q2051"/>
    <mergeCell ref="N2052:Q2052"/>
    <mergeCell ref="N2053:Q2053"/>
    <mergeCell ref="N2054:Q2054"/>
    <mergeCell ref="N2055:Q2055"/>
    <mergeCell ref="N2056:Q2056"/>
    <mergeCell ref="M2057:M2058"/>
    <mergeCell ref="N2057:U2057"/>
    <mergeCell ref="N2058:U2058"/>
    <mergeCell ref="M2059:V2059"/>
    <mergeCell ref="N2060:P2060"/>
    <mergeCell ref="T2060:U2060"/>
    <mergeCell ref="N2061:P2061"/>
    <mergeCell ref="T2061:U2061"/>
    <mergeCell ref="N2062:P2062"/>
    <mergeCell ref="T2062:U2062"/>
    <mergeCell ref="N2063:P2063"/>
    <mergeCell ref="T2063:U2063"/>
    <mergeCell ref="N2064:P2064"/>
    <mergeCell ref="T2064:U2064"/>
    <mergeCell ref="M2065:M2066"/>
    <mergeCell ref="N2065:U2065"/>
    <mergeCell ref="N2066:U2066"/>
    <mergeCell ref="M2067:V2067"/>
    <mergeCell ref="M2072:M2073"/>
    <mergeCell ref="N2072:U2072"/>
    <mergeCell ref="N2073:U2073"/>
    <mergeCell ref="M2074:V2074"/>
    <mergeCell ref="M2075:T2075"/>
    <mergeCell ref="U2075:V2075"/>
    <mergeCell ref="M2077:V2077"/>
    <mergeCell ref="M2078:S2078"/>
    <mergeCell ref="U2078:V2078"/>
    <mergeCell ref="M2079:S2079"/>
    <mergeCell ref="U2079:V2079"/>
    <mergeCell ref="M2080:S2080"/>
    <mergeCell ref="U2080:V2080"/>
    <mergeCell ref="M2081:S2081"/>
    <mergeCell ref="U2081:V2081"/>
    <mergeCell ref="M2082:T2082"/>
    <mergeCell ref="U2082:V2082"/>
    <mergeCell ref="U2083:V2083"/>
    <mergeCell ref="M2084:T2084"/>
    <mergeCell ref="U2084:V2084"/>
    <mergeCell ref="O2087:U2087"/>
    <mergeCell ref="AB2087:AD2087"/>
    <mergeCell ref="O2088:U2088"/>
    <mergeCell ref="M2089:V2089"/>
    <mergeCell ref="M2090:V2090"/>
    <mergeCell ref="AB2090:AC2090"/>
    <mergeCell ref="N2091:Q2091"/>
    <mergeCell ref="T2091:U2091"/>
    <mergeCell ref="N2092:Q2092"/>
    <mergeCell ref="T2092:U2092"/>
    <mergeCell ref="N2093:Q2093"/>
    <mergeCell ref="T2093:U2093"/>
    <mergeCell ref="N2094:Q2094"/>
    <mergeCell ref="T2094:U2094"/>
    <mergeCell ref="N2095:Q2095"/>
    <mergeCell ref="T2095:U2095"/>
    <mergeCell ref="N2096:Q2096"/>
    <mergeCell ref="T2096:U2096"/>
    <mergeCell ref="M2097:M2098"/>
    <mergeCell ref="N2097:U2097"/>
    <mergeCell ref="N2098:U2098"/>
    <mergeCell ref="M2099:V2099"/>
    <mergeCell ref="AB2099:AC2099"/>
    <mergeCell ref="N2100:Q2100"/>
    <mergeCell ref="N2101:Q2101"/>
    <mergeCell ref="N2102:Q2102"/>
    <mergeCell ref="N2103:Q2103"/>
    <mergeCell ref="N2104:Q2104"/>
    <mergeCell ref="N2105:Q2105"/>
    <mergeCell ref="M2106:M2107"/>
    <mergeCell ref="N2106:U2106"/>
    <mergeCell ref="N2107:U2107"/>
    <mergeCell ref="M2108:V2108"/>
    <mergeCell ref="N2109:P2109"/>
    <mergeCell ref="T2109:U2109"/>
    <mergeCell ref="N2110:P2110"/>
    <mergeCell ref="T2110:U2110"/>
    <mergeCell ref="N2111:P2111"/>
    <mergeCell ref="T2111:U2111"/>
    <mergeCell ref="N2112:P2112"/>
    <mergeCell ref="T2112:U2112"/>
    <mergeCell ref="N2113:P2113"/>
    <mergeCell ref="T2113:U2113"/>
    <mergeCell ref="M2114:M2115"/>
    <mergeCell ref="N2114:U2114"/>
    <mergeCell ref="N2115:U2115"/>
    <mergeCell ref="M2116:V2116"/>
    <mergeCell ref="M2121:M2122"/>
    <mergeCell ref="N2121:U2121"/>
    <mergeCell ref="N2122:U2122"/>
    <mergeCell ref="M2123:V2123"/>
    <mergeCell ref="M2124:T2124"/>
    <mergeCell ref="U2124:V2124"/>
    <mergeCell ref="M2126:V2126"/>
    <mergeCell ref="M2127:S2127"/>
    <mergeCell ref="U2127:V2127"/>
    <mergeCell ref="M2128:S2128"/>
    <mergeCell ref="U2128:V2128"/>
    <mergeCell ref="M2129:S2129"/>
    <mergeCell ref="U2129:V2129"/>
    <mergeCell ref="M2130:S2130"/>
    <mergeCell ref="U2130:V2130"/>
    <mergeCell ref="M2131:T2131"/>
    <mergeCell ref="U2131:V2131"/>
    <mergeCell ref="U2132:V2132"/>
    <mergeCell ref="M2133:T2133"/>
    <mergeCell ref="U2133:V2133"/>
    <mergeCell ref="O2136:U2136"/>
    <mergeCell ref="AB2136:AD2136"/>
    <mergeCell ref="O2137:U2137"/>
    <mergeCell ref="M2138:V2138"/>
    <mergeCell ref="M2139:V2139"/>
    <mergeCell ref="AB2139:AC2139"/>
    <mergeCell ref="N2140:Q2140"/>
    <mergeCell ref="T2140:U2140"/>
    <mergeCell ref="N2141:Q2141"/>
    <mergeCell ref="T2141:U2141"/>
    <mergeCell ref="N2142:Q2142"/>
    <mergeCell ref="T2142:U2142"/>
    <mergeCell ref="N2143:Q2143"/>
    <mergeCell ref="T2143:U2143"/>
    <mergeCell ref="N2144:Q2144"/>
    <mergeCell ref="T2144:U2144"/>
    <mergeCell ref="N2145:Q2145"/>
    <mergeCell ref="T2145:U2145"/>
    <mergeCell ref="M2146:M2147"/>
    <mergeCell ref="N2146:U2146"/>
    <mergeCell ref="N2147:U2147"/>
    <mergeCell ref="M2148:V2148"/>
    <mergeCell ref="AB2148:AC2148"/>
    <mergeCell ref="N2149:Q2149"/>
    <mergeCell ref="N2150:Q2150"/>
    <mergeCell ref="N2151:Q2151"/>
    <mergeCell ref="N2152:Q2152"/>
    <mergeCell ref="N2153:Q2153"/>
    <mergeCell ref="N2154:Q2154"/>
    <mergeCell ref="M2155:M2156"/>
    <mergeCell ref="N2155:U2155"/>
    <mergeCell ref="N2156:U2156"/>
    <mergeCell ref="M2157:V2157"/>
    <mergeCell ref="N2158:P2158"/>
    <mergeCell ref="T2158:U2158"/>
    <mergeCell ref="N2159:P2159"/>
    <mergeCell ref="T2159:U2159"/>
    <mergeCell ref="N2160:P2160"/>
    <mergeCell ref="T2160:U2160"/>
    <mergeCell ref="N2161:P2161"/>
    <mergeCell ref="T2161:U2161"/>
    <mergeCell ref="N2162:P2162"/>
    <mergeCell ref="T2162:U2162"/>
    <mergeCell ref="M2163:M2164"/>
    <mergeCell ref="N2163:U2163"/>
    <mergeCell ref="N2164:U2164"/>
    <mergeCell ref="M2165:V2165"/>
    <mergeCell ref="M2170:M2171"/>
    <mergeCell ref="N2170:U2170"/>
    <mergeCell ref="N2171:U2171"/>
    <mergeCell ref="M2172:V2172"/>
    <mergeCell ref="M2173:T2173"/>
    <mergeCell ref="U2173:V2173"/>
    <mergeCell ref="M2175:V2175"/>
    <mergeCell ref="M2176:S2176"/>
    <mergeCell ref="U2176:V2176"/>
    <mergeCell ref="M2177:S2177"/>
    <mergeCell ref="U2177:V2177"/>
    <mergeCell ref="M2178:S2178"/>
    <mergeCell ref="U2178:V2178"/>
    <mergeCell ref="M2179:S2179"/>
    <mergeCell ref="U2179:V2179"/>
    <mergeCell ref="M2180:T2180"/>
    <mergeCell ref="U2180:V2180"/>
    <mergeCell ref="U2181:V2181"/>
    <mergeCell ref="M2182:T2182"/>
    <mergeCell ref="U2182:V2182"/>
    <mergeCell ref="O2185:U2185"/>
    <mergeCell ref="AB2185:AD2185"/>
    <mergeCell ref="O2186:U2186"/>
    <mergeCell ref="M2187:V2187"/>
    <mergeCell ref="M2188:V2188"/>
    <mergeCell ref="AB2188:AC2188"/>
    <mergeCell ref="N2189:Q2189"/>
    <mergeCell ref="T2189:U2189"/>
    <mergeCell ref="N2190:Q2190"/>
    <mergeCell ref="T2190:U2190"/>
    <mergeCell ref="N2191:Q2191"/>
    <mergeCell ref="T2191:U2191"/>
    <mergeCell ref="N2192:Q2192"/>
    <mergeCell ref="T2192:U2192"/>
    <mergeCell ref="N2193:Q2193"/>
    <mergeCell ref="T2193:U2193"/>
    <mergeCell ref="N2194:Q2194"/>
    <mergeCell ref="T2194:U2194"/>
    <mergeCell ref="M2195:M2196"/>
    <mergeCell ref="N2195:U2195"/>
    <mergeCell ref="N2196:U2196"/>
    <mergeCell ref="M2197:V2197"/>
    <mergeCell ref="AB2197:AC2197"/>
    <mergeCell ref="N2198:Q2198"/>
    <mergeCell ref="N2199:Q2199"/>
    <mergeCell ref="N2200:Q2200"/>
    <mergeCell ref="N2201:Q2201"/>
    <mergeCell ref="N2202:Q2202"/>
    <mergeCell ref="N2203:Q2203"/>
    <mergeCell ref="M2204:M2205"/>
    <mergeCell ref="N2204:U2204"/>
    <mergeCell ref="N2205:U2205"/>
    <mergeCell ref="M2206:V2206"/>
    <mergeCell ref="N2207:P2207"/>
    <mergeCell ref="T2207:U2207"/>
    <mergeCell ref="N2208:P2208"/>
    <mergeCell ref="T2208:U2208"/>
    <mergeCell ref="N2209:P2209"/>
    <mergeCell ref="T2209:U2209"/>
    <mergeCell ref="N2210:P2210"/>
    <mergeCell ref="T2210:U2210"/>
    <mergeCell ref="N2211:P2211"/>
    <mergeCell ref="T2211:U2211"/>
    <mergeCell ref="M2212:M2213"/>
    <mergeCell ref="N2212:U2212"/>
    <mergeCell ref="N2213:U2213"/>
    <mergeCell ref="M2214:V2214"/>
    <mergeCell ref="M2219:M2220"/>
    <mergeCell ref="N2219:U2219"/>
    <mergeCell ref="N2220:U2220"/>
    <mergeCell ref="M2221:V2221"/>
    <mergeCell ref="M2222:T2222"/>
    <mergeCell ref="U2222:V2222"/>
    <mergeCell ref="M2224:V2224"/>
    <mergeCell ref="M2225:S2225"/>
    <mergeCell ref="U2225:V2225"/>
    <mergeCell ref="M2226:S2226"/>
    <mergeCell ref="U2226:V2226"/>
    <mergeCell ref="M2227:S2227"/>
    <mergeCell ref="U2227:V2227"/>
    <mergeCell ref="M2228:S2228"/>
    <mergeCell ref="U2228:V2228"/>
    <mergeCell ref="M2229:T2229"/>
    <mergeCell ref="U2229:V2229"/>
    <mergeCell ref="U2230:V2230"/>
    <mergeCell ref="M2231:T2231"/>
    <mergeCell ref="U2231:V2231"/>
    <mergeCell ref="O2234:U2234"/>
    <mergeCell ref="AB2234:AD2234"/>
    <mergeCell ref="O2235:U2235"/>
    <mergeCell ref="M2236:V2236"/>
    <mergeCell ref="M2237:V2237"/>
    <mergeCell ref="AB2237:AC2237"/>
    <mergeCell ref="N2238:Q2238"/>
    <mergeCell ref="T2238:U2238"/>
    <mergeCell ref="N2239:Q2239"/>
    <mergeCell ref="T2239:U2239"/>
    <mergeCell ref="N2240:Q2240"/>
    <mergeCell ref="T2240:U2240"/>
    <mergeCell ref="N2241:Q2241"/>
    <mergeCell ref="T2241:U2241"/>
    <mergeCell ref="N2242:Q2242"/>
    <mergeCell ref="T2242:U2242"/>
    <mergeCell ref="N2243:Q2243"/>
    <mergeCell ref="T2243:U2243"/>
    <mergeCell ref="M2244:M2245"/>
    <mergeCell ref="N2244:U2244"/>
    <mergeCell ref="N2245:U2245"/>
    <mergeCell ref="M2246:V2246"/>
    <mergeCell ref="AB2246:AC2246"/>
    <mergeCell ref="N2247:Q2247"/>
    <mergeCell ref="N2248:Q2248"/>
    <mergeCell ref="N2249:Q2249"/>
    <mergeCell ref="N2250:Q2250"/>
    <mergeCell ref="N2251:Q2251"/>
    <mergeCell ref="N2252:Q2252"/>
    <mergeCell ref="M2253:M2254"/>
    <mergeCell ref="N2253:U2253"/>
    <mergeCell ref="N2254:U2254"/>
    <mergeCell ref="M2255:V2255"/>
    <mergeCell ref="N2256:P2256"/>
    <mergeCell ref="T2256:U2256"/>
    <mergeCell ref="N2257:P2257"/>
    <mergeCell ref="T2257:U2257"/>
    <mergeCell ref="N2258:P2258"/>
    <mergeCell ref="T2258:U2258"/>
    <mergeCell ref="N2259:P2259"/>
    <mergeCell ref="T2259:U2259"/>
    <mergeCell ref="N2260:P2260"/>
    <mergeCell ref="T2260:U2260"/>
    <mergeCell ref="M2261:M2262"/>
    <mergeCell ref="N2261:U2261"/>
    <mergeCell ref="N2262:U2262"/>
    <mergeCell ref="M2263:V2263"/>
    <mergeCell ref="M2268:M2269"/>
    <mergeCell ref="N2268:U2268"/>
    <mergeCell ref="N2269:U2269"/>
    <mergeCell ref="M2270:V2270"/>
    <mergeCell ref="M2271:T2271"/>
    <mergeCell ref="U2271:V2271"/>
    <mergeCell ref="M2273:V2273"/>
    <mergeCell ref="M2274:S2274"/>
    <mergeCell ref="U2274:V2274"/>
    <mergeCell ref="M2275:S2275"/>
    <mergeCell ref="U2275:V2275"/>
    <mergeCell ref="M2276:S2276"/>
    <mergeCell ref="U2276:V2276"/>
    <mergeCell ref="M2277:S2277"/>
    <mergeCell ref="U2277:V2277"/>
    <mergeCell ref="M2278:T2278"/>
    <mergeCell ref="U2278:V2278"/>
    <mergeCell ref="U2279:V2279"/>
    <mergeCell ref="M2280:T2280"/>
    <mergeCell ref="U2280:V2280"/>
    <mergeCell ref="O2283:U2283"/>
    <mergeCell ref="AB2283:AD2283"/>
    <mergeCell ref="O2284:U2284"/>
    <mergeCell ref="M2285:V2285"/>
    <mergeCell ref="M2286:V2286"/>
    <mergeCell ref="AB2286:AC2286"/>
    <mergeCell ref="N2287:Q2287"/>
    <mergeCell ref="T2287:U2287"/>
    <mergeCell ref="N2288:Q2288"/>
    <mergeCell ref="T2288:U2288"/>
    <mergeCell ref="N2289:Q2289"/>
    <mergeCell ref="T2289:U2289"/>
    <mergeCell ref="N2290:Q2290"/>
    <mergeCell ref="T2290:U2290"/>
    <mergeCell ref="N2291:Q2291"/>
    <mergeCell ref="T2291:U2291"/>
    <mergeCell ref="N2292:Q2292"/>
    <mergeCell ref="T2292:U2292"/>
    <mergeCell ref="M2293:M2294"/>
    <mergeCell ref="N2293:U2293"/>
    <mergeCell ref="N2294:U2294"/>
    <mergeCell ref="M2295:V2295"/>
    <mergeCell ref="AB2295:AC2295"/>
    <mergeCell ref="N2296:Q2296"/>
    <mergeCell ref="N2297:Q2297"/>
    <mergeCell ref="N2298:Q2298"/>
    <mergeCell ref="N2299:Q2299"/>
    <mergeCell ref="N2300:Q2300"/>
    <mergeCell ref="N2301:Q2301"/>
    <mergeCell ref="M2302:M2303"/>
    <mergeCell ref="N2302:U2302"/>
    <mergeCell ref="N2303:U2303"/>
    <mergeCell ref="M2304:V2304"/>
    <mergeCell ref="N2305:P2305"/>
    <mergeCell ref="T2305:U2305"/>
    <mergeCell ref="N2306:P2306"/>
    <mergeCell ref="T2306:U2306"/>
    <mergeCell ref="N2307:P2307"/>
    <mergeCell ref="T2307:U2307"/>
    <mergeCell ref="N2308:P2308"/>
    <mergeCell ref="T2308:U2308"/>
    <mergeCell ref="N2309:P2309"/>
    <mergeCell ref="T2309:U2309"/>
    <mergeCell ref="M2310:M2311"/>
    <mergeCell ref="N2310:U2310"/>
    <mergeCell ref="N2311:U2311"/>
    <mergeCell ref="M2312:V2312"/>
    <mergeCell ref="M2317:M2318"/>
    <mergeCell ref="N2317:U2317"/>
    <mergeCell ref="N2318:U2318"/>
    <mergeCell ref="M2319:V2319"/>
    <mergeCell ref="M2320:T2320"/>
    <mergeCell ref="U2320:V2320"/>
    <mergeCell ref="M2322:V2322"/>
    <mergeCell ref="M2323:S2323"/>
    <mergeCell ref="U2323:V2323"/>
    <mergeCell ref="M2324:S2324"/>
    <mergeCell ref="U2324:V2324"/>
    <mergeCell ref="M2325:S2325"/>
    <mergeCell ref="U2325:V2325"/>
    <mergeCell ref="M2326:S2326"/>
    <mergeCell ref="U2326:V2326"/>
    <mergeCell ref="M2327:T2327"/>
    <mergeCell ref="U2327:V2327"/>
    <mergeCell ref="U2328:V2328"/>
    <mergeCell ref="M2329:T2329"/>
    <mergeCell ref="U2329:V2329"/>
    <mergeCell ref="O2332:U2332"/>
    <mergeCell ref="AB2332:AD2332"/>
    <mergeCell ref="O2333:U2333"/>
    <mergeCell ref="M2334:V2334"/>
    <mergeCell ref="M2335:V2335"/>
    <mergeCell ref="AB2335:AC2335"/>
    <mergeCell ref="N2336:Q2336"/>
    <mergeCell ref="T2336:U2336"/>
    <mergeCell ref="N2337:Q2337"/>
    <mergeCell ref="T2337:U2337"/>
    <mergeCell ref="N2338:Q2338"/>
    <mergeCell ref="T2338:U2338"/>
    <mergeCell ref="N2339:Q2339"/>
    <mergeCell ref="T2339:U2339"/>
    <mergeCell ref="N2340:Q2340"/>
    <mergeCell ref="T2340:U2340"/>
    <mergeCell ref="N2341:Q2341"/>
    <mergeCell ref="T2341:U2341"/>
    <mergeCell ref="M2342:M2343"/>
    <mergeCell ref="N2342:U2342"/>
    <mergeCell ref="N2343:U2343"/>
    <mergeCell ref="M2344:V2344"/>
    <mergeCell ref="AB2344:AC2344"/>
    <mergeCell ref="N2345:Q2345"/>
    <mergeCell ref="N2346:Q2346"/>
    <mergeCell ref="N2347:Q2347"/>
    <mergeCell ref="N2348:Q2348"/>
    <mergeCell ref="N2349:Q2349"/>
    <mergeCell ref="N2350:Q2350"/>
    <mergeCell ref="M2351:M2352"/>
    <mergeCell ref="N2351:U2351"/>
    <mergeCell ref="N2352:U2352"/>
    <mergeCell ref="M2353:V2353"/>
    <mergeCell ref="N2354:P2354"/>
    <mergeCell ref="T2354:U2354"/>
    <mergeCell ref="N2355:P2355"/>
    <mergeCell ref="T2355:U2355"/>
    <mergeCell ref="N2356:P2356"/>
    <mergeCell ref="T2356:U2356"/>
    <mergeCell ref="N2357:P2357"/>
    <mergeCell ref="T2357:U2357"/>
    <mergeCell ref="N2358:P2358"/>
    <mergeCell ref="T2358:U2358"/>
    <mergeCell ref="M2359:M2360"/>
    <mergeCell ref="N2359:U2359"/>
    <mergeCell ref="N2360:U2360"/>
    <mergeCell ref="M2361:V2361"/>
    <mergeCell ref="M2366:M2367"/>
    <mergeCell ref="N2366:U2366"/>
    <mergeCell ref="N2367:U2367"/>
    <mergeCell ref="M2368:V2368"/>
    <mergeCell ref="M2369:T2369"/>
    <mergeCell ref="U2369:V2369"/>
    <mergeCell ref="M2371:V2371"/>
    <mergeCell ref="M2372:S2372"/>
    <mergeCell ref="U2372:V2372"/>
    <mergeCell ref="M2373:S2373"/>
    <mergeCell ref="U2373:V2373"/>
    <mergeCell ref="M2374:S2374"/>
    <mergeCell ref="U2374:V2374"/>
    <mergeCell ref="M2375:S2375"/>
    <mergeCell ref="U2375:V2375"/>
    <mergeCell ref="M2376:T2376"/>
    <mergeCell ref="U2376:V2376"/>
    <mergeCell ref="U2377:V2377"/>
    <mergeCell ref="M2378:T2378"/>
    <mergeCell ref="U2378:V2378"/>
    <mergeCell ref="O2381:U2381"/>
    <mergeCell ref="AB2381:AD2381"/>
    <mergeCell ref="O2382:U2382"/>
    <mergeCell ref="M2383:V2383"/>
    <mergeCell ref="M2384:V2384"/>
    <mergeCell ref="AB2384:AC2384"/>
    <mergeCell ref="N2385:Q2385"/>
    <mergeCell ref="T2385:U2385"/>
    <mergeCell ref="N2386:Q2386"/>
    <mergeCell ref="T2386:U2386"/>
    <mergeCell ref="N2387:Q2387"/>
    <mergeCell ref="T2387:U2387"/>
    <mergeCell ref="M2388:M2389"/>
    <mergeCell ref="N2388:U2388"/>
    <mergeCell ref="N2389:U2389"/>
    <mergeCell ref="M2390:V2390"/>
    <mergeCell ref="AB2390:AC2390"/>
    <mergeCell ref="N2391:Q2391"/>
    <mergeCell ref="N2392:Q2392"/>
    <mergeCell ref="N2393:Q2393"/>
    <mergeCell ref="N2394:Q2394"/>
    <mergeCell ref="N2395:Q2395"/>
    <mergeCell ref="N2403:Q2403"/>
    <mergeCell ref="M2404:M2405"/>
    <mergeCell ref="N2404:U2404"/>
    <mergeCell ref="N2405:U2405"/>
    <mergeCell ref="M2406:V2406"/>
    <mergeCell ref="N2407:P2407"/>
    <mergeCell ref="T2407:U2407"/>
    <mergeCell ref="N2408:P2408"/>
    <mergeCell ref="T2408:U2408"/>
    <mergeCell ref="N2396:Q2396"/>
    <mergeCell ref="N2397:Q2397"/>
    <mergeCell ref="N2398:Q2398"/>
    <mergeCell ref="N2399:Q2399"/>
    <mergeCell ref="N2400:Q2400"/>
    <mergeCell ref="N2401:Q2401"/>
    <mergeCell ref="N2402:Q2402"/>
    <mergeCell ref="M2409:M2410"/>
    <mergeCell ref="N2409:U2409"/>
    <mergeCell ref="N2410:U2410"/>
    <mergeCell ref="M2411:V2411"/>
    <mergeCell ref="M2415:M2416"/>
    <mergeCell ref="N2415:U2415"/>
    <mergeCell ref="N2416:U2416"/>
    <mergeCell ref="M2417:V2417"/>
    <mergeCell ref="M2418:T2418"/>
    <mergeCell ref="U2418:V2418"/>
    <mergeCell ref="M2420:V2420"/>
    <mergeCell ref="M2421:S2421"/>
    <mergeCell ref="U2421:V2421"/>
    <mergeCell ref="M2422:S2422"/>
    <mergeCell ref="U2422:V2422"/>
    <mergeCell ref="M2423:S2423"/>
    <mergeCell ref="U2423:V2423"/>
    <mergeCell ref="M2424:S2424"/>
    <mergeCell ref="U2424:V2424"/>
    <mergeCell ref="M2425:T2425"/>
    <mergeCell ref="U2425:V2425"/>
    <mergeCell ref="U2426:V2426"/>
    <mergeCell ref="M2427:T2427"/>
    <mergeCell ref="U2427:V2427"/>
    <mergeCell ref="O2626:U2626"/>
    <mergeCell ref="AB2626:AD2626"/>
    <mergeCell ref="O2627:U2627"/>
    <mergeCell ref="M2628:V2628"/>
    <mergeCell ref="M2629:V2629"/>
    <mergeCell ref="AB2629:AC2629"/>
    <mergeCell ref="N2630:Q2630"/>
    <mergeCell ref="T2630:U2630"/>
    <mergeCell ref="AB2442:AC2442"/>
    <mergeCell ref="N2443:Q2443"/>
    <mergeCell ref="N2438:Q2438"/>
    <mergeCell ref="T2438:U2438"/>
    <mergeCell ref="N2439:Q2439"/>
    <mergeCell ref="T2439:U2439"/>
    <mergeCell ref="M2440:M2441"/>
    <mergeCell ref="N2440:U2440"/>
    <mergeCell ref="AB2430:AD2430"/>
    <mergeCell ref="N2436:Q2436"/>
    <mergeCell ref="T2436:U2436"/>
    <mergeCell ref="N2437:Q2437"/>
    <mergeCell ref="O2430:U2430"/>
    <mergeCell ref="O2431:U2431"/>
    <mergeCell ref="M2432:V2432"/>
    <mergeCell ref="AB2482:AC2482"/>
    <mergeCell ref="N2483:Q2483"/>
    <mergeCell ref="T2483:U2483"/>
    <mergeCell ref="N2484:Q2484"/>
    <mergeCell ref="T2484:U2484"/>
    <mergeCell ref="N2485:Q2485"/>
    <mergeCell ref="N2631:Q2631"/>
    <mergeCell ref="T2631:U2631"/>
    <mergeCell ref="U2474:V2474"/>
    <mergeCell ref="M2470:S2470"/>
    <mergeCell ref="U2470:V2470"/>
    <mergeCell ref="M2471:S2471"/>
    <mergeCell ref="U2471:V2471"/>
    <mergeCell ref="N2456:P2456"/>
    <mergeCell ref="T2456:U2456"/>
    <mergeCell ref="M2457:M2458"/>
    <mergeCell ref="N2457:U2457"/>
    <mergeCell ref="N2458:U2458"/>
    <mergeCell ref="N2453:P2453"/>
    <mergeCell ref="U2472:V2472"/>
    <mergeCell ref="U2473:V2473"/>
    <mergeCell ref="T2453:U2453"/>
    <mergeCell ref="M2459:V2459"/>
    <mergeCell ref="N2486:Q2486"/>
    <mergeCell ref="T2486:U2486"/>
    <mergeCell ref="N2487:Q2487"/>
    <mergeCell ref="T2487:U2487"/>
    <mergeCell ref="N2488:Q2488"/>
    <mergeCell ref="T2488:U2488"/>
    <mergeCell ref="M2489:M2490"/>
    <mergeCell ref="N2489:U2489"/>
    <mergeCell ref="N2490:U2490"/>
    <mergeCell ref="O2480:U2480"/>
    <mergeCell ref="M2481:V2481"/>
    <mergeCell ref="M2482:V2482"/>
    <mergeCell ref="M2515:V2515"/>
    <mergeCell ref="M2516:T2516"/>
    <mergeCell ref="U2516:V2516"/>
    <mergeCell ref="N2632:Q2632"/>
    <mergeCell ref="T2632:U2632"/>
    <mergeCell ref="N2633:Q2633"/>
    <mergeCell ref="T2633:U2633"/>
    <mergeCell ref="N2634:Q2634"/>
    <mergeCell ref="T2634:U2634"/>
    <mergeCell ref="N2635:Q2635"/>
    <mergeCell ref="T2635:U2635"/>
    <mergeCell ref="M2636:M2637"/>
    <mergeCell ref="N2636:U2636"/>
    <mergeCell ref="N2637:U2637"/>
    <mergeCell ref="M2638:V2638"/>
    <mergeCell ref="AB2638:AC2638"/>
    <mergeCell ref="N2639:Q2639"/>
    <mergeCell ref="N2640:Q2640"/>
    <mergeCell ref="N2641:Q2641"/>
    <mergeCell ref="N2642:Q2642"/>
    <mergeCell ref="N2643:Q2643"/>
    <mergeCell ref="N2644:Q2644"/>
    <mergeCell ref="M2645:M2646"/>
    <mergeCell ref="N2645:U2645"/>
    <mergeCell ref="N2646:U2646"/>
    <mergeCell ref="M2647:V2647"/>
    <mergeCell ref="N2648:P2648"/>
    <mergeCell ref="T2648:U2648"/>
    <mergeCell ref="N2649:P2649"/>
    <mergeCell ref="T2649:U2649"/>
    <mergeCell ref="N2650:P2650"/>
    <mergeCell ref="T2650:U2650"/>
    <mergeCell ref="N2651:P2651"/>
    <mergeCell ref="T2651:U2651"/>
    <mergeCell ref="N2652:P2652"/>
    <mergeCell ref="T2652:U2652"/>
    <mergeCell ref="M2653:M2654"/>
    <mergeCell ref="N2653:U2653"/>
    <mergeCell ref="N2654:U2654"/>
    <mergeCell ref="M2655:V2655"/>
    <mergeCell ref="M2660:M2661"/>
    <mergeCell ref="N2660:U2660"/>
    <mergeCell ref="N2661:U2661"/>
    <mergeCell ref="M2662:V2662"/>
    <mergeCell ref="M2663:T2663"/>
    <mergeCell ref="U2663:V2663"/>
    <mergeCell ref="M2665:V2665"/>
    <mergeCell ref="M2666:S2666"/>
    <mergeCell ref="U2666:V2666"/>
    <mergeCell ref="M2667:S2667"/>
    <mergeCell ref="U2667:V2667"/>
    <mergeCell ref="M2668:S2668"/>
    <mergeCell ref="U2668:V2668"/>
    <mergeCell ref="M2669:S2669"/>
    <mergeCell ref="U2669:V2669"/>
    <mergeCell ref="M2670:T2670"/>
    <mergeCell ref="U2670:V2670"/>
    <mergeCell ref="U2671:V2671"/>
    <mergeCell ref="M2672:T2672"/>
    <mergeCell ref="U2672:V2672"/>
    <mergeCell ref="O2675:U2675"/>
    <mergeCell ref="AB2675:AD2675"/>
    <mergeCell ref="O2676:U2676"/>
    <mergeCell ref="M2677:V2677"/>
    <mergeCell ref="M2678:V2678"/>
    <mergeCell ref="AB2678:AC2678"/>
    <mergeCell ref="N2679:Q2679"/>
    <mergeCell ref="T2679:U2679"/>
    <mergeCell ref="N2680:Q2680"/>
    <mergeCell ref="T2680:U2680"/>
    <mergeCell ref="N2681:Q2681"/>
    <mergeCell ref="T2681:U2681"/>
    <mergeCell ref="N2682:Q2682"/>
    <mergeCell ref="T2682:U2682"/>
    <mergeCell ref="N2683:Q2683"/>
    <mergeCell ref="T2683:U2683"/>
    <mergeCell ref="N2684:Q2684"/>
    <mergeCell ref="T2684:U2684"/>
    <mergeCell ref="M2685:M2686"/>
    <mergeCell ref="N2685:U2685"/>
    <mergeCell ref="N2686:U2686"/>
    <mergeCell ref="M2687:V2687"/>
    <mergeCell ref="AB2687:AC2687"/>
    <mergeCell ref="N2688:Q2688"/>
    <mergeCell ref="N2689:Q2689"/>
    <mergeCell ref="N2690:Q2690"/>
    <mergeCell ref="N2691:Q2691"/>
    <mergeCell ref="N2692:Q2692"/>
    <mergeCell ref="N2693:Q2693"/>
    <mergeCell ref="M2694:M2695"/>
    <mergeCell ref="N2694:U2694"/>
    <mergeCell ref="N2695:U2695"/>
    <mergeCell ref="M2696:V2696"/>
    <mergeCell ref="N2697:P2697"/>
    <mergeCell ref="T2697:U2697"/>
    <mergeCell ref="N2698:P2698"/>
    <mergeCell ref="T2698:U2698"/>
    <mergeCell ref="N2699:P2699"/>
    <mergeCell ref="T2699:U2699"/>
    <mergeCell ref="N2700:P2700"/>
    <mergeCell ref="T2700:U2700"/>
    <mergeCell ref="N2701:P2701"/>
    <mergeCell ref="T2701:U2701"/>
    <mergeCell ref="M2702:M2703"/>
    <mergeCell ref="N2702:U2702"/>
    <mergeCell ref="N2703:U2703"/>
    <mergeCell ref="M2704:V2704"/>
    <mergeCell ref="M2709:M2710"/>
    <mergeCell ref="N2709:U2709"/>
    <mergeCell ref="N2710:U2710"/>
    <mergeCell ref="M2711:V2711"/>
    <mergeCell ref="M2712:T2712"/>
    <mergeCell ref="U2712:V2712"/>
    <mergeCell ref="M2714:V2714"/>
    <mergeCell ref="M2715:S2715"/>
    <mergeCell ref="U2715:V2715"/>
    <mergeCell ref="M2716:S2716"/>
    <mergeCell ref="U2716:V2716"/>
    <mergeCell ref="M2717:S2717"/>
    <mergeCell ref="U2717:V2717"/>
    <mergeCell ref="M2718:S2718"/>
    <mergeCell ref="U2718:V2718"/>
    <mergeCell ref="M2719:T2719"/>
    <mergeCell ref="U2719:V2719"/>
    <mergeCell ref="U2720:V2720"/>
    <mergeCell ref="M2721:T2721"/>
    <mergeCell ref="U2721:V2721"/>
    <mergeCell ref="O2724:U2724"/>
    <mergeCell ref="AB2724:AD2724"/>
    <mergeCell ref="O2725:U2725"/>
    <mergeCell ref="M2726:V2726"/>
    <mergeCell ref="M2727:V2727"/>
    <mergeCell ref="AB2727:AC2727"/>
    <mergeCell ref="N2728:Q2728"/>
    <mergeCell ref="T2728:U2728"/>
    <mergeCell ref="N2729:Q2729"/>
    <mergeCell ref="T2729:U2729"/>
    <mergeCell ref="N2730:Q2730"/>
    <mergeCell ref="T2730:U2730"/>
    <mergeCell ref="N2731:Q2731"/>
    <mergeCell ref="T2731:U2731"/>
    <mergeCell ref="N2732:Q2732"/>
    <mergeCell ref="T2732:U2732"/>
    <mergeCell ref="N2733:Q2733"/>
    <mergeCell ref="T2733:U2733"/>
    <mergeCell ref="M2734:M2735"/>
    <mergeCell ref="N2734:U2734"/>
    <mergeCell ref="N2735:U2735"/>
    <mergeCell ref="M2736:V2736"/>
    <mergeCell ref="AB2736:AC2736"/>
    <mergeCell ref="N2737:Q2737"/>
    <mergeCell ref="N2738:Q2738"/>
    <mergeCell ref="N2739:Q2739"/>
    <mergeCell ref="N2740:Q2740"/>
    <mergeCell ref="N2741:Q2741"/>
    <mergeCell ref="N2742:Q2742"/>
    <mergeCell ref="M2743:M2744"/>
    <mergeCell ref="N2743:U2743"/>
    <mergeCell ref="N2744:U2744"/>
    <mergeCell ref="M2745:V2745"/>
    <mergeCell ref="N2746:P2746"/>
    <mergeCell ref="T2746:U2746"/>
    <mergeCell ref="N2747:P2747"/>
    <mergeCell ref="T2747:U2747"/>
    <mergeCell ref="N2748:P2748"/>
    <mergeCell ref="T2748:U2748"/>
    <mergeCell ref="N2749:P2749"/>
    <mergeCell ref="T2749:U2749"/>
    <mergeCell ref="N2750:P2750"/>
    <mergeCell ref="T2750:U2750"/>
    <mergeCell ref="M2751:M2752"/>
    <mergeCell ref="N2751:U2751"/>
    <mergeCell ref="N2752:U2752"/>
    <mergeCell ref="M2753:V2753"/>
    <mergeCell ref="M2758:M2759"/>
    <mergeCell ref="N2758:U2758"/>
    <mergeCell ref="N2759:U2759"/>
    <mergeCell ref="M2760:V2760"/>
    <mergeCell ref="M2761:T2761"/>
    <mergeCell ref="U2761:V2761"/>
    <mergeCell ref="M2763:V2763"/>
    <mergeCell ref="M2764:S2764"/>
    <mergeCell ref="U2764:V2764"/>
    <mergeCell ref="M2765:S2765"/>
    <mergeCell ref="U2765:V2765"/>
    <mergeCell ref="M2766:S2766"/>
    <mergeCell ref="U2766:V2766"/>
    <mergeCell ref="M2767:S2767"/>
    <mergeCell ref="U2767:V2767"/>
    <mergeCell ref="M2768:T2768"/>
    <mergeCell ref="U2768:V2768"/>
    <mergeCell ref="U2769:V2769"/>
    <mergeCell ref="M2770:T2770"/>
    <mergeCell ref="U2770:V2770"/>
    <mergeCell ref="O2773:U2773"/>
    <mergeCell ref="AB2773:AD2773"/>
    <mergeCell ref="O2774:U2774"/>
    <mergeCell ref="M2775:V2775"/>
    <mergeCell ref="M2776:V2776"/>
    <mergeCell ref="AB2776:AC2776"/>
    <mergeCell ref="N2777:Q2777"/>
    <mergeCell ref="T2777:U2777"/>
    <mergeCell ref="N2778:Q2778"/>
    <mergeCell ref="T2778:U2778"/>
    <mergeCell ref="N2779:Q2779"/>
    <mergeCell ref="T2779:U2779"/>
    <mergeCell ref="N2780:Q2780"/>
    <mergeCell ref="T2780:U2780"/>
    <mergeCell ref="N2781:Q2781"/>
    <mergeCell ref="T2781:U2781"/>
    <mergeCell ref="N2782:Q2782"/>
    <mergeCell ref="T2782:U2782"/>
    <mergeCell ref="M2783:M2784"/>
    <mergeCell ref="N2783:U2783"/>
    <mergeCell ref="N2784:U2784"/>
    <mergeCell ref="M2785:V2785"/>
    <mergeCell ref="AB2785:AC2785"/>
    <mergeCell ref="N2786:Q2786"/>
    <mergeCell ref="N2787:Q2787"/>
    <mergeCell ref="N2788:Q2788"/>
    <mergeCell ref="N2789:Q2789"/>
    <mergeCell ref="N2790:Q2790"/>
    <mergeCell ref="N2791:Q2791"/>
    <mergeCell ref="M2792:M2793"/>
    <mergeCell ref="N2792:U2792"/>
    <mergeCell ref="N2793:U2793"/>
    <mergeCell ref="M2794:V2794"/>
    <mergeCell ref="N2795:P2795"/>
    <mergeCell ref="T2795:U2795"/>
    <mergeCell ref="N2796:P2796"/>
    <mergeCell ref="T2796:U2796"/>
    <mergeCell ref="N2797:P2797"/>
    <mergeCell ref="T2797:U2797"/>
    <mergeCell ref="N2798:P2798"/>
    <mergeCell ref="T2798:U2798"/>
    <mergeCell ref="N2799:P2799"/>
    <mergeCell ref="T2799:U2799"/>
    <mergeCell ref="M2800:M2801"/>
    <mergeCell ref="N2800:U2800"/>
    <mergeCell ref="N2801:U2801"/>
    <mergeCell ref="M2802:V2802"/>
    <mergeCell ref="M2807:M2808"/>
    <mergeCell ref="N2807:U2807"/>
    <mergeCell ref="N2808:U2808"/>
    <mergeCell ref="M2809:V2809"/>
    <mergeCell ref="M2810:T2810"/>
    <mergeCell ref="U2810:V2810"/>
    <mergeCell ref="M2812:V2812"/>
    <mergeCell ref="M2813:S2813"/>
    <mergeCell ref="U2813:V2813"/>
    <mergeCell ref="M2814:S2814"/>
    <mergeCell ref="U2814:V2814"/>
    <mergeCell ref="M2815:S2815"/>
    <mergeCell ref="U2815:V2815"/>
    <mergeCell ref="M2816:S2816"/>
    <mergeCell ref="U2816:V2816"/>
    <mergeCell ref="M2817:T2817"/>
    <mergeCell ref="U2817:V2817"/>
    <mergeCell ref="U2818:V2818"/>
    <mergeCell ref="M2819:T2819"/>
    <mergeCell ref="U2819:V2819"/>
    <mergeCell ref="O2822:U2822"/>
    <mergeCell ref="AB2822:AD2822"/>
    <mergeCell ref="O2823:U2823"/>
    <mergeCell ref="M2824:V2824"/>
    <mergeCell ref="M2825:V2825"/>
    <mergeCell ref="AB2825:AC2825"/>
    <mergeCell ref="N2826:Q2826"/>
    <mergeCell ref="T2826:U2826"/>
    <mergeCell ref="N2827:Q2827"/>
    <mergeCell ref="T2827:U2827"/>
    <mergeCell ref="N2828:Q2828"/>
    <mergeCell ref="T2828:U2828"/>
    <mergeCell ref="N2829:Q2829"/>
    <mergeCell ref="T2829:U2829"/>
    <mergeCell ref="N2830:Q2830"/>
    <mergeCell ref="T2830:U2830"/>
    <mergeCell ref="N2831:Q2831"/>
    <mergeCell ref="T2831:U2831"/>
    <mergeCell ref="M2832:M2833"/>
    <mergeCell ref="N2832:U2832"/>
    <mergeCell ref="N2833:U2833"/>
    <mergeCell ref="M2834:V2834"/>
    <mergeCell ref="AB2834:AC2834"/>
    <mergeCell ref="N2835:Q2835"/>
    <mergeCell ref="N2836:Q2836"/>
    <mergeCell ref="N2837:Q2837"/>
    <mergeCell ref="N2838:Q2838"/>
    <mergeCell ref="N2839:Q2839"/>
    <mergeCell ref="N2840:Q2840"/>
    <mergeCell ref="M2841:M2842"/>
    <mergeCell ref="N2841:U2841"/>
    <mergeCell ref="N2842:U2842"/>
    <mergeCell ref="M2843:V2843"/>
    <mergeCell ref="N2844:P2844"/>
    <mergeCell ref="T2844:U2844"/>
    <mergeCell ref="N2845:P2845"/>
    <mergeCell ref="T2845:U2845"/>
    <mergeCell ref="N2846:P2846"/>
    <mergeCell ref="T2846:U2846"/>
    <mergeCell ref="N2847:P2847"/>
    <mergeCell ref="T2847:U2847"/>
    <mergeCell ref="N2848:P2848"/>
    <mergeCell ref="T2848:U2848"/>
    <mergeCell ref="M2849:M2850"/>
    <mergeCell ref="N2849:U2849"/>
    <mergeCell ref="N2850:U2850"/>
    <mergeCell ref="M2851:V2851"/>
    <mergeCell ref="M2856:M2857"/>
    <mergeCell ref="N2856:U2856"/>
    <mergeCell ref="N2857:U2857"/>
    <mergeCell ref="M2858:V2858"/>
    <mergeCell ref="M2859:T2859"/>
    <mergeCell ref="U2859:V2859"/>
    <mergeCell ref="M2861:V2861"/>
    <mergeCell ref="M2862:S2862"/>
    <mergeCell ref="U2862:V2862"/>
    <mergeCell ref="M2863:S2863"/>
    <mergeCell ref="U2863:V2863"/>
    <mergeCell ref="M2864:S2864"/>
    <mergeCell ref="U2864:V2864"/>
    <mergeCell ref="M2865:S2865"/>
    <mergeCell ref="U2865:V2865"/>
    <mergeCell ref="M2866:T2866"/>
    <mergeCell ref="U2866:V2866"/>
    <mergeCell ref="U2867:V2867"/>
    <mergeCell ref="M2868:T2868"/>
    <mergeCell ref="U2868:V2868"/>
    <mergeCell ref="O2871:U2871"/>
    <mergeCell ref="AB2871:AD2871"/>
    <mergeCell ref="O2872:U2872"/>
    <mergeCell ref="M2873:V2873"/>
    <mergeCell ref="M2874:V2874"/>
    <mergeCell ref="AB2874:AC2874"/>
    <mergeCell ref="N2875:Q2875"/>
    <mergeCell ref="T2875:U2875"/>
    <mergeCell ref="N2876:Q2876"/>
    <mergeCell ref="T2876:U2876"/>
    <mergeCell ref="N2877:Q2877"/>
    <mergeCell ref="T2877:U2877"/>
    <mergeCell ref="N2878:Q2878"/>
    <mergeCell ref="T2878:U2878"/>
    <mergeCell ref="N2879:Q2879"/>
    <mergeCell ref="T2879:U2879"/>
    <mergeCell ref="N2880:Q2880"/>
    <mergeCell ref="T2880:U2880"/>
    <mergeCell ref="M2881:M2882"/>
    <mergeCell ref="N2881:U2881"/>
    <mergeCell ref="N2882:U2882"/>
    <mergeCell ref="M2883:V2883"/>
    <mergeCell ref="AB2883:AC2883"/>
    <mergeCell ref="N2884:Q2884"/>
    <mergeCell ref="N2885:Q2885"/>
    <mergeCell ref="N2886:Q2886"/>
    <mergeCell ref="N2887:Q2887"/>
    <mergeCell ref="N2888:Q2888"/>
    <mergeCell ref="N2889:Q2889"/>
    <mergeCell ref="M2890:M2891"/>
    <mergeCell ref="N2890:U2890"/>
    <mergeCell ref="N2891:U2891"/>
    <mergeCell ref="M2892:V2892"/>
    <mergeCell ref="N2893:P2893"/>
    <mergeCell ref="T2893:U2893"/>
    <mergeCell ref="N2894:P2894"/>
    <mergeCell ref="T2894:U2894"/>
    <mergeCell ref="N2895:P2895"/>
    <mergeCell ref="T2895:U2895"/>
    <mergeCell ref="N2896:P2896"/>
    <mergeCell ref="T2896:U2896"/>
    <mergeCell ref="N2897:P2897"/>
    <mergeCell ref="T2897:U2897"/>
    <mergeCell ref="M2898:M2899"/>
    <mergeCell ref="N2898:U2898"/>
    <mergeCell ref="N2899:U2899"/>
    <mergeCell ref="M2900:V2900"/>
    <mergeCell ref="M2905:M2906"/>
    <mergeCell ref="N2905:U2905"/>
    <mergeCell ref="N2906:U2906"/>
    <mergeCell ref="M2907:V2907"/>
    <mergeCell ref="M2908:T2908"/>
    <mergeCell ref="U2908:V2908"/>
    <mergeCell ref="M2910:V2910"/>
    <mergeCell ref="M2911:S2911"/>
    <mergeCell ref="U2911:V2911"/>
    <mergeCell ref="M2912:S2912"/>
    <mergeCell ref="U2912:V2912"/>
    <mergeCell ref="M2913:S2913"/>
    <mergeCell ref="U2913:V2913"/>
    <mergeCell ref="M2914:S2914"/>
    <mergeCell ref="U2914:V2914"/>
    <mergeCell ref="M2915:T2915"/>
    <mergeCell ref="U2915:V2915"/>
    <mergeCell ref="U2916:V2916"/>
    <mergeCell ref="M2917:T2917"/>
    <mergeCell ref="U2917:V2917"/>
    <mergeCell ref="O2920:U2920"/>
    <mergeCell ref="AB2920:AD2920"/>
    <mergeCell ref="O2921:U2921"/>
    <mergeCell ref="M2922:V2922"/>
    <mergeCell ref="M2923:V2923"/>
    <mergeCell ref="AB2923:AC2923"/>
    <mergeCell ref="N2924:Q2924"/>
    <mergeCell ref="T2924:U2924"/>
    <mergeCell ref="N2925:Q2925"/>
    <mergeCell ref="T2925:U2925"/>
    <mergeCell ref="N2926:Q2926"/>
    <mergeCell ref="T2926:U2926"/>
    <mergeCell ref="N2927:Q2927"/>
    <mergeCell ref="T2927:U2927"/>
    <mergeCell ref="N2928:Q2928"/>
    <mergeCell ref="T2928:U2928"/>
    <mergeCell ref="N2929:Q2929"/>
    <mergeCell ref="T2929:U2929"/>
    <mergeCell ref="M2930:M2931"/>
    <mergeCell ref="N2930:U2930"/>
    <mergeCell ref="N2931:U2931"/>
    <mergeCell ref="M2932:V2932"/>
    <mergeCell ref="AB2932:AC2932"/>
    <mergeCell ref="N2933:Q2933"/>
    <mergeCell ref="N2934:Q2934"/>
    <mergeCell ref="N2935:Q2935"/>
    <mergeCell ref="N2936:Q2936"/>
    <mergeCell ref="N2937:Q2937"/>
    <mergeCell ref="N2938:Q2938"/>
    <mergeCell ref="M2939:M2940"/>
    <mergeCell ref="N2939:U2939"/>
    <mergeCell ref="N2940:U2940"/>
    <mergeCell ref="M2941:V2941"/>
    <mergeCell ref="N2942:P2942"/>
    <mergeCell ref="T2942:U2942"/>
    <mergeCell ref="N2943:P2943"/>
    <mergeCell ref="T2943:U2943"/>
    <mergeCell ref="N2944:P2944"/>
    <mergeCell ref="T2944:U2944"/>
    <mergeCell ref="N2945:P2945"/>
    <mergeCell ref="T2945:U2945"/>
    <mergeCell ref="N2946:P2946"/>
    <mergeCell ref="T2946:U2946"/>
    <mergeCell ref="M2947:M2948"/>
    <mergeCell ref="N2947:U2947"/>
    <mergeCell ref="N2948:U2948"/>
    <mergeCell ref="M2949:V2949"/>
    <mergeCell ref="M2954:M2955"/>
    <mergeCell ref="N2954:U2954"/>
    <mergeCell ref="N2955:U2955"/>
    <mergeCell ref="M2956:V2956"/>
    <mergeCell ref="M2957:T2957"/>
    <mergeCell ref="U2957:V2957"/>
    <mergeCell ref="M2959:V2959"/>
    <mergeCell ref="M2960:S2960"/>
    <mergeCell ref="U2960:V2960"/>
    <mergeCell ref="M2961:S2961"/>
    <mergeCell ref="U2961:V2961"/>
    <mergeCell ref="M2962:S2962"/>
    <mergeCell ref="U2962:V2962"/>
    <mergeCell ref="M2963:S2963"/>
    <mergeCell ref="U2963:V2963"/>
    <mergeCell ref="M2964:T2964"/>
    <mergeCell ref="U2964:V2964"/>
    <mergeCell ref="U2965:V2965"/>
    <mergeCell ref="M2966:T2966"/>
    <mergeCell ref="U2966:V2966"/>
    <mergeCell ref="O2969:U2969"/>
    <mergeCell ref="AB2969:AD2969"/>
    <mergeCell ref="O2970:U2970"/>
    <mergeCell ref="M2971:V2971"/>
    <mergeCell ref="M2972:V2972"/>
    <mergeCell ref="AB2972:AC2972"/>
    <mergeCell ref="N2973:Q2973"/>
    <mergeCell ref="T2973:U2973"/>
    <mergeCell ref="N2974:Q2974"/>
    <mergeCell ref="T2974:U2974"/>
    <mergeCell ref="N2975:Q2975"/>
    <mergeCell ref="T2975:U2975"/>
    <mergeCell ref="N2976:Q2976"/>
    <mergeCell ref="T2976:U2976"/>
    <mergeCell ref="N2977:Q2977"/>
    <mergeCell ref="T2977:U2977"/>
    <mergeCell ref="N2978:Q2978"/>
    <mergeCell ref="T2978:U2978"/>
    <mergeCell ref="M2979:M2980"/>
    <mergeCell ref="N2979:U2979"/>
    <mergeCell ref="N2980:U2980"/>
    <mergeCell ref="M2981:V2981"/>
    <mergeCell ref="AB2981:AC2981"/>
    <mergeCell ref="N2982:Q2982"/>
    <mergeCell ref="N2983:Q2983"/>
    <mergeCell ref="N2984:Q2984"/>
    <mergeCell ref="N2985:Q2985"/>
    <mergeCell ref="N2986:Q2986"/>
    <mergeCell ref="N2987:Q2987"/>
    <mergeCell ref="M2988:M2989"/>
    <mergeCell ref="N2988:U2988"/>
    <mergeCell ref="N2989:U2989"/>
    <mergeCell ref="M2990:V2990"/>
    <mergeCell ref="N2991:P2991"/>
    <mergeCell ref="T2991:U2991"/>
    <mergeCell ref="N2992:P2992"/>
    <mergeCell ref="T2992:U2992"/>
    <mergeCell ref="N2993:P2993"/>
    <mergeCell ref="T2993:U2993"/>
    <mergeCell ref="N2994:P2994"/>
    <mergeCell ref="T2994:U2994"/>
    <mergeCell ref="N2995:P2995"/>
    <mergeCell ref="T2995:U2995"/>
    <mergeCell ref="M2996:M2997"/>
    <mergeCell ref="N2996:U2996"/>
    <mergeCell ref="N2997:U2997"/>
    <mergeCell ref="M2998:V2998"/>
    <mergeCell ref="M3003:M3004"/>
    <mergeCell ref="N3003:U3003"/>
    <mergeCell ref="N3004:U3004"/>
    <mergeCell ref="M3005:V3005"/>
    <mergeCell ref="M3006:T3006"/>
    <mergeCell ref="U3006:V3006"/>
    <mergeCell ref="M3008:V3008"/>
    <mergeCell ref="M3009:S3009"/>
    <mergeCell ref="U3009:V3009"/>
    <mergeCell ref="M3010:S3010"/>
    <mergeCell ref="U3010:V3010"/>
    <mergeCell ref="M3011:S3011"/>
    <mergeCell ref="U3011:V3011"/>
    <mergeCell ref="M3012:S3012"/>
    <mergeCell ref="U3012:V3012"/>
    <mergeCell ref="M3013:T3013"/>
    <mergeCell ref="U3013:V3013"/>
    <mergeCell ref="U3014:V3014"/>
    <mergeCell ref="M3015:T3015"/>
    <mergeCell ref="U3015:V3015"/>
    <mergeCell ref="O3018:U3018"/>
    <mergeCell ref="AB3018:AD3018"/>
    <mergeCell ref="O3019:U3019"/>
    <mergeCell ref="M3020:V3020"/>
    <mergeCell ref="M3021:V3021"/>
    <mergeCell ref="AB3021:AC3021"/>
    <mergeCell ref="N3022:Q3022"/>
    <mergeCell ref="T3022:U3022"/>
    <mergeCell ref="N3023:Q3023"/>
    <mergeCell ref="T3023:U3023"/>
    <mergeCell ref="N3024:Q3024"/>
    <mergeCell ref="T3024:U3024"/>
    <mergeCell ref="N3025:Q3025"/>
    <mergeCell ref="T3025:U3025"/>
    <mergeCell ref="N3026:Q3026"/>
    <mergeCell ref="T3026:U3026"/>
    <mergeCell ref="N3027:Q3027"/>
    <mergeCell ref="T3027:U3027"/>
    <mergeCell ref="M3028:M3029"/>
    <mergeCell ref="N3028:U3028"/>
    <mergeCell ref="N3029:U3029"/>
    <mergeCell ref="M3030:V3030"/>
    <mergeCell ref="AB3030:AC3030"/>
    <mergeCell ref="N3031:Q3031"/>
    <mergeCell ref="N3032:Q3032"/>
    <mergeCell ref="N3033:Q3033"/>
    <mergeCell ref="N3034:Q3034"/>
    <mergeCell ref="N3035:Q3035"/>
    <mergeCell ref="N3036:Q3036"/>
    <mergeCell ref="M3037:M3038"/>
    <mergeCell ref="N3037:U3037"/>
    <mergeCell ref="N3038:U3038"/>
    <mergeCell ref="M3039:V3039"/>
    <mergeCell ref="N3040:P3040"/>
    <mergeCell ref="T3040:U3040"/>
    <mergeCell ref="N3041:P3041"/>
    <mergeCell ref="T3041:U3041"/>
    <mergeCell ref="N3042:P3042"/>
    <mergeCell ref="T3042:U3042"/>
    <mergeCell ref="N3043:P3043"/>
    <mergeCell ref="T3043:U3043"/>
    <mergeCell ref="N3044:P3044"/>
    <mergeCell ref="T3044:U3044"/>
    <mergeCell ref="M3045:M3046"/>
    <mergeCell ref="N3045:U3045"/>
    <mergeCell ref="N3046:U3046"/>
    <mergeCell ref="M3047:V3047"/>
    <mergeCell ref="M3052:M3053"/>
    <mergeCell ref="N3052:U3052"/>
    <mergeCell ref="N3053:U3053"/>
    <mergeCell ref="M3054:V3054"/>
    <mergeCell ref="M3055:T3055"/>
    <mergeCell ref="U3055:V3055"/>
    <mergeCell ref="M3057:V3057"/>
    <mergeCell ref="M3058:S3058"/>
    <mergeCell ref="U3058:V3058"/>
    <mergeCell ref="M3059:S3059"/>
    <mergeCell ref="U3059:V3059"/>
    <mergeCell ref="M3060:S3060"/>
    <mergeCell ref="U3060:V3060"/>
    <mergeCell ref="M3061:S3061"/>
    <mergeCell ref="U3061:V3061"/>
    <mergeCell ref="M3062:T3062"/>
    <mergeCell ref="U3062:V3062"/>
    <mergeCell ref="U3063:V3063"/>
    <mergeCell ref="M3064:T3064"/>
    <mergeCell ref="U3064:V3064"/>
    <mergeCell ref="O3067:U3067"/>
    <mergeCell ref="AB3067:AD3067"/>
    <mergeCell ref="O3068:U3068"/>
    <mergeCell ref="M3069:V3069"/>
    <mergeCell ref="M3070:V3070"/>
    <mergeCell ref="AB3070:AC3070"/>
    <mergeCell ref="N3071:Q3071"/>
    <mergeCell ref="T3071:U3071"/>
    <mergeCell ref="N3072:Q3072"/>
    <mergeCell ref="T3072:U3072"/>
    <mergeCell ref="N3073:Q3073"/>
    <mergeCell ref="T3073:U3073"/>
    <mergeCell ref="N3074:Q3074"/>
    <mergeCell ref="T3074:U3074"/>
    <mergeCell ref="N3075:Q3075"/>
    <mergeCell ref="T3075:U3075"/>
    <mergeCell ref="N3076:Q3076"/>
    <mergeCell ref="T3076:U3076"/>
    <mergeCell ref="M3077:M3078"/>
    <mergeCell ref="N3077:U3077"/>
    <mergeCell ref="N3078:U3078"/>
    <mergeCell ref="M3079:V3079"/>
    <mergeCell ref="AB3079:AC3079"/>
    <mergeCell ref="N3080:Q3080"/>
    <mergeCell ref="N3081:Q3081"/>
    <mergeCell ref="N3082:Q3082"/>
    <mergeCell ref="N3083:Q3083"/>
    <mergeCell ref="N3084:Q3084"/>
    <mergeCell ref="N3085:Q3085"/>
    <mergeCell ref="M3086:M3087"/>
    <mergeCell ref="N3086:U3086"/>
    <mergeCell ref="N3087:U3087"/>
    <mergeCell ref="M3088:V3088"/>
    <mergeCell ref="N3089:P3089"/>
    <mergeCell ref="T3089:U3089"/>
    <mergeCell ref="N3090:P3090"/>
    <mergeCell ref="T3090:U3090"/>
    <mergeCell ref="N3091:P3091"/>
    <mergeCell ref="T3091:U3091"/>
    <mergeCell ref="N3092:P3092"/>
    <mergeCell ref="T3092:U3092"/>
    <mergeCell ref="N3093:P3093"/>
    <mergeCell ref="T3093:U3093"/>
    <mergeCell ref="M3094:M3095"/>
    <mergeCell ref="N3094:U3094"/>
    <mergeCell ref="N3095:U3095"/>
    <mergeCell ref="M3096:V3096"/>
    <mergeCell ref="M3101:M3102"/>
    <mergeCell ref="N3101:U3101"/>
    <mergeCell ref="N3102:U3102"/>
    <mergeCell ref="M3103:V3103"/>
    <mergeCell ref="M3104:T3104"/>
    <mergeCell ref="U3104:V3104"/>
    <mergeCell ref="M3106:V3106"/>
    <mergeCell ref="M3107:S3107"/>
    <mergeCell ref="U3107:V3107"/>
    <mergeCell ref="M3108:S3108"/>
    <mergeCell ref="U3108:V3108"/>
    <mergeCell ref="M3109:S3109"/>
    <mergeCell ref="U3109:V3109"/>
    <mergeCell ref="M3110:S3110"/>
    <mergeCell ref="U3110:V3110"/>
    <mergeCell ref="M3111:T3111"/>
    <mergeCell ref="U3111:V3111"/>
    <mergeCell ref="U3112:V3112"/>
    <mergeCell ref="M3113:T3113"/>
    <mergeCell ref="U3113:V3113"/>
    <mergeCell ref="O3116:U3116"/>
    <mergeCell ref="AB3116:AD3116"/>
    <mergeCell ref="O3117:U3117"/>
    <mergeCell ref="M3118:V3118"/>
    <mergeCell ref="M3119:V3119"/>
    <mergeCell ref="AB3119:AC3119"/>
    <mergeCell ref="N3120:Q3120"/>
    <mergeCell ref="T3120:U3120"/>
    <mergeCell ref="N3121:Q3121"/>
    <mergeCell ref="T3121:U3121"/>
    <mergeCell ref="N3122:Q3122"/>
    <mergeCell ref="T3122:U3122"/>
    <mergeCell ref="N3123:Q3123"/>
    <mergeCell ref="T3123:U3123"/>
    <mergeCell ref="N3124:Q3124"/>
    <mergeCell ref="T3124:U3124"/>
    <mergeCell ref="N3125:Q3125"/>
    <mergeCell ref="T3125:U3125"/>
    <mergeCell ref="M3126:M3127"/>
    <mergeCell ref="N3126:U3126"/>
    <mergeCell ref="N3127:U3127"/>
    <mergeCell ref="M3128:V3128"/>
    <mergeCell ref="AB3128:AC3128"/>
    <mergeCell ref="N3129:Q3129"/>
    <mergeCell ref="N3130:Q3130"/>
    <mergeCell ref="N3131:Q3131"/>
    <mergeCell ref="N3132:Q3132"/>
    <mergeCell ref="N3133:Q3133"/>
    <mergeCell ref="N3134:Q3134"/>
    <mergeCell ref="M3135:M3136"/>
    <mergeCell ref="N3135:U3135"/>
    <mergeCell ref="N3136:U3136"/>
    <mergeCell ref="M3137:V3137"/>
    <mergeCell ref="N3138:P3138"/>
    <mergeCell ref="T3138:U3138"/>
    <mergeCell ref="N3139:P3139"/>
    <mergeCell ref="T3139:U3139"/>
    <mergeCell ref="N3140:P3140"/>
    <mergeCell ref="T3140:U3140"/>
    <mergeCell ref="N3141:P3141"/>
    <mergeCell ref="T3141:U3141"/>
    <mergeCell ref="N3142:P3142"/>
    <mergeCell ref="T3142:U3142"/>
    <mergeCell ref="M3143:M3144"/>
    <mergeCell ref="N3143:U3143"/>
    <mergeCell ref="N3144:U3144"/>
    <mergeCell ref="M3145:V3145"/>
    <mergeCell ref="M3150:M3151"/>
    <mergeCell ref="N3150:U3150"/>
    <mergeCell ref="N3151:U3151"/>
    <mergeCell ref="M3152:V3152"/>
    <mergeCell ref="M3153:T3153"/>
    <mergeCell ref="U3153:V3153"/>
    <mergeCell ref="M3155:V3155"/>
    <mergeCell ref="M3156:S3156"/>
    <mergeCell ref="U3156:V3156"/>
    <mergeCell ref="M3157:S3157"/>
    <mergeCell ref="U3157:V3157"/>
    <mergeCell ref="M3158:S3158"/>
    <mergeCell ref="U3158:V3158"/>
    <mergeCell ref="M3159:S3159"/>
    <mergeCell ref="U3159:V3159"/>
    <mergeCell ref="M3160:T3160"/>
    <mergeCell ref="U3160:V3160"/>
    <mergeCell ref="U3161:V3161"/>
    <mergeCell ref="M3162:T3162"/>
    <mergeCell ref="U3162:V3162"/>
    <mergeCell ref="O3165:U3165"/>
    <mergeCell ref="AB3165:AD3165"/>
    <mergeCell ref="O3166:U3166"/>
    <mergeCell ref="M3167:V3167"/>
    <mergeCell ref="M3168:V3168"/>
    <mergeCell ref="AB3168:AC3168"/>
    <mergeCell ref="N3169:Q3169"/>
    <mergeCell ref="T3169:U3169"/>
    <mergeCell ref="N3170:Q3170"/>
    <mergeCell ref="T3170:U3170"/>
    <mergeCell ref="N3171:Q3171"/>
    <mergeCell ref="T3171:U3171"/>
    <mergeCell ref="N3172:Q3172"/>
    <mergeCell ref="T3172:U3172"/>
    <mergeCell ref="N3173:Q3173"/>
    <mergeCell ref="T3173:U3173"/>
    <mergeCell ref="N3174:Q3174"/>
    <mergeCell ref="T3174:U3174"/>
    <mergeCell ref="M3175:M3176"/>
    <mergeCell ref="N3175:U3175"/>
    <mergeCell ref="N3176:U3176"/>
    <mergeCell ref="M3177:V3177"/>
    <mergeCell ref="AB3177:AC3177"/>
    <mergeCell ref="N3178:Q3178"/>
    <mergeCell ref="N3179:Q3179"/>
    <mergeCell ref="N3180:Q3180"/>
    <mergeCell ref="N3181:Q3181"/>
    <mergeCell ref="N3182:Q3182"/>
    <mergeCell ref="N3183:Q3183"/>
    <mergeCell ref="M3185:M3186"/>
    <mergeCell ref="N3185:U3185"/>
    <mergeCell ref="N3186:U3186"/>
    <mergeCell ref="M3187:V3187"/>
    <mergeCell ref="N3188:P3188"/>
    <mergeCell ref="T3188:U3188"/>
    <mergeCell ref="N3189:P3189"/>
    <mergeCell ref="T3189:U3189"/>
    <mergeCell ref="N3190:P3190"/>
    <mergeCell ref="T3190:U3190"/>
    <mergeCell ref="N3191:P3191"/>
    <mergeCell ref="T3191:U3191"/>
    <mergeCell ref="N3192:P3192"/>
    <mergeCell ref="T3192:U3192"/>
    <mergeCell ref="N3184:Q3184"/>
    <mergeCell ref="M3193:M3194"/>
    <mergeCell ref="N3193:U3193"/>
    <mergeCell ref="N3194:U3194"/>
    <mergeCell ref="M3195:V3195"/>
    <mergeCell ref="M3200:M3201"/>
    <mergeCell ref="N3200:U3200"/>
    <mergeCell ref="N3201:U3201"/>
    <mergeCell ref="M3202:V3202"/>
    <mergeCell ref="M3203:T3203"/>
    <mergeCell ref="U3203:V3203"/>
    <mergeCell ref="M3205:V3205"/>
    <mergeCell ref="M3206:S3206"/>
    <mergeCell ref="U3206:V3206"/>
    <mergeCell ref="M3207:S3207"/>
    <mergeCell ref="U3207:V3207"/>
    <mergeCell ref="M3208:S3208"/>
    <mergeCell ref="U3208:V3208"/>
    <mergeCell ref="M3209:S3209"/>
    <mergeCell ref="U3209:V3209"/>
    <mergeCell ref="M3210:T3210"/>
    <mergeCell ref="U3210:V3210"/>
    <mergeCell ref="U3211:V3211"/>
    <mergeCell ref="M3212:T3212"/>
    <mergeCell ref="U3212:V3212"/>
    <mergeCell ref="O3215:U3215"/>
    <mergeCell ref="AB3215:AD3215"/>
    <mergeCell ref="O3216:U3216"/>
    <mergeCell ref="M3217:V3217"/>
    <mergeCell ref="M3218:V3218"/>
    <mergeCell ref="AB3218:AC3218"/>
    <mergeCell ref="N3219:Q3219"/>
    <mergeCell ref="T3219:U3219"/>
    <mergeCell ref="N3220:Q3220"/>
    <mergeCell ref="T3220:U3220"/>
    <mergeCell ref="N3221:Q3221"/>
    <mergeCell ref="T3221:U3221"/>
    <mergeCell ref="N3222:Q3222"/>
    <mergeCell ref="T3222:U3222"/>
    <mergeCell ref="N3223:Q3223"/>
    <mergeCell ref="T3223:U3223"/>
    <mergeCell ref="M3224:M3225"/>
    <mergeCell ref="N3224:U3224"/>
    <mergeCell ref="N3225:U3225"/>
    <mergeCell ref="M3226:V3226"/>
    <mergeCell ref="AB3226:AC3226"/>
    <mergeCell ref="N3227:Q3227"/>
    <mergeCell ref="N3228:Q3228"/>
    <mergeCell ref="N3229:Q3229"/>
    <mergeCell ref="N3230:Q3230"/>
    <mergeCell ref="N3231:Q3231"/>
    <mergeCell ref="N3233:Q3233"/>
    <mergeCell ref="M3234:M3235"/>
    <mergeCell ref="N3234:U3234"/>
    <mergeCell ref="N3235:U3235"/>
    <mergeCell ref="M3236:V3236"/>
    <mergeCell ref="N3237:P3237"/>
    <mergeCell ref="T3237:U3237"/>
    <mergeCell ref="N3238:P3238"/>
    <mergeCell ref="T3238:U3238"/>
    <mergeCell ref="N3239:P3239"/>
    <mergeCell ref="T3239:U3239"/>
    <mergeCell ref="N3240:P3240"/>
    <mergeCell ref="T3240:U3240"/>
    <mergeCell ref="M3241:M3242"/>
    <mergeCell ref="N3241:U3241"/>
    <mergeCell ref="N3242:U3242"/>
    <mergeCell ref="N3232:Q3232"/>
    <mergeCell ref="M3243:V3243"/>
    <mergeCell ref="M3248:M3249"/>
    <mergeCell ref="N3248:U3248"/>
    <mergeCell ref="N3249:U3249"/>
    <mergeCell ref="M3250:V3250"/>
    <mergeCell ref="M3251:T3251"/>
    <mergeCell ref="U3251:V3251"/>
    <mergeCell ref="M3253:V3253"/>
    <mergeCell ref="M3254:S3254"/>
    <mergeCell ref="U3254:V3254"/>
    <mergeCell ref="M3255:S3255"/>
    <mergeCell ref="U3255:V3255"/>
    <mergeCell ref="M3256:S3256"/>
    <mergeCell ref="U3256:V3256"/>
    <mergeCell ref="M3257:S3257"/>
    <mergeCell ref="U3257:V3257"/>
    <mergeCell ref="M3258:T3258"/>
    <mergeCell ref="U3258:V3258"/>
    <mergeCell ref="U3259:V3259"/>
    <mergeCell ref="M3260:T3260"/>
    <mergeCell ref="U3260:V3260"/>
    <mergeCell ref="O3263:U3263"/>
    <mergeCell ref="AB3263:AD3263"/>
    <mergeCell ref="O3264:U3264"/>
    <mergeCell ref="M3265:V3265"/>
    <mergeCell ref="M3266:V3266"/>
    <mergeCell ref="AB3266:AC3266"/>
    <mergeCell ref="N3267:Q3267"/>
    <mergeCell ref="T3267:U3267"/>
    <mergeCell ref="N3268:Q3268"/>
    <mergeCell ref="T3268:U3268"/>
    <mergeCell ref="N3269:Q3269"/>
    <mergeCell ref="T3269:U3269"/>
    <mergeCell ref="N3270:Q3270"/>
    <mergeCell ref="T3270:U3270"/>
    <mergeCell ref="N3271:Q3271"/>
    <mergeCell ref="T3271:U3271"/>
    <mergeCell ref="N3272:Q3272"/>
    <mergeCell ref="T3272:U3272"/>
    <mergeCell ref="M3273:M3274"/>
    <mergeCell ref="N3273:U3273"/>
    <mergeCell ref="N3274:U3274"/>
    <mergeCell ref="M3275:V3275"/>
    <mergeCell ref="AB3275:AC3275"/>
    <mergeCell ref="N3276:Q3276"/>
    <mergeCell ref="N3277:Q3277"/>
    <mergeCell ref="N3278:Q3278"/>
    <mergeCell ref="N3279:Q3279"/>
    <mergeCell ref="N3280:Q3280"/>
    <mergeCell ref="N3281:Q3281"/>
    <mergeCell ref="M3282:M3283"/>
    <mergeCell ref="N3282:U3282"/>
    <mergeCell ref="N3283:U3283"/>
    <mergeCell ref="M3284:V3284"/>
    <mergeCell ref="N3285:P3285"/>
    <mergeCell ref="T3285:U3285"/>
    <mergeCell ref="N3286:P3286"/>
    <mergeCell ref="T3286:U3286"/>
    <mergeCell ref="N3287:P3287"/>
    <mergeCell ref="T3287:U3287"/>
    <mergeCell ref="N3288:P3288"/>
    <mergeCell ref="T3288:U3288"/>
    <mergeCell ref="N3289:P3289"/>
    <mergeCell ref="T3289:U3289"/>
    <mergeCell ref="M3290:M3291"/>
    <mergeCell ref="N3290:U3290"/>
    <mergeCell ref="N3291:U3291"/>
    <mergeCell ref="M3292:V3292"/>
    <mergeCell ref="M3297:M3298"/>
    <mergeCell ref="N3297:U3297"/>
    <mergeCell ref="N3298:U3298"/>
    <mergeCell ref="M3299:V3299"/>
    <mergeCell ref="M3300:T3300"/>
    <mergeCell ref="U3300:V3300"/>
    <mergeCell ref="M3302:V3302"/>
    <mergeCell ref="M3303:S3303"/>
    <mergeCell ref="U3303:V3303"/>
    <mergeCell ref="M3304:S3304"/>
    <mergeCell ref="U3304:V3304"/>
    <mergeCell ref="M3305:S3305"/>
    <mergeCell ref="U3305:V3305"/>
    <mergeCell ref="M3306:S3306"/>
    <mergeCell ref="U3306:V3306"/>
    <mergeCell ref="M3307:T3307"/>
    <mergeCell ref="U3307:V3307"/>
    <mergeCell ref="U3308:V3308"/>
    <mergeCell ref="M3309:T3309"/>
    <mergeCell ref="U3309:V3309"/>
    <mergeCell ref="O3312:U3312"/>
    <mergeCell ref="AB3312:AD3312"/>
    <mergeCell ref="O3313:U3313"/>
    <mergeCell ref="M3314:V3314"/>
    <mergeCell ref="M3315:V3315"/>
    <mergeCell ref="AB3315:AC3315"/>
    <mergeCell ref="N3316:Q3316"/>
    <mergeCell ref="T3316:U3316"/>
    <mergeCell ref="N3317:Q3317"/>
    <mergeCell ref="T3317:U3317"/>
    <mergeCell ref="N3318:Q3318"/>
    <mergeCell ref="T3318:U3318"/>
    <mergeCell ref="N3319:Q3319"/>
    <mergeCell ref="T3319:U3319"/>
    <mergeCell ref="N3320:Q3320"/>
    <mergeCell ref="T3320:U3320"/>
    <mergeCell ref="N3321:Q3321"/>
    <mergeCell ref="T3321:U3321"/>
    <mergeCell ref="M3322:M3323"/>
    <mergeCell ref="N3322:U3322"/>
    <mergeCell ref="N3323:U3323"/>
    <mergeCell ref="M3324:V3324"/>
    <mergeCell ref="AB3324:AC3324"/>
    <mergeCell ref="N3325:Q3325"/>
    <mergeCell ref="N3326:Q3326"/>
    <mergeCell ref="N3327:Q3327"/>
    <mergeCell ref="N3328:Q3328"/>
    <mergeCell ref="N3329:Q3329"/>
    <mergeCell ref="N3330:Q3330"/>
    <mergeCell ref="M3331:M3332"/>
    <mergeCell ref="N3331:U3331"/>
    <mergeCell ref="N3332:U3332"/>
    <mergeCell ref="M3333:V3333"/>
    <mergeCell ref="N3334:P3334"/>
    <mergeCell ref="T3334:U3334"/>
    <mergeCell ref="N3335:P3335"/>
    <mergeCell ref="T3335:U3335"/>
    <mergeCell ref="N3336:P3336"/>
    <mergeCell ref="T3336:U3336"/>
    <mergeCell ref="N3337:P3337"/>
    <mergeCell ref="T3337:U3337"/>
    <mergeCell ref="N3338:P3338"/>
    <mergeCell ref="T3338:U3338"/>
    <mergeCell ref="M3339:M3340"/>
    <mergeCell ref="N3339:U3339"/>
    <mergeCell ref="N3340:U3340"/>
    <mergeCell ref="M3341:V3341"/>
    <mergeCell ref="M3346:M3347"/>
    <mergeCell ref="N3346:U3346"/>
    <mergeCell ref="N3347:U3347"/>
    <mergeCell ref="M3348:V3348"/>
    <mergeCell ref="M3349:T3349"/>
    <mergeCell ref="U3349:V3349"/>
    <mergeCell ref="M3351:V3351"/>
    <mergeCell ref="M3352:S3352"/>
    <mergeCell ref="U3352:V3352"/>
    <mergeCell ref="M3353:S3353"/>
    <mergeCell ref="U3353:V3353"/>
    <mergeCell ref="M3354:S3354"/>
    <mergeCell ref="U3354:V3354"/>
    <mergeCell ref="M3355:S3355"/>
    <mergeCell ref="U3355:V3355"/>
    <mergeCell ref="M3356:T3356"/>
    <mergeCell ref="U3356:V3356"/>
    <mergeCell ref="U3357:V3357"/>
    <mergeCell ref="M3358:T3358"/>
    <mergeCell ref="U3358:V3358"/>
    <mergeCell ref="O3361:U3361"/>
    <mergeCell ref="AB3361:AD3361"/>
    <mergeCell ref="O3362:U3362"/>
    <mergeCell ref="M3363:V3363"/>
    <mergeCell ref="M3364:V3364"/>
    <mergeCell ref="AB3364:AC3364"/>
    <mergeCell ref="N3365:Q3365"/>
    <mergeCell ref="T3365:U3365"/>
    <mergeCell ref="N3366:Q3366"/>
    <mergeCell ref="T3366:U3366"/>
    <mergeCell ref="N3367:Q3367"/>
    <mergeCell ref="T3367:U3367"/>
    <mergeCell ref="N3368:Q3368"/>
    <mergeCell ref="T3368:U3368"/>
    <mergeCell ref="N3369:Q3369"/>
    <mergeCell ref="T3369:U3369"/>
    <mergeCell ref="N3370:Q3370"/>
    <mergeCell ref="T3370:U3370"/>
    <mergeCell ref="M3371:M3372"/>
    <mergeCell ref="N3371:U3371"/>
    <mergeCell ref="N3372:U3372"/>
    <mergeCell ref="M3373:V3373"/>
    <mergeCell ref="AB3373:AC3373"/>
    <mergeCell ref="N3374:Q3374"/>
    <mergeCell ref="N3375:Q3375"/>
    <mergeCell ref="N3376:Q3376"/>
    <mergeCell ref="N3377:Q3377"/>
    <mergeCell ref="N3378:Q3378"/>
    <mergeCell ref="N3379:Q3379"/>
    <mergeCell ref="M3380:M3381"/>
    <mergeCell ref="N3380:U3380"/>
    <mergeCell ref="N3381:U3381"/>
    <mergeCell ref="M3382:V3382"/>
    <mergeCell ref="N3383:P3383"/>
    <mergeCell ref="T3383:U3383"/>
    <mergeCell ref="N3384:P3384"/>
    <mergeCell ref="T3384:U3384"/>
    <mergeCell ref="N3385:P3385"/>
    <mergeCell ref="T3385:U3385"/>
    <mergeCell ref="N3386:P3386"/>
    <mergeCell ref="T3386:U3386"/>
    <mergeCell ref="N3387:P3387"/>
    <mergeCell ref="T3387:U3387"/>
    <mergeCell ref="M3388:M3389"/>
    <mergeCell ref="N3388:U3388"/>
    <mergeCell ref="N3389:U3389"/>
    <mergeCell ref="M3390:V3390"/>
    <mergeCell ref="M3395:M3396"/>
    <mergeCell ref="N3395:U3395"/>
    <mergeCell ref="N3396:U3396"/>
    <mergeCell ref="M3397:V3397"/>
    <mergeCell ref="M3398:T3398"/>
    <mergeCell ref="U3398:V3398"/>
    <mergeCell ref="M3400:V3400"/>
    <mergeCell ref="M3401:S3401"/>
    <mergeCell ref="U3401:V3401"/>
    <mergeCell ref="M3402:S3402"/>
    <mergeCell ref="U3402:V3402"/>
    <mergeCell ref="M3403:S3403"/>
    <mergeCell ref="U3403:V3403"/>
    <mergeCell ref="M3404:S3404"/>
    <mergeCell ref="U3404:V3404"/>
    <mergeCell ref="M3405:T3405"/>
    <mergeCell ref="U3405:V3405"/>
    <mergeCell ref="U3406:V3406"/>
    <mergeCell ref="M3407:T3407"/>
    <mergeCell ref="U3407:V3407"/>
    <mergeCell ref="O3410:U3410"/>
    <mergeCell ref="AB3410:AD3410"/>
    <mergeCell ref="O3411:U3411"/>
    <mergeCell ref="M3412:V3412"/>
    <mergeCell ref="AB3412:AC3412"/>
    <mergeCell ref="N3413:Q3413"/>
    <mergeCell ref="T3413:U3413"/>
    <mergeCell ref="N3414:Q3414"/>
    <mergeCell ref="T3414:U3414"/>
    <mergeCell ref="N3415:Q3415"/>
    <mergeCell ref="T3415:U3415"/>
    <mergeCell ref="M3416:M3417"/>
    <mergeCell ref="N3416:U3416"/>
    <mergeCell ref="N3417:U3417"/>
    <mergeCell ref="M3418:V3418"/>
    <mergeCell ref="AB3418:AC3418"/>
    <mergeCell ref="N3419:Q3419"/>
    <mergeCell ref="N3420:Q3420"/>
    <mergeCell ref="N3421:Q3421"/>
    <mergeCell ref="N3422:Q3422"/>
    <mergeCell ref="N3433:Q3433"/>
    <mergeCell ref="M3437:M3438"/>
    <mergeCell ref="N3437:U3437"/>
    <mergeCell ref="N3438:U3438"/>
    <mergeCell ref="M3439:V3439"/>
    <mergeCell ref="N3440:P3440"/>
    <mergeCell ref="T3440:U3440"/>
    <mergeCell ref="N3441:P3441"/>
    <mergeCell ref="T3441:U3441"/>
    <mergeCell ref="N3423:Q3423"/>
    <mergeCell ref="N3424:Q3424"/>
    <mergeCell ref="N3425:Q3425"/>
    <mergeCell ref="N3426:Q3426"/>
    <mergeCell ref="N3427:Q3427"/>
    <mergeCell ref="N3428:Q3428"/>
    <mergeCell ref="N3429:Q3429"/>
    <mergeCell ref="N3430:Q3430"/>
    <mergeCell ref="N3431:Q3431"/>
    <mergeCell ref="N3432:Q3432"/>
    <mergeCell ref="N3434:Q3434"/>
    <mergeCell ref="N3435:Q3435"/>
    <mergeCell ref="N3436:Q3436"/>
    <mergeCell ref="M3442:M3443"/>
    <mergeCell ref="N3442:U3442"/>
    <mergeCell ref="N3443:U3443"/>
    <mergeCell ref="M3444:V3444"/>
    <mergeCell ref="M3447:M3448"/>
    <mergeCell ref="N3447:U3447"/>
    <mergeCell ref="N3448:U3448"/>
    <mergeCell ref="M3449:V3449"/>
    <mergeCell ref="M3450:T3450"/>
    <mergeCell ref="U3450:V3450"/>
    <mergeCell ref="M3451:V3451"/>
    <mergeCell ref="M3452:S3452"/>
    <mergeCell ref="U3452:V3452"/>
    <mergeCell ref="M3453:S3453"/>
    <mergeCell ref="U3453:V3453"/>
    <mergeCell ref="M3454:S3454"/>
    <mergeCell ref="U3454:V3454"/>
    <mergeCell ref="M3455:S3455"/>
    <mergeCell ref="U3455:V3455"/>
    <mergeCell ref="M3456:T3456"/>
    <mergeCell ref="U3456:V3456"/>
    <mergeCell ref="U3457:V3457"/>
    <mergeCell ref="M3458:T3458"/>
    <mergeCell ref="U3458:V3458"/>
    <mergeCell ref="O4196:U4196"/>
    <mergeCell ref="AB4196:AD4196"/>
    <mergeCell ref="O4197:U4197"/>
    <mergeCell ref="M4198:V4198"/>
    <mergeCell ref="M4199:V4199"/>
    <mergeCell ref="AB4199:AC4199"/>
    <mergeCell ref="N4200:Q4200"/>
    <mergeCell ref="T4200:U4200"/>
    <mergeCell ref="O3805:U3805"/>
    <mergeCell ref="M3806:V3806"/>
    <mergeCell ref="M3807:V3807"/>
    <mergeCell ref="AB3807:AC3807"/>
    <mergeCell ref="N3808:Q3808"/>
    <mergeCell ref="T3808:U3808"/>
    <mergeCell ref="N3809:Q3809"/>
    <mergeCell ref="T3809:U3809"/>
    <mergeCell ref="N3810:Q3810"/>
    <mergeCell ref="T3810:U3810"/>
    <mergeCell ref="M3816:V3816"/>
    <mergeCell ref="AB3816:AC3816"/>
    <mergeCell ref="N3817:Q3817"/>
    <mergeCell ref="N3818:Q3818"/>
    <mergeCell ref="N3819:Q3819"/>
    <mergeCell ref="N3820:Q3820"/>
    <mergeCell ref="N3821:Q3821"/>
    <mergeCell ref="N4209:Q4209"/>
    <mergeCell ref="N4210:Q4210"/>
    <mergeCell ref="N4211:Q4211"/>
    <mergeCell ref="N4212:Q4212"/>
    <mergeCell ref="N4213:Q4213"/>
    <mergeCell ref="N4214:Q4214"/>
    <mergeCell ref="M4215:M4216"/>
    <mergeCell ref="N4215:U4215"/>
    <mergeCell ref="N4216:U4216"/>
    <mergeCell ref="M4217:V4217"/>
    <mergeCell ref="N4218:P4218"/>
    <mergeCell ref="T4218:U4218"/>
    <mergeCell ref="N4219:P4219"/>
    <mergeCell ref="T4219:U4219"/>
    <mergeCell ref="N4220:P4220"/>
    <mergeCell ref="T4220:U4220"/>
    <mergeCell ref="N4221:P4221"/>
    <mergeCell ref="T4221:U4221"/>
    <mergeCell ref="N4222:P4222"/>
    <mergeCell ref="T4222:U4222"/>
    <mergeCell ref="M4223:M4224"/>
    <mergeCell ref="N4223:U4223"/>
    <mergeCell ref="N4224:U4224"/>
    <mergeCell ref="M4225:V4225"/>
    <mergeCell ref="M4230:M4231"/>
    <mergeCell ref="N4230:U4230"/>
    <mergeCell ref="N4231:U4231"/>
    <mergeCell ref="M4232:V4232"/>
    <mergeCell ref="M4233:T4233"/>
    <mergeCell ref="U4233:V4233"/>
    <mergeCell ref="M4235:V4235"/>
    <mergeCell ref="M4236:S4236"/>
    <mergeCell ref="U4236:V4236"/>
    <mergeCell ref="M4237:S4237"/>
    <mergeCell ref="U4237:V4237"/>
    <mergeCell ref="M4238:S4238"/>
    <mergeCell ref="U4238:V4238"/>
    <mergeCell ref="M4239:S4239"/>
    <mergeCell ref="U4239:V4239"/>
    <mergeCell ref="M4240:T4240"/>
    <mergeCell ref="U4240:V4240"/>
    <mergeCell ref="U4241:V4241"/>
    <mergeCell ref="M4242:T4242"/>
    <mergeCell ref="U4242:V4242"/>
    <mergeCell ref="O4245:U4245"/>
    <mergeCell ref="AB4245:AD4245"/>
    <mergeCell ref="O4246:U4246"/>
    <mergeCell ref="M4247:V4247"/>
    <mergeCell ref="M4248:V4248"/>
    <mergeCell ref="AB4248:AC4248"/>
    <mergeCell ref="N4249:Q4249"/>
    <mergeCell ref="T4249:U4249"/>
    <mergeCell ref="N4250:Q4250"/>
    <mergeCell ref="T4250:U4250"/>
    <mergeCell ref="N4251:Q4251"/>
    <mergeCell ref="T4251:U4251"/>
    <mergeCell ref="N4252:Q4252"/>
    <mergeCell ref="T4252:U4252"/>
    <mergeCell ref="N4253:Q4253"/>
    <mergeCell ref="T4253:U4253"/>
    <mergeCell ref="N4254:Q4254"/>
    <mergeCell ref="T4254:U4254"/>
    <mergeCell ref="M4255:M4256"/>
    <mergeCell ref="N4255:U4255"/>
    <mergeCell ref="N4256:U4256"/>
    <mergeCell ref="M4257:V4257"/>
    <mergeCell ref="AB4257:AC4257"/>
    <mergeCell ref="N4258:Q4258"/>
    <mergeCell ref="N4259:Q4259"/>
    <mergeCell ref="N4260:Q4260"/>
    <mergeCell ref="N4261:Q4261"/>
    <mergeCell ref="N4262:Q4262"/>
    <mergeCell ref="N4263:Q4263"/>
    <mergeCell ref="M4264:M4265"/>
    <mergeCell ref="N4264:U4264"/>
    <mergeCell ref="N4265:U4265"/>
    <mergeCell ref="M4266:V4266"/>
    <mergeCell ref="N4267:P4267"/>
    <mergeCell ref="T4267:U4267"/>
    <mergeCell ref="N4268:P4268"/>
    <mergeCell ref="T4268:U4268"/>
    <mergeCell ref="N4269:P4269"/>
    <mergeCell ref="T4269:U4269"/>
    <mergeCell ref="N4270:P4270"/>
    <mergeCell ref="T4270:U4270"/>
    <mergeCell ref="N4271:P4271"/>
    <mergeCell ref="T4271:U4271"/>
    <mergeCell ref="M4272:M4273"/>
    <mergeCell ref="N4272:U4272"/>
    <mergeCell ref="N4273:U4273"/>
    <mergeCell ref="M4274:V4274"/>
    <mergeCell ref="M4279:M4280"/>
    <mergeCell ref="N4279:U4279"/>
    <mergeCell ref="N4280:U4280"/>
    <mergeCell ref="M4281:V4281"/>
    <mergeCell ref="M4282:T4282"/>
    <mergeCell ref="U4282:V4282"/>
    <mergeCell ref="M4284:V4284"/>
    <mergeCell ref="M4285:S4285"/>
    <mergeCell ref="U4285:V4285"/>
    <mergeCell ref="M4286:S4286"/>
    <mergeCell ref="U4286:V4286"/>
    <mergeCell ref="M4287:S4287"/>
    <mergeCell ref="U4287:V4287"/>
    <mergeCell ref="M4288:S4288"/>
    <mergeCell ref="U4288:V4288"/>
    <mergeCell ref="M4289:T4289"/>
    <mergeCell ref="U4289:V4289"/>
    <mergeCell ref="U4290:V4290"/>
    <mergeCell ref="M4291:T4291"/>
    <mergeCell ref="U4291:V4291"/>
    <mergeCell ref="O4294:U4294"/>
    <mergeCell ref="AB4294:AD4294"/>
    <mergeCell ref="O4295:U4295"/>
    <mergeCell ref="M4296:V4296"/>
    <mergeCell ref="M4297:V4297"/>
    <mergeCell ref="AB4297:AC4297"/>
    <mergeCell ref="N4298:Q4298"/>
    <mergeCell ref="T4298:U4298"/>
    <mergeCell ref="N4299:Q4299"/>
    <mergeCell ref="T4299:U4299"/>
    <mergeCell ref="N4300:Q4300"/>
    <mergeCell ref="T4300:U4300"/>
    <mergeCell ref="N4301:Q4301"/>
    <mergeCell ref="T4301:U4301"/>
    <mergeCell ref="N4302:Q4302"/>
    <mergeCell ref="T4302:U4302"/>
    <mergeCell ref="N4303:Q4303"/>
    <mergeCell ref="T4303:U4303"/>
    <mergeCell ref="M4304:M4305"/>
    <mergeCell ref="N4304:U4304"/>
    <mergeCell ref="N4305:U4305"/>
    <mergeCell ref="M4306:V4306"/>
    <mergeCell ref="AB4306:AC4306"/>
    <mergeCell ref="N4307:Q4307"/>
    <mergeCell ref="N4308:Q4308"/>
    <mergeCell ref="N4309:Q4309"/>
    <mergeCell ref="N4310:Q4310"/>
    <mergeCell ref="N4311:Q4311"/>
    <mergeCell ref="N4312:Q4312"/>
    <mergeCell ref="M4313:M4314"/>
    <mergeCell ref="N4313:U4313"/>
    <mergeCell ref="N4314:U4314"/>
    <mergeCell ref="M4315:V4315"/>
    <mergeCell ref="N4316:P4316"/>
    <mergeCell ref="T4316:U4316"/>
    <mergeCell ref="N4317:P4317"/>
    <mergeCell ref="T4317:U4317"/>
    <mergeCell ref="N4318:P4318"/>
    <mergeCell ref="T4318:U4318"/>
    <mergeCell ref="N4319:P4319"/>
    <mergeCell ref="T4319:U4319"/>
    <mergeCell ref="N4320:P4320"/>
    <mergeCell ref="T4320:U4320"/>
    <mergeCell ref="M4321:M4322"/>
    <mergeCell ref="N4321:U4321"/>
    <mergeCell ref="N4322:U4322"/>
    <mergeCell ref="M4323:V4323"/>
    <mergeCell ref="M4328:M4329"/>
    <mergeCell ref="N4328:U4328"/>
    <mergeCell ref="N4329:U4329"/>
    <mergeCell ref="M4330:V4330"/>
    <mergeCell ref="M4331:T4331"/>
    <mergeCell ref="U4331:V4331"/>
    <mergeCell ref="M4333:V4333"/>
    <mergeCell ref="M4334:S4334"/>
    <mergeCell ref="U4334:V4334"/>
    <mergeCell ref="M4335:S4335"/>
    <mergeCell ref="U4335:V4335"/>
    <mergeCell ref="M4336:S4336"/>
    <mergeCell ref="U4336:V4336"/>
    <mergeCell ref="M4337:S4337"/>
    <mergeCell ref="U4337:V4337"/>
    <mergeCell ref="M4338:T4338"/>
    <mergeCell ref="U4338:V4338"/>
    <mergeCell ref="U4339:V4339"/>
    <mergeCell ref="M4340:T4340"/>
    <mergeCell ref="U4340:V4340"/>
    <mergeCell ref="O4343:U4343"/>
    <mergeCell ref="AB4343:AD4343"/>
    <mergeCell ref="O4344:U4344"/>
    <mergeCell ref="M4345:V4345"/>
    <mergeCell ref="M4346:V4346"/>
    <mergeCell ref="AB4346:AC4346"/>
    <mergeCell ref="N4347:Q4347"/>
    <mergeCell ref="T4347:U4347"/>
    <mergeCell ref="N4348:Q4348"/>
    <mergeCell ref="T4348:U4348"/>
    <mergeCell ref="N4349:Q4349"/>
    <mergeCell ref="T4349:U4349"/>
    <mergeCell ref="N4350:Q4350"/>
    <mergeCell ref="T4350:U4350"/>
    <mergeCell ref="N4351:Q4351"/>
    <mergeCell ref="T4351:U4351"/>
    <mergeCell ref="N4352:Q4352"/>
    <mergeCell ref="T4352:U4352"/>
    <mergeCell ref="M4353:M4354"/>
    <mergeCell ref="N4353:U4353"/>
    <mergeCell ref="N4354:U4354"/>
    <mergeCell ref="M4355:V4355"/>
    <mergeCell ref="AB4355:AC4355"/>
    <mergeCell ref="N4356:Q4356"/>
    <mergeCell ref="N4357:Q4357"/>
    <mergeCell ref="N4358:Q4358"/>
    <mergeCell ref="N4359:Q4359"/>
    <mergeCell ref="N4360:Q4360"/>
    <mergeCell ref="N4361:Q4361"/>
    <mergeCell ref="M4362:M4363"/>
    <mergeCell ref="N4362:U4362"/>
    <mergeCell ref="N4363:U4363"/>
    <mergeCell ref="M4364:V4364"/>
    <mergeCell ref="N4365:P4365"/>
    <mergeCell ref="T4365:U4365"/>
    <mergeCell ref="N4366:P4366"/>
    <mergeCell ref="T4366:U4366"/>
    <mergeCell ref="N4367:P4367"/>
    <mergeCell ref="T4367:U4367"/>
    <mergeCell ref="N4368:P4368"/>
    <mergeCell ref="T4368:U4368"/>
    <mergeCell ref="N4369:P4369"/>
    <mergeCell ref="T4369:U4369"/>
    <mergeCell ref="M4370:M4371"/>
    <mergeCell ref="N4370:U4370"/>
    <mergeCell ref="N4371:U4371"/>
    <mergeCell ref="M4372:V4372"/>
    <mergeCell ref="M4377:M4378"/>
    <mergeCell ref="N4377:U4377"/>
    <mergeCell ref="N4378:U4378"/>
    <mergeCell ref="M4379:V4379"/>
    <mergeCell ref="M4380:T4380"/>
    <mergeCell ref="U4380:V4380"/>
    <mergeCell ref="M4382:V4382"/>
    <mergeCell ref="M4383:S4383"/>
    <mergeCell ref="U4383:V4383"/>
    <mergeCell ref="M4384:S4384"/>
    <mergeCell ref="U4384:V4384"/>
    <mergeCell ref="M4385:S4385"/>
    <mergeCell ref="U4385:V4385"/>
    <mergeCell ref="M4386:S4386"/>
    <mergeCell ref="U4386:V4386"/>
    <mergeCell ref="M4387:T4387"/>
    <mergeCell ref="U4387:V4387"/>
    <mergeCell ref="U4388:V4388"/>
    <mergeCell ref="M4389:T4389"/>
    <mergeCell ref="U4389:V4389"/>
    <mergeCell ref="O4392:U4392"/>
    <mergeCell ref="AB4392:AD4392"/>
    <mergeCell ref="O4393:U4393"/>
    <mergeCell ref="M4394:V4394"/>
    <mergeCell ref="M4395:V4395"/>
    <mergeCell ref="AB4395:AC4395"/>
    <mergeCell ref="N4396:Q4396"/>
    <mergeCell ref="T4396:U4396"/>
    <mergeCell ref="N4397:Q4397"/>
    <mergeCell ref="T4397:U4397"/>
    <mergeCell ref="N4398:Q4398"/>
    <mergeCell ref="T4398:U4398"/>
    <mergeCell ref="N4399:Q4399"/>
    <mergeCell ref="T4399:U4399"/>
    <mergeCell ref="N4400:Q4400"/>
    <mergeCell ref="T4400:U4400"/>
    <mergeCell ref="N4401:Q4401"/>
    <mergeCell ref="T4401:U4401"/>
    <mergeCell ref="M4402:M4403"/>
    <mergeCell ref="N4402:U4402"/>
    <mergeCell ref="N4403:U4403"/>
    <mergeCell ref="M4404:V4404"/>
    <mergeCell ref="AB4404:AC4404"/>
    <mergeCell ref="N4405:Q4405"/>
    <mergeCell ref="N4406:Q4406"/>
    <mergeCell ref="N4407:Q4407"/>
    <mergeCell ref="N4408:Q4408"/>
    <mergeCell ref="N4409:Q4409"/>
    <mergeCell ref="N4410:Q4410"/>
    <mergeCell ref="M4411:M4412"/>
    <mergeCell ref="N4411:U4411"/>
    <mergeCell ref="N4412:U4412"/>
    <mergeCell ref="M4413:V4413"/>
    <mergeCell ref="N4414:P4414"/>
    <mergeCell ref="T4414:U4414"/>
    <mergeCell ref="N4415:P4415"/>
    <mergeCell ref="T4415:U4415"/>
    <mergeCell ref="N4416:P4416"/>
    <mergeCell ref="T4416:U4416"/>
    <mergeCell ref="N4417:P4417"/>
    <mergeCell ref="T4417:U4417"/>
    <mergeCell ref="N4418:P4418"/>
    <mergeCell ref="T4418:U4418"/>
    <mergeCell ref="M4419:M4420"/>
    <mergeCell ref="N4419:U4419"/>
    <mergeCell ref="N4420:U4420"/>
    <mergeCell ref="M4421:V4421"/>
    <mergeCell ref="M4426:M4427"/>
    <mergeCell ref="N4426:U4426"/>
    <mergeCell ref="N4427:U4427"/>
    <mergeCell ref="M4428:V4428"/>
    <mergeCell ref="M4429:T4429"/>
    <mergeCell ref="U4429:V4429"/>
    <mergeCell ref="M4431:V4431"/>
    <mergeCell ref="M4432:S4432"/>
    <mergeCell ref="U4432:V4432"/>
    <mergeCell ref="M4433:S4433"/>
    <mergeCell ref="U4433:V4433"/>
    <mergeCell ref="M4434:S4434"/>
    <mergeCell ref="U4434:V4434"/>
    <mergeCell ref="M4435:S4435"/>
    <mergeCell ref="U4435:V4435"/>
    <mergeCell ref="M4436:T4436"/>
    <mergeCell ref="U4436:V4436"/>
    <mergeCell ref="U4437:V4437"/>
    <mergeCell ref="M4438:T4438"/>
    <mergeCell ref="U4438:V4438"/>
    <mergeCell ref="O4441:U4441"/>
    <mergeCell ref="AB4441:AD4441"/>
    <mergeCell ref="O4442:U4442"/>
    <mergeCell ref="M4443:V4443"/>
    <mergeCell ref="M4444:V4444"/>
    <mergeCell ref="AB4444:AC4444"/>
    <mergeCell ref="N4445:Q4445"/>
    <mergeCell ref="T4445:U4445"/>
    <mergeCell ref="N4446:Q4446"/>
    <mergeCell ref="T4446:U4446"/>
    <mergeCell ref="N4447:Q4447"/>
    <mergeCell ref="T4447:U4447"/>
    <mergeCell ref="N4448:Q4448"/>
    <mergeCell ref="T4448:U4448"/>
    <mergeCell ref="N4449:Q4449"/>
    <mergeCell ref="T4449:U4449"/>
    <mergeCell ref="N4450:Q4450"/>
    <mergeCell ref="T4450:U4450"/>
    <mergeCell ref="M4451:M4452"/>
    <mergeCell ref="N4451:U4451"/>
    <mergeCell ref="N4452:U4452"/>
    <mergeCell ref="M4453:V4453"/>
    <mergeCell ref="AB4453:AC4453"/>
    <mergeCell ref="N4454:Q4454"/>
    <mergeCell ref="N4455:Q4455"/>
    <mergeCell ref="N4456:Q4456"/>
    <mergeCell ref="N4457:Q4457"/>
    <mergeCell ref="N4458:Q4458"/>
    <mergeCell ref="N4459:Q4459"/>
    <mergeCell ref="M4460:M4461"/>
    <mergeCell ref="N4460:U4460"/>
    <mergeCell ref="N4461:U4461"/>
    <mergeCell ref="M4462:V4462"/>
    <mergeCell ref="N4463:P4463"/>
    <mergeCell ref="T4463:U4463"/>
    <mergeCell ref="N4464:P4464"/>
    <mergeCell ref="T4464:U4464"/>
    <mergeCell ref="N4465:P4465"/>
    <mergeCell ref="T4465:U4465"/>
    <mergeCell ref="N4466:P4466"/>
    <mergeCell ref="T4466:U4466"/>
    <mergeCell ref="N4467:P4467"/>
    <mergeCell ref="T4467:U4467"/>
    <mergeCell ref="M4468:M4469"/>
    <mergeCell ref="N4468:U4468"/>
    <mergeCell ref="N4469:U4469"/>
    <mergeCell ref="M4470:V4470"/>
    <mergeCell ref="M4475:M4476"/>
    <mergeCell ref="N4475:U4475"/>
    <mergeCell ref="N4476:U4476"/>
    <mergeCell ref="M4477:V4477"/>
    <mergeCell ref="M4478:T4478"/>
    <mergeCell ref="U4478:V4478"/>
    <mergeCell ref="M4480:V4480"/>
    <mergeCell ref="M4481:S4481"/>
    <mergeCell ref="U4481:V4481"/>
    <mergeCell ref="M4482:S4482"/>
    <mergeCell ref="U4482:V4482"/>
    <mergeCell ref="M4483:S4483"/>
    <mergeCell ref="U4483:V4483"/>
    <mergeCell ref="M4484:S4484"/>
    <mergeCell ref="U4484:V4484"/>
    <mergeCell ref="M4485:T4485"/>
    <mergeCell ref="U4485:V4485"/>
    <mergeCell ref="U4486:V4486"/>
    <mergeCell ref="M4487:T4487"/>
    <mergeCell ref="U4487:V4487"/>
    <mergeCell ref="O4490:U4490"/>
    <mergeCell ref="AB4490:AD4490"/>
    <mergeCell ref="O4491:U4491"/>
    <mergeCell ref="M4492:V4492"/>
    <mergeCell ref="M4493:V4493"/>
    <mergeCell ref="AB4493:AC4493"/>
    <mergeCell ref="N4494:Q4494"/>
    <mergeCell ref="T4494:U4494"/>
    <mergeCell ref="N4495:Q4495"/>
    <mergeCell ref="T4495:U4495"/>
    <mergeCell ref="N4496:Q4496"/>
    <mergeCell ref="T4496:U4496"/>
    <mergeCell ref="N4497:Q4497"/>
    <mergeCell ref="T4497:U4497"/>
    <mergeCell ref="N4498:Q4498"/>
    <mergeCell ref="T4498:U4498"/>
    <mergeCell ref="N4499:Q4499"/>
    <mergeCell ref="T4499:U4499"/>
    <mergeCell ref="M4500:M4501"/>
    <mergeCell ref="N4500:U4500"/>
    <mergeCell ref="N4501:U4501"/>
    <mergeCell ref="M4502:V4502"/>
    <mergeCell ref="AB4502:AC4502"/>
    <mergeCell ref="N4503:Q4503"/>
    <mergeCell ref="N4504:Q4504"/>
    <mergeCell ref="N4505:Q4505"/>
    <mergeCell ref="N4506:Q4506"/>
    <mergeCell ref="N4507:Q4507"/>
    <mergeCell ref="N4508:Q4508"/>
    <mergeCell ref="M4509:M4510"/>
    <mergeCell ref="N4509:U4509"/>
    <mergeCell ref="N4510:U4510"/>
    <mergeCell ref="M4511:V4511"/>
    <mergeCell ref="N4512:P4512"/>
    <mergeCell ref="T4512:U4512"/>
    <mergeCell ref="N4513:P4513"/>
    <mergeCell ref="T4513:U4513"/>
    <mergeCell ref="N4514:P4514"/>
    <mergeCell ref="T4514:U4514"/>
    <mergeCell ref="N4515:P4515"/>
    <mergeCell ref="T4515:U4515"/>
    <mergeCell ref="N4516:P4516"/>
    <mergeCell ref="T4516:U4516"/>
    <mergeCell ref="M4517:M4518"/>
    <mergeCell ref="N4517:U4517"/>
    <mergeCell ref="N4518:U4518"/>
    <mergeCell ref="M4519:V4519"/>
    <mergeCell ref="M4524:M4525"/>
    <mergeCell ref="N4524:U4524"/>
    <mergeCell ref="N4525:U4525"/>
    <mergeCell ref="M4526:V4526"/>
    <mergeCell ref="M4527:T4527"/>
    <mergeCell ref="U4527:V4527"/>
    <mergeCell ref="M4529:V4529"/>
    <mergeCell ref="M4530:S4530"/>
    <mergeCell ref="U4530:V4530"/>
    <mergeCell ref="M4531:S4531"/>
    <mergeCell ref="U4531:V4531"/>
    <mergeCell ref="M4532:S4532"/>
    <mergeCell ref="U4532:V4532"/>
    <mergeCell ref="M4533:S4533"/>
    <mergeCell ref="U4533:V4533"/>
    <mergeCell ref="M4534:T4534"/>
    <mergeCell ref="U4534:V4534"/>
    <mergeCell ref="U4535:V4535"/>
    <mergeCell ref="M4536:T4536"/>
    <mergeCell ref="U4536:V4536"/>
    <mergeCell ref="O4539:U4539"/>
    <mergeCell ref="AB4539:AD4539"/>
    <mergeCell ref="O4540:U4540"/>
    <mergeCell ref="M4541:V4541"/>
    <mergeCell ref="M4542:V4542"/>
    <mergeCell ref="AB4542:AC4542"/>
    <mergeCell ref="N4543:Q4543"/>
    <mergeCell ref="T4543:U4543"/>
    <mergeCell ref="N4544:Q4544"/>
    <mergeCell ref="T4544:U4544"/>
    <mergeCell ref="N4545:Q4545"/>
    <mergeCell ref="T4545:U4545"/>
    <mergeCell ref="N4546:Q4546"/>
    <mergeCell ref="T4546:U4546"/>
    <mergeCell ref="N4547:Q4547"/>
    <mergeCell ref="T4547:U4547"/>
    <mergeCell ref="N4548:Q4548"/>
    <mergeCell ref="T4548:U4548"/>
    <mergeCell ref="M4549:M4550"/>
    <mergeCell ref="N4549:U4549"/>
    <mergeCell ref="N4550:U4550"/>
    <mergeCell ref="M4551:V4551"/>
    <mergeCell ref="AB4551:AC4551"/>
    <mergeCell ref="N4552:Q4552"/>
    <mergeCell ref="N4553:Q4553"/>
    <mergeCell ref="N4554:Q4554"/>
    <mergeCell ref="N4555:Q4555"/>
    <mergeCell ref="N4556:Q4556"/>
    <mergeCell ref="N4557:Q4557"/>
    <mergeCell ref="M4558:M4559"/>
    <mergeCell ref="N4558:U4558"/>
    <mergeCell ref="N4559:U4559"/>
    <mergeCell ref="M4560:V4560"/>
    <mergeCell ref="N4561:P4561"/>
    <mergeCell ref="T4561:U4561"/>
    <mergeCell ref="N4562:P4562"/>
    <mergeCell ref="T4562:U4562"/>
    <mergeCell ref="N4563:P4563"/>
    <mergeCell ref="T4563:U4563"/>
    <mergeCell ref="N4564:P4564"/>
    <mergeCell ref="T4564:U4564"/>
    <mergeCell ref="N4565:P4565"/>
    <mergeCell ref="T4565:U4565"/>
    <mergeCell ref="M4566:M4567"/>
    <mergeCell ref="N4566:U4566"/>
    <mergeCell ref="N4567:U4567"/>
    <mergeCell ref="M4568:V4568"/>
    <mergeCell ref="M4573:M4574"/>
    <mergeCell ref="N4573:U4573"/>
    <mergeCell ref="N4574:U4574"/>
    <mergeCell ref="M4575:V4575"/>
    <mergeCell ref="M4576:T4576"/>
    <mergeCell ref="U4576:V4576"/>
    <mergeCell ref="M4578:V4578"/>
    <mergeCell ref="M4579:S4579"/>
    <mergeCell ref="U4579:V4579"/>
    <mergeCell ref="M4580:S4580"/>
    <mergeCell ref="U4580:V4580"/>
    <mergeCell ref="M4581:S4581"/>
    <mergeCell ref="U4581:V4581"/>
    <mergeCell ref="M4582:S4582"/>
    <mergeCell ref="U4582:V4582"/>
    <mergeCell ref="M4583:T4583"/>
    <mergeCell ref="U4583:V4583"/>
    <mergeCell ref="U4584:V4584"/>
    <mergeCell ref="M4585:T4585"/>
    <mergeCell ref="U4585:V4585"/>
    <mergeCell ref="O4588:U4588"/>
    <mergeCell ref="AB4588:AD4588"/>
    <mergeCell ref="O4589:U4589"/>
    <mergeCell ref="M4590:V4590"/>
    <mergeCell ref="M4591:V4591"/>
    <mergeCell ref="AB4591:AC4591"/>
    <mergeCell ref="N4592:Q4592"/>
    <mergeCell ref="T4592:U4592"/>
    <mergeCell ref="N4593:Q4593"/>
    <mergeCell ref="T4593:U4593"/>
    <mergeCell ref="N4594:Q4594"/>
    <mergeCell ref="T4594:U4594"/>
    <mergeCell ref="N4595:Q4595"/>
    <mergeCell ref="T4595:U4595"/>
    <mergeCell ref="N4596:Q4596"/>
    <mergeCell ref="T4596:U4596"/>
    <mergeCell ref="N4597:Q4597"/>
    <mergeCell ref="T4597:U4597"/>
    <mergeCell ref="M4598:M4599"/>
    <mergeCell ref="N4598:U4598"/>
    <mergeCell ref="N4599:U4599"/>
    <mergeCell ref="M4600:V4600"/>
    <mergeCell ref="AB4600:AC4600"/>
    <mergeCell ref="N4601:Q4601"/>
    <mergeCell ref="N4602:Q4602"/>
    <mergeCell ref="N4603:Q4603"/>
    <mergeCell ref="N4604:Q4604"/>
    <mergeCell ref="N4605:Q4605"/>
    <mergeCell ref="N4606:Q4606"/>
    <mergeCell ref="M4607:M4608"/>
    <mergeCell ref="N4607:U4607"/>
    <mergeCell ref="N4608:U4608"/>
    <mergeCell ref="M4609:V4609"/>
    <mergeCell ref="N4610:P4610"/>
    <mergeCell ref="T4610:U4610"/>
    <mergeCell ref="N4611:P4611"/>
    <mergeCell ref="T4611:U4611"/>
    <mergeCell ref="N4612:P4612"/>
    <mergeCell ref="T4612:U4612"/>
    <mergeCell ref="N4613:P4613"/>
    <mergeCell ref="T4613:U4613"/>
    <mergeCell ref="N4614:P4614"/>
    <mergeCell ref="T4614:U4614"/>
    <mergeCell ref="M4615:M4616"/>
    <mergeCell ref="N4615:U4615"/>
    <mergeCell ref="N4616:U4616"/>
    <mergeCell ref="M4617:V4617"/>
    <mergeCell ref="M4622:M4623"/>
    <mergeCell ref="N4622:U4622"/>
    <mergeCell ref="N4623:U4623"/>
    <mergeCell ref="M4624:V4624"/>
    <mergeCell ref="M4625:T4625"/>
    <mergeCell ref="U4625:V4625"/>
    <mergeCell ref="M4627:V4627"/>
    <mergeCell ref="M4628:S4628"/>
    <mergeCell ref="U4628:V4628"/>
    <mergeCell ref="M4629:S4629"/>
    <mergeCell ref="U4629:V4629"/>
    <mergeCell ref="M4630:S4630"/>
    <mergeCell ref="U4630:V4630"/>
    <mergeCell ref="M4631:S4631"/>
    <mergeCell ref="U4631:V4631"/>
    <mergeCell ref="M4632:T4632"/>
    <mergeCell ref="U4632:V4632"/>
    <mergeCell ref="U4633:V4633"/>
    <mergeCell ref="M4634:T4634"/>
    <mergeCell ref="U4634:V4634"/>
    <mergeCell ref="O4637:U4637"/>
    <mergeCell ref="AB4637:AD4637"/>
    <mergeCell ref="O4638:U4638"/>
    <mergeCell ref="M4639:V4639"/>
    <mergeCell ref="M4640:V4640"/>
    <mergeCell ref="AB4640:AC4640"/>
    <mergeCell ref="N4641:Q4641"/>
    <mergeCell ref="T4641:U4641"/>
    <mergeCell ref="N4642:Q4642"/>
    <mergeCell ref="T4642:U4642"/>
    <mergeCell ref="N4643:Q4643"/>
    <mergeCell ref="T4643:U4643"/>
    <mergeCell ref="N4644:Q4644"/>
    <mergeCell ref="T4644:U4644"/>
    <mergeCell ref="N4645:Q4645"/>
    <mergeCell ref="T4645:U4645"/>
    <mergeCell ref="N4646:Q4646"/>
    <mergeCell ref="T4646:U4646"/>
    <mergeCell ref="M4647:M4648"/>
    <mergeCell ref="N4647:U4647"/>
    <mergeCell ref="N4648:U4648"/>
    <mergeCell ref="M4649:V4649"/>
    <mergeCell ref="AB4649:AC4649"/>
    <mergeCell ref="N4650:Q4650"/>
    <mergeCell ref="N4651:Q4651"/>
    <mergeCell ref="N4652:Q4652"/>
    <mergeCell ref="N4653:Q4653"/>
    <mergeCell ref="N4654:Q4654"/>
    <mergeCell ref="N4655:Q4655"/>
    <mergeCell ref="M4656:M4657"/>
    <mergeCell ref="N4656:U4656"/>
    <mergeCell ref="N4657:U4657"/>
    <mergeCell ref="M4658:V4658"/>
    <mergeCell ref="N4659:P4659"/>
    <mergeCell ref="T4659:U4659"/>
    <mergeCell ref="N4660:P4660"/>
    <mergeCell ref="T4660:U4660"/>
    <mergeCell ref="N4661:P4661"/>
    <mergeCell ref="T4661:U4661"/>
    <mergeCell ref="N4662:P4662"/>
    <mergeCell ref="T4662:U4662"/>
    <mergeCell ref="N4663:P4663"/>
    <mergeCell ref="T4663:U4663"/>
    <mergeCell ref="M4664:M4665"/>
    <mergeCell ref="N4664:U4664"/>
    <mergeCell ref="N4665:U4665"/>
    <mergeCell ref="M4666:V4666"/>
    <mergeCell ref="M4671:M4672"/>
    <mergeCell ref="N4671:U4671"/>
    <mergeCell ref="N4672:U4672"/>
    <mergeCell ref="M4673:V4673"/>
    <mergeCell ref="M4674:T4674"/>
    <mergeCell ref="U4674:V4674"/>
    <mergeCell ref="M4676:V4676"/>
    <mergeCell ref="M4677:S4677"/>
    <mergeCell ref="U4677:V4677"/>
    <mergeCell ref="M4678:S4678"/>
    <mergeCell ref="U4678:V4678"/>
    <mergeCell ref="M4679:S4679"/>
    <mergeCell ref="U4679:V4679"/>
    <mergeCell ref="M4680:S4680"/>
    <mergeCell ref="U4680:V4680"/>
    <mergeCell ref="M4681:T4681"/>
    <mergeCell ref="U4681:V4681"/>
    <mergeCell ref="U4682:V4682"/>
    <mergeCell ref="M4683:T4683"/>
    <mergeCell ref="U4683:V4683"/>
    <mergeCell ref="O4686:U4686"/>
    <mergeCell ref="AB4686:AD4686"/>
    <mergeCell ref="O4687:U4687"/>
    <mergeCell ref="M4688:V4688"/>
    <mergeCell ref="M4689:V4689"/>
    <mergeCell ref="AB4689:AC4689"/>
    <mergeCell ref="N4690:Q4690"/>
    <mergeCell ref="T4690:U4690"/>
    <mergeCell ref="N4691:Q4691"/>
    <mergeCell ref="T4691:U4691"/>
    <mergeCell ref="N4692:Q4692"/>
    <mergeCell ref="T4692:U4692"/>
    <mergeCell ref="N4693:Q4693"/>
    <mergeCell ref="T4693:U4693"/>
    <mergeCell ref="N4694:Q4694"/>
    <mergeCell ref="T4694:U4694"/>
    <mergeCell ref="N4695:Q4695"/>
    <mergeCell ref="T4695:U4695"/>
    <mergeCell ref="M4696:M4697"/>
    <mergeCell ref="N4696:U4696"/>
    <mergeCell ref="N4697:U4697"/>
    <mergeCell ref="M4698:V4698"/>
    <mergeCell ref="AB4698:AC4698"/>
    <mergeCell ref="N4699:Q4699"/>
    <mergeCell ref="N4700:Q4700"/>
    <mergeCell ref="N4701:Q4701"/>
    <mergeCell ref="N4702:Q4702"/>
    <mergeCell ref="N4703:Q4703"/>
    <mergeCell ref="N4704:Q4704"/>
    <mergeCell ref="M4705:M4706"/>
    <mergeCell ref="N4705:U4705"/>
    <mergeCell ref="N4706:U4706"/>
    <mergeCell ref="M4707:V4707"/>
    <mergeCell ref="N4708:P4708"/>
    <mergeCell ref="T4708:U4708"/>
    <mergeCell ref="N4709:P4709"/>
    <mergeCell ref="T4709:U4709"/>
    <mergeCell ref="N4710:P4710"/>
    <mergeCell ref="T4710:U4710"/>
    <mergeCell ref="N4711:P4711"/>
    <mergeCell ref="T4711:U4711"/>
    <mergeCell ref="N4712:P4712"/>
    <mergeCell ref="T4712:U4712"/>
    <mergeCell ref="M4713:M4714"/>
    <mergeCell ref="N4713:U4713"/>
    <mergeCell ref="N4714:U4714"/>
    <mergeCell ref="M4715:V4715"/>
    <mergeCell ref="M4720:M4721"/>
    <mergeCell ref="N4720:U4720"/>
    <mergeCell ref="N4721:U4721"/>
    <mergeCell ref="M4722:V4722"/>
    <mergeCell ref="M4723:T4723"/>
    <mergeCell ref="U4723:V4723"/>
    <mergeCell ref="M4725:V4725"/>
    <mergeCell ref="M4726:S4726"/>
    <mergeCell ref="U4726:V4726"/>
    <mergeCell ref="M4727:S4727"/>
    <mergeCell ref="U4727:V4727"/>
    <mergeCell ref="M4728:S4728"/>
    <mergeCell ref="U4728:V4728"/>
    <mergeCell ref="M4729:S4729"/>
    <mergeCell ref="U4729:V4729"/>
    <mergeCell ref="M4730:T4730"/>
    <mergeCell ref="U4730:V4730"/>
    <mergeCell ref="U4731:V4731"/>
    <mergeCell ref="M4732:T4732"/>
    <mergeCell ref="U4732:V4732"/>
    <mergeCell ref="O4735:U4735"/>
    <mergeCell ref="AB4735:AD4735"/>
    <mergeCell ref="O4736:U4736"/>
    <mergeCell ref="M4737:V4737"/>
    <mergeCell ref="M4738:V4738"/>
    <mergeCell ref="AB4738:AC4738"/>
    <mergeCell ref="N4739:Q4739"/>
    <mergeCell ref="T4739:U4739"/>
    <mergeCell ref="N4740:Q4740"/>
    <mergeCell ref="T4740:U4740"/>
    <mergeCell ref="N4741:Q4741"/>
    <mergeCell ref="T4741:U4741"/>
    <mergeCell ref="N4742:Q4742"/>
    <mergeCell ref="T4742:U4742"/>
    <mergeCell ref="N4743:Q4743"/>
    <mergeCell ref="T4743:U4743"/>
    <mergeCell ref="N4744:Q4744"/>
    <mergeCell ref="T4744:U4744"/>
    <mergeCell ref="M4745:M4746"/>
    <mergeCell ref="N4745:U4745"/>
    <mergeCell ref="N4746:U4746"/>
    <mergeCell ref="M4747:V4747"/>
    <mergeCell ref="AB4747:AC4747"/>
    <mergeCell ref="N4748:Q4748"/>
    <mergeCell ref="N4749:Q4749"/>
    <mergeCell ref="N4750:Q4750"/>
    <mergeCell ref="N4751:Q4751"/>
    <mergeCell ref="N4752:Q4752"/>
    <mergeCell ref="N4753:Q4753"/>
    <mergeCell ref="M4754:M4755"/>
    <mergeCell ref="N4754:U4754"/>
    <mergeCell ref="N4755:U4755"/>
    <mergeCell ref="M4756:V4756"/>
    <mergeCell ref="N4757:P4757"/>
    <mergeCell ref="T4757:U4757"/>
    <mergeCell ref="N4758:P4758"/>
    <mergeCell ref="T4758:U4758"/>
    <mergeCell ref="N4759:P4759"/>
    <mergeCell ref="T4759:U4759"/>
    <mergeCell ref="N4760:P4760"/>
    <mergeCell ref="T4760:U4760"/>
    <mergeCell ref="N4761:P4761"/>
    <mergeCell ref="T4761:U4761"/>
    <mergeCell ref="M4762:M4763"/>
    <mergeCell ref="N4762:U4762"/>
    <mergeCell ref="N4763:U4763"/>
    <mergeCell ref="M4764:V4764"/>
    <mergeCell ref="M4769:M4770"/>
    <mergeCell ref="N4769:U4769"/>
    <mergeCell ref="N4770:U4770"/>
    <mergeCell ref="M4771:V4771"/>
    <mergeCell ref="M4772:T4772"/>
    <mergeCell ref="U4772:V4772"/>
    <mergeCell ref="M4774:V4774"/>
    <mergeCell ref="M4775:S4775"/>
    <mergeCell ref="U4775:V4775"/>
    <mergeCell ref="M4776:S4776"/>
    <mergeCell ref="U4776:V4776"/>
    <mergeCell ref="M4777:S4777"/>
    <mergeCell ref="U4777:V4777"/>
    <mergeCell ref="M4778:S4778"/>
    <mergeCell ref="U4778:V4778"/>
    <mergeCell ref="M4779:T4779"/>
    <mergeCell ref="U4779:V4779"/>
    <mergeCell ref="U4780:V4780"/>
    <mergeCell ref="M4781:T4781"/>
    <mergeCell ref="U4781:V4781"/>
    <mergeCell ref="O5078:U5078"/>
    <mergeCell ref="AB5078:AD5078"/>
    <mergeCell ref="O5079:U5079"/>
    <mergeCell ref="M5080:V5080"/>
    <mergeCell ref="M5081:V5081"/>
    <mergeCell ref="AB5081:AC5081"/>
    <mergeCell ref="N4935:Q4935"/>
    <mergeCell ref="T4935:U4935"/>
    <mergeCell ref="N4936:Q4936"/>
    <mergeCell ref="T4936:U4936"/>
    <mergeCell ref="N4937:Q4937"/>
    <mergeCell ref="T4937:U4937"/>
    <mergeCell ref="N4938:Q4938"/>
    <mergeCell ref="T4938:U4938"/>
    <mergeCell ref="N4939:Q4939"/>
    <mergeCell ref="T4939:U4939"/>
    <mergeCell ref="N4940:Q4940"/>
    <mergeCell ref="T4940:U4940"/>
    <mergeCell ref="M4941:M4942"/>
    <mergeCell ref="N4941:U4941"/>
    <mergeCell ref="N4942:U4942"/>
    <mergeCell ref="N5082:Q5082"/>
    <mergeCell ref="T5082:U5082"/>
    <mergeCell ref="N5083:Q5083"/>
    <mergeCell ref="T5083:U5083"/>
    <mergeCell ref="N5084:Q5084"/>
    <mergeCell ref="T5084:U5084"/>
    <mergeCell ref="N5085:Q5085"/>
    <mergeCell ref="T5085:U5085"/>
    <mergeCell ref="N5086:Q5086"/>
    <mergeCell ref="T5086:U5086"/>
    <mergeCell ref="N5087:Q5087"/>
    <mergeCell ref="T5087:U5087"/>
    <mergeCell ref="M5088:M5089"/>
    <mergeCell ref="N5088:U5088"/>
    <mergeCell ref="N5089:U5089"/>
    <mergeCell ref="M5090:V5090"/>
    <mergeCell ref="AB5090:AC5090"/>
    <mergeCell ref="N5091:Q5091"/>
    <mergeCell ref="N5092:Q5092"/>
    <mergeCell ref="N5093:Q5093"/>
    <mergeCell ref="N5094:Q5094"/>
    <mergeCell ref="N5095:Q5095"/>
    <mergeCell ref="N5096:Q5096"/>
    <mergeCell ref="M5097:M5098"/>
    <mergeCell ref="N5097:U5097"/>
    <mergeCell ref="N5098:U5098"/>
    <mergeCell ref="M5099:V5099"/>
    <mergeCell ref="N5100:P5100"/>
    <mergeCell ref="T5100:U5100"/>
    <mergeCell ref="N5101:P5101"/>
    <mergeCell ref="T5101:U5101"/>
    <mergeCell ref="N5102:P5102"/>
    <mergeCell ref="T5102:U5102"/>
    <mergeCell ref="N5103:P5103"/>
    <mergeCell ref="T5103:U5103"/>
    <mergeCell ref="N5104:P5104"/>
    <mergeCell ref="T5104:U5104"/>
    <mergeCell ref="M5105:M5106"/>
    <mergeCell ref="N5105:U5105"/>
    <mergeCell ref="N5106:U5106"/>
    <mergeCell ref="M5107:V5107"/>
    <mergeCell ref="M5112:M5113"/>
    <mergeCell ref="N5112:U5112"/>
    <mergeCell ref="N5113:U5113"/>
    <mergeCell ref="M5114:V5114"/>
    <mergeCell ref="M5115:T5115"/>
    <mergeCell ref="U5115:V5115"/>
    <mergeCell ref="M5117:V5117"/>
    <mergeCell ref="M5118:S5118"/>
    <mergeCell ref="U5118:V5118"/>
    <mergeCell ref="M5119:S5119"/>
    <mergeCell ref="U5119:V5119"/>
    <mergeCell ref="M5120:S5120"/>
    <mergeCell ref="U5120:V5120"/>
    <mergeCell ref="M5121:S5121"/>
    <mergeCell ref="U5121:V5121"/>
    <mergeCell ref="M5122:T5122"/>
    <mergeCell ref="U5122:V5122"/>
    <mergeCell ref="U5123:V5123"/>
    <mergeCell ref="M5124:T5124"/>
    <mergeCell ref="U5124:V5124"/>
    <mergeCell ref="O5127:U5127"/>
    <mergeCell ref="AB5127:AD5127"/>
    <mergeCell ref="O5128:U5128"/>
    <mergeCell ref="M5129:V5129"/>
    <mergeCell ref="M5130:V5130"/>
    <mergeCell ref="AB5130:AC5130"/>
    <mergeCell ref="N5131:Q5131"/>
    <mergeCell ref="T5131:U5131"/>
    <mergeCell ref="N5132:Q5132"/>
    <mergeCell ref="T5132:U5132"/>
    <mergeCell ref="N5133:Q5133"/>
    <mergeCell ref="T5133:U5133"/>
    <mergeCell ref="N5134:Q5134"/>
    <mergeCell ref="T5134:U5134"/>
    <mergeCell ref="N5135:Q5135"/>
    <mergeCell ref="T5135:U5135"/>
    <mergeCell ref="N5136:Q5136"/>
    <mergeCell ref="T5136:U5136"/>
    <mergeCell ref="M5137:M5138"/>
    <mergeCell ref="N5137:U5137"/>
    <mergeCell ref="N5138:U5138"/>
    <mergeCell ref="M5139:V5139"/>
    <mergeCell ref="AB5139:AC5139"/>
    <mergeCell ref="N5140:Q5140"/>
    <mergeCell ref="N5141:Q5141"/>
    <mergeCell ref="N5142:Q5142"/>
    <mergeCell ref="N5143:Q5143"/>
    <mergeCell ref="N5144:Q5144"/>
    <mergeCell ref="N5145:Q5145"/>
    <mergeCell ref="M5146:M5147"/>
    <mergeCell ref="N5146:U5146"/>
    <mergeCell ref="N5147:U5147"/>
    <mergeCell ref="M5148:V5148"/>
    <mergeCell ref="N5149:P5149"/>
    <mergeCell ref="T5149:U5149"/>
    <mergeCell ref="N5150:P5150"/>
    <mergeCell ref="T5150:U5150"/>
    <mergeCell ref="N5151:P5151"/>
    <mergeCell ref="T5151:U5151"/>
    <mergeCell ref="N5152:P5152"/>
    <mergeCell ref="T5152:U5152"/>
    <mergeCell ref="N5153:P5153"/>
    <mergeCell ref="T5153:U5153"/>
    <mergeCell ref="M5154:M5155"/>
    <mergeCell ref="N5154:U5154"/>
    <mergeCell ref="N5155:U5155"/>
    <mergeCell ref="M5156:V5156"/>
    <mergeCell ref="M5161:M5162"/>
    <mergeCell ref="N5161:U5161"/>
    <mergeCell ref="N5162:U5162"/>
    <mergeCell ref="M5163:V5163"/>
    <mergeCell ref="M5164:T5164"/>
    <mergeCell ref="U5164:V5164"/>
    <mergeCell ref="M5166:V5166"/>
    <mergeCell ref="M5167:S5167"/>
    <mergeCell ref="U5167:V5167"/>
    <mergeCell ref="M5168:S5168"/>
    <mergeCell ref="U5168:V5168"/>
    <mergeCell ref="M5169:S5169"/>
    <mergeCell ref="U5169:V5169"/>
    <mergeCell ref="M5170:S5170"/>
    <mergeCell ref="U5170:V5170"/>
    <mergeCell ref="M5171:T5171"/>
    <mergeCell ref="U5171:V5171"/>
    <mergeCell ref="U5172:V5172"/>
    <mergeCell ref="M5173:T5173"/>
    <mergeCell ref="U5173:V5173"/>
    <mergeCell ref="O5176:U5176"/>
    <mergeCell ref="AB5176:AD5176"/>
    <mergeCell ref="O5177:U5177"/>
    <mergeCell ref="M5178:V5178"/>
    <mergeCell ref="M5179:V5179"/>
    <mergeCell ref="AB5179:AC5179"/>
    <mergeCell ref="N5180:Q5180"/>
    <mergeCell ref="T5180:U5180"/>
    <mergeCell ref="N5181:Q5181"/>
    <mergeCell ref="T5181:U5181"/>
    <mergeCell ref="N5182:Q5182"/>
    <mergeCell ref="T5182:U5182"/>
    <mergeCell ref="N5183:Q5183"/>
    <mergeCell ref="T5183:U5183"/>
    <mergeCell ref="N5184:Q5184"/>
    <mergeCell ref="T5184:U5184"/>
    <mergeCell ref="N5185:Q5185"/>
    <mergeCell ref="T5185:U5185"/>
    <mergeCell ref="M5186:M5187"/>
    <mergeCell ref="N5186:U5186"/>
    <mergeCell ref="N5187:U5187"/>
    <mergeCell ref="M5188:V5188"/>
    <mergeCell ref="AB5188:AC5188"/>
    <mergeCell ref="N5189:Q5189"/>
    <mergeCell ref="N5190:Q5190"/>
    <mergeCell ref="N5191:Q5191"/>
    <mergeCell ref="N5192:Q5192"/>
    <mergeCell ref="N5193:Q5193"/>
    <mergeCell ref="N5194:Q5194"/>
    <mergeCell ref="M5195:M5196"/>
    <mergeCell ref="N5195:U5195"/>
    <mergeCell ref="N5196:U5196"/>
    <mergeCell ref="M5197:V5197"/>
    <mergeCell ref="N5198:P5198"/>
    <mergeCell ref="T5198:U5198"/>
    <mergeCell ref="N5199:P5199"/>
    <mergeCell ref="T5199:U5199"/>
    <mergeCell ref="N5200:P5200"/>
    <mergeCell ref="T5200:U5200"/>
    <mergeCell ref="N5201:P5201"/>
    <mergeCell ref="T5201:U5201"/>
    <mergeCell ref="N5202:P5202"/>
    <mergeCell ref="T5202:U5202"/>
    <mergeCell ref="M5203:M5204"/>
    <mergeCell ref="N5203:U5203"/>
    <mergeCell ref="N5204:U5204"/>
    <mergeCell ref="M5205:V5205"/>
    <mergeCell ref="M5210:M5211"/>
    <mergeCell ref="N5210:U5210"/>
    <mergeCell ref="N5211:U5211"/>
    <mergeCell ref="M5212:V5212"/>
    <mergeCell ref="M5213:T5213"/>
    <mergeCell ref="U5213:V5213"/>
    <mergeCell ref="M5215:V5215"/>
    <mergeCell ref="M5216:S5216"/>
    <mergeCell ref="U5216:V5216"/>
    <mergeCell ref="M5217:S5217"/>
    <mergeCell ref="U5217:V5217"/>
    <mergeCell ref="M5218:S5218"/>
    <mergeCell ref="U5218:V5218"/>
    <mergeCell ref="M5219:S5219"/>
    <mergeCell ref="U5219:V5219"/>
    <mergeCell ref="M5220:T5220"/>
    <mergeCell ref="U5220:V5220"/>
    <mergeCell ref="U5221:V5221"/>
    <mergeCell ref="M5222:T5222"/>
    <mergeCell ref="U5222:V5222"/>
    <mergeCell ref="O5225:U5225"/>
    <mergeCell ref="AB5225:AD5225"/>
    <mergeCell ref="O5226:U5226"/>
    <mergeCell ref="M5227:V5227"/>
    <mergeCell ref="M5228:V5228"/>
    <mergeCell ref="AB5228:AC5228"/>
    <mergeCell ref="N5229:Q5229"/>
    <mergeCell ref="T5229:U5229"/>
    <mergeCell ref="N5230:Q5230"/>
    <mergeCell ref="T5230:U5230"/>
    <mergeCell ref="N5231:Q5231"/>
    <mergeCell ref="T5231:U5231"/>
    <mergeCell ref="N5232:Q5232"/>
    <mergeCell ref="T5232:U5232"/>
    <mergeCell ref="N5233:Q5233"/>
    <mergeCell ref="T5233:U5233"/>
    <mergeCell ref="N5234:Q5234"/>
    <mergeCell ref="T5234:U5234"/>
    <mergeCell ref="M5235:M5236"/>
    <mergeCell ref="N5235:U5235"/>
    <mergeCell ref="N5236:U5236"/>
    <mergeCell ref="M5237:V5237"/>
    <mergeCell ref="AB5237:AC5237"/>
    <mergeCell ref="N5238:Q5238"/>
    <mergeCell ref="N5239:Q5239"/>
    <mergeCell ref="N5240:Q5240"/>
    <mergeCell ref="N5241:Q5241"/>
    <mergeCell ref="N5242:Q5242"/>
    <mergeCell ref="N5243:Q5243"/>
    <mergeCell ref="M5244:M5245"/>
    <mergeCell ref="N5244:U5244"/>
    <mergeCell ref="N5245:U5245"/>
    <mergeCell ref="M5246:V5246"/>
    <mergeCell ref="N5247:P5247"/>
    <mergeCell ref="T5247:U5247"/>
    <mergeCell ref="N5248:P5248"/>
    <mergeCell ref="T5248:U5248"/>
    <mergeCell ref="N5249:P5249"/>
    <mergeCell ref="T5249:U5249"/>
    <mergeCell ref="N5250:P5250"/>
    <mergeCell ref="T5250:U5250"/>
    <mergeCell ref="N5251:P5251"/>
    <mergeCell ref="T5251:U5251"/>
    <mergeCell ref="M5252:M5253"/>
    <mergeCell ref="N5252:U5252"/>
    <mergeCell ref="N5253:U5253"/>
    <mergeCell ref="M5254:V5254"/>
    <mergeCell ref="M5259:M5260"/>
    <mergeCell ref="N5259:U5259"/>
    <mergeCell ref="N5260:U5260"/>
    <mergeCell ref="M5261:V5261"/>
    <mergeCell ref="M5262:T5262"/>
    <mergeCell ref="U5262:V5262"/>
    <mergeCell ref="M5264:V5264"/>
    <mergeCell ref="M5265:S5265"/>
    <mergeCell ref="U5265:V5265"/>
    <mergeCell ref="M5266:S5266"/>
    <mergeCell ref="U5266:V5266"/>
    <mergeCell ref="M5267:S5267"/>
    <mergeCell ref="U5267:V5267"/>
    <mergeCell ref="M5268:S5268"/>
    <mergeCell ref="U5268:V5268"/>
    <mergeCell ref="M5269:T5269"/>
    <mergeCell ref="U5269:V5269"/>
    <mergeCell ref="U5270:V5270"/>
    <mergeCell ref="M5271:T5271"/>
    <mergeCell ref="U5271:V5271"/>
    <mergeCell ref="O5274:U5274"/>
    <mergeCell ref="AB5274:AD5274"/>
    <mergeCell ref="O5275:U5275"/>
    <mergeCell ref="M5276:V5276"/>
    <mergeCell ref="M5277:V5277"/>
    <mergeCell ref="AB5277:AC5277"/>
    <mergeCell ref="N5278:Q5278"/>
    <mergeCell ref="T5278:U5278"/>
    <mergeCell ref="N5279:Q5279"/>
    <mergeCell ref="T5279:U5279"/>
    <mergeCell ref="N5280:Q5280"/>
    <mergeCell ref="T5280:U5280"/>
    <mergeCell ref="N5281:Q5281"/>
    <mergeCell ref="T5281:U5281"/>
    <mergeCell ref="N5282:Q5282"/>
    <mergeCell ref="T5282:U5282"/>
    <mergeCell ref="N5283:Q5283"/>
    <mergeCell ref="T5283:U5283"/>
    <mergeCell ref="M5284:M5285"/>
    <mergeCell ref="N5284:U5284"/>
    <mergeCell ref="N5285:U5285"/>
    <mergeCell ref="M5286:V5286"/>
    <mergeCell ref="AB5286:AC5286"/>
    <mergeCell ref="N5287:Q5287"/>
    <mergeCell ref="N5288:Q5288"/>
    <mergeCell ref="N5289:Q5289"/>
    <mergeCell ref="N5290:Q5290"/>
    <mergeCell ref="N5291:Q5291"/>
    <mergeCell ref="N5292:Q5292"/>
    <mergeCell ref="M5293:M5294"/>
    <mergeCell ref="N5293:U5293"/>
    <mergeCell ref="N5294:U5294"/>
    <mergeCell ref="M5295:V5295"/>
    <mergeCell ref="N5296:P5296"/>
    <mergeCell ref="T5296:U5296"/>
    <mergeCell ref="M5313:V5313"/>
    <mergeCell ref="M5314:S5314"/>
    <mergeCell ref="U5314:V5314"/>
    <mergeCell ref="M5315:S5315"/>
    <mergeCell ref="U5315:V5315"/>
    <mergeCell ref="M5316:S5316"/>
    <mergeCell ref="U5316:V5316"/>
    <mergeCell ref="M5317:S5317"/>
    <mergeCell ref="U5317:V5317"/>
    <mergeCell ref="M5318:T5318"/>
    <mergeCell ref="U5318:V5318"/>
    <mergeCell ref="U5319:V5319"/>
    <mergeCell ref="M5320:T5320"/>
    <mergeCell ref="U5320:V5320"/>
    <mergeCell ref="N5297:P5297"/>
    <mergeCell ref="T5297:U5297"/>
    <mergeCell ref="N5298:P5298"/>
    <mergeCell ref="T5298:U5298"/>
    <mergeCell ref="N5299:P5299"/>
    <mergeCell ref="T5299:U5299"/>
    <mergeCell ref="N5300:P5300"/>
    <mergeCell ref="T5300:U5300"/>
    <mergeCell ref="M5301:M5302"/>
    <mergeCell ref="N5301:U5301"/>
    <mergeCell ref="N5302:U5302"/>
    <mergeCell ref="M5303:V5303"/>
    <mergeCell ref="M5308:M5309"/>
    <mergeCell ref="N5308:U5308"/>
    <mergeCell ref="N5309:U5309"/>
    <mergeCell ref="M5310:V5310"/>
    <mergeCell ref="M5311:T5311"/>
    <mergeCell ref="U5311:V5311"/>
    <mergeCell ref="O5421:U5421"/>
    <mergeCell ref="AB5421:AD5421"/>
    <mergeCell ref="O5422:U5422"/>
    <mergeCell ref="N5327:Q5327"/>
    <mergeCell ref="T5327:U5327"/>
    <mergeCell ref="N5328:Q5328"/>
    <mergeCell ref="T5328:U5328"/>
    <mergeCell ref="N5329:Q5329"/>
    <mergeCell ref="T5329:U5329"/>
    <mergeCell ref="N5330:Q5330"/>
    <mergeCell ref="T5330:U5330"/>
    <mergeCell ref="N5331:Q5331"/>
    <mergeCell ref="T5331:U5331"/>
    <mergeCell ref="N5332:Q5332"/>
    <mergeCell ref="T5332:U5332"/>
    <mergeCell ref="M5333:M5334"/>
    <mergeCell ref="N5333:U5333"/>
    <mergeCell ref="N5334:U5334"/>
    <mergeCell ref="M5335:V5335"/>
    <mergeCell ref="AB5335:AC5335"/>
    <mergeCell ref="N5336:Q5336"/>
    <mergeCell ref="N5337:Q5337"/>
    <mergeCell ref="N5338:Q5338"/>
    <mergeCell ref="N5339:Q5339"/>
    <mergeCell ref="N5340:Q5340"/>
    <mergeCell ref="N5341:Q5341"/>
    <mergeCell ref="M5342:M5343"/>
    <mergeCell ref="N5342:U5342"/>
    <mergeCell ref="N5343:U5343"/>
    <mergeCell ref="M5344:V5344"/>
    <mergeCell ref="N5345:P5345"/>
    <mergeCell ref="T5345:U5345"/>
    <mergeCell ref="M5423:V5423"/>
    <mergeCell ref="M5424:V5424"/>
    <mergeCell ref="AB5424:AC5424"/>
    <mergeCell ref="N5425:Q5425"/>
    <mergeCell ref="T5425:U5425"/>
    <mergeCell ref="N5426:Q5426"/>
    <mergeCell ref="T5426:U5426"/>
    <mergeCell ref="N5427:Q5427"/>
    <mergeCell ref="T5427:U5427"/>
    <mergeCell ref="N5428:Q5428"/>
    <mergeCell ref="T5428:U5428"/>
    <mergeCell ref="N5429:Q5429"/>
    <mergeCell ref="T5429:U5429"/>
    <mergeCell ref="N5430:Q5430"/>
    <mergeCell ref="T5430:U5430"/>
    <mergeCell ref="M5431:M5432"/>
    <mergeCell ref="N5431:U5431"/>
    <mergeCell ref="N5432:U5432"/>
    <mergeCell ref="M5433:V5433"/>
    <mergeCell ref="AB5433:AC5433"/>
    <mergeCell ref="N5434:Q5434"/>
    <mergeCell ref="N5435:Q5435"/>
    <mergeCell ref="N5436:Q5436"/>
    <mergeCell ref="N5437:Q5437"/>
    <mergeCell ref="N5438:Q5438"/>
    <mergeCell ref="N5439:Q5439"/>
    <mergeCell ref="M5440:M5441"/>
    <mergeCell ref="N5440:U5440"/>
    <mergeCell ref="N5441:U5441"/>
    <mergeCell ref="M5442:V5442"/>
    <mergeCell ref="N5443:P5443"/>
    <mergeCell ref="T5443:U5443"/>
    <mergeCell ref="N5444:P5444"/>
    <mergeCell ref="T5444:U5444"/>
    <mergeCell ref="N5445:P5445"/>
    <mergeCell ref="T5445:U5445"/>
    <mergeCell ref="N5446:P5446"/>
    <mergeCell ref="T5446:U5446"/>
    <mergeCell ref="N5447:P5447"/>
    <mergeCell ref="T5447:U5447"/>
    <mergeCell ref="M5448:M5449"/>
    <mergeCell ref="N5448:U5448"/>
    <mergeCell ref="N5449:U5449"/>
    <mergeCell ref="M5450:V5450"/>
    <mergeCell ref="M5455:M5456"/>
    <mergeCell ref="N5455:U5455"/>
    <mergeCell ref="N5456:U5456"/>
    <mergeCell ref="M5457:V5457"/>
    <mergeCell ref="M5458:T5458"/>
    <mergeCell ref="U5458:V5458"/>
    <mergeCell ref="M5460:V5460"/>
    <mergeCell ref="M5461:S5461"/>
    <mergeCell ref="U5461:V5461"/>
    <mergeCell ref="AB5479:AC5479"/>
    <mergeCell ref="M5462:S5462"/>
    <mergeCell ref="U5462:V5462"/>
    <mergeCell ref="M5463:S5463"/>
    <mergeCell ref="U5463:V5463"/>
    <mergeCell ref="M5464:S5464"/>
    <mergeCell ref="U5464:V5464"/>
    <mergeCell ref="M5465:T5465"/>
    <mergeCell ref="U5465:V5465"/>
    <mergeCell ref="U5466:V5466"/>
    <mergeCell ref="M5467:T5467"/>
    <mergeCell ref="U5467:V5467"/>
    <mergeCell ref="O5470:U5470"/>
    <mergeCell ref="AB5470:AD5470"/>
    <mergeCell ref="O5471:U5471"/>
    <mergeCell ref="M5472:V5472"/>
    <mergeCell ref="M5473:V5473"/>
    <mergeCell ref="AB5473:AC5473"/>
    <mergeCell ref="N5480:Q5480"/>
    <mergeCell ref="N5481:Q5481"/>
    <mergeCell ref="N5482:Q5482"/>
    <mergeCell ref="N5483:Q5483"/>
    <mergeCell ref="N5484:Q5484"/>
    <mergeCell ref="N5485:Q5485"/>
    <mergeCell ref="M5489:M5490"/>
    <mergeCell ref="N5489:U5489"/>
    <mergeCell ref="N5490:U5490"/>
    <mergeCell ref="M5491:V5491"/>
    <mergeCell ref="N5492:P5492"/>
    <mergeCell ref="T5492:U5492"/>
    <mergeCell ref="N5493:P5493"/>
    <mergeCell ref="T5493:U5493"/>
    <mergeCell ref="N5474:Q5474"/>
    <mergeCell ref="T5474:U5474"/>
    <mergeCell ref="N5475:Q5475"/>
    <mergeCell ref="T5475:U5475"/>
    <mergeCell ref="N5476:Q5476"/>
    <mergeCell ref="T5476:U5476"/>
    <mergeCell ref="M5477:M5478"/>
    <mergeCell ref="N5477:U5477"/>
    <mergeCell ref="N5478:U5478"/>
    <mergeCell ref="M5479:V5479"/>
    <mergeCell ref="M5508:S5508"/>
    <mergeCell ref="U5508:V5508"/>
    <mergeCell ref="M5509:S5509"/>
    <mergeCell ref="U5509:V5509"/>
    <mergeCell ref="M5510:T5510"/>
    <mergeCell ref="U5510:V5510"/>
    <mergeCell ref="U5511:V5511"/>
    <mergeCell ref="M5512:T5512"/>
    <mergeCell ref="U5512:V5512"/>
    <mergeCell ref="N5486:Q5486"/>
    <mergeCell ref="N5487:Q5487"/>
    <mergeCell ref="N5488:Q5488"/>
    <mergeCell ref="M5494:M5495"/>
    <mergeCell ref="N5494:U5494"/>
    <mergeCell ref="N5495:U5495"/>
    <mergeCell ref="M5496:V5496"/>
    <mergeCell ref="M5500:M5501"/>
    <mergeCell ref="N5500:U5500"/>
    <mergeCell ref="N5501:U5501"/>
    <mergeCell ref="M5502:V5502"/>
    <mergeCell ref="M5503:T5503"/>
    <mergeCell ref="U5503:V5503"/>
    <mergeCell ref="M5505:V5505"/>
    <mergeCell ref="M5506:S5506"/>
    <mergeCell ref="U5506:V5506"/>
    <mergeCell ref="M5507:S5507"/>
    <mergeCell ref="U5507:V5507"/>
    <mergeCell ref="O5515:U5515"/>
    <mergeCell ref="AB5515:AD5515"/>
    <mergeCell ref="O5516:U5516"/>
    <mergeCell ref="M5517:V5517"/>
    <mergeCell ref="M5518:V5518"/>
    <mergeCell ref="AB5518:AC5518"/>
    <mergeCell ref="N5519:Q5519"/>
    <mergeCell ref="T5519:U5519"/>
    <mergeCell ref="N5520:Q5520"/>
    <mergeCell ref="T5520:U5520"/>
    <mergeCell ref="N5521:Q5521"/>
    <mergeCell ref="T5521:U5521"/>
    <mergeCell ref="N5522:Q5522"/>
    <mergeCell ref="T5522:U5522"/>
    <mergeCell ref="N5523:Q5523"/>
    <mergeCell ref="T5523:U5523"/>
    <mergeCell ref="N5524:Q5524"/>
    <mergeCell ref="T5524:U5524"/>
    <mergeCell ref="M5525:M5526"/>
    <mergeCell ref="N5525:U5525"/>
    <mergeCell ref="N5526:U5526"/>
    <mergeCell ref="M5527:V5527"/>
    <mergeCell ref="AB5527:AC5527"/>
    <mergeCell ref="N5528:Q5528"/>
    <mergeCell ref="N5529:Q5529"/>
    <mergeCell ref="N5530:Q5530"/>
    <mergeCell ref="N5531:Q5531"/>
    <mergeCell ref="N5532:Q5532"/>
    <mergeCell ref="N5533:Q5533"/>
    <mergeCell ref="M5534:M5535"/>
    <mergeCell ref="N5534:U5534"/>
    <mergeCell ref="N5535:U5535"/>
    <mergeCell ref="M5536:V5536"/>
    <mergeCell ref="N5537:P5537"/>
    <mergeCell ref="T5537:U5537"/>
    <mergeCell ref="N5538:P5538"/>
    <mergeCell ref="T5538:U5538"/>
    <mergeCell ref="N5539:P5539"/>
    <mergeCell ref="T5539:U5539"/>
    <mergeCell ref="N5540:P5540"/>
    <mergeCell ref="T5540:U5540"/>
    <mergeCell ref="N5541:P5541"/>
    <mergeCell ref="T5541:U5541"/>
    <mergeCell ref="M5542:M5543"/>
    <mergeCell ref="N5542:U5542"/>
    <mergeCell ref="N5543:U5543"/>
    <mergeCell ref="M5544:V5544"/>
    <mergeCell ref="M5549:M5550"/>
    <mergeCell ref="N5549:U5549"/>
    <mergeCell ref="N5550:U5550"/>
    <mergeCell ref="M5551:V5551"/>
    <mergeCell ref="M5552:T5552"/>
    <mergeCell ref="U5552:V5552"/>
    <mergeCell ref="M5554:V5554"/>
    <mergeCell ref="M5555:S5555"/>
    <mergeCell ref="U5555:V5555"/>
    <mergeCell ref="M5556:S5556"/>
    <mergeCell ref="U5556:V5556"/>
    <mergeCell ref="M5557:S5557"/>
    <mergeCell ref="U5557:V5557"/>
    <mergeCell ref="M5558:S5558"/>
    <mergeCell ref="U5558:V5558"/>
    <mergeCell ref="M5559:T5559"/>
    <mergeCell ref="U5559:V5559"/>
    <mergeCell ref="U5560:V5560"/>
    <mergeCell ref="M5561:T5561"/>
    <mergeCell ref="U5561:V5561"/>
    <mergeCell ref="O5564:U5564"/>
    <mergeCell ref="AB5564:AD5564"/>
    <mergeCell ref="O5565:U5565"/>
    <mergeCell ref="M5566:V5566"/>
    <mergeCell ref="M5567:V5567"/>
    <mergeCell ref="AB5567:AC5567"/>
    <mergeCell ref="N5568:Q5568"/>
    <mergeCell ref="T5568:U5568"/>
    <mergeCell ref="N5569:Q5569"/>
    <mergeCell ref="T5569:U5569"/>
    <mergeCell ref="N5570:Q5570"/>
    <mergeCell ref="T5570:U5570"/>
    <mergeCell ref="N5571:Q5571"/>
    <mergeCell ref="T5571:U5571"/>
    <mergeCell ref="N5572:Q5572"/>
    <mergeCell ref="T5572:U5572"/>
    <mergeCell ref="N5573:Q5573"/>
    <mergeCell ref="T5573:U5573"/>
    <mergeCell ref="M5574:M5575"/>
    <mergeCell ref="N5574:U5574"/>
    <mergeCell ref="N5575:U5575"/>
    <mergeCell ref="M5576:V5576"/>
    <mergeCell ref="AB5576:AC5576"/>
    <mergeCell ref="N5577:Q5577"/>
    <mergeCell ref="N5578:Q5578"/>
    <mergeCell ref="N5579:Q5579"/>
    <mergeCell ref="N5580:Q5580"/>
    <mergeCell ref="N5581:Q5581"/>
    <mergeCell ref="N5582:Q5582"/>
    <mergeCell ref="M5583:M5584"/>
    <mergeCell ref="N5583:U5583"/>
    <mergeCell ref="N5584:U5584"/>
    <mergeCell ref="M5585:V5585"/>
    <mergeCell ref="N5586:P5586"/>
    <mergeCell ref="T5586:U5586"/>
    <mergeCell ref="N5587:P5587"/>
    <mergeCell ref="T5587:U5587"/>
    <mergeCell ref="N5588:P5588"/>
    <mergeCell ref="T5588:U5588"/>
    <mergeCell ref="N5589:P5589"/>
    <mergeCell ref="T5589:U5589"/>
    <mergeCell ref="N5590:P5590"/>
    <mergeCell ref="T5590:U5590"/>
    <mergeCell ref="M5591:M5592"/>
    <mergeCell ref="N5591:U5591"/>
    <mergeCell ref="N5592:U5592"/>
    <mergeCell ref="M5593:V5593"/>
    <mergeCell ref="M5598:M5599"/>
    <mergeCell ref="N5598:U5598"/>
    <mergeCell ref="N5599:U5599"/>
    <mergeCell ref="M5600:V5600"/>
    <mergeCell ref="M5601:T5601"/>
    <mergeCell ref="U5601:V5601"/>
    <mergeCell ref="M5603:V5603"/>
    <mergeCell ref="M5604:S5604"/>
    <mergeCell ref="U5604:V5604"/>
    <mergeCell ref="M5605:S5605"/>
    <mergeCell ref="U5605:V5605"/>
    <mergeCell ref="M5606:S5606"/>
    <mergeCell ref="U5606:V5606"/>
    <mergeCell ref="M5607:S5607"/>
    <mergeCell ref="U5607:V5607"/>
    <mergeCell ref="M5608:T5608"/>
    <mergeCell ref="U5608:V5608"/>
    <mergeCell ref="U5609:V5609"/>
    <mergeCell ref="M5610:T5610"/>
    <mergeCell ref="U5610:V5610"/>
    <mergeCell ref="O5613:U5613"/>
    <mergeCell ref="AB5613:AD5613"/>
    <mergeCell ref="O5614:U5614"/>
    <mergeCell ref="M5615:V5615"/>
    <mergeCell ref="M5616:V5616"/>
    <mergeCell ref="AB5616:AC5616"/>
    <mergeCell ref="N5617:Q5617"/>
    <mergeCell ref="T5617:U5617"/>
    <mergeCell ref="N5618:Q5618"/>
    <mergeCell ref="T5618:U5618"/>
    <mergeCell ref="N5619:Q5619"/>
    <mergeCell ref="T5619:U5619"/>
    <mergeCell ref="N5620:Q5620"/>
    <mergeCell ref="T5620:U5620"/>
    <mergeCell ref="N5621:Q5621"/>
    <mergeCell ref="T5621:U5621"/>
    <mergeCell ref="N5622:Q5622"/>
    <mergeCell ref="T5622:U5622"/>
    <mergeCell ref="M5623:M5624"/>
    <mergeCell ref="N5623:U5623"/>
    <mergeCell ref="N5624:U5624"/>
    <mergeCell ref="M5625:V5625"/>
    <mergeCell ref="AB5625:AC5625"/>
    <mergeCell ref="N5626:Q5626"/>
    <mergeCell ref="N5627:Q5627"/>
    <mergeCell ref="N5628:Q5628"/>
    <mergeCell ref="N5629:Q5629"/>
    <mergeCell ref="N5630:Q5630"/>
    <mergeCell ref="N5631:Q5631"/>
    <mergeCell ref="M5632:M5633"/>
    <mergeCell ref="N5632:U5632"/>
    <mergeCell ref="N5633:U5633"/>
    <mergeCell ref="M5634:V5634"/>
    <mergeCell ref="N5635:P5635"/>
    <mergeCell ref="T5635:U5635"/>
    <mergeCell ref="N5636:P5636"/>
    <mergeCell ref="T5636:U5636"/>
    <mergeCell ref="N5637:P5637"/>
    <mergeCell ref="T5637:U5637"/>
    <mergeCell ref="N5638:P5638"/>
    <mergeCell ref="T5638:U5638"/>
    <mergeCell ref="N5639:P5639"/>
    <mergeCell ref="T5639:U5639"/>
    <mergeCell ref="M5640:M5641"/>
    <mergeCell ref="N5640:U5640"/>
    <mergeCell ref="N5641:U5641"/>
    <mergeCell ref="M5642:V5642"/>
    <mergeCell ref="M5647:M5648"/>
    <mergeCell ref="N5647:U5647"/>
    <mergeCell ref="N5648:U5648"/>
    <mergeCell ref="M5649:V5649"/>
    <mergeCell ref="M5650:T5650"/>
    <mergeCell ref="U5650:V5650"/>
    <mergeCell ref="M5652:V5652"/>
    <mergeCell ref="M5653:S5653"/>
    <mergeCell ref="U5653:V5653"/>
    <mergeCell ref="M5654:S5654"/>
    <mergeCell ref="U5654:V5654"/>
    <mergeCell ref="M5655:S5655"/>
    <mergeCell ref="U5655:V5655"/>
    <mergeCell ref="M5656:S5656"/>
    <mergeCell ref="U5656:V5656"/>
    <mergeCell ref="M5657:T5657"/>
    <mergeCell ref="U5657:V5657"/>
    <mergeCell ref="U5658:V5658"/>
    <mergeCell ref="M5659:T5659"/>
    <mergeCell ref="U5659:V5659"/>
    <mergeCell ref="O5662:U5662"/>
    <mergeCell ref="AB5662:AD5662"/>
    <mergeCell ref="O5663:U5663"/>
    <mergeCell ref="M5664:V5664"/>
    <mergeCell ref="M5665:V5665"/>
    <mergeCell ref="AB5665:AC5665"/>
    <mergeCell ref="N5666:Q5666"/>
    <mergeCell ref="T5666:U5666"/>
    <mergeCell ref="N5667:Q5667"/>
    <mergeCell ref="T5667:U5667"/>
    <mergeCell ref="N5668:Q5668"/>
    <mergeCell ref="T5668:U5668"/>
    <mergeCell ref="N5669:Q5669"/>
    <mergeCell ref="T5669:U5669"/>
    <mergeCell ref="N5670:Q5670"/>
    <mergeCell ref="T5670:U5670"/>
    <mergeCell ref="N5671:Q5671"/>
    <mergeCell ref="T5671:U5671"/>
    <mergeCell ref="M5672:M5673"/>
    <mergeCell ref="N5672:U5672"/>
    <mergeCell ref="N5673:U5673"/>
    <mergeCell ref="M5674:V5674"/>
    <mergeCell ref="AB5674:AC5674"/>
    <mergeCell ref="N5675:Q5675"/>
    <mergeCell ref="N5676:Q5676"/>
    <mergeCell ref="N5677:Q5677"/>
    <mergeCell ref="N5678:Q5678"/>
    <mergeCell ref="N5679:Q5679"/>
    <mergeCell ref="N5680:Q5680"/>
    <mergeCell ref="M5681:M5682"/>
    <mergeCell ref="N5681:U5681"/>
    <mergeCell ref="N5682:U5682"/>
    <mergeCell ref="M5683:V5683"/>
    <mergeCell ref="N5684:P5684"/>
    <mergeCell ref="T5684:U5684"/>
    <mergeCell ref="N5685:P5685"/>
    <mergeCell ref="T5685:U5685"/>
    <mergeCell ref="N5686:P5686"/>
    <mergeCell ref="T5686:U5686"/>
    <mergeCell ref="N5687:P5687"/>
    <mergeCell ref="T5687:U5687"/>
    <mergeCell ref="N5688:P5688"/>
    <mergeCell ref="T5688:U5688"/>
    <mergeCell ref="M5705:S5705"/>
    <mergeCell ref="U5705:V5705"/>
    <mergeCell ref="M5706:T5706"/>
    <mergeCell ref="U5706:V5706"/>
    <mergeCell ref="U5707:V5707"/>
    <mergeCell ref="M5708:T5708"/>
    <mergeCell ref="U5708:V5708"/>
    <mergeCell ref="M5689:M5690"/>
    <mergeCell ref="N5689:U5689"/>
    <mergeCell ref="N5690:U5690"/>
    <mergeCell ref="M5691:V5691"/>
    <mergeCell ref="M5696:M5697"/>
    <mergeCell ref="N5696:U5696"/>
    <mergeCell ref="N5697:U5697"/>
    <mergeCell ref="M5698:V5698"/>
    <mergeCell ref="M5699:T5699"/>
    <mergeCell ref="U5699:V5699"/>
    <mergeCell ref="M5701:V5701"/>
    <mergeCell ref="M5702:S5702"/>
    <mergeCell ref="U5702:V5702"/>
    <mergeCell ref="M5703:S5703"/>
    <mergeCell ref="U5703:V5703"/>
    <mergeCell ref="M5704:S5704"/>
    <mergeCell ref="U5704:V5704"/>
    <mergeCell ref="O377:U377"/>
    <mergeCell ref="AB377:AD377"/>
    <mergeCell ref="O378:U378"/>
    <mergeCell ref="M379:V379"/>
    <mergeCell ref="M380:V380"/>
    <mergeCell ref="AB380:AC380"/>
    <mergeCell ref="N381:Q381"/>
    <mergeCell ref="T381:U381"/>
    <mergeCell ref="N382:Q382"/>
    <mergeCell ref="T382:U382"/>
    <mergeCell ref="N383:Q383"/>
    <mergeCell ref="T383:U383"/>
    <mergeCell ref="N384:Q384"/>
    <mergeCell ref="T384:U384"/>
    <mergeCell ref="N385:Q385"/>
    <mergeCell ref="T385:U385"/>
    <mergeCell ref="N386:Q386"/>
    <mergeCell ref="T386:U386"/>
    <mergeCell ref="M387:M388"/>
    <mergeCell ref="N387:U387"/>
    <mergeCell ref="N388:U388"/>
    <mergeCell ref="M389:V389"/>
    <mergeCell ref="AB389:AC389"/>
    <mergeCell ref="N390:Q390"/>
    <mergeCell ref="N391:Q391"/>
    <mergeCell ref="N392:Q392"/>
    <mergeCell ref="N393:Q393"/>
    <mergeCell ref="N394:Q394"/>
    <mergeCell ref="N395:Q395"/>
    <mergeCell ref="M396:M397"/>
    <mergeCell ref="N396:U396"/>
    <mergeCell ref="N397:U397"/>
    <mergeCell ref="M398:V398"/>
    <mergeCell ref="N399:P399"/>
    <mergeCell ref="T399:U399"/>
    <mergeCell ref="N400:P400"/>
    <mergeCell ref="T400:U400"/>
    <mergeCell ref="N401:P401"/>
    <mergeCell ref="T401:U401"/>
    <mergeCell ref="N402:P402"/>
    <mergeCell ref="T402:U402"/>
    <mergeCell ref="N403:P403"/>
    <mergeCell ref="T403:U403"/>
    <mergeCell ref="M404:M405"/>
    <mergeCell ref="N404:U404"/>
    <mergeCell ref="N405:U405"/>
    <mergeCell ref="M406:V406"/>
    <mergeCell ref="M410:M411"/>
    <mergeCell ref="N410:U410"/>
    <mergeCell ref="N411:U411"/>
    <mergeCell ref="M412:V412"/>
    <mergeCell ref="M413:T413"/>
    <mergeCell ref="U413:V413"/>
    <mergeCell ref="M415:V415"/>
    <mergeCell ref="M416:S416"/>
    <mergeCell ref="U416:V416"/>
    <mergeCell ref="M417:S417"/>
    <mergeCell ref="U417:V417"/>
    <mergeCell ref="M418:S418"/>
    <mergeCell ref="U418:V418"/>
    <mergeCell ref="M419:S419"/>
    <mergeCell ref="U419:V419"/>
    <mergeCell ref="M420:T420"/>
    <mergeCell ref="U420:V420"/>
    <mergeCell ref="U421:V421"/>
    <mergeCell ref="M422:T422"/>
    <mergeCell ref="U422:V422"/>
    <mergeCell ref="O425:U425"/>
    <mergeCell ref="AB425:AD425"/>
    <mergeCell ref="O426:U426"/>
    <mergeCell ref="M427:V427"/>
    <mergeCell ref="M428:V428"/>
    <mergeCell ref="AB428:AC428"/>
    <mergeCell ref="N429:Q429"/>
    <mergeCell ref="T429:U429"/>
    <mergeCell ref="N430:Q430"/>
    <mergeCell ref="T430:U430"/>
    <mergeCell ref="N431:Q431"/>
    <mergeCell ref="T431:U431"/>
    <mergeCell ref="N432:Q432"/>
    <mergeCell ref="T432:U432"/>
    <mergeCell ref="N433:Q433"/>
    <mergeCell ref="T433:U433"/>
    <mergeCell ref="N434:Q434"/>
    <mergeCell ref="T434:U434"/>
    <mergeCell ref="M435:M436"/>
    <mergeCell ref="N435:U435"/>
    <mergeCell ref="N436:U436"/>
    <mergeCell ref="M437:V437"/>
    <mergeCell ref="AB437:AC437"/>
    <mergeCell ref="N438:Q438"/>
    <mergeCell ref="N439:Q439"/>
    <mergeCell ref="N440:Q440"/>
    <mergeCell ref="N441:Q441"/>
    <mergeCell ref="N442:Q442"/>
    <mergeCell ref="N443:Q443"/>
    <mergeCell ref="M444:M445"/>
    <mergeCell ref="N444:U444"/>
    <mergeCell ref="N445:U445"/>
    <mergeCell ref="M446:V446"/>
    <mergeCell ref="N447:P447"/>
    <mergeCell ref="T447:U447"/>
    <mergeCell ref="N448:P448"/>
    <mergeCell ref="T448:U448"/>
    <mergeCell ref="N449:P449"/>
    <mergeCell ref="T449:U449"/>
    <mergeCell ref="N450:P450"/>
    <mergeCell ref="T450:U450"/>
    <mergeCell ref="N451:P451"/>
    <mergeCell ref="T451:U451"/>
    <mergeCell ref="M452:M453"/>
    <mergeCell ref="N452:U452"/>
    <mergeCell ref="N453:U453"/>
    <mergeCell ref="M454:V454"/>
    <mergeCell ref="M458:M459"/>
    <mergeCell ref="N458:U458"/>
    <mergeCell ref="N459:U459"/>
    <mergeCell ref="M460:V460"/>
    <mergeCell ref="M461:T461"/>
    <mergeCell ref="U461:V461"/>
    <mergeCell ref="M463:V463"/>
    <mergeCell ref="M464:S464"/>
    <mergeCell ref="U464:V464"/>
    <mergeCell ref="M465:S465"/>
    <mergeCell ref="U465:V465"/>
    <mergeCell ref="M466:S466"/>
    <mergeCell ref="U466:V466"/>
    <mergeCell ref="M467:S467"/>
    <mergeCell ref="U467:V467"/>
    <mergeCell ref="M468:T468"/>
    <mergeCell ref="U468:V468"/>
    <mergeCell ref="U469:V469"/>
    <mergeCell ref="M470:T470"/>
    <mergeCell ref="U470:V470"/>
    <mergeCell ref="O473:U473"/>
    <mergeCell ref="AB473:AD473"/>
    <mergeCell ref="O474:U474"/>
    <mergeCell ref="M475:V475"/>
    <mergeCell ref="M476:V476"/>
    <mergeCell ref="AB476:AC476"/>
    <mergeCell ref="N477:Q477"/>
    <mergeCell ref="T477:U477"/>
    <mergeCell ref="N478:Q478"/>
    <mergeCell ref="T478:U478"/>
    <mergeCell ref="N479:Q479"/>
    <mergeCell ref="T479:U479"/>
    <mergeCell ref="N480:Q480"/>
    <mergeCell ref="T480:U480"/>
    <mergeCell ref="N481:Q481"/>
    <mergeCell ref="T481:U481"/>
    <mergeCell ref="N482:Q482"/>
    <mergeCell ref="T482:U482"/>
    <mergeCell ref="M483:M484"/>
    <mergeCell ref="N483:U483"/>
    <mergeCell ref="N484:U484"/>
    <mergeCell ref="M485:V485"/>
    <mergeCell ref="AB485:AC485"/>
    <mergeCell ref="N486:Q486"/>
    <mergeCell ref="N487:Q487"/>
    <mergeCell ref="N488:Q488"/>
    <mergeCell ref="N489:Q489"/>
    <mergeCell ref="N490:Q490"/>
    <mergeCell ref="N491:Q491"/>
    <mergeCell ref="M492:M493"/>
    <mergeCell ref="N492:U492"/>
    <mergeCell ref="N493:U493"/>
    <mergeCell ref="M494:V494"/>
    <mergeCell ref="N495:P495"/>
    <mergeCell ref="T495:U495"/>
    <mergeCell ref="N496:P496"/>
    <mergeCell ref="T496:U496"/>
    <mergeCell ref="N497:P497"/>
    <mergeCell ref="T497:U497"/>
    <mergeCell ref="N498:P498"/>
    <mergeCell ref="T498:U498"/>
    <mergeCell ref="N499:P499"/>
    <mergeCell ref="T499:U499"/>
    <mergeCell ref="M500:M501"/>
    <mergeCell ref="N500:U500"/>
    <mergeCell ref="N501:U501"/>
    <mergeCell ref="M502:V502"/>
    <mergeCell ref="M506:M507"/>
    <mergeCell ref="N506:U506"/>
    <mergeCell ref="N507:U507"/>
    <mergeCell ref="M508:V508"/>
    <mergeCell ref="M509:T509"/>
    <mergeCell ref="U509:V509"/>
    <mergeCell ref="M511:V511"/>
    <mergeCell ref="M512:S512"/>
    <mergeCell ref="U512:V512"/>
    <mergeCell ref="M513:S513"/>
    <mergeCell ref="U513:V513"/>
    <mergeCell ref="M514:S514"/>
    <mergeCell ref="U514:V514"/>
    <mergeCell ref="M515:S515"/>
    <mergeCell ref="U515:V515"/>
    <mergeCell ref="M516:T516"/>
    <mergeCell ref="U516:V516"/>
    <mergeCell ref="U517:V517"/>
    <mergeCell ref="M518:T518"/>
    <mergeCell ref="U518:V518"/>
    <mergeCell ref="O5711:U5711"/>
    <mergeCell ref="AB5711:AD5711"/>
    <mergeCell ref="O5712:U5712"/>
    <mergeCell ref="M5713:V5713"/>
    <mergeCell ref="M5714:V5714"/>
    <mergeCell ref="AB5714:AC5714"/>
    <mergeCell ref="N5715:Q5715"/>
    <mergeCell ref="T5715:U5715"/>
    <mergeCell ref="M4796:V4796"/>
    <mergeCell ref="AB4796:AC4796"/>
    <mergeCell ref="N4797:Q4797"/>
    <mergeCell ref="N4798:Q4798"/>
    <mergeCell ref="N4799:Q4799"/>
    <mergeCell ref="N4800:Q4800"/>
    <mergeCell ref="N4801:Q4801"/>
    <mergeCell ref="N4802:Q4802"/>
    <mergeCell ref="M4803:M4804"/>
    <mergeCell ref="N4803:U4803"/>
    <mergeCell ref="N4804:U4804"/>
    <mergeCell ref="M4805:V4805"/>
    <mergeCell ref="N4806:P4806"/>
    <mergeCell ref="T4806:U4806"/>
    <mergeCell ref="N4807:P4807"/>
    <mergeCell ref="N5716:Q5716"/>
    <mergeCell ref="T5716:U5716"/>
    <mergeCell ref="N5717:Q5717"/>
    <mergeCell ref="T5717:U5717"/>
    <mergeCell ref="N5718:Q5718"/>
    <mergeCell ref="T5718:U5718"/>
    <mergeCell ref="N5719:Q5719"/>
    <mergeCell ref="T5719:U5719"/>
    <mergeCell ref="N5720:Q5720"/>
    <mergeCell ref="T5720:U5720"/>
    <mergeCell ref="M5721:M5722"/>
    <mergeCell ref="N5721:U5721"/>
    <mergeCell ref="N5722:U5722"/>
    <mergeCell ref="M5723:V5723"/>
    <mergeCell ref="AB5723:AC5723"/>
    <mergeCell ref="N5724:Q5724"/>
    <mergeCell ref="N5725:Q5725"/>
    <mergeCell ref="N5726:Q5726"/>
    <mergeCell ref="N5727:Q5727"/>
    <mergeCell ref="N5728:Q5728"/>
    <mergeCell ref="N5729:Q5729"/>
    <mergeCell ref="M5730:M5731"/>
    <mergeCell ref="N5730:U5730"/>
    <mergeCell ref="N5731:U5731"/>
    <mergeCell ref="M5732:V5732"/>
    <mergeCell ref="N5733:P5733"/>
    <mergeCell ref="T5733:U5733"/>
    <mergeCell ref="N5734:P5734"/>
    <mergeCell ref="T5734:U5734"/>
    <mergeCell ref="N5735:P5735"/>
    <mergeCell ref="T5735:U5735"/>
    <mergeCell ref="N5736:P5736"/>
    <mergeCell ref="T5736:U5736"/>
    <mergeCell ref="N5737:P5737"/>
    <mergeCell ref="T5737:U5737"/>
    <mergeCell ref="M5738:M5739"/>
    <mergeCell ref="N5738:U5738"/>
    <mergeCell ref="N5739:U5739"/>
    <mergeCell ref="M5740:V5740"/>
    <mergeCell ref="M5745:M5746"/>
    <mergeCell ref="N5745:U5745"/>
    <mergeCell ref="N5746:U5746"/>
    <mergeCell ref="M5747:V5747"/>
    <mergeCell ref="M5748:T5748"/>
    <mergeCell ref="U5748:V5748"/>
    <mergeCell ref="M5750:V5750"/>
    <mergeCell ref="M5751:S5751"/>
    <mergeCell ref="U5751:V5751"/>
    <mergeCell ref="M5752:S5752"/>
    <mergeCell ref="U5752:V5752"/>
    <mergeCell ref="M5753:S5753"/>
    <mergeCell ref="U5753:V5753"/>
    <mergeCell ref="M5754:S5754"/>
    <mergeCell ref="U5754:V5754"/>
    <mergeCell ref="M5755:T5755"/>
    <mergeCell ref="U5755:V5755"/>
    <mergeCell ref="U5756:V5756"/>
    <mergeCell ref="M5757:T5757"/>
    <mergeCell ref="U5757:V5757"/>
    <mergeCell ref="O5760:U5760"/>
    <mergeCell ref="AB5760:AD5760"/>
    <mergeCell ref="O5761:U5761"/>
    <mergeCell ref="M5762:V5762"/>
    <mergeCell ref="M5763:V5763"/>
    <mergeCell ref="AB5763:AC5763"/>
    <mergeCell ref="N5764:Q5764"/>
    <mergeCell ref="T5764:U5764"/>
    <mergeCell ref="N5765:Q5765"/>
    <mergeCell ref="T5765:U5765"/>
    <mergeCell ref="N5766:Q5766"/>
    <mergeCell ref="T5766:U5766"/>
    <mergeCell ref="N5767:Q5767"/>
    <mergeCell ref="T5767:U5767"/>
    <mergeCell ref="N5768:Q5768"/>
    <mergeCell ref="T5768:U5768"/>
    <mergeCell ref="N5769:Q5769"/>
    <mergeCell ref="T5769:U5769"/>
    <mergeCell ref="M5770:M5771"/>
    <mergeCell ref="N5770:U5770"/>
    <mergeCell ref="N5771:U5771"/>
    <mergeCell ref="M5772:V5772"/>
    <mergeCell ref="AB5772:AC5772"/>
    <mergeCell ref="N5773:Q5773"/>
    <mergeCell ref="N5774:Q5774"/>
    <mergeCell ref="N5775:Q5775"/>
    <mergeCell ref="N5776:Q5776"/>
    <mergeCell ref="N5777:Q5777"/>
    <mergeCell ref="N5778:Q5778"/>
    <mergeCell ref="M5779:M5780"/>
    <mergeCell ref="N5779:U5779"/>
    <mergeCell ref="N5780:U5780"/>
    <mergeCell ref="M5781:V5781"/>
    <mergeCell ref="N5782:P5782"/>
    <mergeCell ref="T5782:U5782"/>
    <mergeCell ref="N5783:P5783"/>
    <mergeCell ref="T5783:U5783"/>
    <mergeCell ref="N5784:P5784"/>
    <mergeCell ref="T5784:U5784"/>
    <mergeCell ref="N5785:P5785"/>
    <mergeCell ref="T5785:U5785"/>
    <mergeCell ref="N5786:P5786"/>
    <mergeCell ref="T5786:U5786"/>
    <mergeCell ref="M5787:M5788"/>
    <mergeCell ref="N5787:U5787"/>
    <mergeCell ref="N5788:U5788"/>
    <mergeCell ref="M5789:V5789"/>
    <mergeCell ref="M5794:M5795"/>
    <mergeCell ref="N5794:U5794"/>
    <mergeCell ref="N5795:U5795"/>
    <mergeCell ref="M5796:V5796"/>
    <mergeCell ref="M5797:T5797"/>
    <mergeCell ref="U5797:V5797"/>
    <mergeCell ref="M5799:V5799"/>
    <mergeCell ref="M5800:S5800"/>
    <mergeCell ref="U5800:V5800"/>
    <mergeCell ref="M5801:S5801"/>
    <mergeCell ref="U5801:V5801"/>
    <mergeCell ref="M5802:S5802"/>
    <mergeCell ref="U5802:V5802"/>
    <mergeCell ref="M5803:S5803"/>
    <mergeCell ref="U5803:V5803"/>
    <mergeCell ref="M5804:T5804"/>
    <mergeCell ref="U5804:V5804"/>
    <mergeCell ref="U5805:V5805"/>
    <mergeCell ref="M5806:T5806"/>
    <mergeCell ref="U5806:V5806"/>
    <mergeCell ref="O5809:U5809"/>
    <mergeCell ref="AB5809:AD5809"/>
    <mergeCell ref="O5810:U5810"/>
    <mergeCell ref="M5811:V5811"/>
    <mergeCell ref="M5812:V5812"/>
    <mergeCell ref="AB5812:AC5812"/>
    <mergeCell ref="N5813:Q5813"/>
    <mergeCell ref="T5813:U5813"/>
    <mergeCell ref="N5814:Q5814"/>
    <mergeCell ref="T5814:U5814"/>
    <mergeCell ref="N5815:Q5815"/>
    <mergeCell ref="T5815:U5815"/>
    <mergeCell ref="N5816:Q5816"/>
    <mergeCell ref="T5816:U5816"/>
    <mergeCell ref="N5817:Q5817"/>
    <mergeCell ref="T5817:U5817"/>
    <mergeCell ref="N5818:Q5818"/>
    <mergeCell ref="T5818:U5818"/>
    <mergeCell ref="M5819:M5820"/>
    <mergeCell ref="N5819:U5819"/>
    <mergeCell ref="N5820:U5820"/>
    <mergeCell ref="M5821:V5821"/>
    <mergeCell ref="AB5821:AC5821"/>
    <mergeCell ref="N5822:Q5822"/>
    <mergeCell ref="N5823:Q5823"/>
    <mergeCell ref="N5824:Q5824"/>
    <mergeCell ref="N5825:Q5825"/>
    <mergeCell ref="N5826:Q5826"/>
    <mergeCell ref="N5827:Q5827"/>
    <mergeCell ref="M5828:M5829"/>
    <mergeCell ref="N5828:U5828"/>
    <mergeCell ref="N5829:U5829"/>
    <mergeCell ref="M5830:V5830"/>
    <mergeCell ref="N5831:P5831"/>
    <mergeCell ref="T5831:U5831"/>
    <mergeCell ref="N5832:P5832"/>
    <mergeCell ref="T5832:U5832"/>
    <mergeCell ref="N5833:P5833"/>
    <mergeCell ref="T5833:U5833"/>
    <mergeCell ref="N5834:P5834"/>
    <mergeCell ref="T5834:U5834"/>
    <mergeCell ref="N5835:P5835"/>
    <mergeCell ref="T5835:U5835"/>
    <mergeCell ref="M5836:M5837"/>
    <mergeCell ref="N5836:U5836"/>
    <mergeCell ref="N5837:U5837"/>
    <mergeCell ref="M5838:V5838"/>
    <mergeCell ref="M5843:M5844"/>
    <mergeCell ref="N5843:U5843"/>
    <mergeCell ref="N5844:U5844"/>
    <mergeCell ref="M5845:V5845"/>
    <mergeCell ref="M5846:T5846"/>
    <mergeCell ref="U5846:V5846"/>
    <mergeCell ref="M5848:V5848"/>
    <mergeCell ref="M5849:S5849"/>
    <mergeCell ref="U5849:V5849"/>
    <mergeCell ref="M5850:S5850"/>
    <mergeCell ref="U5850:V5850"/>
    <mergeCell ref="M5851:S5851"/>
    <mergeCell ref="U5851:V5851"/>
    <mergeCell ref="M5852:S5852"/>
    <mergeCell ref="U5852:V5852"/>
    <mergeCell ref="M5853:T5853"/>
    <mergeCell ref="U5853:V5853"/>
    <mergeCell ref="U5854:V5854"/>
    <mergeCell ref="M5855:T5855"/>
    <mergeCell ref="U5855:V5855"/>
    <mergeCell ref="O5858:U5858"/>
    <mergeCell ref="AB5858:AD5858"/>
    <mergeCell ref="O5859:U5859"/>
    <mergeCell ref="M5860:V5860"/>
    <mergeCell ref="M5861:V5861"/>
    <mergeCell ref="AB5861:AC5861"/>
    <mergeCell ref="N5862:Q5862"/>
    <mergeCell ref="T5862:U5862"/>
    <mergeCell ref="N5863:Q5863"/>
    <mergeCell ref="T5863:U5863"/>
    <mergeCell ref="N5864:Q5864"/>
    <mergeCell ref="T5864:U5864"/>
    <mergeCell ref="N5865:Q5865"/>
    <mergeCell ref="T5865:U5865"/>
    <mergeCell ref="N5866:Q5866"/>
    <mergeCell ref="T5866:U5866"/>
    <mergeCell ref="N5867:Q5867"/>
    <mergeCell ref="T5867:U5867"/>
    <mergeCell ref="M5868:M5869"/>
    <mergeCell ref="N5868:U5868"/>
    <mergeCell ref="N5869:U5869"/>
    <mergeCell ref="M5870:V5870"/>
    <mergeCell ref="AB5870:AC5870"/>
    <mergeCell ref="N5871:Q5871"/>
    <mergeCell ref="N5872:Q5872"/>
    <mergeCell ref="N5873:Q5873"/>
    <mergeCell ref="N5874:Q5874"/>
    <mergeCell ref="N5875:Q5875"/>
    <mergeCell ref="N5876:Q5876"/>
    <mergeCell ref="M5877:M5878"/>
    <mergeCell ref="N5877:U5877"/>
    <mergeCell ref="N5878:U5878"/>
    <mergeCell ref="M5879:V5879"/>
    <mergeCell ref="N5880:P5880"/>
    <mergeCell ref="T5880:U5880"/>
    <mergeCell ref="N5881:P5881"/>
    <mergeCell ref="T5881:U5881"/>
    <mergeCell ref="N5882:P5882"/>
    <mergeCell ref="T5882:U5882"/>
    <mergeCell ref="N5883:P5883"/>
    <mergeCell ref="T5883:U5883"/>
    <mergeCell ref="N5884:P5884"/>
    <mergeCell ref="T5884:U5884"/>
    <mergeCell ref="M5885:M5886"/>
    <mergeCell ref="N5885:U5885"/>
    <mergeCell ref="N5886:U5886"/>
    <mergeCell ref="M5887:V5887"/>
    <mergeCell ref="M5892:M5893"/>
    <mergeCell ref="N5892:U5892"/>
    <mergeCell ref="N5893:U5893"/>
    <mergeCell ref="M5894:V5894"/>
    <mergeCell ref="M5895:T5895"/>
    <mergeCell ref="U5895:V5895"/>
    <mergeCell ref="M5897:V5897"/>
    <mergeCell ref="M5898:S5898"/>
    <mergeCell ref="U5898:V5898"/>
    <mergeCell ref="M5899:S5899"/>
    <mergeCell ref="U5899:V5899"/>
    <mergeCell ref="M5900:S5900"/>
    <mergeCell ref="U5900:V5900"/>
    <mergeCell ref="M5901:S5901"/>
    <mergeCell ref="U5901:V5901"/>
    <mergeCell ref="M5902:T5902"/>
    <mergeCell ref="U5902:V5902"/>
    <mergeCell ref="U5903:V5903"/>
    <mergeCell ref="M5904:T5904"/>
    <mergeCell ref="U5904:V5904"/>
    <mergeCell ref="O5907:U5907"/>
    <mergeCell ref="AB5907:AD5907"/>
    <mergeCell ref="O5908:U5908"/>
    <mergeCell ref="M5909:V5909"/>
    <mergeCell ref="M5910:V5910"/>
    <mergeCell ref="AB5910:AC5910"/>
    <mergeCell ref="N5911:Q5911"/>
    <mergeCell ref="T5911:U5911"/>
    <mergeCell ref="N5912:Q5912"/>
    <mergeCell ref="T5912:U5912"/>
    <mergeCell ref="N5913:Q5913"/>
    <mergeCell ref="T5913:U5913"/>
    <mergeCell ref="N5914:Q5914"/>
    <mergeCell ref="T5914:U5914"/>
    <mergeCell ref="N5915:Q5915"/>
    <mergeCell ref="T5915:U5915"/>
    <mergeCell ref="N5916:Q5916"/>
    <mergeCell ref="T5916:U5916"/>
    <mergeCell ref="M5917:M5918"/>
    <mergeCell ref="N5917:U5917"/>
    <mergeCell ref="N5918:U5918"/>
    <mergeCell ref="M5919:V5919"/>
    <mergeCell ref="AB5919:AC5919"/>
    <mergeCell ref="N5920:Q5920"/>
    <mergeCell ref="N5921:Q5921"/>
    <mergeCell ref="N5922:Q5922"/>
    <mergeCell ref="N5923:Q5923"/>
    <mergeCell ref="N5924:Q5924"/>
    <mergeCell ref="N5925:Q5925"/>
    <mergeCell ref="M5926:M5927"/>
    <mergeCell ref="N5926:U5926"/>
    <mergeCell ref="N5927:U5927"/>
    <mergeCell ref="M5928:V5928"/>
    <mergeCell ref="N5929:P5929"/>
    <mergeCell ref="T5929:U5929"/>
    <mergeCell ref="N5930:P5930"/>
    <mergeCell ref="T5930:U5930"/>
    <mergeCell ref="N5931:P5931"/>
    <mergeCell ref="T5931:U5931"/>
    <mergeCell ref="N5932:P5932"/>
    <mergeCell ref="T5932:U5932"/>
    <mergeCell ref="N5933:P5933"/>
    <mergeCell ref="T5933:U5933"/>
    <mergeCell ref="M5934:M5935"/>
    <mergeCell ref="N5934:U5934"/>
    <mergeCell ref="N5935:U5935"/>
    <mergeCell ref="M5936:V5936"/>
    <mergeCell ref="M5941:M5942"/>
    <mergeCell ref="N5941:U5941"/>
    <mergeCell ref="N5942:U5942"/>
    <mergeCell ref="M5943:V5943"/>
    <mergeCell ref="M5944:T5944"/>
    <mergeCell ref="U5944:V5944"/>
    <mergeCell ref="M5946:V5946"/>
    <mergeCell ref="M5947:S5947"/>
    <mergeCell ref="U5947:V5947"/>
    <mergeCell ref="M5948:S5948"/>
    <mergeCell ref="U5948:V5948"/>
    <mergeCell ref="M5949:S5949"/>
    <mergeCell ref="U5949:V5949"/>
    <mergeCell ref="M5950:S5950"/>
    <mergeCell ref="U5950:V5950"/>
    <mergeCell ref="M5951:T5951"/>
    <mergeCell ref="U5951:V5951"/>
    <mergeCell ref="U5952:V5952"/>
    <mergeCell ref="M5953:T5953"/>
    <mergeCell ref="U5953:V5953"/>
    <mergeCell ref="O4784:U4784"/>
    <mergeCell ref="AB4784:AD4784"/>
    <mergeCell ref="O4785:U4785"/>
    <mergeCell ref="M4786:V4786"/>
    <mergeCell ref="M4787:V4787"/>
    <mergeCell ref="AB4787:AC4787"/>
    <mergeCell ref="N4788:Q4788"/>
    <mergeCell ref="T4788:U4788"/>
    <mergeCell ref="N4789:Q4789"/>
    <mergeCell ref="T4789:U4789"/>
    <mergeCell ref="N4790:Q4790"/>
    <mergeCell ref="T4790:U4790"/>
    <mergeCell ref="N4791:Q4791"/>
    <mergeCell ref="T4791:U4791"/>
    <mergeCell ref="N4792:Q4792"/>
    <mergeCell ref="T4792:U4792"/>
    <mergeCell ref="N4793:Q4793"/>
    <mergeCell ref="T4793:U4793"/>
    <mergeCell ref="M4794:M4795"/>
    <mergeCell ref="N4794:U4794"/>
    <mergeCell ref="N4795:U4795"/>
    <mergeCell ref="T4807:U4807"/>
    <mergeCell ref="N4808:P4808"/>
    <mergeCell ref="T4808:U4808"/>
    <mergeCell ref="N4809:P4809"/>
    <mergeCell ref="T4809:U4809"/>
    <mergeCell ref="N4810:P4810"/>
    <mergeCell ref="T4810:U4810"/>
    <mergeCell ref="M4811:M4812"/>
    <mergeCell ref="N4811:U4811"/>
    <mergeCell ref="N4812:U4812"/>
    <mergeCell ref="M4813:V4813"/>
    <mergeCell ref="M4818:M4819"/>
    <mergeCell ref="N4818:U4818"/>
    <mergeCell ref="N4819:U4819"/>
    <mergeCell ref="M4820:V4820"/>
    <mergeCell ref="M4821:T4821"/>
    <mergeCell ref="U4821:V4821"/>
    <mergeCell ref="M4823:V4823"/>
    <mergeCell ref="M4824:S4824"/>
    <mergeCell ref="U4824:V4824"/>
    <mergeCell ref="M4825:S4825"/>
    <mergeCell ref="U4825:V4825"/>
    <mergeCell ref="M4826:S4826"/>
    <mergeCell ref="U4826:V4826"/>
    <mergeCell ref="M4827:S4827"/>
    <mergeCell ref="U4827:V4827"/>
    <mergeCell ref="M4828:T4828"/>
    <mergeCell ref="U4828:V4828"/>
    <mergeCell ref="U4829:V4829"/>
    <mergeCell ref="M4830:T4830"/>
    <mergeCell ref="U4830:V4830"/>
    <mergeCell ref="O4833:U4833"/>
    <mergeCell ref="AB4833:AD4833"/>
    <mergeCell ref="O4834:U4834"/>
    <mergeCell ref="M4835:V4835"/>
    <mergeCell ref="M4836:V4836"/>
    <mergeCell ref="AB4836:AC4836"/>
    <mergeCell ref="N4837:Q4837"/>
    <mergeCell ref="T4837:U4837"/>
    <mergeCell ref="N4838:Q4838"/>
    <mergeCell ref="T4838:U4838"/>
    <mergeCell ref="N4839:Q4839"/>
    <mergeCell ref="T4839:U4839"/>
    <mergeCell ref="N4840:Q4840"/>
    <mergeCell ref="T4840:U4840"/>
    <mergeCell ref="N4841:Q4841"/>
    <mergeCell ref="T4841:U4841"/>
    <mergeCell ref="N4842:Q4842"/>
    <mergeCell ref="T4842:U4842"/>
    <mergeCell ref="M4843:M4844"/>
    <mergeCell ref="N4843:U4843"/>
    <mergeCell ref="N4844:U4844"/>
    <mergeCell ref="M4845:V4845"/>
    <mergeCell ref="AB4845:AC4845"/>
    <mergeCell ref="N4846:Q4846"/>
    <mergeCell ref="N4847:Q4847"/>
    <mergeCell ref="N4848:Q4848"/>
    <mergeCell ref="N4849:Q4849"/>
    <mergeCell ref="N4850:Q4850"/>
    <mergeCell ref="N4851:Q4851"/>
    <mergeCell ref="M4852:M4853"/>
    <mergeCell ref="N4852:U4852"/>
    <mergeCell ref="N4853:U4853"/>
    <mergeCell ref="M4854:V4854"/>
    <mergeCell ref="N4855:P4855"/>
    <mergeCell ref="T4855:U4855"/>
    <mergeCell ref="N4856:P4856"/>
    <mergeCell ref="T4856:U4856"/>
    <mergeCell ref="N4857:P4857"/>
    <mergeCell ref="T4857:U4857"/>
    <mergeCell ref="N4858:P4858"/>
    <mergeCell ref="T4858:U4858"/>
    <mergeCell ref="N4859:P4859"/>
    <mergeCell ref="T4859:U4859"/>
    <mergeCell ref="M4860:M4861"/>
    <mergeCell ref="N4860:U4860"/>
    <mergeCell ref="N4861:U4861"/>
    <mergeCell ref="M4862:V4862"/>
    <mergeCell ref="M4867:M4868"/>
    <mergeCell ref="N4867:U4867"/>
    <mergeCell ref="N4868:U4868"/>
    <mergeCell ref="M4869:V4869"/>
    <mergeCell ref="M4870:T4870"/>
    <mergeCell ref="U4870:V4870"/>
    <mergeCell ref="M4872:V4872"/>
    <mergeCell ref="M4873:S4873"/>
    <mergeCell ref="U4873:V4873"/>
    <mergeCell ref="M4874:S4874"/>
    <mergeCell ref="U4874:V4874"/>
    <mergeCell ref="M4875:S4875"/>
    <mergeCell ref="U4875:V4875"/>
    <mergeCell ref="M4876:S4876"/>
    <mergeCell ref="U4876:V4876"/>
    <mergeCell ref="M4877:T4877"/>
    <mergeCell ref="U4877:V4877"/>
    <mergeCell ref="U4878:V4878"/>
    <mergeCell ref="M4879:T4879"/>
    <mergeCell ref="U4879:V4879"/>
    <mergeCell ref="O5323:U5323"/>
    <mergeCell ref="AB5323:AD5323"/>
    <mergeCell ref="O5324:U5324"/>
    <mergeCell ref="M5325:V5325"/>
    <mergeCell ref="M5326:V5326"/>
    <mergeCell ref="AB5326:AC5326"/>
    <mergeCell ref="N4895:Q4895"/>
    <mergeCell ref="N4896:Q4896"/>
    <mergeCell ref="N4897:Q4897"/>
    <mergeCell ref="N4898:Q4898"/>
    <mergeCell ref="N4899:Q4899"/>
    <mergeCell ref="N4900:Q4900"/>
    <mergeCell ref="M4901:M4902"/>
    <mergeCell ref="N4901:U4901"/>
    <mergeCell ref="N4902:U4902"/>
    <mergeCell ref="M4903:V4903"/>
    <mergeCell ref="N4904:P4904"/>
    <mergeCell ref="T4904:U4904"/>
    <mergeCell ref="N4905:P4905"/>
    <mergeCell ref="T4905:U4905"/>
    <mergeCell ref="N4906:P4906"/>
    <mergeCell ref="N5346:P5346"/>
    <mergeCell ref="T5346:U5346"/>
    <mergeCell ref="N5347:P5347"/>
    <mergeCell ref="T5347:U5347"/>
    <mergeCell ref="N5348:P5348"/>
    <mergeCell ref="T5348:U5348"/>
    <mergeCell ref="N5349:P5349"/>
    <mergeCell ref="T5349:U5349"/>
    <mergeCell ref="M5350:M5351"/>
    <mergeCell ref="N5350:U5350"/>
    <mergeCell ref="N5351:U5351"/>
    <mergeCell ref="M5352:V5352"/>
    <mergeCell ref="M5357:M5358"/>
    <mergeCell ref="N5357:U5357"/>
    <mergeCell ref="N5358:U5358"/>
    <mergeCell ref="M5359:V5359"/>
    <mergeCell ref="M5360:T5360"/>
    <mergeCell ref="U5360:V5360"/>
    <mergeCell ref="M5362:V5362"/>
    <mergeCell ref="M5363:S5363"/>
    <mergeCell ref="U5363:V5363"/>
    <mergeCell ref="M5364:S5364"/>
    <mergeCell ref="U5364:V5364"/>
    <mergeCell ref="M5365:S5365"/>
    <mergeCell ref="U5365:V5365"/>
    <mergeCell ref="M5366:S5366"/>
    <mergeCell ref="U5366:V5366"/>
    <mergeCell ref="M5367:T5367"/>
    <mergeCell ref="U5367:V5367"/>
    <mergeCell ref="U5368:V5368"/>
    <mergeCell ref="M5369:T5369"/>
    <mergeCell ref="U5369:V5369"/>
    <mergeCell ref="O5372:U5372"/>
    <mergeCell ref="AB5372:AD5372"/>
    <mergeCell ref="O5373:U5373"/>
    <mergeCell ref="M5374:V5374"/>
    <mergeCell ref="M5375:V5375"/>
    <mergeCell ref="AB5375:AC5375"/>
    <mergeCell ref="N5376:Q5376"/>
    <mergeCell ref="T5376:U5376"/>
    <mergeCell ref="N5377:Q5377"/>
    <mergeCell ref="T5377:U5377"/>
    <mergeCell ref="N5378:Q5378"/>
    <mergeCell ref="T5378:U5378"/>
    <mergeCell ref="N5379:Q5379"/>
    <mergeCell ref="T5379:U5379"/>
    <mergeCell ref="N5380:Q5380"/>
    <mergeCell ref="T5380:U5380"/>
    <mergeCell ref="N5381:Q5381"/>
    <mergeCell ref="T5381:U5381"/>
    <mergeCell ref="M5382:M5383"/>
    <mergeCell ref="N5382:U5382"/>
    <mergeCell ref="N5383:U5383"/>
    <mergeCell ref="M5384:V5384"/>
    <mergeCell ref="AB5384:AC5384"/>
    <mergeCell ref="N5385:Q5385"/>
    <mergeCell ref="N5386:Q5386"/>
    <mergeCell ref="N5387:Q5387"/>
    <mergeCell ref="N5388:Q5388"/>
    <mergeCell ref="N5389:Q5389"/>
    <mergeCell ref="N5390:Q5390"/>
    <mergeCell ref="M5391:M5392"/>
    <mergeCell ref="N5391:U5391"/>
    <mergeCell ref="N5392:U5392"/>
    <mergeCell ref="M5393:V5393"/>
    <mergeCell ref="N5394:P5394"/>
    <mergeCell ref="T5394:U5394"/>
    <mergeCell ref="N5395:P5395"/>
    <mergeCell ref="T5395:U5395"/>
    <mergeCell ref="N5396:P5396"/>
    <mergeCell ref="T5396:U5396"/>
    <mergeCell ref="N5397:P5397"/>
    <mergeCell ref="T5397:U5397"/>
    <mergeCell ref="N5398:P5398"/>
    <mergeCell ref="T5398:U5398"/>
    <mergeCell ref="M5399:M5400"/>
    <mergeCell ref="N5399:U5399"/>
    <mergeCell ref="N5400:U5400"/>
    <mergeCell ref="M5401:V5401"/>
    <mergeCell ref="M5406:M5407"/>
    <mergeCell ref="N5406:U5406"/>
    <mergeCell ref="N5407:U5407"/>
    <mergeCell ref="M5408:V5408"/>
    <mergeCell ref="M5409:T5409"/>
    <mergeCell ref="U5409:V5409"/>
    <mergeCell ref="M5411:V5411"/>
    <mergeCell ref="M5412:S5412"/>
    <mergeCell ref="U5412:V5412"/>
    <mergeCell ref="M5413:S5413"/>
    <mergeCell ref="U5413:V5413"/>
    <mergeCell ref="M5414:S5414"/>
    <mergeCell ref="U5414:V5414"/>
    <mergeCell ref="M5415:S5415"/>
    <mergeCell ref="U5415:V5415"/>
    <mergeCell ref="M5416:T5416"/>
    <mergeCell ref="U5416:V5416"/>
    <mergeCell ref="U5417:V5417"/>
    <mergeCell ref="M5418:T5418"/>
    <mergeCell ref="U5418:V5418"/>
    <mergeCell ref="O4882:U4882"/>
    <mergeCell ref="AB4882:AD4882"/>
    <mergeCell ref="O4883:U4883"/>
    <mergeCell ref="M4884:V4884"/>
    <mergeCell ref="M4885:V4885"/>
    <mergeCell ref="AB4885:AC4885"/>
    <mergeCell ref="N4886:Q4886"/>
    <mergeCell ref="T4886:U4886"/>
    <mergeCell ref="N4887:Q4887"/>
    <mergeCell ref="T4887:U4887"/>
    <mergeCell ref="N4888:Q4888"/>
    <mergeCell ref="T4888:U4888"/>
    <mergeCell ref="N4889:Q4889"/>
    <mergeCell ref="T4889:U4889"/>
    <mergeCell ref="N4890:Q4890"/>
    <mergeCell ref="T4890:U4890"/>
    <mergeCell ref="N4891:Q4891"/>
    <mergeCell ref="T4891:U4891"/>
    <mergeCell ref="M4892:M4893"/>
    <mergeCell ref="N4892:U4892"/>
    <mergeCell ref="N4893:U4893"/>
    <mergeCell ref="M4894:V4894"/>
    <mergeCell ref="AB4894:AC4894"/>
    <mergeCell ref="M4923:S4923"/>
    <mergeCell ref="U4923:V4923"/>
    <mergeCell ref="M4924:S4924"/>
    <mergeCell ref="U4924:V4924"/>
    <mergeCell ref="M4925:S4925"/>
    <mergeCell ref="U4925:V4925"/>
    <mergeCell ref="M4926:T4926"/>
    <mergeCell ref="U4926:V4926"/>
    <mergeCell ref="U4927:V4927"/>
    <mergeCell ref="M4928:T4928"/>
    <mergeCell ref="U4928:V4928"/>
    <mergeCell ref="T4906:U4906"/>
    <mergeCell ref="N4907:P4907"/>
    <mergeCell ref="T4907:U4907"/>
    <mergeCell ref="N4908:P4908"/>
    <mergeCell ref="T4908:U4908"/>
    <mergeCell ref="M4909:M4910"/>
    <mergeCell ref="N4909:U4909"/>
    <mergeCell ref="N4910:U4910"/>
    <mergeCell ref="M4911:V4911"/>
    <mergeCell ref="M4916:M4917"/>
    <mergeCell ref="N4916:U4916"/>
    <mergeCell ref="N4917:U4917"/>
    <mergeCell ref="M4918:V4918"/>
    <mergeCell ref="M4919:T4919"/>
    <mergeCell ref="U4919:V4919"/>
    <mergeCell ref="M4921:V4921"/>
    <mergeCell ref="M4922:S4922"/>
    <mergeCell ref="U4922:V4922"/>
  </mergeCells>
  <pageMargins left="0.70866141732283472" right="0.70866141732283472" top="0.74803149606299213" bottom="0.74803149606299213" header="0.31496062992125984" footer="0.31496062992125984"/>
  <pageSetup scale="64" fitToHeight="0" orientation="portrait" r:id="rId1"/>
  <rowBreaks count="121" manualBreakCount="121">
    <brk id="53" min="11" max="22" man="1"/>
    <brk id="96" min="11" max="22" man="1"/>
    <brk id="139" min="11" max="22" man="1"/>
    <brk id="182" min="11" max="22" man="1"/>
    <brk id="231" min="11" max="22" man="1"/>
    <brk id="279" min="11" max="22" man="1"/>
    <brk id="327" min="11" max="22" man="1"/>
    <brk id="375" min="11" max="22" man="1"/>
    <brk id="423" min="11" max="22" man="1"/>
    <brk id="471" min="11" max="22" man="1"/>
    <brk id="519" min="11" max="22" man="1"/>
    <brk id="567" min="11" max="22" man="1"/>
    <brk id="615" min="11" max="22" man="1"/>
    <brk id="664" min="11" max="22" man="1"/>
    <brk id="713" min="11" max="22" man="1"/>
    <brk id="762" min="11" max="22" man="1"/>
    <brk id="811" min="11" max="22" man="1"/>
    <brk id="860" min="11" max="22" man="1"/>
    <brk id="909" min="11" max="22" man="1"/>
    <brk id="958" min="11" max="22" man="1"/>
    <brk id="1007" min="11" max="22" man="1"/>
    <brk id="1056" min="11" max="22" man="1"/>
    <brk id="1105" min="11" max="22" man="1"/>
    <brk id="1154" min="11" max="22" man="1"/>
    <brk id="1203" min="11" max="22" man="1"/>
    <brk id="1252" min="11" max="22" man="1"/>
    <brk id="1301" min="11" max="22" man="1"/>
    <brk id="1350" min="11" max="22" man="1"/>
    <brk id="1399" min="11" max="22" man="1"/>
    <brk id="1448" min="11" max="22" man="1"/>
    <brk id="1497" min="11" max="22" man="1"/>
    <brk id="1546" min="11" max="22" man="1"/>
    <brk id="1595" min="11" max="22" man="1"/>
    <brk id="1644" min="11" max="22" man="1"/>
    <brk id="1693" min="11" max="22" man="1"/>
    <brk id="1742" min="11" max="22" man="1"/>
    <brk id="1791" min="11" max="22" man="1"/>
    <brk id="1840" min="11" max="22" man="1"/>
    <brk id="1889" min="11" max="22" man="1"/>
    <brk id="1938" min="11" max="22" man="1"/>
    <brk id="1987" min="11" max="22" man="1"/>
    <brk id="2036" min="11" max="22" man="1"/>
    <brk id="2085" min="11" max="22" man="1"/>
    <brk id="2134" min="11" max="22" man="1"/>
    <brk id="2183" min="11" max="22" man="1"/>
    <brk id="2232" min="11" max="22" man="1"/>
    <brk id="2281" min="11" max="22" man="1"/>
    <brk id="2330" min="11" max="22" man="1"/>
    <brk id="2379" min="11" max="22" man="1"/>
    <brk id="2428" min="11" max="22" man="1"/>
    <brk id="2477" min="11" max="22" man="1"/>
    <brk id="2526" min="11" max="22" man="1"/>
    <brk id="2575" min="11" max="22" man="1"/>
    <brk id="2624" min="11" max="22" man="1"/>
    <brk id="2673" min="11" max="22" man="1"/>
    <brk id="2722" min="11" max="22" man="1"/>
    <brk id="2771" min="11" max="22" man="1"/>
    <brk id="2820" min="11" max="22" man="1"/>
    <brk id="2869" min="11" max="22" man="1"/>
    <brk id="2918" min="11" max="22" man="1"/>
    <brk id="2967" min="11" max="22" man="1"/>
    <brk id="3016" min="11" max="22" man="1"/>
    <brk id="3065" min="11" max="22" man="1"/>
    <brk id="3114" min="11" max="22" man="1"/>
    <brk id="3163" min="11" max="22" man="1"/>
    <brk id="3213" min="11" max="22" man="1"/>
    <brk id="3261" min="11" max="22" man="1"/>
    <brk id="3310" min="11" max="22" man="1"/>
    <brk id="3359" min="11" max="22" man="1"/>
    <brk id="3408" min="11" max="22" man="1"/>
    <brk id="3459" min="11" max="22" man="1"/>
    <brk id="3508" min="11" max="22" man="1"/>
    <brk id="3557" min="11" max="22" man="1"/>
    <brk id="3606" min="11" max="22" man="1"/>
    <brk id="3655" min="11" max="22" man="1"/>
    <brk id="3704" min="11" max="22" man="1"/>
    <brk id="3753" min="11" max="22" man="1"/>
    <brk id="3802" min="11" max="22" man="1"/>
    <brk id="3851" min="11" max="22" man="1"/>
    <brk id="3900" min="11" max="22" man="1"/>
    <brk id="3949" min="11" max="22" man="1"/>
    <brk id="3998" min="11" max="22" man="1"/>
    <brk id="4047" min="11" max="22" man="1"/>
    <brk id="4096" min="11" max="22" man="1"/>
    <brk id="4145" min="11" max="22" man="1"/>
    <brk id="4194" min="11" max="22" man="1"/>
    <brk id="4243" min="11" max="22" man="1"/>
    <brk id="4292" min="11" max="22" man="1"/>
    <brk id="4341" min="11" max="22" man="1"/>
    <brk id="4390" min="11" max="22" man="1"/>
    <brk id="4439" min="11" max="22" man="1"/>
    <brk id="4488" min="11" max="22" man="1"/>
    <brk id="4537" min="11" max="22" man="1"/>
    <brk id="4586" min="11" max="22" man="1"/>
    <brk id="4635" min="11" max="22" man="1"/>
    <brk id="4684" min="11" max="22" man="1"/>
    <brk id="4733" min="11" max="22" man="1"/>
    <brk id="4782" min="11" max="22" man="1"/>
    <brk id="4831" min="11" max="22" man="1"/>
    <brk id="4880" min="11" max="22" man="1"/>
    <brk id="4929" min="11" max="22" man="1"/>
    <brk id="4978" min="11" max="22" man="1"/>
    <brk id="5027" min="11" max="22" man="1"/>
    <brk id="5076" min="11" max="22" man="1"/>
    <brk id="5125" min="11" max="22" man="1"/>
    <brk id="5174" min="11" max="22" man="1"/>
    <brk id="5223" min="11" max="22" man="1"/>
    <brk id="5272" min="11" max="22" man="1"/>
    <brk id="5321" min="11" max="22" man="1"/>
    <brk id="5370" min="11" max="22" man="1"/>
    <brk id="5419" min="11" max="22" man="1"/>
    <brk id="5468" min="11" max="22" man="1"/>
    <brk id="5513" min="11" max="22" man="1"/>
    <brk id="5562" min="11" max="22" man="1"/>
    <brk id="5611" min="11" max="22" man="1"/>
    <brk id="5660" min="11" max="22" man="1"/>
    <brk id="5709" min="11" max="22" man="1"/>
    <brk id="5758" min="11" max="22" man="1"/>
    <brk id="5807" min="11" max="22" man="1"/>
    <brk id="5856" min="11" max="22" man="1"/>
    <brk id="5905" min="11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254F-E84E-454F-B0E1-33BB0A0DE4D3}">
  <sheetPr>
    <pageSetUpPr fitToPage="1"/>
  </sheetPr>
  <dimension ref="C2:AI1474"/>
  <sheetViews>
    <sheetView view="pageBreakPreview" zoomScaleNormal="100" zoomScaleSheetLayoutView="100" workbookViewId="0">
      <selection activeCell="H930" sqref="H930"/>
    </sheetView>
  </sheetViews>
  <sheetFormatPr baseColWidth="10" defaultRowHeight="15" x14ac:dyDescent="0.25"/>
  <cols>
    <col min="1" max="1" width="2.140625" customWidth="1"/>
    <col min="2" max="2" width="2.85546875" customWidth="1"/>
    <col min="4" max="4" width="20.140625" customWidth="1"/>
    <col min="5" max="8" width="14.140625" customWidth="1"/>
    <col min="9" max="9" width="18.5703125" customWidth="1"/>
    <col min="10" max="10" width="12" bestFit="1" customWidth="1"/>
    <col min="11" max="11" width="21.7109375" customWidth="1"/>
    <col min="12" max="12" width="2.85546875" customWidth="1"/>
    <col min="13" max="13" width="5.140625" customWidth="1"/>
    <col min="14" max="14" width="21.7109375" bestFit="1" customWidth="1"/>
    <col min="15" max="15" width="18.5703125" bestFit="1" customWidth="1"/>
    <col min="16" max="16" width="3.5703125" customWidth="1"/>
    <col min="19" max="19" width="16.28515625" bestFit="1" customWidth="1"/>
  </cols>
  <sheetData>
    <row r="2" spans="3:17" ht="15.75" thickBot="1" x14ac:dyDescent="0.3"/>
    <row r="3" spans="3:17" ht="49.5" customHeight="1" x14ac:dyDescent="0.25">
      <c r="C3" s="612" t="s">
        <v>140</v>
      </c>
      <c r="D3" s="613"/>
      <c r="E3" s="613"/>
      <c r="F3" s="613"/>
      <c r="G3" s="613"/>
      <c r="H3" s="613"/>
      <c r="I3" s="613"/>
      <c r="J3" s="614"/>
      <c r="K3" s="606"/>
    </row>
    <row r="4" spans="3:17" ht="15" customHeight="1" x14ac:dyDescent="0.25">
      <c r="C4" s="686" t="s">
        <v>126</v>
      </c>
      <c r="D4" s="687"/>
      <c r="E4" s="690">
        <f>APUS!O3</f>
        <v>0</v>
      </c>
      <c r="F4" s="690"/>
      <c r="G4" s="690"/>
      <c r="H4" s="690"/>
      <c r="I4" s="690"/>
      <c r="J4" s="691"/>
      <c r="K4" s="607"/>
    </row>
    <row r="5" spans="3:17" ht="38.25" customHeight="1" x14ac:dyDescent="0.25">
      <c r="C5" s="688" t="s">
        <v>25</v>
      </c>
      <c r="D5" s="689"/>
      <c r="E5" s="579" t="str">
        <f>APUS!O4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F5" s="579"/>
      <c r="G5" s="579"/>
      <c r="H5" s="579"/>
      <c r="I5" s="579"/>
      <c r="J5" s="580"/>
      <c r="K5" s="608"/>
    </row>
    <row r="6" spans="3:17" ht="15.75" thickBot="1" x14ac:dyDescent="0.3">
      <c r="C6" s="682" t="s">
        <v>38</v>
      </c>
      <c r="D6" s="683"/>
      <c r="E6" s="684" t="str">
        <f>APUS!O5</f>
        <v>ARAUCA, ARAUCA</v>
      </c>
      <c r="F6" s="684"/>
      <c r="G6" s="684"/>
      <c r="H6" s="685"/>
      <c r="I6" s="246" t="s">
        <v>31</v>
      </c>
      <c r="J6" s="680" t="str">
        <f>APUS!U5</f>
        <v>MARZO DE 2025</v>
      </c>
      <c r="K6" s="681"/>
    </row>
    <row r="7" spans="3:17" ht="15.75" thickBot="1" x14ac:dyDescent="0.3"/>
    <row r="8" spans="3:17" x14ac:dyDescent="0.25">
      <c r="C8" s="558" t="s">
        <v>142</v>
      </c>
      <c r="D8" s="559"/>
      <c r="E8" s="559"/>
      <c r="F8" s="559"/>
      <c r="G8" s="559"/>
      <c r="H8" s="559"/>
      <c r="I8" s="559"/>
      <c r="J8" s="559"/>
      <c r="K8" s="560"/>
      <c r="N8" s="120"/>
      <c r="O8" s="121"/>
      <c r="P8" s="94"/>
      <c r="Q8" s="126"/>
    </row>
    <row r="9" spans="3:17" x14ac:dyDescent="0.25">
      <c r="C9" s="118" t="s">
        <v>143</v>
      </c>
      <c r="D9" s="561" t="s">
        <v>95</v>
      </c>
      <c r="E9" s="561"/>
      <c r="F9" s="561"/>
      <c r="G9" s="561"/>
      <c r="H9" s="95" t="s">
        <v>109</v>
      </c>
      <c r="I9" s="247" t="s">
        <v>144</v>
      </c>
      <c r="J9" s="117" t="s">
        <v>104</v>
      </c>
      <c r="K9" s="119" t="s">
        <v>9</v>
      </c>
      <c r="N9" s="122" t="s">
        <v>9</v>
      </c>
      <c r="O9" s="119" t="s">
        <v>158</v>
      </c>
      <c r="P9" s="115"/>
      <c r="Q9" s="127"/>
    </row>
    <row r="10" spans="3:17" x14ac:dyDescent="0.25">
      <c r="C10" s="106">
        <v>1</v>
      </c>
      <c r="D10" s="533" t="s">
        <v>99</v>
      </c>
      <c r="E10" s="533"/>
      <c r="F10" s="533"/>
      <c r="G10" s="533"/>
      <c r="H10" s="78" t="s">
        <v>100</v>
      </c>
      <c r="I10" s="248"/>
      <c r="J10" s="248"/>
      <c r="K10" s="209">
        <f>IFERROR(SUMIFS(APUS!Z:Z,APUS!N:N,INSUMOS!D10),0)</f>
        <v>6426567.9339461997</v>
      </c>
      <c r="N10" s="123">
        <f>IFERROR(SUMIFS(APUS!$Z$9:$Z$2480,APUS!$N9:Q$2480,INSUMOS!D10),0)</f>
        <v>0</v>
      </c>
      <c r="O10" s="114">
        <f>+N10-K10</f>
        <v>-6426567.9339461997</v>
      </c>
      <c r="P10" s="94"/>
      <c r="Q10" s="116" t="str">
        <f>+IF(K10=0,"SI","NO")</f>
        <v>NO</v>
      </c>
    </row>
    <row r="11" spans="3:17" x14ac:dyDescent="0.25">
      <c r="C11" s="106">
        <v>2</v>
      </c>
      <c r="D11" s="533" t="s">
        <v>145</v>
      </c>
      <c r="E11" s="533"/>
      <c r="F11" s="533"/>
      <c r="G11" s="533"/>
      <c r="H11" s="78" t="s">
        <v>157</v>
      </c>
      <c r="I11" s="249">
        <v>82000</v>
      </c>
      <c r="J11" s="107">
        <f>SUMIFS(APUS!Y:Y,APUS!M:M,INSUMOS!C11)</f>
        <v>2.9828571428571427</v>
      </c>
      <c r="K11" s="209">
        <f>+J11*I11</f>
        <v>244594.28571428571</v>
      </c>
      <c r="N11" s="123">
        <f>IFERROR(SUMIFS(APUS!$Z$9:$Z$2480,APUS!$N10:Q$2480,INSUMOS!D11),0)</f>
        <v>0</v>
      </c>
      <c r="O11" s="114">
        <f t="shared" ref="O11:O74" si="0">+N11-K11</f>
        <v>-244594.28571428571</v>
      </c>
      <c r="P11" s="94"/>
      <c r="Q11" s="116" t="str">
        <f t="shared" ref="Q11:Q73" si="1">+IF(K11=0,"SI","NO")</f>
        <v>NO</v>
      </c>
    </row>
    <row r="12" spans="3:17" hidden="1" x14ac:dyDescent="0.25">
      <c r="C12" s="106">
        <v>3</v>
      </c>
      <c r="D12" s="533" t="s">
        <v>146</v>
      </c>
      <c r="E12" s="533"/>
      <c r="F12" s="533"/>
      <c r="G12" s="533"/>
      <c r="H12" s="78" t="s">
        <v>157</v>
      </c>
      <c r="I12" s="249">
        <v>96800.000000000015</v>
      </c>
      <c r="J12" s="107">
        <f>SUMIFS(APUS!Y:Y,APUS!M:M,INSUMOS!C12)</f>
        <v>0</v>
      </c>
      <c r="K12" s="209">
        <f t="shared" ref="K12:K75" si="2">+J12*I12</f>
        <v>0</v>
      </c>
      <c r="N12" s="123">
        <f>IFERROR(SUMIFS(APUS!$Z$9:$Z$2480,APUS!$N11:Q$2480,INSUMOS!D12),0)</f>
        <v>0</v>
      </c>
      <c r="O12" s="114">
        <f t="shared" si="0"/>
        <v>0</v>
      </c>
      <c r="P12" s="94"/>
      <c r="Q12" s="116" t="str">
        <f t="shared" si="1"/>
        <v>SI</v>
      </c>
    </row>
    <row r="13" spans="3:17" hidden="1" x14ac:dyDescent="0.25">
      <c r="C13" s="106">
        <v>4</v>
      </c>
      <c r="D13" s="533" t="s">
        <v>414</v>
      </c>
      <c r="E13" s="533"/>
      <c r="F13" s="533"/>
      <c r="G13" s="533"/>
      <c r="H13" s="78" t="s">
        <v>157</v>
      </c>
      <c r="I13" s="249">
        <v>55000</v>
      </c>
      <c r="J13" s="107">
        <f>SUMIFS(APUS!Y:Y,APUS!M:M,INSUMOS!C13)</f>
        <v>0</v>
      </c>
      <c r="K13" s="209">
        <f t="shared" si="2"/>
        <v>0</v>
      </c>
      <c r="N13" s="123">
        <f>IFERROR(SUMIFS(APUS!$Z$9:$Z$2480,APUS!$N12:Q$2480,INSUMOS!D13),0)</f>
        <v>0</v>
      </c>
      <c r="O13" s="114">
        <f t="shared" si="0"/>
        <v>0</v>
      </c>
      <c r="P13" s="94"/>
      <c r="Q13" s="116" t="str">
        <f t="shared" si="1"/>
        <v>SI</v>
      </c>
    </row>
    <row r="14" spans="3:17" x14ac:dyDescent="0.25">
      <c r="C14" s="106">
        <v>5</v>
      </c>
      <c r="D14" s="533" t="s">
        <v>151</v>
      </c>
      <c r="E14" s="533"/>
      <c r="F14" s="533"/>
      <c r="G14" s="533"/>
      <c r="H14" s="78" t="s">
        <v>157</v>
      </c>
      <c r="I14" s="249">
        <v>150000</v>
      </c>
      <c r="J14" s="107">
        <f>SUMIFS(APUS!Y:Y,APUS!M:M,INSUMOS!C14)</f>
        <v>6.7725</v>
      </c>
      <c r="K14" s="209">
        <f t="shared" si="2"/>
        <v>1015875</v>
      </c>
      <c r="N14" s="123">
        <f>IFERROR(SUMIFS(APUS!$Z$9:$Z$2480,APUS!$N13:Q$2480,INSUMOS!D14),0)</f>
        <v>0</v>
      </c>
      <c r="O14" s="114">
        <f t="shared" si="0"/>
        <v>-1015875</v>
      </c>
      <c r="P14" s="94"/>
      <c r="Q14" s="116" t="str">
        <f t="shared" si="1"/>
        <v>NO</v>
      </c>
    </row>
    <row r="15" spans="3:17" hidden="1" x14ac:dyDescent="0.25">
      <c r="C15" s="106">
        <v>6</v>
      </c>
      <c r="D15" s="533" t="s">
        <v>152</v>
      </c>
      <c r="E15" s="533"/>
      <c r="F15" s="533"/>
      <c r="G15" s="533"/>
      <c r="H15" s="78" t="s">
        <v>157</v>
      </c>
      <c r="I15" s="249">
        <v>81312</v>
      </c>
      <c r="J15" s="107">
        <f>SUMIFS(APUS!Y:Y,APUS!M:M,INSUMOS!C15)</f>
        <v>0</v>
      </c>
      <c r="K15" s="209">
        <f t="shared" si="2"/>
        <v>0</v>
      </c>
      <c r="N15" s="123">
        <f>IFERROR(SUMIFS(APUS!$Z$9:$Z$2480,APUS!$N14:Q$2480,INSUMOS!D15),0)</f>
        <v>0</v>
      </c>
      <c r="O15" s="114">
        <f t="shared" si="0"/>
        <v>0</v>
      </c>
      <c r="P15" s="94"/>
      <c r="Q15" s="116" t="str">
        <f t="shared" si="1"/>
        <v>SI</v>
      </c>
    </row>
    <row r="16" spans="3:17" hidden="1" x14ac:dyDescent="0.25">
      <c r="C16" s="106">
        <v>7</v>
      </c>
      <c r="D16" s="533" t="s">
        <v>154</v>
      </c>
      <c r="E16" s="533"/>
      <c r="F16" s="533"/>
      <c r="G16" s="533"/>
      <c r="H16" s="78" t="s">
        <v>157</v>
      </c>
      <c r="I16" s="249">
        <v>81312</v>
      </c>
      <c r="J16" s="107">
        <f>SUMIFS(APUS!Y:Y,APUS!M:M,INSUMOS!C16)</f>
        <v>0</v>
      </c>
      <c r="K16" s="209">
        <f t="shared" si="2"/>
        <v>0</v>
      </c>
      <c r="N16" s="123">
        <f>IFERROR(SUMIFS(APUS!$Z$9:$Z$2480,APUS!$N15:Q$2480,INSUMOS!D16),0)</f>
        <v>0</v>
      </c>
      <c r="O16" s="114">
        <f t="shared" si="0"/>
        <v>0</v>
      </c>
      <c r="P16" s="94"/>
      <c r="Q16" s="116" t="str">
        <f t="shared" si="1"/>
        <v>SI</v>
      </c>
    </row>
    <row r="17" spans="3:17" x14ac:dyDescent="0.25">
      <c r="C17" s="106">
        <v>8</v>
      </c>
      <c r="D17" s="533" t="s">
        <v>149</v>
      </c>
      <c r="E17" s="533"/>
      <c r="F17" s="533"/>
      <c r="G17" s="533"/>
      <c r="H17" s="78" t="s">
        <v>157</v>
      </c>
      <c r="I17" s="249">
        <v>85000</v>
      </c>
      <c r="J17" s="107">
        <f>SUMIFS(APUS!Y:Y,APUS!M:M,INSUMOS!C17)</f>
        <v>3.8899040000000005</v>
      </c>
      <c r="K17" s="209">
        <f>+J17*I17</f>
        <v>330641.84000000003</v>
      </c>
      <c r="N17" s="123">
        <f>IFERROR(SUMIFS(APUS!$Z$9:$Z$2480,APUS!$N16:Q$2480,INSUMOS!D17),0)</f>
        <v>0</v>
      </c>
      <c r="O17" s="114">
        <f t="shared" si="0"/>
        <v>-330641.84000000003</v>
      </c>
      <c r="P17" s="94"/>
      <c r="Q17" s="116" t="str">
        <f t="shared" si="1"/>
        <v>NO</v>
      </c>
    </row>
    <row r="18" spans="3:17" hidden="1" x14ac:dyDescent="0.25">
      <c r="C18" s="106">
        <v>9</v>
      </c>
      <c r="D18" s="533" t="s">
        <v>476</v>
      </c>
      <c r="E18" s="533"/>
      <c r="F18" s="533"/>
      <c r="G18" s="533"/>
      <c r="H18" s="78" t="s">
        <v>157</v>
      </c>
      <c r="I18" s="249">
        <v>31000</v>
      </c>
      <c r="J18" s="107">
        <f>SUMIFS(APUS!Y:Y,APUS!M:M,INSUMOS!C18)</f>
        <v>0</v>
      </c>
      <c r="K18" s="209">
        <f t="shared" si="2"/>
        <v>0</v>
      </c>
      <c r="N18" s="123">
        <f>IFERROR(SUMIFS(APUS!$Z$9:$Z$2480,APUS!$N17:Q$2480,INSUMOS!D18),0)</f>
        <v>0</v>
      </c>
      <c r="O18" s="114">
        <f t="shared" si="0"/>
        <v>0</v>
      </c>
      <c r="P18" s="94"/>
      <c r="Q18" s="116" t="str">
        <f t="shared" si="1"/>
        <v>SI</v>
      </c>
    </row>
    <row r="19" spans="3:17" hidden="1" x14ac:dyDescent="0.25">
      <c r="C19" s="106">
        <v>10</v>
      </c>
      <c r="D19" s="533" t="s">
        <v>464</v>
      </c>
      <c r="E19" s="533"/>
      <c r="F19" s="533"/>
      <c r="G19" s="533"/>
      <c r="H19" s="78" t="s">
        <v>157</v>
      </c>
      <c r="I19" s="249">
        <v>2000</v>
      </c>
      <c r="J19" s="107">
        <f>SUMIFS(APUS!Y:Y,APUS!M:M,INSUMOS!C19)</f>
        <v>0</v>
      </c>
      <c r="K19" s="209">
        <f t="shared" si="2"/>
        <v>0</v>
      </c>
      <c r="N19" s="123">
        <f>IFERROR(SUMIFS(APUS!$Z$9:$Z$2480,APUS!$N18:Q$2480,INSUMOS!D19),0)</f>
        <v>0</v>
      </c>
      <c r="O19" s="114">
        <f t="shared" si="0"/>
        <v>0</v>
      </c>
      <c r="P19" s="94"/>
      <c r="Q19" s="116" t="str">
        <f t="shared" si="1"/>
        <v>SI</v>
      </c>
    </row>
    <row r="20" spans="3:17" hidden="1" x14ac:dyDescent="0.25">
      <c r="C20" s="106">
        <v>11</v>
      </c>
      <c r="D20" s="533" t="s">
        <v>148</v>
      </c>
      <c r="E20" s="533"/>
      <c r="F20" s="533"/>
      <c r="G20" s="533"/>
      <c r="H20" s="78" t="s">
        <v>157</v>
      </c>
      <c r="I20" s="249">
        <v>11495.000000000002</v>
      </c>
      <c r="J20" s="107">
        <f>SUMIFS(APUS!Y:Y,APUS!M:M,INSUMOS!C20)</f>
        <v>0</v>
      </c>
      <c r="K20" s="209">
        <f>+J20*I20</f>
        <v>0</v>
      </c>
      <c r="N20" s="123">
        <f>IFERROR(SUMIFS(APUS!$Z$9:$Z$2480,APUS!$N19:Q$2480,INSUMOS!D20),0)</f>
        <v>0</v>
      </c>
      <c r="O20" s="114">
        <f t="shared" si="0"/>
        <v>0</v>
      </c>
      <c r="P20" s="94"/>
      <c r="Q20" s="116" t="str">
        <f t="shared" si="1"/>
        <v>SI</v>
      </c>
    </row>
    <row r="21" spans="3:17" hidden="1" x14ac:dyDescent="0.25">
      <c r="C21" s="106">
        <v>12</v>
      </c>
      <c r="D21" s="533" t="s">
        <v>147</v>
      </c>
      <c r="E21" s="533"/>
      <c r="F21" s="533"/>
      <c r="G21" s="533"/>
      <c r="H21" s="78" t="s">
        <v>157</v>
      </c>
      <c r="I21" s="249">
        <v>12000</v>
      </c>
      <c r="J21" s="107">
        <f>SUMIFS(APUS!Y:Y,APUS!M:M,INSUMOS!C21)</f>
        <v>0</v>
      </c>
      <c r="K21" s="209">
        <f t="shared" si="2"/>
        <v>0</v>
      </c>
      <c r="N21" s="123">
        <f>IFERROR(SUMIFS(APUS!$Z$9:$Z$2480,APUS!$N20:Q$2480,INSUMOS!D21),0)</f>
        <v>0</v>
      </c>
      <c r="O21" s="114">
        <f t="shared" si="0"/>
        <v>0</v>
      </c>
      <c r="P21" s="94"/>
      <c r="Q21" s="116" t="str">
        <f t="shared" si="1"/>
        <v>SI</v>
      </c>
    </row>
    <row r="22" spans="3:17" hidden="1" x14ac:dyDescent="0.25">
      <c r="C22" s="106">
        <v>13</v>
      </c>
      <c r="D22" s="533" t="s">
        <v>155</v>
      </c>
      <c r="E22" s="533"/>
      <c r="F22" s="533"/>
      <c r="G22" s="533"/>
      <c r="H22" s="78" t="s">
        <v>157</v>
      </c>
      <c r="I22" s="249">
        <v>9500</v>
      </c>
      <c r="J22" s="107">
        <f>SUMIFS(APUS!Y:Y,APUS!M:M,INSUMOS!C22)</f>
        <v>0</v>
      </c>
      <c r="K22" s="209">
        <f t="shared" si="2"/>
        <v>0</v>
      </c>
      <c r="N22" s="123">
        <f>IFERROR(SUMIFS(APUS!$Z$9:$Z$2480,APUS!$N21:Q$2480,INSUMOS!D22),0)</f>
        <v>0</v>
      </c>
      <c r="O22" s="114">
        <f t="shared" si="0"/>
        <v>0</v>
      </c>
      <c r="P22" s="94"/>
      <c r="Q22" s="116" t="str">
        <f t="shared" si="1"/>
        <v>SI</v>
      </c>
    </row>
    <row r="23" spans="3:17" hidden="1" x14ac:dyDescent="0.25">
      <c r="C23" s="106">
        <v>14</v>
      </c>
      <c r="D23" s="533" t="s">
        <v>156</v>
      </c>
      <c r="E23" s="533"/>
      <c r="F23" s="533"/>
      <c r="G23" s="533"/>
      <c r="H23" s="78" t="s">
        <v>157</v>
      </c>
      <c r="I23" s="249">
        <v>9500</v>
      </c>
      <c r="J23" s="107">
        <f>SUMIFS(APUS!Y:Y,APUS!M:M,INSUMOS!C23)</f>
        <v>0</v>
      </c>
      <c r="K23" s="209">
        <f t="shared" si="2"/>
        <v>0</v>
      </c>
      <c r="N23" s="123">
        <f>IFERROR(SUMIFS(APUS!$Z$9:$Z$2480,APUS!$N22:Q$2480,INSUMOS!D23),0)</f>
        <v>0</v>
      </c>
      <c r="O23" s="114">
        <f t="shared" si="0"/>
        <v>0</v>
      </c>
      <c r="P23" s="94"/>
      <c r="Q23" s="116" t="str">
        <f t="shared" si="1"/>
        <v>SI</v>
      </c>
    </row>
    <row r="24" spans="3:17" hidden="1" x14ac:dyDescent="0.25">
      <c r="C24" s="106">
        <v>15</v>
      </c>
      <c r="D24" s="533" t="s">
        <v>437</v>
      </c>
      <c r="E24" s="533"/>
      <c r="F24" s="533"/>
      <c r="G24" s="533"/>
      <c r="H24" s="78" t="s">
        <v>157</v>
      </c>
      <c r="I24" s="249">
        <v>7865.0000000000018</v>
      </c>
      <c r="J24" s="107">
        <f>SUMIFS(APUS!Y:Y,APUS!M:M,INSUMOS!C24)</f>
        <v>0</v>
      </c>
      <c r="K24" s="209">
        <f t="shared" si="2"/>
        <v>0</v>
      </c>
      <c r="N24" s="123">
        <f>IFERROR(SUMIFS(APUS!$Z$9:$Z$2480,APUS!$N23:Q$2480,INSUMOS!D24),0)</f>
        <v>0</v>
      </c>
      <c r="O24" s="114">
        <f t="shared" si="0"/>
        <v>0</v>
      </c>
      <c r="P24" s="94"/>
      <c r="Q24" s="116" t="str">
        <f t="shared" si="1"/>
        <v>SI</v>
      </c>
    </row>
    <row r="25" spans="3:17" hidden="1" x14ac:dyDescent="0.25">
      <c r="C25" s="106">
        <v>16</v>
      </c>
      <c r="D25" s="533" t="s">
        <v>463</v>
      </c>
      <c r="E25" s="533"/>
      <c r="F25" s="533"/>
      <c r="G25" s="533"/>
      <c r="H25" s="78" t="s">
        <v>157</v>
      </c>
      <c r="I25" s="249">
        <v>5500</v>
      </c>
      <c r="J25" s="107">
        <f>SUMIFS(APUS!Y:Y,APUS!M:M,INSUMOS!C25)</f>
        <v>0</v>
      </c>
      <c r="K25" s="209">
        <f t="shared" si="2"/>
        <v>0</v>
      </c>
      <c r="N25" s="123">
        <f>IFERROR(SUMIFS(APUS!$Z$9:$Z$2480,APUS!$N24:Q$2480,INSUMOS!D25),0)</f>
        <v>0</v>
      </c>
      <c r="O25" s="114">
        <f t="shared" si="0"/>
        <v>0</v>
      </c>
      <c r="P25" s="94"/>
      <c r="Q25" s="116" t="str">
        <f t="shared" si="1"/>
        <v>SI</v>
      </c>
    </row>
    <row r="26" spans="3:17" hidden="1" x14ac:dyDescent="0.25">
      <c r="C26" s="106">
        <v>17</v>
      </c>
      <c r="D26" s="533" t="s">
        <v>475</v>
      </c>
      <c r="E26" s="533"/>
      <c r="F26" s="533"/>
      <c r="G26" s="533"/>
      <c r="H26" s="78" t="s">
        <v>157</v>
      </c>
      <c r="I26" s="249">
        <v>5500</v>
      </c>
      <c r="J26" s="107">
        <f>SUMIFS(APUS!Y:Y,APUS!M:M,INSUMOS!C26)</f>
        <v>0</v>
      </c>
      <c r="K26" s="209">
        <f t="shared" si="2"/>
        <v>0</v>
      </c>
      <c r="N26" s="123">
        <f>IFERROR(SUMIFS(APUS!$Z$9:$Z$2480,APUS!$N25:Q$2480,INSUMOS!D26),0)</f>
        <v>0</v>
      </c>
      <c r="O26" s="114">
        <f t="shared" si="0"/>
        <v>0</v>
      </c>
      <c r="P26" s="94"/>
      <c r="Q26" s="116" t="str">
        <f t="shared" si="1"/>
        <v>SI</v>
      </c>
    </row>
    <row r="27" spans="3:17" hidden="1" x14ac:dyDescent="0.25">
      <c r="C27" s="106">
        <v>18</v>
      </c>
      <c r="D27" s="533" t="s">
        <v>484</v>
      </c>
      <c r="E27" s="533"/>
      <c r="F27" s="533"/>
      <c r="G27" s="533"/>
      <c r="H27" s="78" t="s">
        <v>157</v>
      </c>
      <c r="I27" s="249">
        <v>16500</v>
      </c>
      <c r="J27" s="107">
        <f>SUMIFS(APUS!Y:Y,APUS!M:M,INSUMOS!C27)</f>
        <v>0</v>
      </c>
      <c r="K27" s="209">
        <f t="shared" si="2"/>
        <v>0</v>
      </c>
      <c r="N27" s="123">
        <f>IFERROR(SUMIFS(APUS!$Z$9:$Z$2480,APUS!$N26:Q$2480,INSUMOS!D27),0)</f>
        <v>0</v>
      </c>
      <c r="O27" s="114">
        <f t="shared" si="0"/>
        <v>0</v>
      </c>
      <c r="P27" s="94"/>
      <c r="Q27" s="116" t="str">
        <f t="shared" si="1"/>
        <v>SI</v>
      </c>
    </row>
    <row r="28" spans="3:17" hidden="1" x14ac:dyDescent="0.25">
      <c r="C28" s="106">
        <v>19</v>
      </c>
      <c r="D28" s="533" t="s">
        <v>568</v>
      </c>
      <c r="E28" s="533"/>
      <c r="F28" s="533"/>
      <c r="G28" s="533"/>
      <c r="H28" s="78" t="s">
        <v>157</v>
      </c>
      <c r="I28" s="249">
        <v>12000</v>
      </c>
      <c r="J28" s="107">
        <f>SUMIFS(APUS!Y:Y,APUS!M:M,INSUMOS!C28)</f>
        <v>0</v>
      </c>
      <c r="K28" s="209">
        <f t="shared" si="2"/>
        <v>0</v>
      </c>
      <c r="N28" s="123">
        <f>IFERROR(SUMIFS(APUS!$Z$9:$Z$2480,APUS!$N27:Q$2480,INSUMOS!D28),0)</f>
        <v>0</v>
      </c>
      <c r="O28" s="114">
        <f t="shared" si="0"/>
        <v>0</v>
      </c>
      <c r="P28" s="94"/>
      <c r="Q28" s="116" t="str">
        <f t="shared" si="1"/>
        <v>SI</v>
      </c>
    </row>
    <row r="29" spans="3:17" hidden="1" x14ac:dyDescent="0.25">
      <c r="C29" s="106">
        <v>20</v>
      </c>
      <c r="D29" s="533" t="s">
        <v>573</v>
      </c>
      <c r="E29" s="533"/>
      <c r="F29" s="533"/>
      <c r="G29" s="533"/>
      <c r="H29" s="78" t="s">
        <v>157</v>
      </c>
      <c r="I29" s="249">
        <v>40000</v>
      </c>
      <c r="J29" s="107">
        <f>SUMIFS(APUS!Y:Y,APUS!M:M,INSUMOS!C29)</f>
        <v>0</v>
      </c>
      <c r="K29" s="209">
        <f t="shared" si="2"/>
        <v>0</v>
      </c>
      <c r="N29" s="123">
        <f>IFERROR(SUMIFS(APUS!$Z$9:$Z$2480,APUS!$N28:Q$2480,INSUMOS!D29),0)</f>
        <v>0</v>
      </c>
      <c r="O29" s="114">
        <f t="shared" si="0"/>
        <v>0</v>
      </c>
      <c r="P29" s="94"/>
      <c r="Q29" s="116" t="str">
        <f t="shared" si="1"/>
        <v>SI</v>
      </c>
    </row>
    <row r="30" spans="3:17" hidden="1" x14ac:dyDescent="0.25">
      <c r="C30" s="106">
        <v>21</v>
      </c>
      <c r="D30" s="533" t="s">
        <v>153</v>
      </c>
      <c r="E30" s="533"/>
      <c r="F30" s="533"/>
      <c r="G30" s="533"/>
      <c r="H30" s="78" t="s">
        <v>157</v>
      </c>
      <c r="I30" s="249">
        <v>245000</v>
      </c>
      <c r="J30" s="107">
        <f>SUMIFS(APUS!Y:Y,APUS!M:M,INSUMOS!C30)</f>
        <v>0</v>
      </c>
      <c r="K30" s="209">
        <f t="shared" si="2"/>
        <v>0</v>
      </c>
      <c r="N30" s="123">
        <f>IFERROR(SUMIFS(APUS!$Z$9:$Z$2480,APUS!$N29:Q$2480,INSUMOS!D30),0)</f>
        <v>0</v>
      </c>
      <c r="O30" s="114">
        <f t="shared" si="0"/>
        <v>0</v>
      </c>
      <c r="P30" s="94"/>
      <c r="Q30" s="116" t="str">
        <f t="shared" si="1"/>
        <v>SI</v>
      </c>
    </row>
    <row r="31" spans="3:17" hidden="1" x14ac:dyDescent="0.25">
      <c r="C31" s="106">
        <v>22</v>
      </c>
      <c r="D31" s="533" t="s">
        <v>360</v>
      </c>
      <c r="E31" s="533"/>
      <c r="F31" s="533"/>
      <c r="G31" s="533"/>
      <c r="H31" s="78" t="s">
        <v>157</v>
      </c>
      <c r="I31" s="249">
        <v>75000</v>
      </c>
      <c r="J31" s="107">
        <f>SUMIFS(APUS!Y:Y,APUS!M:M,INSUMOS!C31)</f>
        <v>0</v>
      </c>
      <c r="K31" s="209">
        <f t="shared" si="2"/>
        <v>0</v>
      </c>
      <c r="N31" s="123">
        <f>IFERROR(SUMIFS(APUS!$Z$9:$Z$2480,APUS!$N30:Q$2480,INSUMOS!D31),0)</f>
        <v>0</v>
      </c>
      <c r="O31" s="114">
        <f t="shared" si="0"/>
        <v>0</v>
      </c>
      <c r="P31" s="94"/>
      <c r="Q31" s="116" t="str">
        <f t="shared" si="1"/>
        <v>SI</v>
      </c>
    </row>
    <row r="32" spans="3:17" hidden="1" x14ac:dyDescent="0.25">
      <c r="C32" s="106">
        <v>23</v>
      </c>
      <c r="D32" s="533" t="s">
        <v>362</v>
      </c>
      <c r="E32" s="533"/>
      <c r="F32" s="533"/>
      <c r="G32" s="533"/>
      <c r="H32" s="78" t="s">
        <v>157</v>
      </c>
      <c r="I32" s="249">
        <v>60500.000000000015</v>
      </c>
      <c r="J32" s="107">
        <f>SUMIFS(APUS!Y:Y,APUS!M:M,INSUMOS!C32)</f>
        <v>0</v>
      </c>
      <c r="K32" s="209">
        <f t="shared" si="2"/>
        <v>0</v>
      </c>
      <c r="N32" s="123">
        <f>IFERROR(SUMIFS(APUS!$Z$9:$Z$2480,APUS!$N31:Q$2480,INSUMOS!D32),0)</f>
        <v>0</v>
      </c>
      <c r="O32" s="114">
        <f t="shared" si="0"/>
        <v>0</v>
      </c>
      <c r="P32" s="94"/>
      <c r="Q32" s="116" t="str">
        <f t="shared" si="1"/>
        <v>SI</v>
      </c>
    </row>
    <row r="33" spans="3:17" hidden="1" x14ac:dyDescent="0.25">
      <c r="C33" s="106">
        <v>24</v>
      </c>
      <c r="D33" s="533" t="s">
        <v>574</v>
      </c>
      <c r="E33" s="533"/>
      <c r="F33" s="533"/>
      <c r="G33" s="533"/>
      <c r="H33" s="78" t="s">
        <v>157</v>
      </c>
      <c r="I33" s="249">
        <v>55000</v>
      </c>
      <c r="J33" s="107">
        <f>SUMIFS(APUS!Y:Y,APUS!M:M,INSUMOS!C33)</f>
        <v>0</v>
      </c>
      <c r="K33" s="209">
        <f t="shared" si="2"/>
        <v>0</v>
      </c>
      <c r="N33" s="123">
        <f>IFERROR(SUMIFS(APUS!$Z$9:$Z$2480,APUS!$N32:Q$2480,INSUMOS!D33),0)</f>
        <v>0</v>
      </c>
      <c r="O33" s="114">
        <f t="shared" si="0"/>
        <v>0</v>
      </c>
      <c r="Q33" s="116" t="str">
        <f t="shared" si="1"/>
        <v>SI</v>
      </c>
    </row>
    <row r="34" spans="3:17" hidden="1" x14ac:dyDescent="0.25">
      <c r="C34" s="106">
        <v>25</v>
      </c>
      <c r="D34" s="533" t="s">
        <v>576</v>
      </c>
      <c r="E34" s="533"/>
      <c r="F34" s="533"/>
      <c r="G34" s="533"/>
      <c r="H34" s="78" t="s">
        <v>577</v>
      </c>
      <c r="I34" s="249">
        <v>50000</v>
      </c>
      <c r="J34" s="107">
        <f>SUMIFS(APUS!Y:Y,APUS!M:M,INSUMOS!C34)</f>
        <v>0</v>
      </c>
      <c r="K34" s="209">
        <f t="shared" si="2"/>
        <v>0</v>
      </c>
      <c r="N34" s="123">
        <f>IFERROR(SUMIFS(APUS!$Z$9:$Z$2480,APUS!$N33:Q$2480,INSUMOS!D34),0)</f>
        <v>0</v>
      </c>
      <c r="O34" s="114">
        <f t="shared" si="0"/>
        <v>0</v>
      </c>
      <c r="Q34" s="116" t="str">
        <f t="shared" si="1"/>
        <v>SI</v>
      </c>
    </row>
    <row r="35" spans="3:17" hidden="1" x14ac:dyDescent="0.25">
      <c r="C35" s="106">
        <v>26</v>
      </c>
      <c r="D35" s="533"/>
      <c r="E35" s="533"/>
      <c r="F35" s="533"/>
      <c r="G35" s="533"/>
      <c r="H35" s="78"/>
      <c r="I35" s="249"/>
      <c r="J35" s="107">
        <f>SUMIFS(APUS!Y:Y,APUS!M:M,INSUMOS!C35)</f>
        <v>0</v>
      </c>
      <c r="K35" s="209">
        <f t="shared" si="2"/>
        <v>0</v>
      </c>
      <c r="N35" s="123">
        <f>IFERROR(SUMIFS(APUS!$Z$9:$Z$2480,APUS!$N34:Q$2480,INSUMOS!D35),0)</f>
        <v>0</v>
      </c>
      <c r="O35" s="114">
        <f t="shared" si="0"/>
        <v>0</v>
      </c>
      <c r="Q35" s="116" t="str">
        <f t="shared" si="1"/>
        <v>SI</v>
      </c>
    </row>
    <row r="36" spans="3:17" hidden="1" x14ac:dyDescent="0.25">
      <c r="C36" s="106">
        <v>27</v>
      </c>
      <c r="D36" s="533" t="s">
        <v>488</v>
      </c>
      <c r="E36" s="533"/>
      <c r="F36" s="533"/>
      <c r="G36" s="533"/>
      <c r="H36" s="111" t="s">
        <v>454</v>
      </c>
      <c r="I36" s="249">
        <v>125000</v>
      </c>
      <c r="J36" s="107">
        <f>SUMIFS(APUS!Y:Y,APUS!M:M,INSUMOS!C36)</f>
        <v>0</v>
      </c>
      <c r="K36" s="209">
        <f t="shared" si="2"/>
        <v>0</v>
      </c>
      <c r="N36" s="123">
        <f>IFERROR(SUMIFS(APUS!$Z$9:$Z$2480,APUS!$N35:Q$2480,INSUMOS!D36),0)</f>
        <v>0</v>
      </c>
      <c r="O36" s="114">
        <f t="shared" si="0"/>
        <v>0</v>
      </c>
      <c r="Q36" s="116" t="str">
        <f t="shared" si="1"/>
        <v>SI</v>
      </c>
    </row>
    <row r="37" spans="3:17" hidden="1" x14ac:dyDescent="0.25">
      <c r="C37" s="106">
        <v>28</v>
      </c>
      <c r="D37" s="533" t="s">
        <v>453</v>
      </c>
      <c r="E37" s="533"/>
      <c r="F37" s="533"/>
      <c r="G37" s="533"/>
      <c r="H37" s="111" t="s">
        <v>454</v>
      </c>
      <c r="I37" s="249">
        <v>155000</v>
      </c>
      <c r="J37" s="107">
        <f>SUMIFS(APUS!Y:Y,APUS!M:M,INSUMOS!C37)</f>
        <v>0</v>
      </c>
      <c r="K37" s="209">
        <f t="shared" si="2"/>
        <v>0</v>
      </c>
      <c r="N37" s="123">
        <f>IFERROR(SUMIFS(APUS!$Z$9:$Z$2480,APUS!$N36:Q$2480,INSUMOS!D37),0)</f>
        <v>0</v>
      </c>
      <c r="O37" s="114">
        <f t="shared" si="0"/>
        <v>0</v>
      </c>
      <c r="Q37" s="116" t="str">
        <f t="shared" si="1"/>
        <v>SI</v>
      </c>
    </row>
    <row r="38" spans="3:17" hidden="1" x14ac:dyDescent="0.25">
      <c r="C38" s="106">
        <v>29</v>
      </c>
      <c r="D38" s="533" t="s">
        <v>452</v>
      </c>
      <c r="E38" s="533"/>
      <c r="F38" s="533"/>
      <c r="G38" s="533"/>
      <c r="H38" s="78" t="s">
        <v>454</v>
      </c>
      <c r="I38" s="249">
        <v>170000</v>
      </c>
      <c r="J38" s="107">
        <f>SUMIFS(APUS!Y:Y,APUS!M:M,INSUMOS!C38)</f>
        <v>0</v>
      </c>
      <c r="K38" s="209">
        <f t="shared" si="2"/>
        <v>0</v>
      </c>
      <c r="N38" s="123">
        <f>IFERROR(SUMIFS(APUS!$Z$9:$Z$2480,APUS!$N37:Q$2480,INSUMOS!D38),0)</f>
        <v>0</v>
      </c>
      <c r="O38" s="114">
        <f t="shared" si="0"/>
        <v>0</v>
      </c>
      <c r="Q38" s="116" t="str">
        <f t="shared" si="1"/>
        <v>SI</v>
      </c>
    </row>
    <row r="39" spans="3:17" hidden="1" x14ac:dyDescent="0.25">
      <c r="C39" s="106">
        <v>30</v>
      </c>
      <c r="D39" s="533" t="s">
        <v>350</v>
      </c>
      <c r="E39" s="533"/>
      <c r="F39" s="533"/>
      <c r="G39" s="533"/>
      <c r="H39" s="78" t="s">
        <v>454</v>
      </c>
      <c r="I39" s="249">
        <v>250000</v>
      </c>
      <c r="J39" s="107">
        <f>SUMIFS(APUS!Y:Y,APUS!M:M,INSUMOS!C39)</f>
        <v>0</v>
      </c>
      <c r="K39" s="209">
        <f t="shared" si="2"/>
        <v>0</v>
      </c>
      <c r="N39" s="123">
        <f>IFERROR(SUMIFS(APUS!$Z$9:$Z$2480,APUS!$N38:Q$2480,INSUMOS!D39),0)</f>
        <v>0</v>
      </c>
      <c r="O39" s="114">
        <f t="shared" si="0"/>
        <v>0</v>
      </c>
      <c r="Q39" s="116" t="str">
        <f t="shared" si="1"/>
        <v>SI</v>
      </c>
    </row>
    <row r="40" spans="3:17" hidden="1" x14ac:dyDescent="0.25">
      <c r="C40" s="106">
        <v>31</v>
      </c>
      <c r="D40" s="533" t="s">
        <v>460</v>
      </c>
      <c r="E40" s="533"/>
      <c r="F40" s="533"/>
      <c r="G40" s="533"/>
      <c r="H40" s="78" t="s">
        <v>454</v>
      </c>
      <c r="I40" s="249">
        <v>425000</v>
      </c>
      <c r="J40" s="107">
        <f>SUMIFS(APUS!Y:Y,APUS!M:M,INSUMOS!C40)</f>
        <v>0</v>
      </c>
      <c r="K40" s="209">
        <f t="shared" si="2"/>
        <v>0</v>
      </c>
      <c r="N40" s="123">
        <f>IFERROR(SUMIFS(APUS!$Z$9:$Z$2480,APUS!$N39:Q$2480,INSUMOS!D40),0)</f>
        <v>0</v>
      </c>
      <c r="O40" s="114">
        <f t="shared" si="0"/>
        <v>0</v>
      </c>
      <c r="Q40" s="116" t="str">
        <f t="shared" si="1"/>
        <v>SI</v>
      </c>
    </row>
    <row r="41" spans="3:17" hidden="1" x14ac:dyDescent="0.25">
      <c r="C41" s="106">
        <v>32</v>
      </c>
      <c r="D41" s="533" t="s">
        <v>578</v>
      </c>
      <c r="E41" s="533"/>
      <c r="F41" s="533"/>
      <c r="G41" s="533"/>
      <c r="H41" s="78" t="s">
        <v>157</v>
      </c>
      <c r="I41" s="249">
        <v>400000</v>
      </c>
      <c r="J41" s="107">
        <f>SUMIFS(APUS!Y:Y,APUS!M:M,INSUMOS!C41)</f>
        <v>0</v>
      </c>
      <c r="K41" s="209">
        <f t="shared" si="2"/>
        <v>0</v>
      </c>
      <c r="N41" s="123">
        <f>IFERROR(SUMIFS(APUS!$Z$9:$Z$2480,APUS!$N40:Q$2480,INSUMOS!D41),0)</f>
        <v>0</v>
      </c>
      <c r="O41" s="114">
        <f t="shared" si="0"/>
        <v>0</v>
      </c>
      <c r="Q41" s="116" t="str">
        <f t="shared" si="1"/>
        <v>SI</v>
      </c>
    </row>
    <row r="42" spans="3:17" hidden="1" x14ac:dyDescent="0.25">
      <c r="C42" s="106">
        <v>33</v>
      </c>
      <c r="D42" s="667" t="s">
        <v>586</v>
      </c>
      <c r="E42" s="667"/>
      <c r="F42" s="667"/>
      <c r="G42" s="667"/>
      <c r="H42" s="78" t="s">
        <v>157</v>
      </c>
      <c r="I42" s="249">
        <v>700000</v>
      </c>
      <c r="J42" s="107">
        <f>SUMIFS(APUS!Y:Y,APUS!M:M,INSUMOS!C42)</f>
        <v>0</v>
      </c>
      <c r="K42" s="209">
        <f t="shared" si="2"/>
        <v>0</v>
      </c>
      <c r="N42" s="123">
        <f>IFERROR(SUMIFS(APUS!$Z$9:$Z$2480,APUS!$N41:Q$2480,INSUMOS!D42),0)</f>
        <v>0</v>
      </c>
      <c r="O42" s="114">
        <f t="shared" si="0"/>
        <v>0</v>
      </c>
      <c r="Q42" s="116" t="str">
        <f t="shared" si="1"/>
        <v>SI</v>
      </c>
    </row>
    <row r="43" spans="3:17" hidden="1" x14ac:dyDescent="0.25">
      <c r="C43" s="106">
        <v>34</v>
      </c>
      <c r="D43" s="667" t="s">
        <v>588</v>
      </c>
      <c r="E43" s="667"/>
      <c r="F43" s="667"/>
      <c r="G43" s="667"/>
      <c r="H43" s="111" t="s">
        <v>157</v>
      </c>
      <c r="I43" s="249">
        <v>140000</v>
      </c>
      <c r="J43" s="107">
        <f>SUMIFS(APUS!Y:Y,APUS!M:M,INSUMOS!C43)</f>
        <v>0</v>
      </c>
      <c r="K43" s="209">
        <f t="shared" si="2"/>
        <v>0</v>
      </c>
      <c r="N43" s="123">
        <f>IFERROR(SUMIFS(APUS!$Z$9:$Z$2480,APUS!$N42:Q$2480,INSUMOS!D43),0)</f>
        <v>0</v>
      </c>
      <c r="O43" s="114">
        <f t="shared" si="0"/>
        <v>0</v>
      </c>
      <c r="Q43" s="116" t="str">
        <f t="shared" si="1"/>
        <v>SI</v>
      </c>
    </row>
    <row r="44" spans="3:17" hidden="1" x14ac:dyDescent="0.25">
      <c r="C44" s="106">
        <v>35</v>
      </c>
      <c r="D44" s="667"/>
      <c r="E44" s="667"/>
      <c r="F44" s="667"/>
      <c r="G44" s="667"/>
      <c r="H44" s="111"/>
      <c r="I44" s="249"/>
      <c r="J44" s="107">
        <f>SUMIFS(APUS!Y:Y,APUS!M:M,INSUMOS!C44)</f>
        <v>0</v>
      </c>
      <c r="K44" s="209">
        <f t="shared" si="2"/>
        <v>0</v>
      </c>
      <c r="N44" s="123">
        <f>IFERROR(SUMIFS(APUS!$Z$9:$Z$2480,APUS!$N43:Q$2480,INSUMOS!D44),0)</f>
        <v>0</v>
      </c>
      <c r="O44" s="114">
        <f t="shared" si="0"/>
        <v>0</v>
      </c>
      <c r="Q44" s="116" t="str">
        <f t="shared" si="1"/>
        <v>SI</v>
      </c>
    </row>
    <row r="45" spans="3:17" hidden="1" x14ac:dyDescent="0.25">
      <c r="C45" s="106">
        <v>36</v>
      </c>
      <c r="D45" s="667" t="s">
        <v>589</v>
      </c>
      <c r="E45" s="667"/>
      <c r="F45" s="667"/>
      <c r="G45" s="667"/>
      <c r="H45" s="111" t="s">
        <v>157</v>
      </c>
      <c r="I45" s="249">
        <v>200000</v>
      </c>
      <c r="J45" s="107">
        <f>SUMIFS(APUS!Y:Y,APUS!M:M,INSUMOS!C45)</f>
        <v>0</v>
      </c>
      <c r="K45" s="209">
        <f t="shared" si="2"/>
        <v>0</v>
      </c>
      <c r="N45" s="123">
        <f>IFERROR(SUMIFS(APUS!$Z$9:$Z$2480,APUS!$N44:Q$2480,INSUMOS!D45),0)</f>
        <v>0</v>
      </c>
      <c r="O45" s="114">
        <f t="shared" si="0"/>
        <v>0</v>
      </c>
      <c r="Q45" s="116" t="str">
        <f t="shared" si="1"/>
        <v>SI</v>
      </c>
    </row>
    <row r="46" spans="3:17" hidden="1" x14ac:dyDescent="0.25">
      <c r="C46" s="106">
        <v>37</v>
      </c>
      <c r="D46" s="667"/>
      <c r="E46" s="667"/>
      <c r="F46" s="667"/>
      <c r="G46" s="667"/>
      <c r="H46" s="111"/>
      <c r="I46" s="249"/>
      <c r="J46" s="107">
        <f>SUMIFS(APUS!Y:Y,APUS!M:M,INSUMOS!C46)</f>
        <v>0</v>
      </c>
      <c r="K46" s="209">
        <f t="shared" si="2"/>
        <v>0</v>
      </c>
      <c r="N46" s="123">
        <f>IFERROR(SUMIFS(APUS!$Z$9:$Z$2480,APUS!$N45:Q$2480,INSUMOS!D46),0)</f>
        <v>0</v>
      </c>
      <c r="O46" s="114">
        <f t="shared" si="0"/>
        <v>0</v>
      </c>
      <c r="Q46" s="116" t="str">
        <f t="shared" si="1"/>
        <v>SI</v>
      </c>
    </row>
    <row r="47" spans="3:17" hidden="1" x14ac:dyDescent="0.25">
      <c r="C47" s="106">
        <v>38</v>
      </c>
      <c r="D47" s="667"/>
      <c r="E47" s="667"/>
      <c r="F47" s="667"/>
      <c r="G47" s="667"/>
      <c r="H47" s="111"/>
      <c r="I47" s="249"/>
      <c r="J47" s="107">
        <f>SUMIFS(APUS!Y:Y,APUS!M:M,INSUMOS!C47)</f>
        <v>0</v>
      </c>
      <c r="K47" s="209">
        <f t="shared" si="2"/>
        <v>0</v>
      </c>
      <c r="N47" s="123">
        <f>IFERROR(SUMIFS(APUS!$Z$9:$Z$2480,APUS!$N46:Q$2480,INSUMOS!D47),0)</f>
        <v>0</v>
      </c>
      <c r="O47" s="114">
        <f t="shared" si="0"/>
        <v>0</v>
      </c>
      <c r="Q47" s="116" t="str">
        <f t="shared" si="1"/>
        <v>SI</v>
      </c>
    </row>
    <row r="48" spans="3:17" hidden="1" x14ac:dyDescent="0.25">
      <c r="C48" s="106">
        <v>39</v>
      </c>
      <c r="D48" s="667"/>
      <c r="E48" s="667"/>
      <c r="F48" s="667"/>
      <c r="G48" s="667"/>
      <c r="H48" s="111"/>
      <c r="I48" s="249"/>
      <c r="J48" s="107">
        <f>SUMIFS(APUS!Y:Y,APUS!M:M,INSUMOS!C48)</f>
        <v>0</v>
      </c>
      <c r="K48" s="209">
        <f t="shared" si="2"/>
        <v>0</v>
      </c>
      <c r="N48" s="123">
        <f>IFERROR(SUMIFS(APUS!$Z$9:$Z$2480,APUS!$N47:Q$2480,INSUMOS!D48),0)</f>
        <v>0</v>
      </c>
      <c r="O48" s="114">
        <f t="shared" si="0"/>
        <v>0</v>
      </c>
      <c r="Q48" s="116" t="str">
        <f t="shared" si="1"/>
        <v>SI</v>
      </c>
    </row>
    <row r="49" spans="3:17" hidden="1" x14ac:dyDescent="0.25">
      <c r="C49" s="106">
        <v>40</v>
      </c>
      <c r="D49" s="667"/>
      <c r="E49" s="667"/>
      <c r="F49" s="667"/>
      <c r="G49" s="667"/>
      <c r="H49" s="111"/>
      <c r="I49" s="249"/>
      <c r="J49" s="107">
        <f>SUMIFS(APUS!Y:Y,APUS!M:M,INSUMOS!C49)</f>
        <v>0</v>
      </c>
      <c r="K49" s="209">
        <f t="shared" si="2"/>
        <v>0</v>
      </c>
      <c r="N49" s="123">
        <f>IFERROR(SUMIFS(APUS!$Z$9:$Z$2480,APUS!$N48:Q$2480,INSUMOS!D49),0)</f>
        <v>0</v>
      </c>
      <c r="O49" s="114">
        <f t="shared" si="0"/>
        <v>0</v>
      </c>
      <c r="Q49" s="116" t="str">
        <f t="shared" si="1"/>
        <v>SI</v>
      </c>
    </row>
    <row r="50" spans="3:17" hidden="1" x14ac:dyDescent="0.25">
      <c r="C50" s="106">
        <v>41</v>
      </c>
      <c r="D50" s="667"/>
      <c r="E50" s="667"/>
      <c r="F50" s="667"/>
      <c r="G50" s="667"/>
      <c r="H50" s="111"/>
      <c r="I50" s="249"/>
      <c r="J50" s="107">
        <f>SUMIFS(APUS!Y:Y,APUS!M:M,INSUMOS!C50)</f>
        <v>0</v>
      </c>
      <c r="K50" s="209">
        <f t="shared" si="2"/>
        <v>0</v>
      </c>
      <c r="N50" s="123">
        <f>IFERROR(SUMIFS(APUS!$Z$9:$Z$2480,APUS!$N49:Q$2480,INSUMOS!D50),0)</f>
        <v>0</v>
      </c>
      <c r="O50" s="114">
        <f t="shared" si="0"/>
        <v>0</v>
      </c>
      <c r="Q50" s="116" t="str">
        <f t="shared" si="1"/>
        <v>SI</v>
      </c>
    </row>
    <row r="51" spans="3:17" hidden="1" x14ac:dyDescent="0.25">
      <c r="C51" s="106">
        <v>42</v>
      </c>
      <c r="D51" s="667"/>
      <c r="E51" s="667"/>
      <c r="F51" s="667"/>
      <c r="G51" s="667"/>
      <c r="H51" s="111"/>
      <c r="I51" s="249"/>
      <c r="J51" s="107">
        <f>SUMIFS(APUS!Y:Y,APUS!M:M,INSUMOS!C51)</f>
        <v>0</v>
      </c>
      <c r="K51" s="209">
        <f t="shared" si="2"/>
        <v>0</v>
      </c>
      <c r="N51" s="123">
        <f>IFERROR(SUMIFS(APUS!$Z$9:$Z$2480,APUS!$N50:Q$2480,INSUMOS!D51),0)</f>
        <v>0</v>
      </c>
      <c r="O51" s="114">
        <f t="shared" si="0"/>
        <v>0</v>
      </c>
      <c r="Q51" s="116" t="str">
        <f t="shared" si="1"/>
        <v>SI</v>
      </c>
    </row>
    <row r="52" spans="3:17" hidden="1" x14ac:dyDescent="0.25">
      <c r="C52" s="106">
        <v>43</v>
      </c>
      <c r="D52" s="667"/>
      <c r="E52" s="667"/>
      <c r="F52" s="667"/>
      <c r="G52" s="667"/>
      <c r="H52" s="111"/>
      <c r="I52" s="249"/>
      <c r="J52" s="107">
        <f>SUMIFS(APUS!Y:Y,APUS!M:M,INSUMOS!C52)</f>
        <v>0</v>
      </c>
      <c r="K52" s="209">
        <f t="shared" si="2"/>
        <v>0</v>
      </c>
      <c r="N52" s="123">
        <f>IFERROR(SUMIFS(APUS!$Z$9:$Z$2480,APUS!$N51:Q$2480,INSUMOS!D52),0)</f>
        <v>0</v>
      </c>
      <c r="O52" s="114">
        <f t="shared" si="0"/>
        <v>0</v>
      </c>
      <c r="Q52" s="116" t="str">
        <f t="shared" si="1"/>
        <v>SI</v>
      </c>
    </row>
    <row r="53" spans="3:17" hidden="1" x14ac:dyDescent="0.25">
      <c r="C53" s="106">
        <v>44</v>
      </c>
      <c r="D53" s="667"/>
      <c r="E53" s="667"/>
      <c r="F53" s="667"/>
      <c r="G53" s="667"/>
      <c r="H53" s="111"/>
      <c r="I53" s="249"/>
      <c r="J53" s="107">
        <f>SUMIFS(APUS!Y:Y,APUS!M:M,INSUMOS!C53)</f>
        <v>0</v>
      </c>
      <c r="K53" s="209">
        <f t="shared" si="2"/>
        <v>0</v>
      </c>
      <c r="N53" s="123">
        <f>IFERROR(SUMIFS(APUS!$Z$9:$Z$2480,APUS!$N52:Q$2480,INSUMOS!D53),0)</f>
        <v>0</v>
      </c>
      <c r="O53" s="114">
        <f t="shared" si="0"/>
        <v>0</v>
      </c>
      <c r="Q53" s="116" t="str">
        <f t="shared" si="1"/>
        <v>SI</v>
      </c>
    </row>
    <row r="54" spans="3:17" hidden="1" x14ac:dyDescent="0.25">
      <c r="C54" s="106">
        <v>45</v>
      </c>
      <c r="D54" s="667"/>
      <c r="E54" s="667"/>
      <c r="F54" s="667"/>
      <c r="G54" s="667"/>
      <c r="H54" s="111"/>
      <c r="I54" s="249"/>
      <c r="J54" s="107">
        <f>SUMIFS(APUS!Y:Y,APUS!M:M,INSUMOS!C54)</f>
        <v>0</v>
      </c>
      <c r="K54" s="209">
        <f t="shared" si="2"/>
        <v>0</v>
      </c>
      <c r="N54" s="123">
        <f>IFERROR(SUMIFS(APUS!$Z$9:$Z$2480,APUS!$N53:Q$2480,INSUMOS!D54),0)</f>
        <v>0</v>
      </c>
      <c r="O54" s="114">
        <f t="shared" si="0"/>
        <v>0</v>
      </c>
      <c r="Q54" s="116" t="str">
        <f t="shared" si="1"/>
        <v>SI</v>
      </c>
    </row>
    <row r="55" spans="3:17" hidden="1" x14ac:dyDescent="0.25">
      <c r="C55" s="106">
        <v>46</v>
      </c>
      <c r="D55" s="667"/>
      <c r="E55" s="667"/>
      <c r="F55" s="667"/>
      <c r="G55" s="667"/>
      <c r="H55" s="111"/>
      <c r="I55" s="249"/>
      <c r="J55" s="107">
        <f>SUMIFS(APUS!Y:Y,APUS!M:M,INSUMOS!C55)</f>
        <v>0</v>
      </c>
      <c r="K55" s="209">
        <f t="shared" si="2"/>
        <v>0</v>
      </c>
      <c r="N55" s="123">
        <f>IFERROR(SUMIFS(APUS!$Z$9:$Z$2480,APUS!$N54:Q$2480,INSUMOS!D55),0)</f>
        <v>0</v>
      </c>
      <c r="O55" s="114">
        <f t="shared" si="0"/>
        <v>0</v>
      </c>
      <c r="Q55" s="116" t="str">
        <f t="shared" si="1"/>
        <v>SI</v>
      </c>
    </row>
    <row r="56" spans="3:17" hidden="1" x14ac:dyDescent="0.25">
      <c r="C56" s="106">
        <v>47</v>
      </c>
      <c r="D56" s="667"/>
      <c r="E56" s="667"/>
      <c r="F56" s="667"/>
      <c r="G56" s="667"/>
      <c r="H56" s="111"/>
      <c r="I56" s="249"/>
      <c r="J56" s="107">
        <f>SUMIFS(APUS!Y:Y,APUS!M:M,INSUMOS!C56)</f>
        <v>0</v>
      </c>
      <c r="K56" s="209">
        <f t="shared" si="2"/>
        <v>0</v>
      </c>
      <c r="N56" s="123">
        <f>IFERROR(SUMIFS(APUS!$Z$9:$Z$2480,APUS!$N55:Q$2480,INSUMOS!D56),0)</f>
        <v>0</v>
      </c>
      <c r="O56" s="114">
        <f t="shared" si="0"/>
        <v>0</v>
      </c>
      <c r="Q56" s="116" t="str">
        <f t="shared" si="1"/>
        <v>SI</v>
      </c>
    </row>
    <row r="57" spans="3:17" hidden="1" x14ac:dyDescent="0.25">
      <c r="C57" s="106">
        <v>48</v>
      </c>
      <c r="D57" s="667"/>
      <c r="E57" s="667"/>
      <c r="F57" s="667"/>
      <c r="G57" s="667"/>
      <c r="H57" s="111"/>
      <c r="I57" s="249"/>
      <c r="J57" s="107">
        <f>SUMIFS(APUS!Y:Y,APUS!M:M,INSUMOS!C57)</f>
        <v>0</v>
      </c>
      <c r="K57" s="209">
        <f t="shared" si="2"/>
        <v>0</v>
      </c>
      <c r="N57" s="123">
        <f>IFERROR(SUMIFS(APUS!$Z$9:$Z$2480,APUS!$N56:Q$2480,INSUMOS!D57),0)</f>
        <v>0</v>
      </c>
      <c r="O57" s="114">
        <f t="shared" si="0"/>
        <v>0</v>
      </c>
      <c r="Q57" s="116" t="str">
        <f t="shared" si="1"/>
        <v>SI</v>
      </c>
    </row>
    <row r="58" spans="3:17" hidden="1" x14ac:dyDescent="0.25">
      <c r="C58" s="106">
        <v>49</v>
      </c>
      <c r="D58" s="667"/>
      <c r="E58" s="667"/>
      <c r="F58" s="667"/>
      <c r="G58" s="667"/>
      <c r="H58" s="111"/>
      <c r="I58" s="249"/>
      <c r="J58" s="107">
        <f>SUMIFS(APUS!Y:Y,APUS!M:M,INSUMOS!C58)</f>
        <v>0</v>
      </c>
      <c r="K58" s="209">
        <f t="shared" si="2"/>
        <v>0</v>
      </c>
      <c r="N58" s="123">
        <f>IFERROR(SUMIFS(APUS!$Z$9:$Z$2480,APUS!$N57:Q$2480,INSUMOS!D58),0)</f>
        <v>0</v>
      </c>
      <c r="O58" s="114">
        <f t="shared" si="0"/>
        <v>0</v>
      </c>
      <c r="Q58" s="116" t="str">
        <f t="shared" si="1"/>
        <v>SI</v>
      </c>
    </row>
    <row r="59" spans="3:17" hidden="1" x14ac:dyDescent="0.25">
      <c r="C59" s="106">
        <v>50</v>
      </c>
      <c r="D59" s="667"/>
      <c r="E59" s="667"/>
      <c r="F59" s="667"/>
      <c r="G59" s="667"/>
      <c r="H59" s="111"/>
      <c r="I59" s="249"/>
      <c r="J59" s="107">
        <f>SUMIFS(APUS!Y:Y,APUS!M:M,INSUMOS!C59)</f>
        <v>0</v>
      </c>
      <c r="K59" s="209">
        <f t="shared" si="2"/>
        <v>0</v>
      </c>
      <c r="N59" s="123">
        <f>IFERROR(SUMIFS(APUS!$Z$9:$Z$2480,APUS!$N58:Q$2480,INSUMOS!D59),0)</f>
        <v>0</v>
      </c>
      <c r="O59" s="114">
        <f t="shared" si="0"/>
        <v>0</v>
      </c>
      <c r="Q59" s="116" t="str">
        <f t="shared" si="1"/>
        <v>SI</v>
      </c>
    </row>
    <row r="60" spans="3:17" hidden="1" x14ac:dyDescent="0.25">
      <c r="C60" s="106">
        <v>51</v>
      </c>
      <c r="D60" s="667"/>
      <c r="E60" s="667"/>
      <c r="F60" s="667"/>
      <c r="G60" s="667"/>
      <c r="H60" s="111"/>
      <c r="I60" s="249"/>
      <c r="J60" s="107">
        <f>SUMIFS(APUS!Y:Y,APUS!M:M,INSUMOS!C60)</f>
        <v>0</v>
      </c>
      <c r="K60" s="209">
        <f t="shared" si="2"/>
        <v>0</v>
      </c>
      <c r="N60" s="123">
        <f>IFERROR(SUMIFS(APUS!$Z$9:$Z$2480,APUS!$N59:Q$2480,INSUMOS!D60),0)</f>
        <v>0</v>
      </c>
      <c r="O60" s="114">
        <f t="shared" si="0"/>
        <v>0</v>
      </c>
      <c r="Q60" s="116" t="str">
        <f t="shared" si="1"/>
        <v>SI</v>
      </c>
    </row>
    <row r="61" spans="3:17" hidden="1" x14ac:dyDescent="0.25">
      <c r="C61" s="106">
        <v>52</v>
      </c>
      <c r="D61" s="667"/>
      <c r="E61" s="667"/>
      <c r="F61" s="667"/>
      <c r="G61" s="667"/>
      <c r="H61" s="111"/>
      <c r="I61" s="249"/>
      <c r="J61" s="107">
        <f>SUMIFS(APUS!Y:Y,APUS!M:M,INSUMOS!C61)</f>
        <v>0</v>
      </c>
      <c r="K61" s="209">
        <f t="shared" si="2"/>
        <v>0</v>
      </c>
      <c r="N61" s="123">
        <f>IFERROR(SUMIFS(APUS!$Z$9:$Z$2480,APUS!$N60:Q$2480,INSUMOS!D61),0)</f>
        <v>0</v>
      </c>
      <c r="O61" s="114">
        <f t="shared" si="0"/>
        <v>0</v>
      </c>
      <c r="Q61" s="116" t="str">
        <f t="shared" si="1"/>
        <v>SI</v>
      </c>
    </row>
    <row r="62" spans="3:17" hidden="1" x14ac:dyDescent="0.25">
      <c r="C62" s="106">
        <v>53</v>
      </c>
      <c r="D62" s="667"/>
      <c r="E62" s="667"/>
      <c r="F62" s="667"/>
      <c r="G62" s="667"/>
      <c r="H62" s="111"/>
      <c r="I62" s="249"/>
      <c r="J62" s="107">
        <f>SUMIFS(APUS!Y:Y,APUS!M:M,INSUMOS!C62)</f>
        <v>0</v>
      </c>
      <c r="K62" s="209">
        <f t="shared" si="2"/>
        <v>0</v>
      </c>
      <c r="N62" s="123">
        <f>IFERROR(SUMIFS(APUS!$Z$9:$Z$2480,APUS!$N61:Q$2480,INSUMOS!D62),0)</f>
        <v>0</v>
      </c>
      <c r="O62" s="114">
        <f t="shared" si="0"/>
        <v>0</v>
      </c>
      <c r="Q62" s="116" t="str">
        <f t="shared" si="1"/>
        <v>SI</v>
      </c>
    </row>
    <row r="63" spans="3:17" hidden="1" x14ac:dyDescent="0.25">
      <c r="C63" s="106">
        <v>54</v>
      </c>
      <c r="D63" s="667"/>
      <c r="E63" s="667"/>
      <c r="F63" s="667"/>
      <c r="G63" s="667"/>
      <c r="H63" s="111"/>
      <c r="I63" s="249"/>
      <c r="J63" s="107">
        <f>SUMIFS(APUS!Y:Y,APUS!M:M,INSUMOS!C63)</f>
        <v>0</v>
      </c>
      <c r="K63" s="209">
        <f t="shared" si="2"/>
        <v>0</v>
      </c>
      <c r="N63" s="123">
        <f>IFERROR(SUMIFS(APUS!$Z$9:$Z$2480,APUS!$N62:Q$2480,INSUMOS!D63),0)</f>
        <v>0</v>
      </c>
      <c r="O63" s="114">
        <f t="shared" si="0"/>
        <v>0</v>
      </c>
      <c r="Q63" s="116" t="str">
        <f t="shared" si="1"/>
        <v>SI</v>
      </c>
    </row>
    <row r="64" spans="3:17" hidden="1" x14ac:dyDescent="0.25">
      <c r="C64" s="106">
        <v>55</v>
      </c>
      <c r="D64" s="667"/>
      <c r="E64" s="667"/>
      <c r="F64" s="667"/>
      <c r="G64" s="667"/>
      <c r="H64" s="111"/>
      <c r="I64" s="249"/>
      <c r="J64" s="107">
        <f>SUMIFS(APUS!Y:Y,APUS!M:M,INSUMOS!C64)</f>
        <v>0</v>
      </c>
      <c r="K64" s="209">
        <f t="shared" si="2"/>
        <v>0</v>
      </c>
      <c r="N64" s="123">
        <f>IFERROR(SUMIFS(APUS!$Z$9:$Z$2480,APUS!$N63:Q$2480,INSUMOS!D64),0)</f>
        <v>0</v>
      </c>
      <c r="O64" s="114">
        <f t="shared" si="0"/>
        <v>0</v>
      </c>
      <c r="Q64" s="116" t="str">
        <f t="shared" si="1"/>
        <v>SI</v>
      </c>
    </row>
    <row r="65" spans="3:17" hidden="1" x14ac:dyDescent="0.25">
      <c r="C65" s="106">
        <v>56</v>
      </c>
      <c r="D65" s="667"/>
      <c r="E65" s="667"/>
      <c r="F65" s="667"/>
      <c r="G65" s="667"/>
      <c r="H65" s="111"/>
      <c r="I65" s="249"/>
      <c r="J65" s="107">
        <f>SUMIFS(APUS!Y:Y,APUS!M:M,INSUMOS!C65)</f>
        <v>0</v>
      </c>
      <c r="K65" s="209">
        <f t="shared" si="2"/>
        <v>0</v>
      </c>
      <c r="N65" s="123">
        <f>IFERROR(SUMIFS(APUS!$Z$9:$Z$2480,APUS!$N64:Q$2480,INSUMOS!D65),0)</f>
        <v>0</v>
      </c>
      <c r="O65" s="114">
        <f t="shared" si="0"/>
        <v>0</v>
      </c>
      <c r="Q65" s="116" t="str">
        <f t="shared" si="1"/>
        <v>SI</v>
      </c>
    </row>
    <row r="66" spans="3:17" hidden="1" x14ac:dyDescent="0.25">
      <c r="C66" s="106">
        <v>57</v>
      </c>
      <c r="D66" s="667"/>
      <c r="E66" s="667"/>
      <c r="F66" s="667"/>
      <c r="G66" s="667"/>
      <c r="H66" s="111"/>
      <c r="I66" s="249"/>
      <c r="J66" s="107">
        <f>SUMIFS(APUS!Y:Y,APUS!M:M,INSUMOS!C66)</f>
        <v>0</v>
      </c>
      <c r="K66" s="209">
        <f t="shared" si="2"/>
        <v>0</v>
      </c>
      <c r="N66" s="123">
        <f>IFERROR(SUMIFS(APUS!$Z$9:$Z$2480,APUS!$N65:Q$2480,INSUMOS!D66),0)</f>
        <v>0</v>
      </c>
      <c r="O66" s="114">
        <f t="shared" si="0"/>
        <v>0</v>
      </c>
      <c r="Q66" s="116" t="str">
        <f t="shared" si="1"/>
        <v>SI</v>
      </c>
    </row>
    <row r="67" spans="3:17" hidden="1" x14ac:dyDescent="0.25">
      <c r="C67" s="106">
        <v>58</v>
      </c>
      <c r="D67" s="667"/>
      <c r="E67" s="667"/>
      <c r="F67" s="667"/>
      <c r="G67" s="667"/>
      <c r="H67" s="111"/>
      <c r="I67" s="249"/>
      <c r="J67" s="107">
        <f>SUMIFS(APUS!Y:Y,APUS!M:M,INSUMOS!C67)</f>
        <v>0</v>
      </c>
      <c r="K67" s="209">
        <f t="shared" si="2"/>
        <v>0</v>
      </c>
      <c r="N67" s="123">
        <f>IFERROR(SUMIFS(APUS!$Z$9:$Z$2480,APUS!$N66:Q$2480,INSUMOS!D67),0)</f>
        <v>0</v>
      </c>
      <c r="O67" s="114">
        <f t="shared" si="0"/>
        <v>0</v>
      </c>
      <c r="Q67" s="116" t="str">
        <f t="shared" si="1"/>
        <v>SI</v>
      </c>
    </row>
    <row r="68" spans="3:17" hidden="1" x14ac:dyDescent="0.25">
      <c r="C68" s="106">
        <v>59</v>
      </c>
      <c r="D68" s="667"/>
      <c r="E68" s="667"/>
      <c r="F68" s="667"/>
      <c r="G68" s="667"/>
      <c r="H68" s="111"/>
      <c r="I68" s="249"/>
      <c r="J68" s="107">
        <f>SUMIFS(APUS!Y:Y,APUS!M:M,INSUMOS!C68)</f>
        <v>0</v>
      </c>
      <c r="K68" s="209">
        <f t="shared" si="2"/>
        <v>0</v>
      </c>
      <c r="N68" s="123">
        <f>IFERROR(SUMIFS(APUS!$Z$9:$Z$2480,APUS!$N67:Q$2480,INSUMOS!D68),0)</f>
        <v>0</v>
      </c>
      <c r="O68" s="114">
        <f t="shared" si="0"/>
        <v>0</v>
      </c>
      <c r="Q68" s="116" t="str">
        <f t="shared" si="1"/>
        <v>SI</v>
      </c>
    </row>
    <row r="69" spans="3:17" hidden="1" x14ac:dyDescent="0.25">
      <c r="C69" s="106">
        <v>60</v>
      </c>
      <c r="D69" s="667"/>
      <c r="E69" s="667"/>
      <c r="F69" s="667"/>
      <c r="G69" s="667"/>
      <c r="H69" s="111"/>
      <c r="I69" s="249"/>
      <c r="J69" s="107">
        <f>SUMIFS(APUS!Y:Y,APUS!M:M,INSUMOS!C69)</f>
        <v>0</v>
      </c>
      <c r="K69" s="209">
        <f t="shared" si="2"/>
        <v>0</v>
      </c>
      <c r="N69" s="123">
        <f>IFERROR(SUMIFS(APUS!$Z$9:$Z$2480,APUS!$N68:Q$2480,INSUMOS!D69),0)</f>
        <v>0</v>
      </c>
      <c r="O69" s="114">
        <f t="shared" si="0"/>
        <v>0</v>
      </c>
      <c r="Q69" s="116" t="str">
        <f t="shared" si="1"/>
        <v>SI</v>
      </c>
    </row>
    <row r="70" spans="3:17" hidden="1" x14ac:dyDescent="0.25">
      <c r="C70" s="106">
        <v>61</v>
      </c>
      <c r="D70" s="667"/>
      <c r="E70" s="667"/>
      <c r="F70" s="667"/>
      <c r="G70" s="667"/>
      <c r="H70" s="111"/>
      <c r="I70" s="249"/>
      <c r="J70" s="107">
        <f>SUMIFS(APUS!Y:Y,APUS!M:M,INSUMOS!C70)</f>
        <v>0</v>
      </c>
      <c r="K70" s="209">
        <f t="shared" si="2"/>
        <v>0</v>
      </c>
      <c r="N70" s="123">
        <f>IFERROR(SUMIFS(APUS!$Z$9:$Z$2480,APUS!$N69:Q$2480,INSUMOS!D70),0)</f>
        <v>0</v>
      </c>
      <c r="O70" s="114">
        <f t="shared" si="0"/>
        <v>0</v>
      </c>
      <c r="Q70" s="116" t="str">
        <f t="shared" si="1"/>
        <v>SI</v>
      </c>
    </row>
    <row r="71" spans="3:17" hidden="1" x14ac:dyDescent="0.25">
      <c r="C71" s="106">
        <v>62</v>
      </c>
      <c r="D71" s="667"/>
      <c r="E71" s="667"/>
      <c r="F71" s="667"/>
      <c r="G71" s="667"/>
      <c r="H71" s="111"/>
      <c r="I71" s="249"/>
      <c r="J71" s="107">
        <f>SUMIFS(APUS!Y:Y,APUS!M:M,INSUMOS!C71)</f>
        <v>0</v>
      </c>
      <c r="K71" s="209">
        <f t="shared" si="2"/>
        <v>0</v>
      </c>
      <c r="N71" s="123">
        <f>IFERROR(SUMIFS(APUS!$Z$9:$Z$2480,APUS!$N70:Q$2480,INSUMOS!D71),0)</f>
        <v>0</v>
      </c>
      <c r="O71" s="114">
        <f t="shared" si="0"/>
        <v>0</v>
      </c>
      <c r="Q71" s="116" t="str">
        <f t="shared" si="1"/>
        <v>SI</v>
      </c>
    </row>
    <row r="72" spans="3:17" hidden="1" x14ac:dyDescent="0.25">
      <c r="C72" s="106">
        <v>63</v>
      </c>
      <c r="D72" s="667"/>
      <c r="E72" s="667"/>
      <c r="F72" s="667"/>
      <c r="G72" s="667"/>
      <c r="H72" s="111"/>
      <c r="I72" s="249"/>
      <c r="J72" s="107">
        <f>SUMIFS(APUS!Y:Y,APUS!M:M,INSUMOS!C72)</f>
        <v>0</v>
      </c>
      <c r="K72" s="209">
        <f t="shared" si="2"/>
        <v>0</v>
      </c>
      <c r="N72" s="123">
        <f>IFERROR(SUMIFS(APUS!$Z$9:$Z$2480,APUS!$N71:Q$2480,INSUMOS!D72),0)</f>
        <v>0</v>
      </c>
      <c r="O72" s="114">
        <f t="shared" si="0"/>
        <v>0</v>
      </c>
      <c r="Q72" s="116" t="str">
        <f t="shared" si="1"/>
        <v>SI</v>
      </c>
    </row>
    <row r="73" spans="3:17" hidden="1" x14ac:dyDescent="0.25">
      <c r="C73" s="106">
        <v>64</v>
      </c>
      <c r="D73" s="667"/>
      <c r="E73" s="667"/>
      <c r="F73" s="667"/>
      <c r="G73" s="667"/>
      <c r="H73" s="111"/>
      <c r="I73" s="249"/>
      <c r="J73" s="107">
        <f>SUMIFS(APUS!Y:Y,APUS!M:M,INSUMOS!C73)</f>
        <v>0</v>
      </c>
      <c r="K73" s="209">
        <f t="shared" si="2"/>
        <v>0</v>
      </c>
      <c r="N73" s="123">
        <f>IFERROR(SUMIFS(APUS!$Z$9:$Z$2480,APUS!$N72:Q$2480,INSUMOS!D73),0)</f>
        <v>0</v>
      </c>
      <c r="O73" s="114">
        <f t="shared" si="0"/>
        <v>0</v>
      </c>
      <c r="Q73" s="116" t="str">
        <f t="shared" si="1"/>
        <v>SI</v>
      </c>
    </row>
    <row r="74" spans="3:17" hidden="1" x14ac:dyDescent="0.25">
      <c r="C74" s="106">
        <v>65</v>
      </c>
      <c r="D74" s="667"/>
      <c r="E74" s="667"/>
      <c r="F74" s="667"/>
      <c r="G74" s="667"/>
      <c r="H74" s="111"/>
      <c r="I74" s="249"/>
      <c r="J74" s="107">
        <f>SUMIFS(APUS!Y:Y,APUS!M:M,INSUMOS!C74)</f>
        <v>0</v>
      </c>
      <c r="K74" s="209">
        <f t="shared" si="2"/>
        <v>0</v>
      </c>
      <c r="N74" s="123">
        <f>IFERROR(SUMIFS(APUS!$Z$9:$Z$2480,APUS!$N73:Q$2480,INSUMOS!D74),0)</f>
        <v>0</v>
      </c>
      <c r="O74" s="114">
        <f t="shared" si="0"/>
        <v>0</v>
      </c>
      <c r="Q74" s="116" t="str">
        <f t="shared" ref="Q74:Q108" si="3">+IF(K74=0,"SI","NO")</f>
        <v>SI</v>
      </c>
    </row>
    <row r="75" spans="3:17" hidden="1" x14ac:dyDescent="0.25">
      <c r="C75" s="106">
        <v>66</v>
      </c>
      <c r="D75" s="667"/>
      <c r="E75" s="667"/>
      <c r="F75" s="667"/>
      <c r="G75" s="667"/>
      <c r="H75" s="111"/>
      <c r="I75" s="249"/>
      <c r="J75" s="107">
        <f>SUMIFS(APUS!Y:Y,APUS!M:M,INSUMOS!C75)</f>
        <v>0</v>
      </c>
      <c r="K75" s="209">
        <f t="shared" si="2"/>
        <v>0</v>
      </c>
      <c r="N75" s="123">
        <f>IFERROR(SUMIFS(APUS!$Z$9:$Z$2480,APUS!$N74:Q$2480,INSUMOS!D75),0)</f>
        <v>0</v>
      </c>
      <c r="O75" s="114">
        <f t="shared" ref="O75:O109" si="4">+N75-K75</f>
        <v>0</v>
      </c>
      <c r="Q75" s="116" t="str">
        <f t="shared" si="3"/>
        <v>SI</v>
      </c>
    </row>
    <row r="76" spans="3:17" hidden="1" x14ac:dyDescent="0.25">
      <c r="C76" s="106">
        <v>67</v>
      </c>
      <c r="D76" s="667"/>
      <c r="E76" s="667"/>
      <c r="F76" s="667"/>
      <c r="G76" s="667"/>
      <c r="H76" s="111"/>
      <c r="I76" s="249"/>
      <c r="J76" s="107">
        <f>SUMIFS(APUS!Y:Y,APUS!M:M,INSUMOS!C76)</f>
        <v>0</v>
      </c>
      <c r="K76" s="209">
        <f t="shared" ref="K76:K109" si="5">+J76*I76</f>
        <v>0</v>
      </c>
      <c r="N76" s="123">
        <f>IFERROR(SUMIFS(APUS!$Z$9:$Z$2480,APUS!$N75:Q$2480,INSUMOS!D76),0)</f>
        <v>0</v>
      </c>
      <c r="O76" s="114">
        <f t="shared" si="4"/>
        <v>0</v>
      </c>
      <c r="Q76" s="116" t="str">
        <f t="shared" si="3"/>
        <v>SI</v>
      </c>
    </row>
    <row r="77" spans="3:17" hidden="1" x14ac:dyDescent="0.25">
      <c r="C77" s="106">
        <v>68</v>
      </c>
      <c r="D77" s="667"/>
      <c r="E77" s="667"/>
      <c r="F77" s="667"/>
      <c r="G77" s="667"/>
      <c r="H77" s="111"/>
      <c r="I77" s="249"/>
      <c r="J77" s="107">
        <f>SUMIFS(APUS!Y:Y,APUS!M:M,INSUMOS!C77)</f>
        <v>0</v>
      </c>
      <c r="K77" s="209">
        <f t="shared" si="5"/>
        <v>0</v>
      </c>
      <c r="N77" s="123">
        <f>IFERROR(SUMIFS(APUS!$Z$9:$Z$2480,APUS!$N76:Q$2480,INSUMOS!D77),0)</f>
        <v>0</v>
      </c>
      <c r="O77" s="114">
        <f t="shared" si="4"/>
        <v>0</v>
      </c>
      <c r="Q77" s="116" t="str">
        <f t="shared" si="3"/>
        <v>SI</v>
      </c>
    </row>
    <row r="78" spans="3:17" hidden="1" x14ac:dyDescent="0.25">
      <c r="C78" s="106">
        <v>69</v>
      </c>
      <c r="D78" s="667"/>
      <c r="E78" s="667"/>
      <c r="F78" s="667"/>
      <c r="G78" s="667"/>
      <c r="H78" s="111"/>
      <c r="I78" s="249"/>
      <c r="J78" s="107">
        <f>SUMIFS(APUS!Y:Y,APUS!M:M,INSUMOS!C78)</f>
        <v>0</v>
      </c>
      <c r="K78" s="209">
        <f t="shared" si="5"/>
        <v>0</v>
      </c>
      <c r="N78" s="123">
        <f>IFERROR(SUMIFS(APUS!$Z$9:$Z$2480,APUS!$N77:Q$2480,INSUMOS!D78),0)</f>
        <v>0</v>
      </c>
      <c r="O78" s="114">
        <f t="shared" si="4"/>
        <v>0</v>
      </c>
      <c r="Q78" s="116" t="str">
        <f t="shared" si="3"/>
        <v>SI</v>
      </c>
    </row>
    <row r="79" spans="3:17" hidden="1" x14ac:dyDescent="0.25">
      <c r="C79" s="106">
        <v>70</v>
      </c>
      <c r="D79" s="667"/>
      <c r="E79" s="667"/>
      <c r="F79" s="667"/>
      <c r="G79" s="667"/>
      <c r="H79" s="111"/>
      <c r="I79" s="249"/>
      <c r="J79" s="107">
        <f>SUMIFS(APUS!Y:Y,APUS!M:M,INSUMOS!C79)</f>
        <v>0</v>
      </c>
      <c r="K79" s="209">
        <f t="shared" si="5"/>
        <v>0</v>
      </c>
      <c r="N79" s="123">
        <f>IFERROR(SUMIFS(APUS!$Z$9:$Z$2480,APUS!$N78:Q$2480,INSUMOS!D79),0)</f>
        <v>0</v>
      </c>
      <c r="O79" s="114">
        <f t="shared" si="4"/>
        <v>0</v>
      </c>
      <c r="Q79" s="116" t="str">
        <f t="shared" si="3"/>
        <v>SI</v>
      </c>
    </row>
    <row r="80" spans="3:17" hidden="1" x14ac:dyDescent="0.25">
      <c r="C80" s="106">
        <v>71</v>
      </c>
      <c r="D80" s="667"/>
      <c r="E80" s="667"/>
      <c r="F80" s="667"/>
      <c r="G80" s="667"/>
      <c r="H80" s="111"/>
      <c r="I80" s="249"/>
      <c r="J80" s="107">
        <f>SUMIFS(APUS!Y:Y,APUS!M:M,INSUMOS!C80)</f>
        <v>0</v>
      </c>
      <c r="K80" s="209">
        <f t="shared" si="5"/>
        <v>0</v>
      </c>
      <c r="N80" s="123">
        <f>IFERROR(SUMIFS(APUS!$Z$9:$Z$2480,APUS!$N79:Q$2480,INSUMOS!D80),0)</f>
        <v>0</v>
      </c>
      <c r="O80" s="114">
        <f t="shared" si="4"/>
        <v>0</v>
      </c>
      <c r="Q80" s="116" t="str">
        <f t="shared" si="3"/>
        <v>SI</v>
      </c>
    </row>
    <row r="81" spans="3:17" hidden="1" x14ac:dyDescent="0.25">
      <c r="C81" s="106">
        <v>72</v>
      </c>
      <c r="D81" s="667"/>
      <c r="E81" s="667"/>
      <c r="F81" s="667"/>
      <c r="G81" s="667"/>
      <c r="H81" s="111"/>
      <c r="I81" s="249"/>
      <c r="J81" s="107">
        <f>SUMIFS(APUS!Y:Y,APUS!M:M,INSUMOS!C81)</f>
        <v>0</v>
      </c>
      <c r="K81" s="209">
        <f t="shared" si="5"/>
        <v>0</v>
      </c>
      <c r="N81" s="123">
        <f>IFERROR(SUMIFS(APUS!$Z$9:$Z$2480,APUS!$N80:Q$2480,INSUMOS!D81),0)</f>
        <v>0</v>
      </c>
      <c r="O81" s="114">
        <f t="shared" si="4"/>
        <v>0</v>
      </c>
      <c r="Q81" s="116" t="str">
        <f t="shared" si="3"/>
        <v>SI</v>
      </c>
    </row>
    <row r="82" spans="3:17" hidden="1" x14ac:dyDescent="0.25">
      <c r="C82" s="106">
        <v>73</v>
      </c>
      <c r="D82" s="667"/>
      <c r="E82" s="667"/>
      <c r="F82" s="667"/>
      <c r="G82" s="667"/>
      <c r="H82" s="111"/>
      <c r="I82" s="249"/>
      <c r="J82" s="107">
        <f>SUMIFS(APUS!Y:Y,APUS!M:M,INSUMOS!C82)</f>
        <v>0</v>
      </c>
      <c r="K82" s="209">
        <f t="shared" si="5"/>
        <v>0</v>
      </c>
      <c r="N82" s="123">
        <f>IFERROR(SUMIFS(APUS!$Z$9:$Z$2480,APUS!$N81:Q$2480,INSUMOS!D82),0)</f>
        <v>0</v>
      </c>
      <c r="O82" s="114">
        <f t="shared" si="4"/>
        <v>0</v>
      </c>
      <c r="Q82" s="116" t="str">
        <f t="shared" si="3"/>
        <v>SI</v>
      </c>
    </row>
    <row r="83" spans="3:17" hidden="1" x14ac:dyDescent="0.25">
      <c r="C83" s="106">
        <v>74</v>
      </c>
      <c r="D83" s="667"/>
      <c r="E83" s="667"/>
      <c r="F83" s="667"/>
      <c r="G83" s="667"/>
      <c r="H83" s="111"/>
      <c r="I83" s="249"/>
      <c r="J83" s="107">
        <f>SUMIFS(APUS!Y:Y,APUS!M:M,INSUMOS!C83)</f>
        <v>0</v>
      </c>
      <c r="K83" s="209">
        <f t="shared" si="5"/>
        <v>0</v>
      </c>
      <c r="N83" s="123">
        <f>IFERROR(SUMIFS(APUS!$Z$9:$Z$2480,APUS!$N82:Q$2480,INSUMOS!D83),0)</f>
        <v>0</v>
      </c>
      <c r="O83" s="114">
        <f t="shared" si="4"/>
        <v>0</v>
      </c>
      <c r="Q83" s="116" t="str">
        <f t="shared" si="3"/>
        <v>SI</v>
      </c>
    </row>
    <row r="84" spans="3:17" hidden="1" x14ac:dyDescent="0.25">
      <c r="C84" s="106">
        <v>75</v>
      </c>
      <c r="D84" s="667"/>
      <c r="E84" s="667"/>
      <c r="F84" s="667"/>
      <c r="G84" s="667"/>
      <c r="H84" s="111"/>
      <c r="I84" s="249"/>
      <c r="J84" s="107">
        <f>SUMIFS(APUS!Y:Y,APUS!M:M,INSUMOS!C84)</f>
        <v>0</v>
      </c>
      <c r="K84" s="209">
        <f t="shared" si="5"/>
        <v>0</v>
      </c>
      <c r="N84" s="123">
        <f>IFERROR(SUMIFS(APUS!$Z$9:$Z$2480,APUS!$N83:Q$2480,INSUMOS!D84),0)</f>
        <v>0</v>
      </c>
      <c r="O84" s="114">
        <f t="shared" si="4"/>
        <v>0</v>
      </c>
      <c r="Q84" s="116" t="str">
        <f t="shared" si="3"/>
        <v>SI</v>
      </c>
    </row>
    <row r="85" spans="3:17" hidden="1" x14ac:dyDescent="0.25">
      <c r="C85" s="106">
        <v>76</v>
      </c>
      <c r="D85" s="667"/>
      <c r="E85" s="667"/>
      <c r="F85" s="667"/>
      <c r="G85" s="667"/>
      <c r="H85" s="111"/>
      <c r="I85" s="249"/>
      <c r="J85" s="107">
        <f>SUMIFS(APUS!Y:Y,APUS!M:M,INSUMOS!C85)</f>
        <v>0</v>
      </c>
      <c r="K85" s="209">
        <f t="shared" si="5"/>
        <v>0</v>
      </c>
      <c r="N85" s="123">
        <f>IFERROR(SUMIFS(APUS!$Z$9:$Z$2480,APUS!$N84:Q$2480,INSUMOS!D85),0)</f>
        <v>0</v>
      </c>
      <c r="O85" s="114">
        <f t="shared" si="4"/>
        <v>0</v>
      </c>
      <c r="Q85" s="116" t="str">
        <f t="shared" si="3"/>
        <v>SI</v>
      </c>
    </row>
    <row r="86" spans="3:17" hidden="1" x14ac:dyDescent="0.25">
      <c r="C86" s="106">
        <v>77</v>
      </c>
      <c r="D86" s="667"/>
      <c r="E86" s="667"/>
      <c r="F86" s="667"/>
      <c r="G86" s="667"/>
      <c r="H86" s="111"/>
      <c r="I86" s="249"/>
      <c r="J86" s="107">
        <f>SUMIFS(APUS!Y:Y,APUS!M:M,INSUMOS!C86)</f>
        <v>0</v>
      </c>
      <c r="K86" s="209">
        <f t="shared" si="5"/>
        <v>0</v>
      </c>
      <c r="N86" s="123">
        <f>IFERROR(SUMIFS(APUS!$Z$9:$Z$2480,APUS!$N85:Q$2480,INSUMOS!D86),0)</f>
        <v>0</v>
      </c>
      <c r="O86" s="114">
        <f t="shared" si="4"/>
        <v>0</v>
      </c>
      <c r="Q86" s="116" t="str">
        <f t="shared" si="3"/>
        <v>SI</v>
      </c>
    </row>
    <row r="87" spans="3:17" hidden="1" x14ac:dyDescent="0.25">
      <c r="C87" s="106">
        <v>78</v>
      </c>
      <c r="D87" s="667"/>
      <c r="E87" s="667"/>
      <c r="F87" s="667"/>
      <c r="G87" s="667"/>
      <c r="H87" s="111"/>
      <c r="I87" s="249"/>
      <c r="J87" s="107">
        <f>SUMIFS(APUS!Y:Y,APUS!M:M,INSUMOS!C87)</f>
        <v>0</v>
      </c>
      <c r="K87" s="209">
        <f t="shared" si="5"/>
        <v>0</v>
      </c>
      <c r="N87" s="123">
        <f>IFERROR(SUMIFS(APUS!$Z$9:$Z$2480,APUS!$N86:Q$2480,INSUMOS!D87),0)</f>
        <v>0</v>
      </c>
      <c r="O87" s="114">
        <f t="shared" si="4"/>
        <v>0</v>
      </c>
      <c r="Q87" s="116" t="str">
        <f t="shared" si="3"/>
        <v>SI</v>
      </c>
    </row>
    <row r="88" spans="3:17" hidden="1" x14ac:dyDescent="0.25">
      <c r="C88" s="106">
        <v>79</v>
      </c>
      <c r="D88" s="667"/>
      <c r="E88" s="667"/>
      <c r="F88" s="667"/>
      <c r="G88" s="667"/>
      <c r="H88" s="111"/>
      <c r="I88" s="249"/>
      <c r="J88" s="107">
        <f>SUMIFS(APUS!Y:Y,APUS!M:M,INSUMOS!C88)</f>
        <v>0</v>
      </c>
      <c r="K88" s="209">
        <f t="shared" si="5"/>
        <v>0</v>
      </c>
      <c r="N88" s="123">
        <f>IFERROR(SUMIFS(APUS!$Z$9:$Z$2480,APUS!$N87:Q$2480,INSUMOS!D88),0)</f>
        <v>0</v>
      </c>
      <c r="O88" s="114">
        <f t="shared" si="4"/>
        <v>0</v>
      </c>
      <c r="Q88" s="116" t="str">
        <f t="shared" si="3"/>
        <v>SI</v>
      </c>
    </row>
    <row r="89" spans="3:17" hidden="1" x14ac:dyDescent="0.25">
      <c r="C89" s="106">
        <v>80</v>
      </c>
      <c r="D89" s="667"/>
      <c r="E89" s="667"/>
      <c r="F89" s="667"/>
      <c r="G89" s="667"/>
      <c r="H89" s="111"/>
      <c r="I89" s="249"/>
      <c r="J89" s="107">
        <f>SUMIFS(APUS!Y:Y,APUS!M:M,INSUMOS!C89)</f>
        <v>0</v>
      </c>
      <c r="K89" s="209">
        <f t="shared" si="5"/>
        <v>0</v>
      </c>
      <c r="N89" s="123">
        <f>IFERROR(SUMIFS(APUS!$Z$9:$Z$2480,APUS!$N88:Q$2480,INSUMOS!D89),0)</f>
        <v>0</v>
      </c>
      <c r="O89" s="114">
        <f t="shared" si="4"/>
        <v>0</v>
      </c>
      <c r="Q89" s="116" t="str">
        <f t="shared" si="3"/>
        <v>SI</v>
      </c>
    </row>
    <row r="90" spans="3:17" hidden="1" x14ac:dyDescent="0.25">
      <c r="C90" s="106">
        <v>81</v>
      </c>
      <c r="D90" s="667"/>
      <c r="E90" s="667"/>
      <c r="F90" s="667"/>
      <c r="G90" s="667"/>
      <c r="H90" s="111"/>
      <c r="I90" s="249"/>
      <c r="J90" s="107">
        <f>SUMIFS(APUS!Y:Y,APUS!M:M,INSUMOS!C90)</f>
        <v>0</v>
      </c>
      <c r="K90" s="209">
        <f t="shared" si="5"/>
        <v>0</v>
      </c>
      <c r="N90" s="123">
        <f>IFERROR(SUMIFS(APUS!$Z$9:$Z$2480,APUS!$N89:Q$2480,INSUMOS!D90),0)</f>
        <v>0</v>
      </c>
      <c r="O90" s="114">
        <f t="shared" si="4"/>
        <v>0</v>
      </c>
      <c r="Q90" s="116" t="str">
        <f t="shared" si="3"/>
        <v>SI</v>
      </c>
    </row>
    <row r="91" spans="3:17" hidden="1" x14ac:dyDescent="0.25">
      <c r="C91" s="106">
        <v>82</v>
      </c>
      <c r="D91" s="667"/>
      <c r="E91" s="667"/>
      <c r="F91" s="667"/>
      <c r="G91" s="667"/>
      <c r="H91" s="111"/>
      <c r="I91" s="249"/>
      <c r="J91" s="107">
        <f>SUMIFS(APUS!Y:Y,APUS!M:M,INSUMOS!C91)</f>
        <v>0</v>
      </c>
      <c r="K91" s="209">
        <f t="shared" si="5"/>
        <v>0</v>
      </c>
      <c r="N91" s="123">
        <f>IFERROR(SUMIFS(APUS!$Z$9:$Z$2480,APUS!$N90:Q$2480,INSUMOS!D91),0)</f>
        <v>0</v>
      </c>
      <c r="O91" s="114">
        <f t="shared" si="4"/>
        <v>0</v>
      </c>
      <c r="Q91" s="116" t="str">
        <f t="shared" si="3"/>
        <v>SI</v>
      </c>
    </row>
    <row r="92" spans="3:17" hidden="1" x14ac:dyDescent="0.25">
      <c r="C92" s="106">
        <v>83</v>
      </c>
      <c r="D92" s="667"/>
      <c r="E92" s="667"/>
      <c r="F92" s="667"/>
      <c r="G92" s="667"/>
      <c r="H92" s="111"/>
      <c r="I92" s="249"/>
      <c r="J92" s="107">
        <f>SUMIFS(APUS!Y:Y,APUS!M:M,INSUMOS!C92)</f>
        <v>0</v>
      </c>
      <c r="K92" s="209">
        <f t="shared" si="5"/>
        <v>0</v>
      </c>
      <c r="N92" s="123">
        <f>IFERROR(SUMIFS(APUS!$Z$9:$Z$2480,APUS!$N91:Q$2480,INSUMOS!D92),0)</f>
        <v>0</v>
      </c>
      <c r="O92" s="114">
        <f t="shared" si="4"/>
        <v>0</v>
      </c>
      <c r="Q92" s="116" t="str">
        <f t="shared" si="3"/>
        <v>SI</v>
      </c>
    </row>
    <row r="93" spans="3:17" hidden="1" x14ac:dyDescent="0.25">
      <c r="C93" s="106">
        <v>84</v>
      </c>
      <c r="D93" s="667"/>
      <c r="E93" s="667"/>
      <c r="F93" s="667"/>
      <c r="G93" s="667"/>
      <c r="H93" s="111"/>
      <c r="I93" s="249"/>
      <c r="J93" s="107">
        <f>SUMIFS(APUS!Y:Y,APUS!M:M,INSUMOS!C93)</f>
        <v>0</v>
      </c>
      <c r="K93" s="209">
        <f t="shared" si="5"/>
        <v>0</v>
      </c>
      <c r="N93" s="123">
        <f>IFERROR(SUMIFS(APUS!$Z$9:$Z$2480,APUS!$N92:Q$2480,INSUMOS!D93),0)</f>
        <v>0</v>
      </c>
      <c r="O93" s="114">
        <f t="shared" si="4"/>
        <v>0</v>
      </c>
      <c r="Q93" s="116" t="str">
        <f t="shared" si="3"/>
        <v>SI</v>
      </c>
    </row>
    <row r="94" spans="3:17" hidden="1" x14ac:dyDescent="0.25">
      <c r="C94" s="106">
        <v>85</v>
      </c>
      <c r="D94" s="667"/>
      <c r="E94" s="667"/>
      <c r="F94" s="667"/>
      <c r="G94" s="667"/>
      <c r="H94" s="111"/>
      <c r="I94" s="249"/>
      <c r="J94" s="107">
        <f>SUMIFS(APUS!Y:Y,APUS!M:M,INSUMOS!C94)</f>
        <v>0</v>
      </c>
      <c r="K94" s="209">
        <f t="shared" si="5"/>
        <v>0</v>
      </c>
      <c r="N94" s="123">
        <f>IFERROR(SUMIFS(APUS!$Z$9:$Z$2480,APUS!$N93:Q$2480,INSUMOS!D94),0)</f>
        <v>0</v>
      </c>
      <c r="O94" s="114">
        <f t="shared" si="4"/>
        <v>0</v>
      </c>
      <c r="Q94" s="116" t="str">
        <f t="shared" si="3"/>
        <v>SI</v>
      </c>
    </row>
    <row r="95" spans="3:17" hidden="1" x14ac:dyDescent="0.25">
      <c r="C95" s="106">
        <v>86</v>
      </c>
      <c r="D95" s="667"/>
      <c r="E95" s="667"/>
      <c r="F95" s="667"/>
      <c r="G95" s="667"/>
      <c r="H95" s="111"/>
      <c r="I95" s="249"/>
      <c r="J95" s="107">
        <f>SUMIFS(APUS!Y:Y,APUS!M:M,INSUMOS!C95)</f>
        <v>0</v>
      </c>
      <c r="K95" s="209">
        <f t="shared" si="5"/>
        <v>0</v>
      </c>
      <c r="N95" s="123">
        <f>IFERROR(SUMIFS(APUS!$Z$9:$Z$2480,APUS!$N94:Q$2480,INSUMOS!D95),0)</f>
        <v>0</v>
      </c>
      <c r="O95" s="114">
        <f t="shared" si="4"/>
        <v>0</v>
      </c>
      <c r="Q95" s="116" t="str">
        <f t="shared" si="3"/>
        <v>SI</v>
      </c>
    </row>
    <row r="96" spans="3:17" hidden="1" x14ac:dyDescent="0.25">
      <c r="C96" s="106">
        <v>87</v>
      </c>
      <c r="D96" s="667"/>
      <c r="E96" s="667"/>
      <c r="F96" s="667"/>
      <c r="G96" s="667"/>
      <c r="H96" s="111"/>
      <c r="I96" s="249"/>
      <c r="J96" s="107">
        <f>SUMIFS(APUS!Y:Y,APUS!M:M,INSUMOS!C96)</f>
        <v>0</v>
      </c>
      <c r="K96" s="209">
        <f t="shared" si="5"/>
        <v>0</v>
      </c>
      <c r="N96" s="123">
        <f>IFERROR(SUMIFS(APUS!$Z$9:$Z$2480,APUS!$N95:Q$2480,INSUMOS!D96),0)</f>
        <v>0</v>
      </c>
      <c r="O96" s="114">
        <f t="shared" si="4"/>
        <v>0</v>
      </c>
      <c r="Q96" s="116" t="str">
        <f t="shared" si="3"/>
        <v>SI</v>
      </c>
    </row>
    <row r="97" spans="3:17" hidden="1" x14ac:dyDescent="0.25">
      <c r="C97" s="106">
        <v>88</v>
      </c>
      <c r="D97" s="667"/>
      <c r="E97" s="667"/>
      <c r="F97" s="667"/>
      <c r="G97" s="667"/>
      <c r="H97" s="111"/>
      <c r="I97" s="249"/>
      <c r="J97" s="107">
        <f>SUMIFS(APUS!Y:Y,APUS!M:M,INSUMOS!C97)</f>
        <v>0</v>
      </c>
      <c r="K97" s="209">
        <f t="shared" si="5"/>
        <v>0</v>
      </c>
      <c r="N97" s="123">
        <f>IFERROR(SUMIFS(APUS!$Z$9:$Z$2480,APUS!$N96:Q$2480,INSUMOS!D97),0)</f>
        <v>0</v>
      </c>
      <c r="O97" s="114">
        <f t="shared" si="4"/>
        <v>0</v>
      </c>
      <c r="Q97" s="116" t="str">
        <f t="shared" si="3"/>
        <v>SI</v>
      </c>
    </row>
    <row r="98" spans="3:17" hidden="1" x14ac:dyDescent="0.25">
      <c r="C98" s="106">
        <v>89</v>
      </c>
      <c r="D98" s="667"/>
      <c r="E98" s="667"/>
      <c r="F98" s="667"/>
      <c r="G98" s="667"/>
      <c r="H98" s="111"/>
      <c r="I98" s="249"/>
      <c r="J98" s="107">
        <f>SUMIFS(APUS!Y:Y,APUS!M:M,INSUMOS!C98)</f>
        <v>0</v>
      </c>
      <c r="K98" s="209">
        <f t="shared" si="5"/>
        <v>0</v>
      </c>
      <c r="N98" s="123">
        <f>IFERROR(SUMIFS(APUS!$Z$9:$Z$2480,APUS!$N97:Q$2480,INSUMOS!D98),0)</f>
        <v>0</v>
      </c>
      <c r="O98" s="114">
        <f t="shared" si="4"/>
        <v>0</v>
      </c>
      <c r="Q98" s="116" t="str">
        <f t="shared" si="3"/>
        <v>SI</v>
      </c>
    </row>
    <row r="99" spans="3:17" hidden="1" x14ac:dyDescent="0.25">
      <c r="C99" s="106">
        <v>90</v>
      </c>
      <c r="D99" s="667"/>
      <c r="E99" s="667"/>
      <c r="F99" s="667"/>
      <c r="G99" s="667"/>
      <c r="H99" s="111"/>
      <c r="I99" s="249"/>
      <c r="J99" s="107">
        <f>SUMIFS(APUS!Y:Y,APUS!M:M,INSUMOS!C99)</f>
        <v>0</v>
      </c>
      <c r="K99" s="209">
        <f t="shared" si="5"/>
        <v>0</v>
      </c>
      <c r="N99" s="123">
        <f>IFERROR(SUMIFS(APUS!$Z$9:$Z$2480,APUS!$N98:Q$2480,INSUMOS!D99),0)</f>
        <v>0</v>
      </c>
      <c r="O99" s="114">
        <f t="shared" si="4"/>
        <v>0</v>
      </c>
      <c r="Q99" s="116" t="str">
        <f t="shared" si="3"/>
        <v>SI</v>
      </c>
    </row>
    <row r="100" spans="3:17" hidden="1" x14ac:dyDescent="0.25">
      <c r="C100" s="106">
        <v>91</v>
      </c>
      <c r="D100" s="667"/>
      <c r="E100" s="667"/>
      <c r="F100" s="667"/>
      <c r="G100" s="667"/>
      <c r="H100" s="111"/>
      <c r="I100" s="249"/>
      <c r="J100" s="107">
        <f>SUMIFS(APUS!Y:Y,APUS!M:M,INSUMOS!C100)</f>
        <v>0</v>
      </c>
      <c r="K100" s="209">
        <f t="shared" si="5"/>
        <v>0</v>
      </c>
      <c r="N100" s="123">
        <f>IFERROR(SUMIFS(APUS!$Z$9:$Z$2480,APUS!$N99:Q$2480,INSUMOS!D100),0)</f>
        <v>0</v>
      </c>
      <c r="O100" s="114">
        <f t="shared" si="4"/>
        <v>0</v>
      </c>
      <c r="Q100" s="116" t="str">
        <f t="shared" si="3"/>
        <v>SI</v>
      </c>
    </row>
    <row r="101" spans="3:17" hidden="1" x14ac:dyDescent="0.25">
      <c r="C101" s="106">
        <v>92</v>
      </c>
      <c r="D101" s="667"/>
      <c r="E101" s="667"/>
      <c r="F101" s="667"/>
      <c r="G101" s="667"/>
      <c r="H101" s="111"/>
      <c r="I101" s="249"/>
      <c r="J101" s="107">
        <f>SUMIFS(APUS!Y:Y,APUS!M:M,INSUMOS!C101)</f>
        <v>0</v>
      </c>
      <c r="K101" s="209">
        <f t="shared" si="5"/>
        <v>0</v>
      </c>
      <c r="N101" s="123">
        <f>IFERROR(SUMIFS(APUS!$Z$9:$Z$2480,APUS!$N100:Q$2480,INSUMOS!D101),0)</f>
        <v>0</v>
      </c>
      <c r="O101" s="114">
        <f t="shared" si="4"/>
        <v>0</v>
      </c>
      <c r="Q101" s="116" t="str">
        <f t="shared" si="3"/>
        <v>SI</v>
      </c>
    </row>
    <row r="102" spans="3:17" hidden="1" x14ac:dyDescent="0.25">
      <c r="C102" s="106">
        <v>93</v>
      </c>
      <c r="D102" s="667"/>
      <c r="E102" s="667"/>
      <c r="F102" s="667"/>
      <c r="G102" s="667"/>
      <c r="H102" s="111"/>
      <c r="I102" s="249"/>
      <c r="J102" s="107">
        <f>SUMIFS(APUS!Y:Y,APUS!M:M,INSUMOS!C102)</f>
        <v>0</v>
      </c>
      <c r="K102" s="209">
        <f t="shared" si="5"/>
        <v>0</v>
      </c>
      <c r="N102" s="123">
        <f>IFERROR(SUMIFS(APUS!$Z$9:$Z$2480,APUS!$N101:Q$2480,INSUMOS!D102),0)</f>
        <v>0</v>
      </c>
      <c r="O102" s="114">
        <f t="shared" si="4"/>
        <v>0</v>
      </c>
      <c r="Q102" s="116" t="str">
        <f t="shared" si="3"/>
        <v>SI</v>
      </c>
    </row>
    <row r="103" spans="3:17" hidden="1" x14ac:dyDescent="0.25">
      <c r="C103" s="106">
        <v>94</v>
      </c>
      <c r="D103" s="667"/>
      <c r="E103" s="667"/>
      <c r="F103" s="667"/>
      <c r="G103" s="667"/>
      <c r="H103" s="111"/>
      <c r="I103" s="249"/>
      <c r="J103" s="107">
        <f>SUMIFS(APUS!Y:Y,APUS!M:M,INSUMOS!C103)</f>
        <v>0</v>
      </c>
      <c r="K103" s="209">
        <f t="shared" si="5"/>
        <v>0</v>
      </c>
      <c r="N103" s="123">
        <f>IFERROR(SUMIFS(APUS!$Z$9:$Z$2480,APUS!$N102:Q$2480,INSUMOS!D103),0)</f>
        <v>0</v>
      </c>
      <c r="O103" s="114">
        <f t="shared" si="4"/>
        <v>0</v>
      </c>
      <c r="Q103" s="116" t="str">
        <f t="shared" si="3"/>
        <v>SI</v>
      </c>
    </row>
    <row r="104" spans="3:17" hidden="1" x14ac:dyDescent="0.25">
      <c r="C104" s="106">
        <v>95</v>
      </c>
      <c r="D104" s="667"/>
      <c r="E104" s="667"/>
      <c r="F104" s="667"/>
      <c r="G104" s="667"/>
      <c r="H104" s="111"/>
      <c r="I104" s="249"/>
      <c r="J104" s="107">
        <f>SUMIFS(APUS!Y:Y,APUS!M:M,INSUMOS!C104)</f>
        <v>0</v>
      </c>
      <c r="K104" s="209">
        <f t="shared" si="5"/>
        <v>0</v>
      </c>
      <c r="N104" s="123">
        <f>IFERROR(SUMIFS(APUS!$Z$9:$Z$2480,APUS!$N103:Q$2480,INSUMOS!D104),0)</f>
        <v>0</v>
      </c>
      <c r="O104" s="114">
        <f t="shared" si="4"/>
        <v>0</v>
      </c>
      <c r="Q104" s="116" t="str">
        <f t="shared" si="3"/>
        <v>SI</v>
      </c>
    </row>
    <row r="105" spans="3:17" hidden="1" x14ac:dyDescent="0.25">
      <c r="C105" s="106">
        <v>96</v>
      </c>
      <c r="D105" s="667"/>
      <c r="E105" s="667"/>
      <c r="F105" s="667"/>
      <c r="G105" s="667"/>
      <c r="H105" s="111"/>
      <c r="I105" s="249"/>
      <c r="J105" s="107">
        <f>SUMIFS(APUS!Y:Y,APUS!M:M,INSUMOS!C105)</f>
        <v>0</v>
      </c>
      <c r="K105" s="209">
        <f t="shared" si="5"/>
        <v>0</v>
      </c>
      <c r="N105" s="123">
        <f>IFERROR(SUMIFS(APUS!$Z$9:$Z$2480,APUS!$N104:Q$2480,INSUMOS!D105),0)</f>
        <v>0</v>
      </c>
      <c r="O105" s="114">
        <f t="shared" si="4"/>
        <v>0</v>
      </c>
      <c r="Q105" s="116" t="str">
        <f t="shared" si="3"/>
        <v>SI</v>
      </c>
    </row>
    <row r="106" spans="3:17" hidden="1" x14ac:dyDescent="0.25">
      <c r="C106" s="106">
        <v>97</v>
      </c>
      <c r="D106" s="667"/>
      <c r="E106" s="667"/>
      <c r="F106" s="667"/>
      <c r="G106" s="667"/>
      <c r="H106" s="111"/>
      <c r="I106" s="249"/>
      <c r="J106" s="107">
        <f>SUMIFS(APUS!Y:Y,APUS!M:M,INSUMOS!C106)</f>
        <v>0</v>
      </c>
      <c r="K106" s="209">
        <f t="shared" si="5"/>
        <v>0</v>
      </c>
      <c r="N106" s="123">
        <f>IFERROR(SUMIFS(APUS!$Z$9:$Z$2480,APUS!$N105:Q$2480,INSUMOS!D106),0)</f>
        <v>0</v>
      </c>
      <c r="O106" s="114">
        <f t="shared" si="4"/>
        <v>0</v>
      </c>
      <c r="Q106" s="116" t="str">
        <f t="shared" si="3"/>
        <v>SI</v>
      </c>
    </row>
    <row r="107" spans="3:17" hidden="1" x14ac:dyDescent="0.25">
      <c r="C107" s="106">
        <v>98</v>
      </c>
      <c r="D107" s="533" t="s">
        <v>512</v>
      </c>
      <c r="E107" s="533"/>
      <c r="F107" s="533"/>
      <c r="G107" s="533"/>
      <c r="H107" s="78" t="s">
        <v>157</v>
      </c>
      <c r="I107" s="249">
        <v>45000</v>
      </c>
      <c r="J107" s="107">
        <f>SUMIFS(APUS!Y:Y,APUS!M:M,INSUMOS!C107)</f>
        <v>0</v>
      </c>
      <c r="K107" s="209">
        <f t="shared" si="5"/>
        <v>0</v>
      </c>
      <c r="N107" s="123">
        <f>IFERROR(SUMIFS(APUS!$Z$9:$Z$2480,APUS!$N106:Q$2480,INSUMOS!D107),0)</f>
        <v>0</v>
      </c>
      <c r="O107" s="114">
        <f t="shared" si="4"/>
        <v>0</v>
      </c>
      <c r="Q107" s="116" t="str">
        <f t="shared" si="3"/>
        <v>SI</v>
      </c>
    </row>
    <row r="108" spans="3:17" hidden="1" x14ac:dyDescent="0.25">
      <c r="C108" s="106">
        <v>99</v>
      </c>
      <c r="D108" s="533" t="s">
        <v>150</v>
      </c>
      <c r="E108" s="533"/>
      <c r="F108" s="533"/>
      <c r="G108" s="533"/>
      <c r="H108" s="111" t="s">
        <v>32</v>
      </c>
      <c r="I108" s="249">
        <v>4840</v>
      </c>
      <c r="J108" s="107">
        <f>SUMIFS(APUS!Y:Y,APUS!M:M,INSUMOS!C108)</f>
        <v>0</v>
      </c>
      <c r="K108" s="209">
        <f t="shared" si="5"/>
        <v>0</v>
      </c>
      <c r="N108" s="123">
        <f>IFERROR(SUMIFS(APUS!$Z$9:$Z$2480,APUS!$N107:Q$2480,INSUMOS!D108),0)</f>
        <v>0</v>
      </c>
      <c r="O108" s="114">
        <f t="shared" si="4"/>
        <v>0</v>
      </c>
      <c r="Q108" s="116" t="str">
        <f t="shared" si="3"/>
        <v>SI</v>
      </c>
    </row>
    <row r="109" spans="3:17" hidden="1" x14ac:dyDescent="0.25">
      <c r="C109" s="110"/>
      <c r="D109" s="533"/>
      <c r="E109" s="533"/>
      <c r="F109" s="533"/>
      <c r="G109" s="533"/>
      <c r="H109" s="78"/>
      <c r="I109" s="249"/>
      <c r="J109" s="107">
        <f>SUMIFS(APUS!Y:Y,APUS!M:M,INSUMOS!C109)</f>
        <v>0</v>
      </c>
      <c r="K109" s="209">
        <f t="shared" si="5"/>
        <v>0</v>
      </c>
      <c r="N109" s="123">
        <f>IFERROR(SUMIFS(APUS!$Z$9:$Z$2480,APUS!$N108:Q$2480,INSUMOS!D109),0)</f>
        <v>0</v>
      </c>
      <c r="O109" s="114">
        <f t="shared" si="4"/>
        <v>0</v>
      </c>
      <c r="Q109" s="128"/>
    </row>
    <row r="110" spans="3:17" ht="15.75" thickBot="1" x14ac:dyDescent="0.3">
      <c r="C110" s="544" t="str">
        <f>+"SUBTOTAL "&amp;C8</f>
        <v>SUBTOTAL MAQUINARIA/EQUIPOS</v>
      </c>
      <c r="D110" s="537"/>
      <c r="E110" s="537"/>
      <c r="F110" s="537"/>
      <c r="G110" s="537"/>
      <c r="H110" s="537"/>
      <c r="I110" s="537"/>
      <c r="J110" s="537"/>
      <c r="K110" s="210">
        <f>+SUM(K10:K109)</f>
        <v>8017679.059660485</v>
      </c>
      <c r="N110" s="179">
        <f>SUM(N10:N109)</f>
        <v>0</v>
      </c>
      <c r="O110" s="125">
        <f>+N110-K110</f>
        <v>-8017679.059660485</v>
      </c>
      <c r="Q110" s="129"/>
    </row>
    <row r="111" spans="3:17" ht="15.75" thickBot="1" x14ac:dyDescent="0.3"/>
    <row r="112" spans="3:17" x14ac:dyDescent="0.25">
      <c r="C112" s="568" t="s">
        <v>220</v>
      </c>
      <c r="D112" s="569"/>
      <c r="E112" s="569"/>
      <c r="F112" s="569"/>
      <c r="G112" s="569"/>
      <c r="H112" s="569"/>
      <c r="I112" s="569"/>
      <c r="J112" s="569"/>
      <c r="K112" s="570"/>
      <c r="N112" s="120"/>
      <c r="O112" s="121"/>
      <c r="P112" s="94"/>
      <c r="Q112" s="126"/>
    </row>
    <row r="113" spans="3:17" x14ac:dyDescent="0.25">
      <c r="C113" s="118" t="s">
        <v>143</v>
      </c>
      <c r="D113" s="561" t="s">
        <v>95</v>
      </c>
      <c r="E113" s="561"/>
      <c r="F113" s="561"/>
      <c r="G113" s="95" t="s">
        <v>109</v>
      </c>
      <c r="H113" s="95" t="s">
        <v>221</v>
      </c>
      <c r="I113" s="247" t="s">
        <v>144</v>
      </c>
      <c r="J113" s="117" t="s">
        <v>104</v>
      </c>
      <c r="K113" s="119" t="s">
        <v>9</v>
      </c>
      <c r="N113" s="122" t="s">
        <v>9</v>
      </c>
      <c r="O113" s="119" t="s">
        <v>158</v>
      </c>
      <c r="P113" s="115"/>
      <c r="Q113" s="127"/>
    </row>
    <row r="114" spans="3:17" x14ac:dyDescent="0.25">
      <c r="C114" s="106">
        <v>100</v>
      </c>
      <c r="D114" s="667" t="s">
        <v>230</v>
      </c>
      <c r="E114" s="667"/>
      <c r="F114" s="667"/>
      <c r="G114" s="96" t="s">
        <v>222</v>
      </c>
      <c r="H114" s="80">
        <v>15</v>
      </c>
      <c r="I114" s="249">
        <v>2000</v>
      </c>
      <c r="J114" s="107">
        <f>SUMIFS(APUS!Y:Y,APUS!M:M,INSUMOS!C114)</f>
        <v>398.24432631000002</v>
      </c>
      <c r="K114" s="209">
        <f>+J114*I114</f>
        <v>796488.65262000007</v>
      </c>
      <c r="N114" s="123">
        <f>IFERROR(SUMIFS(APUS!$Z$140:$Z$182,APUS!#REF!,INSUMOS!D114),0)</f>
        <v>0</v>
      </c>
      <c r="O114" s="114">
        <f>+N114-K114</f>
        <v>-796488.65262000007</v>
      </c>
      <c r="P114" s="94"/>
      <c r="Q114" s="116" t="str">
        <f t="shared" ref="Q114:Q177" si="6">+IF(K114=0,"SI","NO")</f>
        <v>NO</v>
      </c>
    </row>
    <row r="115" spans="3:17" x14ac:dyDescent="0.25">
      <c r="C115" s="106">
        <v>101</v>
      </c>
      <c r="D115" s="667" t="s">
        <v>346</v>
      </c>
      <c r="E115" s="667"/>
      <c r="F115" s="667"/>
      <c r="G115" s="96" t="s">
        <v>222</v>
      </c>
      <c r="H115" s="80">
        <v>186</v>
      </c>
      <c r="I115" s="249">
        <v>1500</v>
      </c>
      <c r="J115" s="107">
        <f>SUMIFS(APUS!Y:Y,APUS!M:M,INSUMOS!C115)</f>
        <v>5122.8936082440005</v>
      </c>
      <c r="K115" s="209">
        <f>+J115*I115</f>
        <v>7684340.4123660009</v>
      </c>
      <c r="N115" s="123">
        <f>IFERROR(SUMIFS(APUS!$Z$140:$Z$182,APUS!#REF!,INSUMOS!D115),0)</f>
        <v>0</v>
      </c>
      <c r="O115" s="114">
        <f t="shared" ref="O115:O178" si="7">+N115-K115</f>
        <v>-7684340.4123660009</v>
      </c>
      <c r="P115" s="94"/>
      <c r="Q115" s="116" t="str">
        <f t="shared" si="6"/>
        <v>NO</v>
      </c>
    </row>
    <row r="116" spans="3:17" hidden="1" x14ac:dyDescent="0.25">
      <c r="C116" s="106">
        <v>102</v>
      </c>
      <c r="D116" s="667" t="s">
        <v>233</v>
      </c>
      <c r="E116" s="667"/>
      <c r="F116" s="667"/>
      <c r="G116" s="96" t="s">
        <v>222</v>
      </c>
      <c r="H116" s="80">
        <v>20</v>
      </c>
      <c r="I116" s="249">
        <v>1900</v>
      </c>
      <c r="J116" s="107">
        <f>SUMIFS(APUS!Y:Y,APUS!M:M,INSUMOS!C116)</f>
        <v>0</v>
      </c>
      <c r="K116" s="209">
        <f t="shared" ref="K116:K177" si="8">+J116*I116</f>
        <v>0</v>
      </c>
      <c r="N116" s="123">
        <f>IFERROR(SUMIFS(APUS!$Z$140:$Z$182,APUS!#REF!,INSUMOS!D116),0)</f>
        <v>0</v>
      </c>
      <c r="O116" s="114">
        <f t="shared" si="7"/>
        <v>0</v>
      </c>
      <c r="P116" s="94"/>
      <c r="Q116" s="116" t="str">
        <f t="shared" si="6"/>
        <v>SI</v>
      </c>
    </row>
    <row r="117" spans="3:17" hidden="1" x14ac:dyDescent="0.25">
      <c r="C117" s="106">
        <v>103</v>
      </c>
      <c r="D117" s="667" t="s">
        <v>231</v>
      </c>
      <c r="E117" s="667"/>
      <c r="F117" s="667"/>
      <c r="G117" s="96" t="s">
        <v>222</v>
      </c>
      <c r="H117" s="80">
        <v>20</v>
      </c>
      <c r="I117" s="249">
        <v>2000</v>
      </c>
      <c r="J117" s="107">
        <f>SUMIFS(APUS!Y:Y,APUS!M:M,INSUMOS!C117)</f>
        <v>0</v>
      </c>
      <c r="K117" s="209">
        <f t="shared" si="8"/>
        <v>0</v>
      </c>
      <c r="N117" s="123">
        <f>IFERROR(SUMIFS(APUS!$Z$140:$Z$182,APUS!#REF!,INSUMOS!D117),0)</f>
        <v>0</v>
      </c>
      <c r="O117" s="114">
        <f t="shared" si="7"/>
        <v>0</v>
      </c>
      <c r="P117" s="94"/>
      <c r="Q117" s="116" t="str">
        <f t="shared" si="6"/>
        <v>SI</v>
      </c>
    </row>
    <row r="118" spans="3:17" hidden="1" x14ac:dyDescent="0.25">
      <c r="C118" s="106">
        <v>104</v>
      </c>
      <c r="D118" s="667" t="s">
        <v>232</v>
      </c>
      <c r="E118" s="667"/>
      <c r="F118" s="667"/>
      <c r="G118" s="96" t="s">
        <v>222</v>
      </c>
      <c r="H118" s="80">
        <v>20</v>
      </c>
      <c r="I118" s="249">
        <v>2000</v>
      </c>
      <c r="J118" s="107">
        <f>SUMIFS(APUS!Y:Y,APUS!M:M,INSUMOS!C118)</f>
        <v>0</v>
      </c>
      <c r="K118" s="209">
        <f t="shared" si="8"/>
        <v>0</v>
      </c>
      <c r="N118" s="123">
        <f>IFERROR(SUMIFS(APUS!$Z$140:$Z$182,APUS!#REF!,INSUMOS!D118),0)</f>
        <v>0</v>
      </c>
      <c r="O118" s="114">
        <f t="shared" si="7"/>
        <v>0</v>
      </c>
      <c r="P118" s="94"/>
      <c r="Q118" s="116" t="str">
        <f t="shared" si="6"/>
        <v>SI</v>
      </c>
    </row>
    <row r="119" spans="3:17" x14ac:dyDescent="0.25">
      <c r="C119" s="106">
        <v>105</v>
      </c>
      <c r="D119" s="667" t="s">
        <v>457</v>
      </c>
      <c r="E119" s="667"/>
      <c r="F119" s="667"/>
      <c r="G119" s="96" t="s">
        <v>222</v>
      </c>
      <c r="H119" s="80">
        <v>15</v>
      </c>
      <c r="I119" s="249">
        <v>2000</v>
      </c>
      <c r="J119" s="107">
        <f>SUMIFS(APUS!Y:Y,APUS!M:M,INSUMOS!C119)</f>
        <v>784.2</v>
      </c>
      <c r="K119" s="209">
        <f t="shared" si="8"/>
        <v>1568400</v>
      </c>
      <c r="N119" s="123">
        <f>IFERROR(SUMIFS(APUS!$Z$140:$Z$182,APUS!#REF!,INSUMOS!D119),0)</f>
        <v>0</v>
      </c>
      <c r="O119" s="114">
        <f t="shared" si="7"/>
        <v>-1568400</v>
      </c>
      <c r="P119" s="94"/>
      <c r="Q119" s="116" t="str">
        <f t="shared" si="6"/>
        <v>NO</v>
      </c>
    </row>
    <row r="120" spans="3:17" hidden="1" x14ac:dyDescent="0.25">
      <c r="C120" s="106">
        <v>106</v>
      </c>
      <c r="D120" s="667" t="s">
        <v>433</v>
      </c>
      <c r="E120" s="667"/>
      <c r="F120" s="667"/>
      <c r="G120" s="96" t="s">
        <v>222</v>
      </c>
      <c r="H120" s="80">
        <v>20</v>
      </c>
      <c r="I120" s="249">
        <v>2000</v>
      </c>
      <c r="J120" s="107">
        <f>SUMIFS(APUS!Y:Y,APUS!M:M,INSUMOS!C120)</f>
        <v>0</v>
      </c>
      <c r="K120" s="209">
        <f t="shared" si="8"/>
        <v>0</v>
      </c>
      <c r="N120" s="123">
        <f>IFERROR(SUMIFS(APUS!$Z$140:$Z$182,APUS!#REF!,INSUMOS!D120),0)</f>
        <v>0</v>
      </c>
      <c r="O120" s="114">
        <f t="shared" si="7"/>
        <v>0</v>
      </c>
      <c r="P120" s="94"/>
      <c r="Q120" s="116" t="str">
        <f t="shared" si="6"/>
        <v>SI</v>
      </c>
    </row>
    <row r="121" spans="3:17" hidden="1" x14ac:dyDescent="0.25">
      <c r="C121" s="106">
        <v>107</v>
      </c>
      <c r="D121" s="667" t="s">
        <v>434</v>
      </c>
      <c r="E121" s="667"/>
      <c r="F121" s="667"/>
      <c r="G121" s="96" t="s">
        <v>222</v>
      </c>
      <c r="H121" s="80">
        <v>20</v>
      </c>
      <c r="I121" s="249">
        <v>2000</v>
      </c>
      <c r="J121" s="107">
        <f>SUMIFS(APUS!Y:Y,APUS!M:M,INSUMOS!C121)</f>
        <v>0</v>
      </c>
      <c r="K121" s="209">
        <f t="shared" si="8"/>
        <v>0</v>
      </c>
      <c r="N121" s="123">
        <f>IFERROR(SUMIFS(APUS!$Z$140:$Z$182,APUS!#REF!,INSUMOS!D121),0)</f>
        <v>0</v>
      </c>
      <c r="O121" s="114">
        <f t="shared" si="7"/>
        <v>0</v>
      </c>
      <c r="P121" s="94"/>
      <c r="Q121" s="116" t="str">
        <f t="shared" si="6"/>
        <v>SI</v>
      </c>
    </row>
    <row r="122" spans="3:17" hidden="1" x14ac:dyDescent="0.25">
      <c r="C122" s="106">
        <v>108</v>
      </c>
      <c r="D122" s="667" t="s">
        <v>455</v>
      </c>
      <c r="E122" s="667"/>
      <c r="F122" s="667"/>
      <c r="G122" s="96" t="s">
        <v>222</v>
      </c>
      <c r="H122" s="80">
        <v>20</v>
      </c>
      <c r="I122" s="249">
        <v>2000</v>
      </c>
      <c r="J122" s="107">
        <f>SUMIFS(APUS!Y:Y,APUS!M:M,INSUMOS!C122)</f>
        <v>0</v>
      </c>
      <c r="K122" s="209">
        <f t="shared" si="8"/>
        <v>0</v>
      </c>
      <c r="N122" s="123">
        <f>IFERROR(SUMIFS(APUS!$Z$140:$Z$182,APUS!#REF!,INSUMOS!D122),0)</f>
        <v>0</v>
      </c>
      <c r="O122" s="114">
        <f t="shared" si="7"/>
        <v>0</v>
      </c>
      <c r="P122" s="94"/>
      <c r="Q122" s="116" t="str">
        <f t="shared" si="6"/>
        <v>SI</v>
      </c>
    </row>
    <row r="123" spans="3:17" hidden="1" x14ac:dyDescent="0.25">
      <c r="C123" s="106">
        <v>109</v>
      </c>
      <c r="D123" s="667" t="s">
        <v>456</v>
      </c>
      <c r="E123" s="667"/>
      <c r="F123" s="667"/>
      <c r="G123" s="96" t="s">
        <v>222</v>
      </c>
      <c r="H123" s="80">
        <v>10</v>
      </c>
      <c r="I123" s="249">
        <v>2000</v>
      </c>
      <c r="J123" s="107">
        <f>SUMIFS(APUS!Y:Y,APUS!M:M,INSUMOS!C123)</f>
        <v>0</v>
      </c>
      <c r="K123" s="209">
        <f t="shared" si="8"/>
        <v>0</v>
      </c>
      <c r="N123" s="123">
        <f>IFERROR(SUMIFS(APUS!$Z$140:$Z$182,APUS!#REF!,INSUMOS!D123),0)</f>
        <v>0</v>
      </c>
      <c r="O123" s="114">
        <f t="shared" si="7"/>
        <v>0</v>
      </c>
      <c r="P123" s="94"/>
      <c r="Q123" s="116" t="str">
        <f t="shared" si="6"/>
        <v>SI</v>
      </c>
    </row>
    <row r="124" spans="3:17" hidden="1" x14ac:dyDescent="0.25">
      <c r="C124" s="106">
        <v>110</v>
      </c>
      <c r="D124" s="667" t="s">
        <v>583</v>
      </c>
      <c r="E124" s="667"/>
      <c r="F124" s="667"/>
      <c r="G124" s="96" t="s">
        <v>584</v>
      </c>
      <c r="H124" s="80">
        <v>580</v>
      </c>
      <c r="I124" s="249">
        <v>100</v>
      </c>
      <c r="J124" s="107">
        <f>SUMIFS(APUS!Y:Y,APUS!M:M,INSUMOS!C124)</f>
        <v>0</v>
      </c>
      <c r="K124" s="209">
        <f t="shared" si="8"/>
        <v>0</v>
      </c>
      <c r="N124" s="123">
        <f>IFERROR(SUMIFS(APUS!$Z$140:$Z$182,APUS!#REF!,INSUMOS!D124),0)</f>
        <v>0</v>
      </c>
      <c r="O124" s="114">
        <f t="shared" si="7"/>
        <v>0</v>
      </c>
      <c r="P124" s="94"/>
      <c r="Q124" s="116" t="str">
        <f t="shared" si="6"/>
        <v>SI</v>
      </c>
    </row>
    <row r="125" spans="3:17" hidden="1" x14ac:dyDescent="0.25">
      <c r="C125" s="106">
        <v>111</v>
      </c>
      <c r="D125" s="667" t="s">
        <v>580</v>
      </c>
      <c r="E125" s="667"/>
      <c r="F125" s="667"/>
      <c r="G125" s="96" t="s">
        <v>582</v>
      </c>
      <c r="H125" s="80">
        <v>1</v>
      </c>
      <c r="I125" s="249">
        <v>100000</v>
      </c>
      <c r="J125" s="107">
        <f>SUMIFS(APUS!Y:Y,APUS!M:M,INSUMOS!C125)</f>
        <v>0</v>
      </c>
      <c r="K125" s="209">
        <f t="shared" si="8"/>
        <v>0</v>
      </c>
      <c r="N125" s="123">
        <f>IFERROR(SUMIFS(APUS!$Z$140:$Z$182,APUS!#REF!,INSUMOS!D125),0)</f>
        <v>0</v>
      </c>
      <c r="O125" s="114">
        <f t="shared" si="7"/>
        <v>0</v>
      </c>
      <c r="P125" s="94"/>
      <c r="Q125" s="116" t="str">
        <f t="shared" si="6"/>
        <v>SI</v>
      </c>
    </row>
    <row r="126" spans="3:17" hidden="1" x14ac:dyDescent="0.25">
      <c r="C126" s="106">
        <v>112</v>
      </c>
      <c r="D126" s="667" t="s">
        <v>581</v>
      </c>
      <c r="E126" s="667"/>
      <c r="F126" s="667"/>
      <c r="G126" s="96" t="s">
        <v>582</v>
      </c>
      <c r="H126" s="80">
        <v>1</v>
      </c>
      <c r="I126" s="249">
        <v>5000</v>
      </c>
      <c r="J126" s="107">
        <f>SUMIFS(APUS!Y:Y,APUS!M:M,INSUMOS!C126)</f>
        <v>0</v>
      </c>
      <c r="K126" s="209">
        <f t="shared" si="8"/>
        <v>0</v>
      </c>
      <c r="N126" s="123">
        <f>IFERROR(SUMIFS(APUS!$Z$140:$Z$182,APUS!#REF!,INSUMOS!D126),0)</f>
        <v>0</v>
      </c>
      <c r="O126" s="114">
        <f t="shared" si="7"/>
        <v>0</v>
      </c>
      <c r="P126" s="94"/>
      <c r="Q126" s="116" t="str">
        <f t="shared" si="6"/>
        <v>SI</v>
      </c>
    </row>
    <row r="127" spans="3:17" hidden="1" x14ac:dyDescent="0.25">
      <c r="C127" s="106">
        <v>113</v>
      </c>
      <c r="D127" s="667"/>
      <c r="E127" s="667"/>
      <c r="F127" s="667"/>
      <c r="G127" s="96"/>
      <c r="H127" s="80">
        <v>20</v>
      </c>
      <c r="I127" s="249">
        <v>1200</v>
      </c>
      <c r="J127" s="107">
        <f>SUMIFS(APUS!Y:Y,APUS!M:M,INSUMOS!C127)</f>
        <v>0</v>
      </c>
      <c r="K127" s="209">
        <f t="shared" si="8"/>
        <v>0</v>
      </c>
      <c r="N127" s="123">
        <f>IFERROR(SUMIFS(APUS!$Z$140:$Z$182,APUS!#REF!,INSUMOS!D127),0)</f>
        <v>0</v>
      </c>
      <c r="O127" s="114">
        <f t="shared" si="7"/>
        <v>0</v>
      </c>
      <c r="P127" s="94"/>
      <c r="Q127" s="116" t="str">
        <f t="shared" si="6"/>
        <v>SI</v>
      </c>
    </row>
    <row r="128" spans="3:17" hidden="1" x14ac:dyDescent="0.25">
      <c r="C128" s="106">
        <v>114</v>
      </c>
      <c r="D128" s="667"/>
      <c r="E128" s="667"/>
      <c r="F128" s="667"/>
      <c r="G128" s="96"/>
      <c r="H128" s="80">
        <v>20</v>
      </c>
      <c r="I128" s="249">
        <v>1200</v>
      </c>
      <c r="J128" s="107">
        <f>SUMIFS(APUS!Y:Y,APUS!M:M,INSUMOS!C128)</f>
        <v>0</v>
      </c>
      <c r="K128" s="209">
        <f t="shared" si="8"/>
        <v>0</v>
      </c>
      <c r="N128" s="123">
        <f>IFERROR(SUMIFS(APUS!$Z$140:$Z$182,APUS!#REF!,INSUMOS!D128),0)</f>
        <v>0</v>
      </c>
      <c r="O128" s="114">
        <f t="shared" si="7"/>
        <v>0</v>
      </c>
      <c r="P128" s="94"/>
      <c r="Q128" s="116" t="str">
        <f t="shared" si="6"/>
        <v>SI</v>
      </c>
    </row>
    <row r="129" spans="3:19" hidden="1" x14ac:dyDescent="0.25">
      <c r="C129" s="106">
        <v>115</v>
      </c>
      <c r="D129" s="667"/>
      <c r="E129" s="667"/>
      <c r="F129" s="667"/>
      <c r="G129" s="96"/>
      <c r="H129" s="80">
        <v>20</v>
      </c>
      <c r="I129" s="249">
        <v>1200</v>
      </c>
      <c r="J129" s="107">
        <f>SUMIFS(APUS!Y:Y,APUS!M:M,INSUMOS!C129)</f>
        <v>0</v>
      </c>
      <c r="K129" s="209">
        <f t="shared" si="8"/>
        <v>0</v>
      </c>
      <c r="N129" s="123">
        <f>IFERROR(SUMIFS(APUS!$Z$140:$Z$182,APUS!#REF!,INSUMOS!D129),0)</f>
        <v>0</v>
      </c>
      <c r="O129" s="114">
        <f t="shared" si="7"/>
        <v>0</v>
      </c>
      <c r="P129" s="94"/>
      <c r="Q129" s="116" t="str">
        <f t="shared" si="6"/>
        <v>SI</v>
      </c>
    </row>
    <row r="130" spans="3:19" hidden="1" x14ac:dyDescent="0.25">
      <c r="C130" s="106">
        <v>116</v>
      </c>
      <c r="D130" s="667"/>
      <c r="E130" s="667"/>
      <c r="F130" s="667"/>
      <c r="G130" s="96"/>
      <c r="H130" s="80">
        <v>20</v>
      </c>
      <c r="I130" s="249">
        <v>1200</v>
      </c>
      <c r="J130" s="107">
        <f>SUMIFS(APUS!Y:Y,APUS!M:M,INSUMOS!C130)</f>
        <v>0</v>
      </c>
      <c r="K130" s="209">
        <f t="shared" si="8"/>
        <v>0</v>
      </c>
      <c r="N130" s="123">
        <f>IFERROR(SUMIFS(APUS!$Z$140:$Z$182,APUS!#REF!,INSUMOS!D130),0)</f>
        <v>0</v>
      </c>
      <c r="O130" s="114">
        <f t="shared" si="7"/>
        <v>0</v>
      </c>
      <c r="P130" s="94"/>
      <c r="Q130" s="116" t="str">
        <f t="shared" si="6"/>
        <v>SI</v>
      </c>
    </row>
    <row r="131" spans="3:19" hidden="1" x14ac:dyDescent="0.25">
      <c r="C131" s="106">
        <v>117</v>
      </c>
      <c r="D131" s="667"/>
      <c r="E131" s="667"/>
      <c r="F131" s="667"/>
      <c r="G131" s="96"/>
      <c r="H131" s="80">
        <v>20</v>
      </c>
      <c r="I131" s="249">
        <v>1200</v>
      </c>
      <c r="J131" s="107">
        <f>SUMIFS(APUS!Y:Y,APUS!M:M,INSUMOS!C131)</f>
        <v>0</v>
      </c>
      <c r="K131" s="209">
        <f t="shared" si="8"/>
        <v>0</v>
      </c>
      <c r="N131" s="123">
        <f>IFERROR(SUMIFS(APUS!$Z$140:$Z$182,APUS!#REF!,INSUMOS!D131),0)</f>
        <v>0</v>
      </c>
      <c r="O131" s="114">
        <f t="shared" si="7"/>
        <v>0</v>
      </c>
      <c r="P131" s="94"/>
      <c r="Q131" s="116" t="str">
        <f t="shared" si="6"/>
        <v>SI</v>
      </c>
    </row>
    <row r="132" spans="3:19" hidden="1" x14ac:dyDescent="0.25">
      <c r="C132" s="106">
        <v>118</v>
      </c>
      <c r="D132" s="667"/>
      <c r="E132" s="667"/>
      <c r="F132" s="667"/>
      <c r="G132" s="96"/>
      <c r="H132" s="80">
        <v>20</v>
      </c>
      <c r="I132" s="249">
        <v>1200</v>
      </c>
      <c r="J132" s="107">
        <f>SUMIFS(APUS!Y:Y,APUS!M:M,INSUMOS!C132)</f>
        <v>0</v>
      </c>
      <c r="K132" s="209">
        <f t="shared" si="8"/>
        <v>0</v>
      </c>
      <c r="N132" s="123">
        <f>IFERROR(SUMIFS(APUS!$Z$140:$Z$182,APUS!#REF!,INSUMOS!D132),0)</f>
        <v>0</v>
      </c>
      <c r="O132" s="114">
        <f t="shared" si="7"/>
        <v>0</v>
      </c>
      <c r="P132" s="94"/>
      <c r="Q132" s="116" t="str">
        <f t="shared" si="6"/>
        <v>SI</v>
      </c>
    </row>
    <row r="133" spans="3:19" hidden="1" x14ac:dyDescent="0.25">
      <c r="C133" s="106">
        <v>119</v>
      </c>
      <c r="D133" s="667"/>
      <c r="E133" s="667"/>
      <c r="F133" s="667"/>
      <c r="G133" s="96"/>
      <c r="H133" s="80">
        <v>20</v>
      </c>
      <c r="I133" s="249">
        <v>1200</v>
      </c>
      <c r="J133" s="107">
        <f>SUMIFS(APUS!Y:Y,APUS!M:M,INSUMOS!C133)</f>
        <v>0</v>
      </c>
      <c r="K133" s="209">
        <f t="shared" si="8"/>
        <v>0</v>
      </c>
      <c r="N133" s="123">
        <f>IFERROR(SUMIFS(APUS!$Z$140:$Z$182,APUS!#REF!,INSUMOS!D133),0)</f>
        <v>0</v>
      </c>
      <c r="O133" s="114">
        <f t="shared" si="7"/>
        <v>0</v>
      </c>
      <c r="P133" s="94"/>
      <c r="Q133" s="116" t="str">
        <f t="shared" si="6"/>
        <v>SI</v>
      </c>
    </row>
    <row r="134" spans="3:19" x14ac:dyDescent="0.25">
      <c r="C134" s="106">
        <v>120</v>
      </c>
      <c r="D134" s="667" t="s">
        <v>234</v>
      </c>
      <c r="E134" s="667"/>
      <c r="F134" s="667"/>
      <c r="G134" s="78" t="s">
        <v>223</v>
      </c>
      <c r="H134" s="80">
        <v>15</v>
      </c>
      <c r="I134" s="249">
        <v>20</v>
      </c>
      <c r="J134" s="107">
        <f>SUMIFS(APUS!Y:Y,APUS!M:M,INSUMOS!C134)</f>
        <v>246667.08654000005</v>
      </c>
      <c r="K134" s="209">
        <f t="shared" si="8"/>
        <v>4933341.730800001</v>
      </c>
      <c r="N134" s="123">
        <f>IFERROR(SUMIFS(APUS!$Z$140:$Z$182,APUS!#REF!,INSUMOS!D134),0)</f>
        <v>0</v>
      </c>
      <c r="O134" s="114">
        <f t="shared" si="7"/>
        <v>-4933341.730800001</v>
      </c>
      <c r="P134" s="94"/>
      <c r="Q134" s="116" t="str">
        <f t="shared" si="6"/>
        <v>NO</v>
      </c>
    </row>
    <row r="135" spans="3:19" hidden="1" x14ac:dyDescent="0.25">
      <c r="C135" s="106">
        <v>121</v>
      </c>
      <c r="D135" s="667" t="s">
        <v>226</v>
      </c>
      <c r="E135" s="667"/>
      <c r="F135" s="667"/>
      <c r="G135" s="78" t="s">
        <v>223</v>
      </c>
      <c r="H135" s="80">
        <v>10</v>
      </c>
      <c r="I135" s="249">
        <v>20</v>
      </c>
      <c r="J135" s="107">
        <f>SUMIFS(APUS!Y:Y,APUS!M:M,INSUMOS!C135)</f>
        <v>0</v>
      </c>
      <c r="K135" s="209">
        <f t="shared" si="8"/>
        <v>0</v>
      </c>
      <c r="N135" s="123">
        <f>IFERROR(SUMIFS(APUS!$Z$140:$Z$182,APUS!#REF!,INSUMOS!D135),0)</f>
        <v>0</v>
      </c>
      <c r="O135" s="114">
        <f>+N135-K135</f>
        <v>0</v>
      </c>
      <c r="P135" s="94"/>
      <c r="Q135" s="116" t="str">
        <f t="shared" si="6"/>
        <v>SI</v>
      </c>
    </row>
    <row r="136" spans="3:19" hidden="1" x14ac:dyDescent="0.25">
      <c r="C136" s="106">
        <v>122</v>
      </c>
      <c r="D136" s="667" t="s">
        <v>562</v>
      </c>
      <c r="E136" s="667"/>
      <c r="F136" s="667"/>
      <c r="G136" s="78" t="s">
        <v>223</v>
      </c>
      <c r="H136" s="80">
        <v>20</v>
      </c>
      <c r="I136" s="249">
        <v>20</v>
      </c>
      <c r="J136" s="107">
        <f>SUMIFS(APUS!Y:Y,APUS!M:M,INSUMOS!C136)</f>
        <v>0</v>
      </c>
      <c r="K136" s="209">
        <f t="shared" si="8"/>
        <v>0</v>
      </c>
      <c r="N136" s="123">
        <f>IFERROR(SUMIFS(APUS!$Z$140:$Z$182,APUS!#REF!,INSUMOS!D136),0)</f>
        <v>0</v>
      </c>
      <c r="O136" s="114">
        <f t="shared" si="7"/>
        <v>0</v>
      </c>
      <c r="P136" s="94"/>
      <c r="Q136" s="116" t="str">
        <f t="shared" si="6"/>
        <v>SI</v>
      </c>
    </row>
    <row r="137" spans="3:19" hidden="1" x14ac:dyDescent="0.25">
      <c r="C137" s="106">
        <v>123</v>
      </c>
      <c r="D137" s="667"/>
      <c r="E137" s="667"/>
      <c r="F137" s="667"/>
      <c r="G137" s="78"/>
      <c r="H137" s="80">
        <v>20</v>
      </c>
      <c r="I137" s="249">
        <v>50</v>
      </c>
      <c r="J137" s="107">
        <f>SUMIFS(APUS!Y:Y,APUS!M:M,INSUMOS!C137)</f>
        <v>0</v>
      </c>
      <c r="K137" s="209">
        <f t="shared" si="8"/>
        <v>0</v>
      </c>
      <c r="N137" s="123">
        <f>IFERROR(SUMIFS(APUS!$Z$140:$Z$182,APUS!#REF!,INSUMOS!D137),0)</f>
        <v>0</v>
      </c>
      <c r="O137" s="114">
        <f t="shared" si="7"/>
        <v>0</v>
      </c>
      <c r="Q137" s="116" t="str">
        <f t="shared" si="6"/>
        <v>SI</v>
      </c>
    </row>
    <row r="138" spans="3:19" hidden="1" x14ac:dyDescent="0.25">
      <c r="C138" s="106">
        <v>124</v>
      </c>
      <c r="D138" s="667"/>
      <c r="E138" s="667"/>
      <c r="F138" s="667"/>
      <c r="G138" s="78"/>
      <c r="H138" s="80">
        <v>20</v>
      </c>
      <c r="I138" s="249">
        <v>50</v>
      </c>
      <c r="J138" s="107">
        <f>SUMIFS(APUS!Y:Y,APUS!M:M,INSUMOS!C138)</f>
        <v>0</v>
      </c>
      <c r="K138" s="209">
        <f t="shared" si="8"/>
        <v>0</v>
      </c>
      <c r="N138" s="123">
        <f>IFERROR(SUMIFS(APUS!$Z$140:$Z$182,APUS!#REF!,INSUMOS!D138),0)</f>
        <v>0</v>
      </c>
      <c r="O138" s="114">
        <f t="shared" si="7"/>
        <v>0</v>
      </c>
      <c r="Q138" s="116" t="str">
        <f t="shared" si="6"/>
        <v>SI</v>
      </c>
    </row>
    <row r="139" spans="3:19" hidden="1" x14ac:dyDescent="0.25">
      <c r="C139" s="106">
        <v>125</v>
      </c>
      <c r="D139" s="667"/>
      <c r="E139" s="667"/>
      <c r="F139" s="667"/>
      <c r="G139" s="78"/>
      <c r="H139" s="80">
        <v>20</v>
      </c>
      <c r="I139" s="249">
        <v>50</v>
      </c>
      <c r="J139" s="107">
        <f>SUMIFS(APUS!Y:Y,APUS!M:M,INSUMOS!C139)</f>
        <v>0</v>
      </c>
      <c r="K139" s="209">
        <f t="shared" si="8"/>
        <v>0</v>
      </c>
      <c r="N139" s="123">
        <f>IFERROR(SUMIFS(APUS!$Z$140:$Z$182,APUS!#REF!,INSUMOS!D139),0)</f>
        <v>0</v>
      </c>
      <c r="O139" s="114">
        <f t="shared" si="7"/>
        <v>0</v>
      </c>
      <c r="Q139" s="116" t="str">
        <f t="shared" si="6"/>
        <v>SI</v>
      </c>
    </row>
    <row r="140" spans="3:19" hidden="1" x14ac:dyDescent="0.25">
      <c r="C140" s="106">
        <v>126</v>
      </c>
      <c r="D140" s="600"/>
      <c r="E140" s="600"/>
      <c r="F140" s="600"/>
      <c r="G140" s="96"/>
      <c r="H140" s="80">
        <v>20</v>
      </c>
      <c r="I140" s="249">
        <v>50</v>
      </c>
      <c r="J140" s="107">
        <f>SUMIFS(APUS!Y:Y,APUS!M:M,INSUMOS!C140)</f>
        <v>0</v>
      </c>
      <c r="K140" s="209">
        <f t="shared" si="8"/>
        <v>0</v>
      </c>
      <c r="N140" s="123">
        <f>IFERROR(SUMIFS(APUS!$Z$140:$Z$182,APUS!#REF!,INSUMOS!D140),0)</f>
        <v>0</v>
      </c>
      <c r="O140" s="114">
        <f t="shared" si="7"/>
        <v>0</v>
      </c>
      <c r="Q140" s="116" t="str">
        <f t="shared" si="6"/>
        <v>SI</v>
      </c>
    </row>
    <row r="141" spans="3:19" hidden="1" x14ac:dyDescent="0.25">
      <c r="C141" s="106">
        <v>127</v>
      </c>
      <c r="D141" s="600"/>
      <c r="E141" s="600"/>
      <c r="F141" s="600"/>
      <c r="G141" s="96"/>
      <c r="H141" s="80">
        <v>20</v>
      </c>
      <c r="I141" s="249">
        <v>50</v>
      </c>
      <c r="J141" s="107">
        <f>SUMIFS(APUS!Y:Y,APUS!M:M,INSUMOS!C141)</f>
        <v>0</v>
      </c>
      <c r="K141" s="209">
        <f t="shared" si="8"/>
        <v>0</v>
      </c>
      <c r="N141" s="123">
        <f>IFERROR(SUMIFS(APUS!$Z$140:$Z$182,APUS!#REF!,INSUMOS!D141),0)</f>
        <v>0</v>
      </c>
      <c r="O141" s="114">
        <f t="shared" si="7"/>
        <v>0</v>
      </c>
      <c r="Q141" s="116" t="str">
        <f t="shared" si="6"/>
        <v>SI</v>
      </c>
    </row>
    <row r="142" spans="3:19" hidden="1" x14ac:dyDescent="0.25">
      <c r="C142" s="106">
        <v>128</v>
      </c>
      <c r="D142" s="600"/>
      <c r="E142" s="600"/>
      <c r="F142" s="600"/>
      <c r="G142" s="96"/>
      <c r="H142" s="80">
        <v>20</v>
      </c>
      <c r="I142" s="249">
        <v>50</v>
      </c>
      <c r="J142" s="107">
        <f>SUMIFS(APUS!Y:Y,APUS!M:M,INSUMOS!C142)</f>
        <v>0</v>
      </c>
      <c r="K142" s="209">
        <f t="shared" si="8"/>
        <v>0</v>
      </c>
      <c r="N142" s="123">
        <f>IFERROR(SUMIFS(APUS!$Z$140:$Z$182,APUS!#REF!,INSUMOS!D142),0)</f>
        <v>0</v>
      </c>
      <c r="O142" s="114">
        <f t="shared" si="7"/>
        <v>0</v>
      </c>
      <c r="Q142" s="116" t="str">
        <f t="shared" si="6"/>
        <v>SI</v>
      </c>
    </row>
    <row r="143" spans="3:19" x14ac:dyDescent="0.25">
      <c r="C143" s="106">
        <v>129</v>
      </c>
      <c r="D143" s="533" t="s">
        <v>905</v>
      </c>
      <c r="E143" s="533"/>
      <c r="F143" s="533"/>
      <c r="G143" s="78" t="s">
        <v>584</v>
      </c>
      <c r="H143" s="80">
        <v>348</v>
      </c>
      <c r="I143" s="249">
        <v>0.99776362060288992</v>
      </c>
      <c r="J143" s="107">
        <f>SUMIFS(APUS!Y:Y,APUS!M:M,INSUMOS!C143)</f>
        <v>2505603.4799999995</v>
      </c>
      <c r="K143" s="209">
        <f t="shared" si="8"/>
        <v>2500000</v>
      </c>
      <c r="N143" s="123">
        <f>IFERROR(SUMIFS(APUS!$Z$140:$Z$182,APUS!#REF!,INSUMOS!D143),0)</f>
        <v>0</v>
      </c>
      <c r="O143" s="114">
        <f t="shared" si="7"/>
        <v>-2500000</v>
      </c>
      <c r="Q143" s="116" t="str">
        <f t="shared" si="6"/>
        <v>NO</v>
      </c>
      <c r="S143" s="227"/>
    </row>
    <row r="144" spans="3:19" hidden="1" x14ac:dyDescent="0.25">
      <c r="C144" s="106">
        <v>130</v>
      </c>
      <c r="D144" s="533" t="s">
        <v>228</v>
      </c>
      <c r="E144" s="533"/>
      <c r="F144" s="533"/>
      <c r="G144" s="78" t="s">
        <v>567</v>
      </c>
      <c r="H144" s="80">
        <v>20</v>
      </c>
      <c r="I144" s="249">
        <v>50</v>
      </c>
      <c r="J144" s="107">
        <f>SUMIFS(APUS!Y:Y,APUS!M:M,INSUMOS!C144)</f>
        <v>0</v>
      </c>
      <c r="K144" s="209">
        <f t="shared" si="8"/>
        <v>0</v>
      </c>
      <c r="N144" s="123">
        <f>IFERROR(SUMIFS(APUS!$Z$140:$Z$182,APUS!#REF!,INSUMOS!D144),0)</f>
        <v>0</v>
      </c>
      <c r="O144" s="114">
        <f t="shared" si="7"/>
        <v>0</v>
      </c>
      <c r="Q144" s="116" t="str">
        <f t="shared" si="6"/>
        <v>SI</v>
      </c>
    </row>
    <row r="145" spans="3:17" hidden="1" x14ac:dyDescent="0.25">
      <c r="C145" s="106">
        <v>131</v>
      </c>
      <c r="D145" s="600"/>
      <c r="E145" s="600"/>
      <c r="F145" s="600"/>
      <c r="G145" s="96"/>
      <c r="H145" s="80">
        <v>20</v>
      </c>
      <c r="I145" s="249">
        <v>50</v>
      </c>
      <c r="J145" s="107">
        <f>SUMIFS(APUS!Y:Y,APUS!M:M,INSUMOS!C145)</f>
        <v>0</v>
      </c>
      <c r="K145" s="209">
        <f t="shared" si="8"/>
        <v>0</v>
      </c>
      <c r="N145" s="123">
        <f>IFERROR(SUMIFS(APUS!$Z$140:$Z$182,APUS!#REF!,INSUMOS!D145),0)</f>
        <v>0</v>
      </c>
      <c r="O145" s="114">
        <f t="shared" si="7"/>
        <v>0</v>
      </c>
      <c r="Q145" s="116" t="str">
        <f t="shared" si="6"/>
        <v>SI</v>
      </c>
    </row>
    <row r="146" spans="3:17" hidden="1" x14ac:dyDescent="0.25">
      <c r="C146" s="106">
        <v>132</v>
      </c>
      <c r="D146" s="600"/>
      <c r="E146" s="600"/>
      <c r="F146" s="600"/>
      <c r="G146" s="96"/>
      <c r="H146" s="80">
        <v>20</v>
      </c>
      <c r="I146" s="249">
        <v>50</v>
      </c>
      <c r="J146" s="107">
        <f>SUMIFS(APUS!Y:Y,APUS!M:M,INSUMOS!C146)</f>
        <v>0</v>
      </c>
      <c r="K146" s="209">
        <f t="shared" si="8"/>
        <v>0</v>
      </c>
      <c r="N146" s="123">
        <f>IFERROR(SUMIFS(APUS!$Z$140:$Z$182,APUS!#REF!,INSUMOS!D146),0)</f>
        <v>0</v>
      </c>
      <c r="O146" s="114">
        <f t="shared" si="7"/>
        <v>0</v>
      </c>
      <c r="Q146" s="116" t="str">
        <f t="shared" si="6"/>
        <v>SI</v>
      </c>
    </row>
    <row r="147" spans="3:17" hidden="1" x14ac:dyDescent="0.25">
      <c r="C147" s="106">
        <v>133</v>
      </c>
      <c r="D147" s="600"/>
      <c r="E147" s="600"/>
      <c r="F147" s="600"/>
      <c r="G147" s="96"/>
      <c r="H147" s="80">
        <v>20</v>
      </c>
      <c r="I147" s="249">
        <v>50</v>
      </c>
      <c r="J147" s="107">
        <f>SUMIFS(APUS!Y:Y,APUS!M:M,INSUMOS!C147)</f>
        <v>0</v>
      </c>
      <c r="K147" s="209">
        <f t="shared" si="8"/>
        <v>0</v>
      </c>
      <c r="N147" s="123">
        <f>IFERROR(SUMIFS(APUS!$Z$140:$Z$182,APUS!#REF!,INSUMOS!D147),0)</f>
        <v>0</v>
      </c>
      <c r="O147" s="114">
        <f t="shared" si="7"/>
        <v>0</v>
      </c>
      <c r="Q147" s="116" t="str">
        <f t="shared" si="6"/>
        <v>SI</v>
      </c>
    </row>
    <row r="148" spans="3:17" hidden="1" x14ac:dyDescent="0.25">
      <c r="C148" s="106">
        <v>134</v>
      </c>
      <c r="D148" s="600"/>
      <c r="E148" s="600"/>
      <c r="F148" s="600"/>
      <c r="G148" s="96"/>
      <c r="H148" s="80">
        <v>20</v>
      </c>
      <c r="I148" s="249">
        <v>50</v>
      </c>
      <c r="J148" s="107">
        <f>SUMIFS(APUS!Y:Y,APUS!M:M,INSUMOS!C148)</f>
        <v>0</v>
      </c>
      <c r="K148" s="209">
        <f t="shared" si="8"/>
        <v>0</v>
      </c>
      <c r="N148" s="123">
        <f>IFERROR(SUMIFS(APUS!$Z$140:$Z$182,APUS!#REF!,INSUMOS!D148),0)</f>
        <v>0</v>
      </c>
      <c r="O148" s="114">
        <f t="shared" si="7"/>
        <v>0</v>
      </c>
      <c r="Q148" s="116" t="str">
        <f t="shared" si="6"/>
        <v>SI</v>
      </c>
    </row>
    <row r="149" spans="3:17" hidden="1" x14ac:dyDescent="0.25">
      <c r="C149" s="106">
        <v>135</v>
      </c>
      <c r="D149" s="533"/>
      <c r="E149" s="533"/>
      <c r="F149" s="533"/>
      <c r="G149" s="78"/>
      <c r="H149" s="80">
        <v>20</v>
      </c>
      <c r="I149" s="249">
        <v>50</v>
      </c>
      <c r="J149" s="107">
        <f>SUMIFS(APUS!Y:Y,APUS!M:M,INSUMOS!C149)</f>
        <v>0</v>
      </c>
      <c r="K149" s="209">
        <f t="shared" si="8"/>
        <v>0</v>
      </c>
      <c r="N149" s="123">
        <f>IFERROR(SUMIFS(APUS!$Z$140:$Z$182,APUS!#REF!,INSUMOS!D149),0)</f>
        <v>0</v>
      </c>
      <c r="O149" s="114">
        <f t="shared" si="7"/>
        <v>0</v>
      </c>
      <c r="Q149" s="116" t="str">
        <f t="shared" si="6"/>
        <v>SI</v>
      </c>
    </row>
    <row r="150" spans="3:17" hidden="1" x14ac:dyDescent="0.25">
      <c r="C150" s="106">
        <v>136</v>
      </c>
      <c r="D150" s="600"/>
      <c r="E150" s="600"/>
      <c r="F150" s="600"/>
      <c r="G150" s="96"/>
      <c r="H150" s="80">
        <v>20</v>
      </c>
      <c r="I150" s="249">
        <v>50</v>
      </c>
      <c r="J150" s="107">
        <f>SUMIFS(APUS!Y:Y,APUS!M:M,INSUMOS!C150)</f>
        <v>0</v>
      </c>
      <c r="K150" s="209">
        <f t="shared" si="8"/>
        <v>0</v>
      </c>
      <c r="N150" s="123">
        <f>IFERROR(SUMIFS(APUS!$Z$140:$Z$182,APUS!#REF!,INSUMOS!D150),0)</f>
        <v>0</v>
      </c>
      <c r="O150" s="114">
        <f t="shared" si="7"/>
        <v>0</v>
      </c>
      <c r="Q150" s="116" t="str">
        <f t="shared" si="6"/>
        <v>SI</v>
      </c>
    </row>
    <row r="151" spans="3:17" hidden="1" x14ac:dyDescent="0.25">
      <c r="C151" s="106">
        <v>137</v>
      </c>
      <c r="D151" s="600"/>
      <c r="E151" s="600"/>
      <c r="F151" s="600"/>
      <c r="G151" s="96"/>
      <c r="H151" s="80">
        <v>20</v>
      </c>
      <c r="I151" s="249">
        <v>50</v>
      </c>
      <c r="J151" s="107">
        <f>SUMIFS(APUS!Y:Y,APUS!M:M,INSUMOS!C151)</f>
        <v>0</v>
      </c>
      <c r="K151" s="209">
        <f t="shared" si="8"/>
        <v>0</v>
      </c>
      <c r="N151" s="123">
        <f>IFERROR(SUMIFS(APUS!$Z$140:$Z$182,APUS!#REF!,INSUMOS!D151),0)</f>
        <v>0</v>
      </c>
      <c r="O151" s="114">
        <f t="shared" si="7"/>
        <v>0</v>
      </c>
      <c r="Q151" s="116" t="str">
        <f t="shared" si="6"/>
        <v>SI</v>
      </c>
    </row>
    <row r="152" spans="3:17" hidden="1" x14ac:dyDescent="0.25">
      <c r="C152" s="106">
        <v>138</v>
      </c>
      <c r="D152" s="600"/>
      <c r="E152" s="600"/>
      <c r="F152" s="600"/>
      <c r="G152" s="96"/>
      <c r="H152" s="80">
        <v>20</v>
      </c>
      <c r="I152" s="249">
        <v>50</v>
      </c>
      <c r="J152" s="107">
        <f>SUMIFS(APUS!Y:Y,APUS!M:M,INSUMOS!C152)</f>
        <v>0</v>
      </c>
      <c r="K152" s="209">
        <f t="shared" si="8"/>
        <v>0</v>
      </c>
      <c r="N152" s="123">
        <f>IFERROR(SUMIFS(APUS!$Z$140:$Z$182,APUS!#REF!,INSUMOS!D152),0)</f>
        <v>0</v>
      </c>
      <c r="O152" s="114">
        <f t="shared" si="7"/>
        <v>0</v>
      </c>
      <c r="Q152" s="116" t="str">
        <f t="shared" si="6"/>
        <v>SI</v>
      </c>
    </row>
    <row r="153" spans="3:17" hidden="1" x14ac:dyDescent="0.25">
      <c r="C153" s="106">
        <v>139</v>
      </c>
      <c r="D153" s="533"/>
      <c r="E153" s="533"/>
      <c r="F153" s="533"/>
      <c r="G153" s="78"/>
      <c r="H153" s="80">
        <v>20</v>
      </c>
      <c r="I153" s="249">
        <v>50</v>
      </c>
      <c r="J153" s="107">
        <f>SUMIFS(APUS!Y:Y,APUS!M:M,INSUMOS!C153)</f>
        <v>0</v>
      </c>
      <c r="K153" s="209">
        <f t="shared" si="8"/>
        <v>0</v>
      </c>
      <c r="N153" s="123">
        <f>IFERROR(SUMIFS(APUS!$Z$140:$Z$182,APUS!#REF!,INSUMOS!D153),0)</f>
        <v>0</v>
      </c>
      <c r="O153" s="114">
        <f t="shared" si="7"/>
        <v>0</v>
      </c>
      <c r="Q153" s="116" t="str">
        <f t="shared" si="6"/>
        <v>SI</v>
      </c>
    </row>
    <row r="154" spans="3:17" hidden="1" x14ac:dyDescent="0.25">
      <c r="C154" s="106">
        <v>140</v>
      </c>
      <c r="D154" s="600"/>
      <c r="E154" s="600"/>
      <c r="F154" s="600"/>
      <c r="G154" s="96"/>
      <c r="H154" s="80">
        <v>20</v>
      </c>
      <c r="I154" s="249">
        <v>50</v>
      </c>
      <c r="J154" s="107">
        <f>SUMIFS(APUS!Y:Y,APUS!M:M,INSUMOS!C154)</f>
        <v>0</v>
      </c>
      <c r="K154" s="209">
        <f t="shared" si="8"/>
        <v>0</v>
      </c>
      <c r="N154" s="123">
        <f>IFERROR(SUMIFS(APUS!$Z$140:$Z$182,APUS!#REF!,INSUMOS!D154),0)</f>
        <v>0</v>
      </c>
      <c r="O154" s="114">
        <f t="shared" si="7"/>
        <v>0</v>
      </c>
      <c r="Q154" s="116" t="str">
        <f t="shared" si="6"/>
        <v>SI</v>
      </c>
    </row>
    <row r="155" spans="3:17" hidden="1" x14ac:dyDescent="0.25">
      <c r="C155" s="106">
        <v>141</v>
      </c>
      <c r="D155" s="600"/>
      <c r="E155" s="600"/>
      <c r="F155" s="600"/>
      <c r="G155" s="96"/>
      <c r="H155" s="80">
        <v>20</v>
      </c>
      <c r="I155" s="249">
        <v>50</v>
      </c>
      <c r="J155" s="107">
        <f>SUMIFS(APUS!Y:Y,APUS!M:M,INSUMOS!C155)</f>
        <v>0</v>
      </c>
      <c r="K155" s="209">
        <f t="shared" si="8"/>
        <v>0</v>
      </c>
      <c r="N155" s="123">
        <f>IFERROR(SUMIFS(APUS!$Z$140:$Z$182,APUS!#REF!,INSUMOS!D155),0)</f>
        <v>0</v>
      </c>
      <c r="O155" s="114">
        <f t="shared" si="7"/>
        <v>0</v>
      </c>
      <c r="Q155" s="116" t="str">
        <f t="shared" si="6"/>
        <v>SI</v>
      </c>
    </row>
    <row r="156" spans="3:17" hidden="1" x14ac:dyDescent="0.25">
      <c r="C156" s="106">
        <v>142</v>
      </c>
      <c r="D156" s="600"/>
      <c r="E156" s="600"/>
      <c r="F156" s="600"/>
      <c r="G156" s="96"/>
      <c r="H156" s="80">
        <v>20</v>
      </c>
      <c r="I156" s="249">
        <v>50</v>
      </c>
      <c r="J156" s="107">
        <f>SUMIFS(APUS!Y:Y,APUS!M:M,INSUMOS!C156)</f>
        <v>0</v>
      </c>
      <c r="K156" s="209">
        <f t="shared" si="8"/>
        <v>0</v>
      </c>
      <c r="N156" s="123">
        <f>IFERROR(SUMIFS(APUS!$Z$140:$Z$182,APUS!#REF!,INSUMOS!D156),0)</f>
        <v>0</v>
      </c>
      <c r="O156" s="114">
        <f t="shared" si="7"/>
        <v>0</v>
      </c>
      <c r="Q156" s="116" t="str">
        <f t="shared" si="6"/>
        <v>SI</v>
      </c>
    </row>
    <row r="157" spans="3:17" hidden="1" x14ac:dyDescent="0.25">
      <c r="C157" s="106">
        <v>143</v>
      </c>
      <c r="D157" s="600"/>
      <c r="E157" s="600"/>
      <c r="F157" s="600"/>
      <c r="G157" s="96"/>
      <c r="H157" s="80">
        <v>20</v>
      </c>
      <c r="I157" s="249">
        <v>50</v>
      </c>
      <c r="J157" s="107">
        <f>SUMIFS(APUS!Y:Y,APUS!M:M,INSUMOS!C157)</f>
        <v>0</v>
      </c>
      <c r="K157" s="209">
        <f t="shared" si="8"/>
        <v>0</v>
      </c>
      <c r="N157" s="123">
        <f>IFERROR(SUMIFS(APUS!$Z$140:$Z$182,APUS!#REF!,INSUMOS!D157),0)</f>
        <v>0</v>
      </c>
      <c r="O157" s="114">
        <f t="shared" si="7"/>
        <v>0</v>
      </c>
      <c r="Q157" s="116" t="str">
        <f t="shared" si="6"/>
        <v>SI</v>
      </c>
    </row>
    <row r="158" spans="3:17" hidden="1" x14ac:dyDescent="0.25">
      <c r="C158" s="106">
        <v>144</v>
      </c>
      <c r="D158" s="600"/>
      <c r="E158" s="600"/>
      <c r="F158" s="600"/>
      <c r="G158" s="96"/>
      <c r="H158" s="80">
        <v>20</v>
      </c>
      <c r="I158" s="249">
        <v>50</v>
      </c>
      <c r="J158" s="107">
        <f>SUMIFS(APUS!Y:Y,APUS!M:M,INSUMOS!C158)</f>
        <v>0</v>
      </c>
      <c r="K158" s="209">
        <f t="shared" si="8"/>
        <v>0</v>
      </c>
      <c r="N158" s="123">
        <f>IFERROR(SUMIFS(APUS!$Z$140:$Z$182,APUS!#REF!,INSUMOS!D158),0)</f>
        <v>0</v>
      </c>
      <c r="O158" s="114">
        <f t="shared" si="7"/>
        <v>0</v>
      </c>
      <c r="Q158" s="116" t="str">
        <f t="shared" si="6"/>
        <v>SI</v>
      </c>
    </row>
    <row r="159" spans="3:17" hidden="1" x14ac:dyDescent="0.25">
      <c r="C159" s="106">
        <v>145</v>
      </c>
      <c r="D159" s="600"/>
      <c r="E159" s="600"/>
      <c r="F159" s="600"/>
      <c r="G159" s="96"/>
      <c r="H159" s="80">
        <v>20</v>
      </c>
      <c r="I159" s="249">
        <v>50</v>
      </c>
      <c r="J159" s="107">
        <f>SUMIFS(APUS!Y:Y,APUS!M:M,INSUMOS!C159)</f>
        <v>0</v>
      </c>
      <c r="K159" s="209">
        <f t="shared" si="8"/>
        <v>0</v>
      </c>
      <c r="N159" s="123">
        <f>IFERROR(SUMIFS(APUS!$Z$140:$Z$182,APUS!#REF!,INSUMOS!D159),0)</f>
        <v>0</v>
      </c>
      <c r="O159" s="114">
        <f t="shared" si="7"/>
        <v>0</v>
      </c>
      <c r="Q159" s="116" t="str">
        <f t="shared" si="6"/>
        <v>SI</v>
      </c>
    </row>
    <row r="160" spans="3:17" hidden="1" x14ac:dyDescent="0.25">
      <c r="C160" s="106">
        <v>146</v>
      </c>
      <c r="D160" s="600"/>
      <c r="E160" s="600"/>
      <c r="F160" s="600"/>
      <c r="G160" s="96"/>
      <c r="H160" s="80">
        <v>20</v>
      </c>
      <c r="I160" s="249">
        <v>50</v>
      </c>
      <c r="J160" s="107">
        <f>SUMIFS(APUS!Y:Y,APUS!M:M,INSUMOS!C160)</f>
        <v>0</v>
      </c>
      <c r="K160" s="209">
        <f t="shared" si="8"/>
        <v>0</v>
      </c>
      <c r="N160" s="123">
        <f>IFERROR(SUMIFS(APUS!$Z$140:$Z$182,APUS!#REF!,INSUMOS!D160),0)</f>
        <v>0</v>
      </c>
      <c r="O160" s="114">
        <f t="shared" si="7"/>
        <v>0</v>
      </c>
      <c r="Q160" s="116" t="str">
        <f t="shared" si="6"/>
        <v>SI</v>
      </c>
    </row>
    <row r="161" spans="3:17" hidden="1" x14ac:dyDescent="0.25">
      <c r="C161" s="106">
        <v>147</v>
      </c>
      <c r="D161" s="600"/>
      <c r="E161" s="600"/>
      <c r="F161" s="600"/>
      <c r="G161" s="96"/>
      <c r="H161" s="80">
        <v>20</v>
      </c>
      <c r="I161" s="249">
        <v>50</v>
      </c>
      <c r="J161" s="107">
        <f>SUMIFS(APUS!Y:Y,APUS!M:M,INSUMOS!C161)</f>
        <v>0</v>
      </c>
      <c r="K161" s="209">
        <f t="shared" si="8"/>
        <v>0</v>
      </c>
      <c r="N161" s="123">
        <f>IFERROR(SUMIFS(APUS!$Z$140:$Z$182,APUS!#REF!,INSUMOS!D161),0)</f>
        <v>0</v>
      </c>
      <c r="O161" s="114">
        <f t="shared" si="7"/>
        <v>0</v>
      </c>
      <c r="Q161" s="116" t="str">
        <f t="shared" si="6"/>
        <v>SI</v>
      </c>
    </row>
    <row r="162" spans="3:17" hidden="1" x14ac:dyDescent="0.25">
      <c r="C162" s="106">
        <v>148</v>
      </c>
      <c r="D162" s="600"/>
      <c r="E162" s="600"/>
      <c r="F162" s="600"/>
      <c r="G162" s="96"/>
      <c r="H162" s="80">
        <v>20</v>
      </c>
      <c r="I162" s="249">
        <v>50</v>
      </c>
      <c r="J162" s="107">
        <f>SUMIFS(APUS!Y:Y,APUS!M:M,INSUMOS!C162)</f>
        <v>0</v>
      </c>
      <c r="K162" s="209">
        <f t="shared" si="8"/>
        <v>0</v>
      </c>
      <c r="N162" s="123">
        <f>IFERROR(SUMIFS(APUS!$Z$140:$Z$182,APUS!#REF!,INSUMOS!D162),0)</f>
        <v>0</v>
      </c>
      <c r="O162" s="114">
        <f t="shared" si="7"/>
        <v>0</v>
      </c>
      <c r="Q162" s="116" t="str">
        <f t="shared" si="6"/>
        <v>SI</v>
      </c>
    </row>
    <row r="163" spans="3:17" hidden="1" x14ac:dyDescent="0.25">
      <c r="C163" s="106">
        <v>149</v>
      </c>
      <c r="D163" s="600"/>
      <c r="E163" s="600"/>
      <c r="F163" s="600"/>
      <c r="G163" s="96"/>
      <c r="H163" s="80">
        <v>20</v>
      </c>
      <c r="I163" s="249">
        <v>50</v>
      </c>
      <c r="J163" s="107">
        <f>SUMIFS(APUS!Y:Y,APUS!M:M,INSUMOS!C163)</f>
        <v>0</v>
      </c>
      <c r="K163" s="209">
        <f t="shared" si="8"/>
        <v>0</v>
      </c>
      <c r="N163" s="123">
        <f>IFERROR(SUMIFS(APUS!$Z$140:$Z$182,APUS!#REF!,INSUMOS!D163),0)</f>
        <v>0</v>
      </c>
      <c r="O163" s="114">
        <f t="shared" si="7"/>
        <v>0</v>
      </c>
      <c r="Q163" s="116" t="str">
        <f t="shared" si="6"/>
        <v>SI</v>
      </c>
    </row>
    <row r="164" spans="3:17" hidden="1" x14ac:dyDescent="0.25">
      <c r="C164" s="106">
        <v>150</v>
      </c>
      <c r="D164" s="533" t="s">
        <v>229</v>
      </c>
      <c r="E164" s="533"/>
      <c r="F164" s="533"/>
      <c r="G164" s="78" t="s">
        <v>223</v>
      </c>
      <c r="H164" s="80">
        <v>20</v>
      </c>
      <c r="I164" s="249">
        <v>50</v>
      </c>
      <c r="J164" s="107">
        <f>SUMIFS(APUS!Y:Y,APUS!M:M,INSUMOS!C164)</f>
        <v>0</v>
      </c>
      <c r="K164" s="209">
        <f t="shared" si="8"/>
        <v>0</v>
      </c>
      <c r="N164" s="123">
        <f>IFERROR(SUMIFS(APUS!$Z$140:$Z$182,APUS!#REF!,INSUMOS!D164),0)</f>
        <v>0</v>
      </c>
      <c r="O164" s="114">
        <f t="shared" si="7"/>
        <v>0</v>
      </c>
      <c r="Q164" s="116" t="str">
        <f t="shared" si="6"/>
        <v>SI</v>
      </c>
    </row>
    <row r="165" spans="3:17" hidden="1" x14ac:dyDescent="0.25">
      <c r="C165" s="106">
        <v>151</v>
      </c>
      <c r="D165" s="600"/>
      <c r="E165" s="600"/>
      <c r="F165" s="600"/>
      <c r="G165" s="96"/>
      <c r="H165" s="80">
        <v>20</v>
      </c>
      <c r="I165" s="249">
        <v>50</v>
      </c>
      <c r="J165" s="107">
        <f>SUMIFS(APUS!Y:Y,APUS!M:M,INSUMOS!C165)</f>
        <v>0</v>
      </c>
      <c r="K165" s="209">
        <f t="shared" si="8"/>
        <v>0</v>
      </c>
      <c r="N165" s="123">
        <f>IFERROR(SUMIFS(APUS!$Z$140:$Z$182,APUS!#REF!,INSUMOS!D165),0)</f>
        <v>0</v>
      </c>
      <c r="O165" s="114">
        <f t="shared" si="7"/>
        <v>0</v>
      </c>
      <c r="Q165" s="116" t="str">
        <f t="shared" si="6"/>
        <v>SI</v>
      </c>
    </row>
    <row r="166" spans="3:17" hidden="1" x14ac:dyDescent="0.25">
      <c r="C166" s="106">
        <v>152</v>
      </c>
      <c r="D166" s="600"/>
      <c r="E166" s="600"/>
      <c r="F166" s="600"/>
      <c r="G166" s="96"/>
      <c r="H166" s="80">
        <v>20</v>
      </c>
      <c r="I166" s="249">
        <v>50</v>
      </c>
      <c r="J166" s="107">
        <f>SUMIFS(APUS!Y:Y,APUS!M:M,INSUMOS!C166)</f>
        <v>0</v>
      </c>
      <c r="K166" s="209">
        <f t="shared" si="8"/>
        <v>0</v>
      </c>
      <c r="N166" s="123">
        <f>IFERROR(SUMIFS(APUS!$Z$140:$Z$182,APUS!#REF!,INSUMOS!D166),0)</f>
        <v>0</v>
      </c>
      <c r="O166" s="114">
        <f t="shared" si="7"/>
        <v>0</v>
      </c>
      <c r="Q166" s="116" t="str">
        <f t="shared" si="6"/>
        <v>SI</v>
      </c>
    </row>
    <row r="167" spans="3:17" hidden="1" x14ac:dyDescent="0.25">
      <c r="C167" s="106">
        <v>153</v>
      </c>
      <c r="D167" s="600"/>
      <c r="E167" s="600"/>
      <c r="F167" s="600"/>
      <c r="G167" s="96"/>
      <c r="H167" s="80">
        <v>20</v>
      </c>
      <c r="I167" s="249">
        <v>50</v>
      </c>
      <c r="J167" s="107">
        <f>SUMIFS(APUS!Y:Y,APUS!M:M,INSUMOS!C167)</f>
        <v>0</v>
      </c>
      <c r="K167" s="209">
        <f t="shared" si="8"/>
        <v>0</v>
      </c>
      <c r="N167" s="123">
        <f>IFERROR(SUMIFS(APUS!$Z$140:$Z$182,APUS!#REF!,INSUMOS!D167),0)</f>
        <v>0</v>
      </c>
      <c r="O167" s="114">
        <f t="shared" si="7"/>
        <v>0</v>
      </c>
      <c r="Q167" s="116" t="str">
        <f t="shared" si="6"/>
        <v>SI</v>
      </c>
    </row>
    <row r="168" spans="3:17" hidden="1" x14ac:dyDescent="0.25">
      <c r="C168" s="106">
        <v>154</v>
      </c>
      <c r="D168" s="600"/>
      <c r="E168" s="600"/>
      <c r="F168" s="600"/>
      <c r="G168" s="96"/>
      <c r="H168" s="80">
        <v>20</v>
      </c>
      <c r="I168" s="249">
        <v>50</v>
      </c>
      <c r="J168" s="107">
        <f>SUMIFS(APUS!Y:Y,APUS!M:M,INSUMOS!C168)</f>
        <v>0</v>
      </c>
      <c r="K168" s="209">
        <f t="shared" si="8"/>
        <v>0</v>
      </c>
      <c r="N168" s="123">
        <f>IFERROR(SUMIFS(APUS!$Z$140:$Z$182,APUS!#REF!,INSUMOS!D168),0)</f>
        <v>0</v>
      </c>
      <c r="O168" s="114">
        <f t="shared" si="7"/>
        <v>0</v>
      </c>
      <c r="Q168" s="116" t="str">
        <f t="shared" si="6"/>
        <v>SI</v>
      </c>
    </row>
    <row r="169" spans="3:17" hidden="1" x14ac:dyDescent="0.25">
      <c r="C169" s="106">
        <v>155</v>
      </c>
      <c r="D169" s="600"/>
      <c r="E169" s="600"/>
      <c r="F169" s="600"/>
      <c r="G169" s="96"/>
      <c r="H169" s="80">
        <v>20</v>
      </c>
      <c r="I169" s="249">
        <v>50</v>
      </c>
      <c r="J169" s="107">
        <f>SUMIFS(APUS!Y:Y,APUS!M:M,INSUMOS!C169)</f>
        <v>0</v>
      </c>
      <c r="K169" s="209">
        <f t="shared" si="8"/>
        <v>0</v>
      </c>
      <c r="N169" s="123">
        <f>IFERROR(SUMIFS(APUS!$Z$140:$Z$182,APUS!#REF!,INSUMOS!D169),0)</f>
        <v>0</v>
      </c>
      <c r="O169" s="114">
        <f t="shared" si="7"/>
        <v>0</v>
      </c>
      <c r="Q169" s="116" t="str">
        <f t="shared" si="6"/>
        <v>SI</v>
      </c>
    </row>
    <row r="170" spans="3:17" hidden="1" x14ac:dyDescent="0.25">
      <c r="C170" s="106">
        <v>156</v>
      </c>
      <c r="D170" s="600"/>
      <c r="E170" s="600"/>
      <c r="F170" s="600"/>
      <c r="G170" s="96"/>
      <c r="H170" s="80">
        <v>20</v>
      </c>
      <c r="I170" s="249">
        <v>50</v>
      </c>
      <c r="J170" s="107">
        <f>SUMIFS(APUS!Y:Y,APUS!M:M,INSUMOS!C170)</f>
        <v>0</v>
      </c>
      <c r="K170" s="209">
        <f t="shared" si="8"/>
        <v>0</v>
      </c>
      <c r="N170" s="123">
        <f>IFERROR(SUMIFS(APUS!$Z$140:$Z$182,APUS!#REF!,INSUMOS!D170),0)</f>
        <v>0</v>
      </c>
      <c r="O170" s="114">
        <f t="shared" si="7"/>
        <v>0</v>
      </c>
      <c r="Q170" s="116" t="str">
        <f t="shared" si="6"/>
        <v>SI</v>
      </c>
    </row>
    <row r="171" spans="3:17" hidden="1" x14ac:dyDescent="0.25">
      <c r="C171" s="106">
        <v>157</v>
      </c>
      <c r="D171" s="600"/>
      <c r="E171" s="600"/>
      <c r="F171" s="600"/>
      <c r="G171" s="96"/>
      <c r="H171" s="80">
        <v>20</v>
      </c>
      <c r="I171" s="249">
        <v>50</v>
      </c>
      <c r="J171" s="107">
        <f>SUMIFS(APUS!Y:Y,APUS!M:M,INSUMOS!C171)</f>
        <v>0</v>
      </c>
      <c r="K171" s="209">
        <f t="shared" si="8"/>
        <v>0</v>
      </c>
      <c r="N171" s="123">
        <f>IFERROR(SUMIFS(APUS!$Z$140:$Z$182,APUS!#REF!,INSUMOS!D171),0)</f>
        <v>0</v>
      </c>
      <c r="O171" s="114">
        <f t="shared" si="7"/>
        <v>0</v>
      </c>
      <c r="Q171" s="116" t="str">
        <f t="shared" si="6"/>
        <v>SI</v>
      </c>
    </row>
    <row r="172" spans="3:17" hidden="1" x14ac:dyDescent="0.25">
      <c r="C172" s="106">
        <v>158</v>
      </c>
      <c r="D172" s="600"/>
      <c r="E172" s="600"/>
      <c r="F172" s="600"/>
      <c r="G172" s="96"/>
      <c r="H172" s="80">
        <v>20</v>
      </c>
      <c r="I172" s="249">
        <v>50</v>
      </c>
      <c r="J172" s="107">
        <f>SUMIFS(APUS!Y:Y,APUS!M:M,INSUMOS!C172)</f>
        <v>0</v>
      </c>
      <c r="K172" s="209">
        <f t="shared" si="8"/>
        <v>0</v>
      </c>
      <c r="N172" s="123">
        <f>IFERROR(SUMIFS(APUS!$Z$140:$Z$182,APUS!#REF!,INSUMOS!D172),0)</f>
        <v>0</v>
      </c>
      <c r="O172" s="114">
        <f t="shared" si="7"/>
        <v>0</v>
      </c>
      <c r="Q172" s="116" t="str">
        <f t="shared" si="6"/>
        <v>SI</v>
      </c>
    </row>
    <row r="173" spans="3:17" hidden="1" x14ac:dyDescent="0.25">
      <c r="C173" s="106">
        <v>159</v>
      </c>
      <c r="D173" s="533" t="s">
        <v>227</v>
      </c>
      <c r="E173" s="533"/>
      <c r="F173" s="533"/>
      <c r="G173" s="78" t="s">
        <v>223</v>
      </c>
      <c r="H173" s="80">
        <v>20</v>
      </c>
      <c r="I173" s="249">
        <v>50</v>
      </c>
      <c r="J173" s="107">
        <f>SUMIFS(APUS!Y:Y,APUS!M:M,INSUMOS!C173)</f>
        <v>0</v>
      </c>
      <c r="K173" s="209">
        <f t="shared" si="8"/>
        <v>0</v>
      </c>
      <c r="N173" s="123">
        <f>IFERROR(SUMIFS(APUS!$Z$140:$Z$182,APUS!#REF!,INSUMOS!D173),0)</f>
        <v>0</v>
      </c>
      <c r="O173" s="114">
        <f t="shared" si="7"/>
        <v>0</v>
      </c>
      <c r="Q173" s="116" t="str">
        <f t="shared" si="6"/>
        <v>SI</v>
      </c>
    </row>
    <row r="174" spans="3:17" hidden="1" x14ac:dyDescent="0.25">
      <c r="C174" s="106">
        <v>160</v>
      </c>
      <c r="D174" s="667" t="s">
        <v>237</v>
      </c>
      <c r="E174" s="667"/>
      <c r="F174" s="667"/>
      <c r="G174" s="96" t="s">
        <v>224</v>
      </c>
      <c r="H174" s="80">
        <v>20</v>
      </c>
      <c r="I174" s="249">
        <v>50</v>
      </c>
      <c r="J174" s="107">
        <f>SUMIFS(APUS!Y:Y,APUS!M:M,INSUMOS!C174)</f>
        <v>0</v>
      </c>
      <c r="K174" s="209">
        <f t="shared" si="8"/>
        <v>0</v>
      </c>
      <c r="N174" s="123">
        <f>IFERROR(SUMIFS(APUS!$Z$140:$Z$182,APUS!#REF!,INSUMOS!D174),0)</f>
        <v>0</v>
      </c>
      <c r="O174" s="114">
        <f t="shared" si="7"/>
        <v>0</v>
      </c>
      <c r="Q174" s="116" t="str">
        <f t="shared" si="6"/>
        <v>SI</v>
      </c>
    </row>
    <row r="175" spans="3:17" hidden="1" x14ac:dyDescent="0.25">
      <c r="C175" s="106">
        <v>161</v>
      </c>
      <c r="D175" s="533" t="s">
        <v>442</v>
      </c>
      <c r="E175" s="533"/>
      <c r="F175" s="533"/>
      <c r="G175" s="96" t="s">
        <v>224</v>
      </c>
      <c r="H175" s="80">
        <v>10</v>
      </c>
      <c r="I175" s="249">
        <v>2000</v>
      </c>
      <c r="J175" s="107">
        <f>SUMIFS(APUS!Y:Y,APUS!M:M,INSUMOS!C175)</f>
        <v>0</v>
      </c>
      <c r="K175" s="209">
        <f t="shared" si="8"/>
        <v>0</v>
      </c>
      <c r="N175" s="123">
        <f>IFERROR(SUMIFS(APUS!$Z$140:$Z$182,APUS!#REF!,INSUMOS!D175),0)</f>
        <v>0</v>
      </c>
      <c r="O175" s="114">
        <f t="shared" si="7"/>
        <v>0</v>
      </c>
      <c r="Q175" s="116" t="str">
        <f t="shared" si="6"/>
        <v>SI</v>
      </c>
    </row>
    <row r="176" spans="3:17" hidden="1" x14ac:dyDescent="0.25">
      <c r="C176" s="106">
        <v>162</v>
      </c>
      <c r="D176" s="667"/>
      <c r="E176" s="667"/>
      <c r="F176" s="667"/>
      <c r="G176" s="78"/>
      <c r="H176" s="80">
        <v>20</v>
      </c>
      <c r="I176" s="249">
        <v>50</v>
      </c>
      <c r="J176" s="107">
        <f>SUMIFS(APUS!Y:Y,APUS!M:M,INSUMOS!C176)</f>
        <v>0</v>
      </c>
      <c r="K176" s="209">
        <f t="shared" si="8"/>
        <v>0</v>
      </c>
      <c r="N176" s="123">
        <f>IFERROR(SUMIFS(APUS!$Z$140:$Z$182,APUS!#REF!,INSUMOS!D176),0)</f>
        <v>0</v>
      </c>
      <c r="O176" s="114">
        <f t="shared" si="7"/>
        <v>0</v>
      </c>
      <c r="Q176" s="116" t="str">
        <f t="shared" si="6"/>
        <v>SI</v>
      </c>
    </row>
    <row r="177" spans="3:17" hidden="1" x14ac:dyDescent="0.25">
      <c r="C177" s="106">
        <v>163</v>
      </c>
      <c r="D177" s="667"/>
      <c r="E177" s="667"/>
      <c r="F177" s="667"/>
      <c r="G177" s="96"/>
      <c r="H177" s="80">
        <v>20</v>
      </c>
      <c r="I177" s="249">
        <v>50</v>
      </c>
      <c r="J177" s="107">
        <f>SUMIFS(APUS!Y:Y,APUS!M:M,INSUMOS!C177)</f>
        <v>0</v>
      </c>
      <c r="K177" s="209">
        <f t="shared" si="8"/>
        <v>0</v>
      </c>
      <c r="N177" s="123">
        <f>IFERROR(SUMIFS(APUS!$Z$140:$Z$182,APUS!#REF!,INSUMOS!D177),0)</f>
        <v>0</v>
      </c>
      <c r="O177" s="114">
        <f t="shared" si="7"/>
        <v>0</v>
      </c>
      <c r="Q177" s="116" t="str">
        <f t="shared" si="6"/>
        <v>SI</v>
      </c>
    </row>
    <row r="178" spans="3:17" hidden="1" x14ac:dyDescent="0.25">
      <c r="C178" s="106">
        <v>164</v>
      </c>
      <c r="D178" s="667"/>
      <c r="E178" s="667"/>
      <c r="F178" s="667"/>
      <c r="G178" s="96"/>
      <c r="H178" s="80">
        <v>20</v>
      </c>
      <c r="I178" s="249">
        <v>50</v>
      </c>
      <c r="J178" s="107">
        <f>SUMIFS(APUS!Y:Y,APUS!M:M,INSUMOS!C178)</f>
        <v>0</v>
      </c>
      <c r="K178" s="209">
        <f t="shared" ref="K178:K198" si="9">+J178*I178</f>
        <v>0</v>
      </c>
      <c r="N178" s="123">
        <f>IFERROR(SUMIFS(APUS!$Z$140:$Z$182,APUS!#REF!,INSUMOS!D178),0)</f>
        <v>0</v>
      </c>
      <c r="O178" s="114">
        <f t="shared" si="7"/>
        <v>0</v>
      </c>
      <c r="Q178" s="116" t="str">
        <f t="shared" ref="Q178:Q213" si="10">+IF(K178=0,"SI","NO")</f>
        <v>SI</v>
      </c>
    </row>
    <row r="179" spans="3:17" hidden="1" x14ac:dyDescent="0.25">
      <c r="C179" s="106">
        <v>165</v>
      </c>
      <c r="D179" s="667"/>
      <c r="E179" s="667"/>
      <c r="F179" s="667"/>
      <c r="G179" s="96"/>
      <c r="H179" s="80">
        <v>20</v>
      </c>
      <c r="I179" s="249">
        <v>50</v>
      </c>
      <c r="J179" s="107">
        <f>SUMIFS(APUS!Y:Y,APUS!M:M,INSUMOS!C179)</f>
        <v>0</v>
      </c>
      <c r="K179" s="209">
        <f t="shared" si="9"/>
        <v>0</v>
      </c>
      <c r="N179" s="123">
        <f>IFERROR(SUMIFS(APUS!$Z$140:$Z$182,APUS!#REF!,INSUMOS!D179),0)</f>
        <v>0</v>
      </c>
      <c r="O179" s="114">
        <f t="shared" ref="O179:O213" si="11">+N179-K179</f>
        <v>0</v>
      </c>
      <c r="Q179" s="116" t="str">
        <f t="shared" si="10"/>
        <v>SI</v>
      </c>
    </row>
    <row r="180" spans="3:17" hidden="1" x14ac:dyDescent="0.25">
      <c r="C180" s="106">
        <v>166</v>
      </c>
      <c r="D180" s="667"/>
      <c r="E180" s="667"/>
      <c r="F180" s="667"/>
      <c r="G180" s="96"/>
      <c r="H180" s="80">
        <v>20</v>
      </c>
      <c r="I180" s="249">
        <v>50</v>
      </c>
      <c r="J180" s="107">
        <f>SUMIFS(APUS!Y:Y,APUS!M:M,INSUMOS!C180)</f>
        <v>0</v>
      </c>
      <c r="K180" s="209">
        <f t="shared" si="9"/>
        <v>0</v>
      </c>
      <c r="N180" s="123">
        <f>IFERROR(SUMIFS(APUS!$Z$140:$Z$182,APUS!#REF!,INSUMOS!D180),0)</f>
        <v>0</v>
      </c>
      <c r="O180" s="114">
        <f t="shared" si="11"/>
        <v>0</v>
      </c>
      <c r="Q180" s="116" t="str">
        <f t="shared" si="10"/>
        <v>SI</v>
      </c>
    </row>
    <row r="181" spans="3:17" hidden="1" x14ac:dyDescent="0.25">
      <c r="C181" s="106">
        <v>167</v>
      </c>
      <c r="D181" s="667"/>
      <c r="E181" s="667"/>
      <c r="F181" s="667"/>
      <c r="G181" s="96"/>
      <c r="H181" s="80">
        <v>20</v>
      </c>
      <c r="I181" s="249">
        <v>50</v>
      </c>
      <c r="J181" s="107">
        <f>SUMIFS(APUS!Y:Y,APUS!M:M,INSUMOS!C181)</f>
        <v>0</v>
      </c>
      <c r="K181" s="209">
        <f t="shared" si="9"/>
        <v>0</v>
      </c>
      <c r="N181" s="123">
        <f>IFERROR(SUMIFS(APUS!$Z$140:$Z$182,APUS!#REF!,INSUMOS!D181),0)</f>
        <v>0</v>
      </c>
      <c r="O181" s="114">
        <f t="shared" si="11"/>
        <v>0</v>
      </c>
      <c r="Q181" s="116" t="str">
        <f t="shared" si="10"/>
        <v>SI</v>
      </c>
    </row>
    <row r="182" spans="3:17" hidden="1" x14ac:dyDescent="0.25">
      <c r="C182" s="106">
        <v>168</v>
      </c>
      <c r="D182" s="667"/>
      <c r="E182" s="667"/>
      <c r="F182" s="667"/>
      <c r="G182" s="96"/>
      <c r="H182" s="80">
        <v>20</v>
      </c>
      <c r="I182" s="249">
        <v>50</v>
      </c>
      <c r="J182" s="107">
        <f>SUMIFS(APUS!Y:Y,APUS!M:M,INSUMOS!C182)</f>
        <v>0</v>
      </c>
      <c r="K182" s="209">
        <f t="shared" si="9"/>
        <v>0</v>
      </c>
      <c r="N182" s="123">
        <f>IFERROR(SUMIFS(APUS!$Z$140:$Z$182,APUS!#REF!,INSUMOS!D182),0)</f>
        <v>0</v>
      </c>
      <c r="O182" s="114">
        <f t="shared" si="11"/>
        <v>0</v>
      </c>
      <c r="Q182" s="116" t="str">
        <f t="shared" si="10"/>
        <v>SI</v>
      </c>
    </row>
    <row r="183" spans="3:17" hidden="1" x14ac:dyDescent="0.25">
      <c r="C183" s="106">
        <v>169</v>
      </c>
      <c r="D183" s="667"/>
      <c r="E183" s="667"/>
      <c r="F183" s="667"/>
      <c r="G183" s="96"/>
      <c r="H183" s="80">
        <v>20</v>
      </c>
      <c r="I183" s="249">
        <v>50</v>
      </c>
      <c r="J183" s="107">
        <f>SUMIFS(APUS!Y:Y,APUS!M:M,INSUMOS!C183)</f>
        <v>0</v>
      </c>
      <c r="K183" s="209">
        <f t="shared" si="9"/>
        <v>0</v>
      </c>
      <c r="N183" s="123">
        <f>IFERROR(SUMIFS(APUS!$Z$140:$Z$182,APUS!#REF!,INSUMOS!D183),0)</f>
        <v>0</v>
      </c>
      <c r="O183" s="114">
        <f t="shared" si="11"/>
        <v>0</v>
      </c>
      <c r="Q183" s="116" t="str">
        <f t="shared" si="10"/>
        <v>SI</v>
      </c>
    </row>
    <row r="184" spans="3:17" hidden="1" x14ac:dyDescent="0.25">
      <c r="C184" s="106">
        <v>170</v>
      </c>
      <c r="D184" s="533" t="s">
        <v>235</v>
      </c>
      <c r="E184" s="533"/>
      <c r="F184" s="533"/>
      <c r="G184" s="96" t="s">
        <v>225</v>
      </c>
      <c r="H184" s="80">
        <v>20</v>
      </c>
      <c r="I184" s="249">
        <v>50</v>
      </c>
      <c r="J184" s="107">
        <f>SUMIFS(APUS!Y:Y,APUS!M:M,INSUMOS!C184)</f>
        <v>0</v>
      </c>
      <c r="K184" s="209">
        <f t="shared" si="9"/>
        <v>0</v>
      </c>
      <c r="N184" s="123">
        <f>IFERROR(SUMIFS(APUS!$Z$140:$Z$182,APUS!#REF!,INSUMOS!D184),0)</f>
        <v>0</v>
      </c>
      <c r="O184" s="114">
        <f t="shared" si="11"/>
        <v>0</v>
      </c>
      <c r="Q184" s="116" t="str">
        <f t="shared" si="10"/>
        <v>SI</v>
      </c>
    </row>
    <row r="185" spans="3:17" hidden="1" x14ac:dyDescent="0.25">
      <c r="C185" s="106">
        <v>171</v>
      </c>
      <c r="D185" s="667"/>
      <c r="E185" s="667"/>
      <c r="F185" s="667"/>
      <c r="G185" s="96"/>
      <c r="H185" s="80">
        <v>20</v>
      </c>
      <c r="I185" s="249">
        <v>50</v>
      </c>
      <c r="J185" s="107">
        <f>SUMIFS(APUS!Y:Y,APUS!M:M,INSUMOS!C185)</f>
        <v>0</v>
      </c>
      <c r="K185" s="209">
        <f t="shared" si="9"/>
        <v>0</v>
      </c>
      <c r="N185" s="123">
        <f>IFERROR(SUMIFS(APUS!$Z$140:$Z$182,APUS!#REF!,INSUMOS!D185),0)</f>
        <v>0</v>
      </c>
      <c r="O185" s="114">
        <f t="shared" si="11"/>
        <v>0</v>
      </c>
      <c r="Q185" s="116" t="str">
        <f t="shared" si="10"/>
        <v>SI</v>
      </c>
    </row>
    <row r="186" spans="3:17" hidden="1" x14ac:dyDescent="0.25">
      <c r="C186" s="106">
        <v>172</v>
      </c>
      <c r="D186" s="667"/>
      <c r="E186" s="667"/>
      <c r="F186" s="667"/>
      <c r="G186" s="96"/>
      <c r="H186" s="80">
        <v>20</v>
      </c>
      <c r="I186" s="249">
        <v>50</v>
      </c>
      <c r="J186" s="107">
        <f>SUMIFS(APUS!Y:Y,APUS!M:M,INSUMOS!C186)</f>
        <v>0</v>
      </c>
      <c r="K186" s="209">
        <f t="shared" si="9"/>
        <v>0</v>
      </c>
      <c r="N186" s="123">
        <f>IFERROR(SUMIFS(APUS!$Z$140:$Z$182,APUS!#REF!,INSUMOS!D186),0)</f>
        <v>0</v>
      </c>
      <c r="O186" s="114">
        <f t="shared" si="11"/>
        <v>0</v>
      </c>
      <c r="Q186" s="116" t="str">
        <f t="shared" si="10"/>
        <v>SI</v>
      </c>
    </row>
    <row r="187" spans="3:17" hidden="1" x14ac:dyDescent="0.25">
      <c r="C187" s="106">
        <v>173</v>
      </c>
      <c r="D187" s="667"/>
      <c r="E187" s="667"/>
      <c r="F187" s="667"/>
      <c r="G187" s="96"/>
      <c r="H187" s="80">
        <v>20</v>
      </c>
      <c r="I187" s="249">
        <v>50</v>
      </c>
      <c r="J187" s="107">
        <f>SUMIFS(APUS!Y:Y,APUS!M:M,INSUMOS!C187)</f>
        <v>0</v>
      </c>
      <c r="K187" s="209">
        <f t="shared" si="9"/>
        <v>0</v>
      </c>
      <c r="N187" s="123">
        <f>IFERROR(SUMIFS(APUS!$Z$140:$Z$182,APUS!#REF!,INSUMOS!D187),0)</f>
        <v>0</v>
      </c>
      <c r="O187" s="114">
        <f t="shared" si="11"/>
        <v>0</v>
      </c>
      <c r="Q187" s="116" t="str">
        <f t="shared" si="10"/>
        <v>SI</v>
      </c>
    </row>
    <row r="188" spans="3:17" hidden="1" x14ac:dyDescent="0.25">
      <c r="C188" s="106">
        <v>174</v>
      </c>
      <c r="D188" s="667"/>
      <c r="E188" s="667"/>
      <c r="F188" s="667"/>
      <c r="G188" s="96"/>
      <c r="H188" s="80">
        <v>20</v>
      </c>
      <c r="I188" s="249">
        <v>50</v>
      </c>
      <c r="J188" s="107">
        <f>SUMIFS(APUS!Y:Y,APUS!M:M,INSUMOS!C188)</f>
        <v>0</v>
      </c>
      <c r="K188" s="209">
        <f t="shared" si="9"/>
        <v>0</v>
      </c>
      <c r="N188" s="123">
        <f>IFERROR(SUMIFS(APUS!$Z$140:$Z$182,APUS!#REF!,INSUMOS!D188),0)</f>
        <v>0</v>
      </c>
      <c r="O188" s="114">
        <f t="shared" si="11"/>
        <v>0</v>
      </c>
      <c r="Q188" s="116" t="str">
        <f t="shared" si="10"/>
        <v>SI</v>
      </c>
    </row>
    <row r="189" spans="3:17" hidden="1" x14ac:dyDescent="0.25">
      <c r="C189" s="106">
        <v>175</v>
      </c>
      <c r="D189" s="667"/>
      <c r="E189" s="667"/>
      <c r="F189" s="667"/>
      <c r="G189" s="96"/>
      <c r="H189" s="80">
        <v>20</v>
      </c>
      <c r="I189" s="249">
        <v>50</v>
      </c>
      <c r="J189" s="107">
        <f>SUMIFS(APUS!Y:Y,APUS!M:M,INSUMOS!C189)</f>
        <v>0</v>
      </c>
      <c r="K189" s="209">
        <f t="shared" si="9"/>
        <v>0</v>
      </c>
      <c r="N189" s="123">
        <f>IFERROR(SUMIFS(APUS!$Z$140:$Z$182,APUS!#REF!,INSUMOS!D189),0)</f>
        <v>0</v>
      </c>
      <c r="O189" s="114">
        <f t="shared" si="11"/>
        <v>0</v>
      </c>
      <c r="Q189" s="116" t="str">
        <f t="shared" si="10"/>
        <v>SI</v>
      </c>
    </row>
    <row r="190" spans="3:17" hidden="1" x14ac:dyDescent="0.25">
      <c r="C190" s="106">
        <v>176</v>
      </c>
      <c r="D190" s="667"/>
      <c r="E190" s="667"/>
      <c r="F190" s="667"/>
      <c r="G190" s="96"/>
      <c r="H190" s="80">
        <v>20</v>
      </c>
      <c r="I190" s="249">
        <v>50</v>
      </c>
      <c r="J190" s="107">
        <f>SUMIFS(APUS!Y:Y,APUS!M:M,INSUMOS!C190)</f>
        <v>0</v>
      </c>
      <c r="K190" s="209">
        <f t="shared" si="9"/>
        <v>0</v>
      </c>
      <c r="N190" s="123">
        <f>IFERROR(SUMIFS(APUS!$Z$140:$Z$182,APUS!#REF!,INSUMOS!D190),0)</f>
        <v>0</v>
      </c>
      <c r="O190" s="114">
        <f t="shared" si="11"/>
        <v>0</v>
      </c>
      <c r="Q190" s="116" t="str">
        <f t="shared" si="10"/>
        <v>SI</v>
      </c>
    </row>
    <row r="191" spans="3:17" hidden="1" x14ac:dyDescent="0.25">
      <c r="C191" s="106">
        <v>177</v>
      </c>
      <c r="D191" s="667"/>
      <c r="E191" s="667"/>
      <c r="F191" s="667"/>
      <c r="G191" s="96"/>
      <c r="H191" s="80">
        <v>20</v>
      </c>
      <c r="I191" s="249">
        <v>50</v>
      </c>
      <c r="J191" s="107">
        <f>SUMIFS(APUS!Y:Y,APUS!M:M,INSUMOS!C191)</f>
        <v>0</v>
      </c>
      <c r="K191" s="209">
        <f t="shared" si="9"/>
        <v>0</v>
      </c>
      <c r="N191" s="123">
        <f>IFERROR(SUMIFS(APUS!$Z$140:$Z$182,APUS!#REF!,INSUMOS!D191),0)</f>
        <v>0</v>
      </c>
      <c r="O191" s="114">
        <f t="shared" si="11"/>
        <v>0</v>
      </c>
      <c r="Q191" s="116" t="str">
        <f t="shared" si="10"/>
        <v>SI</v>
      </c>
    </row>
    <row r="192" spans="3:17" hidden="1" x14ac:dyDescent="0.25">
      <c r="C192" s="106">
        <v>178</v>
      </c>
      <c r="D192" s="667"/>
      <c r="E192" s="667"/>
      <c r="F192" s="667"/>
      <c r="G192" s="96"/>
      <c r="H192" s="80">
        <v>20</v>
      </c>
      <c r="I192" s="249">
        <v>50</v>
      </c>
      <c r="J192" s="107">
        <f>SUMIFS(APUS!Y:Y,APUS!M:M,INSUMOS!C192)</f>
        <v>0</v>
      </c>
      <c r="K192" s="209">
        <f t="shared" si="9"/>
        <v>0</v>
      </c>
      <c r="N192" s="123">
        <f>IFERROR(SUMIFS(APUS!$Z$140:$Z$182,APUS!#REF!,INSUMOS!D192),0)</f>
        <v>0</v>
      </c>
      <c r="O192" s="114">
        <f t="shared" si="11"/>
        <v>0</v>
      </c>
      <c r="Q192" s="116" t="str">
        <f t="shared" si="10"/>
        <v>SI</v>
      </c>
    </row>
    <row r="193" spans="3:17" hidden="1" x14ac:dyDescent="0.25">
      <c r="C193" s="106">
        <v>179</v>
      </c>
      <c r="D193" s="667"/>
      <c r="E193" s="667"/>
      <c r="F193" s="667"/>
      <c r="G193" s="96"/>
      <c r="H193" s="80">
        <v>20</v>
      </c>
      <c r="I193" s="249">
        <v>50</v>
      </c>
      <c r="J193" s="107">
        <f>SUMIFS(APUS!Y:Y,APUS!M:M,INSUMOS!C193)</f>
        <v>0</v>
      </c>
      <c r="K193" s="209">
        <f t="shared" si="9"/>
        <v>0</v>
      </c>
      <c r="N193" s="123">
        <f>IFERROR(SUMIFS(APUS!$Z$140:$Z$182,APUS!#REF!,INSUMOS!D193),0)</f>
        <v>0</v>
      </c>
      <c r="O193" s="114">
        <f t="shared" si="11"/>
        <v>0</v>
      </c>
      <c r="Q193" s="116" t="str">
        <f t="shared" si="10"/>
        <v>SI</v>
      </c>
    </row>
    <row r="194" spans="3:17" hidden="1" x14ac:dyDescent="0.25">
      <c r="C194" s="106">
        <v>180</v>
      </c>
      <c r="D194" s="533"/>
      <c r="E194" s="533"/>
      <c r="F194" s="533"/>
      <c r="G194" s="96"/>
      <c r="H194" s="80">
        <v>20</v>
      </c>
      <c r="I194" s="249">
        <v>50</v>
      </c>
      <c r="J194" s="107">
        <f>SUMIFS(APUS!Y:Y,APUS!M:M,INSUMOS!C194)</f>
        <v>0</v>
      </c>
      <c r="K194" s="209">
        <f t="shared" si="9"/>
        <v>0</v>
      </c>
      <c r="N194" s="123">
        <f>IFERROR(SUMIFS(APUS!$Z$140:$Z$182,APUS!#REF!,INSUMOS!D194),0)</f>
        <v>0</v>
      </c>
      <c r="O194" s="114">
        <f t="shared" si="11"/>
        <v>0</v>
      </c>
      <c r="Q194" s="116" t="str">
        <f t="shared" si="10"/>
        <v>SI</v>
      </c>
    </row>
    <row r="195" spans="3:17" hidden="1" x14ac:dyDescent="0.25">
      <c r="C195" s="106">
        <v>181</v>
      </c>
      <c r="D195" s="667"/>
      <c r="E195" s="667"/>
      <c r="F195" s="667"/>
      <c r="G195" s="96"/>
      <c r="H195" s="80">
        <v>20</v>
      </c>
      <c r="I195" s="249">
        <v>50</v>
      </c>
      <c r="J195" s="107">
        <f>SUMIFS(APUS!Y:Y,APUS!M:M,INSUMOS!C195)</f>
        <v>0</v>
      </c>
      <c r="K195" s="209">
        <f t="shared" si="9"/>
        <v>0</v>
      </c>
      <c r="N195" s="123">
        <f>IFERROR(SUMIFS(APUS!$Z$140:$Z$182,APUS!#REF!,INSUMOS!D195),0)</f>
        <v>0</v>
      </c>
      <c r="O195" s="114">
        <f t="shared" si="11"/>
        <v>0</v>
      </c>
      <c r="Q195" s="116" t="str">
        <f t="shared" si="10"/>
        <v>SI</v>
      </c>
    </row>
    <row r="196" spans="3:17" hidden="1" x14ac:dyDescent="0.25">
      <c r="C196" s="106">
        <v>182</v>
      </c>
      <c r="D196" s="533"/>
      <c r="E196" s="533"/>
      <c r="F196" s="533"/>
      <c r="G196" s="78"/>
      <c r="H196" s="80">
        <v>20</v>
      </c>
      <c r="I196" s="249">
        <v>50</v>
      </c>
      <c r="J196" s="107">
        <f>SUMIFS(APUS!Y:Y,APUS!M:M,INSUMOS!C196)</f>
        <v>0</v>
      </c>
      <c r="K196" s="209">
        <f t="shared" si="9"/>
        <v>0</v>
      </c>
      <c r="N196" s="123">
        <f>IFERROR(SUMIFS(APUS!$Z$140:$Z$182,APUS!#REF!,INSUMOS!D196),0)</f>
        <v>0</v>
      </c>
      <c r="O196" s="114">
        <f t="shared" si="11"/>
        <v>0</v>
      </c>
      <c r="Q196" s="116" t="str">
        <f t="shared" si="10"/>
        <v>SI</v>
      </c>
    </row>
    <row r="197" spans="3:17" hidden="1" x14ac:dyDescent="0.25">
      <c r="C197" s="106">
        <v>183</v>
      </c>
      <c r="D197" s="533"/>
      <c r="E197" s="533"/>
      <c r="F197" s="533"/>
      <c r="G197" s="78"/>
      <c r="H197" s="80">
        <v>20</v>
      </c>
      <c r="I197" s="249">
        <v>50</v>
      </c>
      <c r="J197" s="107">
        <f>SUMIFS(APUS!Y:Y,APUS!M:M,INSUMOS!C197)</f>
        <v>0</v>
      </c>
      <c r="K197" s="209">
        <f t="shared" si="9"/>
        <v>0</v>
      </c>
      <c r="N197" s="123">
        <f>IFERROR(SUMIFS(APUS!$Z$140:$Z$182,APUS!#REF!,INSUMOS!D197),0)</f>
        <v>0</v>
      </c>
      <c r="O197" s="114">
        <f t="shared" si="11"/>
        <v>0</v>
      </c>
      <c r="Q197" s="116" t="str">
        <f t="shared" si="10"/>
        <v>SI</v>
      </c>
    </row>
    <row r="198" spans="3:17" hidden="1" x14ac:dyDescent="0.25">
      <c r="C198" s="106">
        <v>184</v>
      </c>
      <c r="D198" s="533"/>
      <c r="E198" s="533"/>
      <c r="F198" s="533"/>
      <c r="G198" s="78"/>
      <c r="H198" s="80">
        <v>20</v>
      </c>
      <c r="I198" s="249">
        <v>50</v>
      </c>
      <c r="J198" s="107">
        <f>SUMIFS(APUS!Y:Y,APUS!M:M,INSUMOS!C198)</f>
        <v>0</v>
      </c>
      <c r="K198" s="209">
        <f t="shared" si="9"/>
        <v>0</v>
      </c>
      <c r="N198" s="123">
        <f>IFERROR(SUMIFS(APUS!$Z$140:$Z$182,APUS!#REF!,INSUMOS!D198),0)</f>
        <v>0</v>
      </c>
      <c r="O198" s="114">
        <f t="shared" si="11"/>
        <v>0</v>
      </c>
      <c r="Q198" s="116" t="str">
        <f t="shared" si="10"/>
        <v>SI</v>
      </c>
    </row>
    <row r="199" spans="3:17" hidden="1" x14ac:dyDescent="0.25">
      <c r="C199" s="106">
        <v>185</v>
      </c>
      <c r="D199" s="533" t="s">
        <v>236</v>
      </c>
      <c r="E199" s="533"/>
      <c r="F199" s="533"/>
      <c r="G199" s="78" t="s">
        <v>223</v>
      </c>
      <c r="H199" s="80">
        <v>20</v>
      </c>
      <c r="I199" s="249">
        <v>50</v>
      </c>
      <c r="J199" s="107">
        <f>SUMIFS(APUS!Y:Y,APUS!M:M,INSUMOS!C199)</f>
        <v>0</v>
      </c>
      <c r="K199" s="209">
        <f>+J199*I199</f>
        <v>0</v>
      </c>
      <c r="N199" s="123">
        <f>IFERROR(SUMIFS(APUS!$Z$140:$Z$182,APUS!#REF!,INSUMOS!D199),0)</f>
        <v>0</v>
      </c>
      <c r="O199" s="114">
        <f t="shared" si="11"/>
        <v>0</v>
      </c>
      <c r="Q199" s="116" t="str">
        <f t="shared" si="10"/>
        <v>SI</v>
      </c>
    </row>
    <row r="200" spans="3:17" hidden="1" x14ac:dyDescent="0.25">
      <c r="C200" s="106">
        <v>186</v>
      </c>
      <c r="D200" s="533"/>
      <c r="E200" s="533"/>
      <c r="F200" s="533"/>
      <c r="G200" s="78"/>
      <c r="H200" s="80">
        <v>20</v>
      </c>
      <c r="I200" s="249">
        <v>50</v>
      </c>
      <c r="J200" s="107">
        <f>SUMIFS(APUS!Y:Y,APUS!M:M,INSUMOS!C200)</f>
        <v>0</v>
      </c>
      <c r="K200" s="209">
        <f t="shared" ref="K200:K213" si="12">+J200*I200</f>
        <v>0</v>
      </c>
      <c r="N200" s="123">
        <f>IFERROR(SUMIFS(APUS!$Z$140:$Z$182,APUS!#REF!,INSUMOS!D200),0)</f>
        <v>0</v>
      </c>
      <c r="O200" s="114">
        <f t="shared" si="11"/>
        <v>0</v>
      </c>
      <c r="Q200" s="116" t="str">
        <f t="shared" si="10"/>
        <v>SI</v>
      </c>
    </row>
    <row r="201" spans="3:17" hidden="1" x14ac:dyDescent="0.25">
      <c r="C201" s="106">
        <v>187</v>
      </c>
      <c r="D201" s="533"/>
      <c r="E201" s="533"/>
      <c r="F201" s="533"/>
      <c r="G201" s="78"/>
      <c r="H201" s="80">
        <v>20</v>
      </c>
      <c r="I201" s="249">
        <v>50</v>
      </c>
      <c r="J201" s="107">
        <f>SUMIFS(APUS!Y:Y,APUS!M:M,INSUMOS!C201)</f>
        <v>0</v>
      </c>
      <c r="K201" s="209">
        <f t="shared" si="12"/>
        <v>0</v>
      </c>
      <c r="N201" s="123">
        <f>IFERROR(SUMIFS(APUS!$Z$140:$Z$182,APUS!#REF!,INSUMOS!D201),0)</f>
        <v>0</v>
      </c>
      <c r="O201" s="114">
        <f t="shared" si="11"/>
        <v>0</v>
      </c>
      <c r="Q201" s="116" t="str">
        <f t="shared" si="10"/>
        <v>SI</v>
      </c>
    </row>
    <row r="202" spans="3:17" hidden="1" x14ac:dyDescent="0.25">
      <c r="C202" s="106">
        <v>188</v>
      </c>
      <c r="D202" s="533"/>
      <c r="E202" s="533"/>
      <c r="F202" s="533"/>
      <c r="G202" s="78"/>
      <c r="H202" s="80">
        <v>20</v>
      </c>
      <c r="I202" s="249">
        <v>50</v>
      </c>
      <c r="J202" s="107">
        <f>SUMIFS(APUS!Y:Y,APUS!M:M,INSUMOS!C202)</f>
        <v>0</v>
      </c>
      <c r="K202" s="209">
        <f t="shared" si="12"/>
        <v>0</v>
      </c>
      <c r="N202" s="123">
        <f>IFERROR(SUMIFS(APUS!$Z$140:$Z$182,APUS!#REF!,INSUMOS!D202),0)</f>
        <v>0</v>
      </c>
      <c r="O202" s="114">
        <f t="shared" si="11"/>
        <v>0</v>
      </c>
      <c r="Q202" s="116" t="str">
        <f t="shared" si="10"/>
        <v>SI</v>
      </c>
    </row>
    <row r="203" spans="3:17" hidden="1" x14ac:dyDescent="0.25">
      <c r="C203" s="106">
        <v>189</v>
      </c>
      <c r="D203" s="533"/>
      <c r="E203" s="533"/>
      <c r="F203" s="533"/>
      <c r="G203" s="78"/>
      <c r="H203" s="80">
        <v>20</v>
      </c>
      <c r="I203" s="249">
        <v>50</v>
      </c>
      <c r="J203" s="107">
        <f>SUMIFS(APUS!Y:Y,APUS!M:M,INSUMOS!C203)</f>
        <v>0</v>
      </c>
      <c r="K203" s="209">
        <f t="shared" si="12"/>
        <v>0</v>
      </c>
      <c r="N203" s="123">
        <f>IFERROR(SUMIFS(APUS!$Z$140:$Z$182,APUS!#REF!,INSUMOS!D203),0)</f>
        <v>0</v>
      </c>
      <c r="O203" s="114">
        <f t="shared" si="11"/>
        <v>0</v>
      </c>
      <c r="Q203" s="116" t="str">
        <f t="shared" si="10"/>
        <v>SI</v>
      </c>
    </row>
    <row r="204" spans="3:17" hidden="1" x14ac:dyDescent="0.25">
      <c r="C204" s="106">
        <v>190</v>
      </c>
      <c r="D204" s="533"/>
      <c r="E204" s="533"/>
      <c r="F204" s="533"/>
      <c r="G204" s="78"/>
      <c r="H204" s="80">
        <v>20</v>
      </c>
      <c r="I204" s="249">
        <v>50</v>
      </c>
      <c r="J204" s="107">
        <f>SUMIFS(APUS!Y:Y,APUS!M:M,INSUMOS!C204)</f>
        <v>0</v>
      </c>
      <c r="K204" s="209">
        <f t="shared" si="12"/>
        <v>0</v>
      </c>
      <c r="N204" s="123">
        <f>IFERROR(SUMIFS(APUS!$Z$140:$Z$182,APUS!#REF!,INSUMOS!D204),0)</f>
        <v>0</v>
      </c>
      <c r="O204" s="114">
        <f t="shared" si="11"/>
        <v>0</v>
      </c>
      <c r="Q204" s="116" t="str">
        <f t="shared" si="10"/>
        <v>SI</v>
      </c>
    </row>
    <row r="205" spans="3:17" hidden="1" x14ac:dyDescent="0.25">
      <c r="C205" s="106">
        <v>191</v>
      </c>
      <c r="D205" s="533"/>
      <c r="E205" s="533"/>
      <c r="F205" s="533"/>
      <c r="G205" s="78"/>
      <c r="H205" s="80">
        <v>20</v>
      </c>
      <c r="I205" s="249">
        <v>50</v>
      </c>
      <c r="J205" s="107">
        <f>SUMIFS(APUS!Y:Y,APUS!M:M,INSUMOS!C205)</f>
        <v>0</v>
      </c>
      <c r="K205" s="209">
        <f t="shared" si="12"/>
        <v>0</v>
      </c>
      <c r="N205" s="123">
        <f>IFERROR(SUMIFS(APUS!$Z$140:$Z$182,APUS!#REF!,INSUMOS!D205),0)</f>
        <v>0</v>
      </c>
      <c r="O205" s="114">
        <f t="shared" si="11"/>
        <v>0</v>
      </c>
      <c r="Q205" s="116" t="str">
        <f t="shared" si="10"/>
        <v>SI</v>
      </c>
    </row>
    <row r="206" spans="3:17" hidden="1" x14ac:dyDescent="0.25">
      <c r="C206" s="106">
        <v>192</v>
      </c>
      <c r="D206" s="533"/>
      <c r="E206" s="533"/>
      <c r="F206" s="533"/>
      <c r="G206" s="78"/>
      <c r="H206" s="80">
        <v>20</v>
      </c>
      <c r="I206" s="249">
        <v>50</v>
      </c>
      <c r="J206" s="107">
        <f>SUMIFS(APUS!Y:Y,APUS!M:M,INSUMOS!C206)</f>
        <v>0</v>
      </c>
      <c r="K206" s="209">
        <f t="shared" si="12"/>
        <v>0</v>
      </c>
      <c r="N206" s="123">
        <f>IFERROR(SUMIFS(APUS!$Z$140:$Z$182,APUS!#REF!,INSUMOS!D206),0)</f>
        <v>0</v>
      </c>
      <c r="O206" s="114">
        <f t="shared" si="11"/>
        <v>0</v>
      </c>
      <c r="Q206" s="116" t="str">
        <f t="shared" si="10"/>
        <v>SI</v>
      </c>
    </row>
    <row r="207" spans="3:17" hidden="1" x14ac:dyDescent="0.25">
      <c r="C207" s="106">
        <v>193</v>
      </c>
      <c r="D207" s="533"/>
      <c r="E207" s="533"/>
      <c r="F207" s="533"/>
      <c r="G207" s="78"/>
      <c r="H207" s="80">
        <v>20</v>
      </c>
      <c r="I207" s="249">
        <v>50</v>
      </c>
      <c r="J207" s="107">
        <f>SUMIFS(APUS!Y:Y,APUS!M:M,INSUMOS!C207)</f>
        <v>0</v>
      </c>
      <c r="K207" s="209">
        <f t="shared" si="12"/>
        <v>0</v>
      </c>
      <c r="N207" s="123">
        <f>IFERROR(SUMIFS(APUS!$Z$140:$Z$182,APUS!#REF!,INSUMOS!D207),0)</f>
        <v>0</v>
      </c>
      <c r="O207" s="114">
        <f t="shared" si="11"/>
        <v>0</v>
      </c>
      <c r="Q207" s="116" t="str">
        <f t="shared" si="10"/>
        <v>SI</v>
      </c>
    </row>
    <row r="208" spans="3:17" hidden="1" x14ac:dyDescent="0.25">
      <c r="C208" s="106">
        <v>194</v>
      </c>
      <c r="D208" s="533"/>
      <c r="E208" s="533"/>
      <c r="F208" s="533"/>
      <c r="G208" s="78"/>
      <c r="H208" s="80">
        <v>20</v>
      </c>
      <c r="I208" s="249">
        <v>50</v>
      </c>
      <c r="J208" s="107">
        <f>SUMIFS(APUS!Y:Y,APUS!M:M,INSUMOS!C208)</f>
        <v>0</v>
      </c>
      <c r="K208" s="209">
        <f t="shared" si="12"/>
        <v>0</v>
      </c>
      <c r="N208" s="123">
        <f>IFERROR(SUMIFS(APUS!$Z$140:$Z$182,APUS!#REF!,INSUMOS!D208),0)</f>
        <v>0</v>
      </c>
      <c r="O208" s="114">
        <f t="shared" si="11"/>
        <v>0</v>
      </c>
      <c r="Q208" s="116" t="str">
        <f t="shared" si="10"/>
        <v>SI</v>
      </c>
    </row>
    <row r="209" spans="3:17" hidden="1" x14ac:dyDescent="0.25">
      <c r="C209" s="106">
        <v>195</v>
      </c>
      <c r="D209" s="533"/>
      <c r="E209" s="533"/>
      <c r="F209" s="533"/>
      <c r="G209" s="78"/>
      <c r="H209" s="80">
        <v>20</v>
      </c>
      <c r="I209" s="249">
        <v>50</v>
      </c>
      <c r="J209" s="107">
        <f>SUMIFS(APUS!Y:Y,APUS!M:M,INSUMOS!C209)</f>
        <v>0</v>
      </c>
      <c r="K209" s="209">
        <f t="shared" si="12"/>
        <v>0</v>
      </c>
      <c r="N209" s="123">
        <f>IFERROR(SUMIFS(APUS!$Z$140:$Z$182,APUS!#REF!,INSUMOS!D209),0)</f>
        <v>0</v>
      </c>
      <c r="O209" s="114">
        <f t="shared" si="11"/>
        <v>0</v>
      </c>
      <c r="Q209" s="116" t="str">
        <f t="shared" si="10"/>
        <v>SI</v>
      </c>
    </row>
    <row r="210" spans="3:17" hidden="1" x14ac:dyDescent="0.25">
      <c r="C210" s="106">
        <v>196</v>
      </c>
      <c r="D210" s="533"/>
      <c r="E210" s="533"/>
      <c r="F210" s="533"/>
      <c r="G210" s="78"/>
      <c r="H210" s="80">
        <v>20</v>
      </c>
      <c r="I210" s="249">
        <v>50</v>
      </c>
      <c r="J210" s="107">
        <f>SUMIFS(APUS!Y:Y,APUS!M:M,INSUMOS!C210)</f>
        <v>0</v>
      </c>
      <c r="K210" s="209">
        <f t="shared" si="12"/>
        <v>0</v>
      </c>
      <c r="N210" s="123">
        <f>IFERROR(SUMIFS(APUS!$Z$140:$Z$182,APUS!#REF!,INSUMOS!D210),0)</f>
        <v>0</v>
      </c>
      <c r="O210" s="114">
        <f t="shared" si="11"/>
        <v>0</v>
      </c>
      <c r="Q210" s="116" t="str">
        <f t="shared" si="10"/>
        <v>SI</v>
      </c>
    </row>
    <row r="211" spans="3:17" hidden="1" x14ac:dyDescent="0.25">
      <c r="C211" s="106">
        <v>197</v>
      </c>
      <c r="D211" s="533"/>
      <c r="E211" s="533"/>
      <c r="F211" s="533"/>
      <c r="G211" s="78"/>
      <c r="H211" s="80">
        <v>20</v>
      </c>
      <c r="I211" s="249">
        <v>50</v>
      </c>
      <c r="J211" s="107">
        <f>SUMIFS(APUS!Y:Y,APUS!M:M,INSUMOS!C211)</f>
        <v>0</v>
      </c>
      <c r="K211" s="209">
        <f t="shared" si="12"/>
        <v>0</v>
      </c>
      <c r="N211" s="123">
        <f>IFERROR(SUMIFS(APUS!$Z$140:$Z$182,APUS!#REF!,INSUMOS!D211),0)</f>
        <v>0</v>
      </c>
      <c r="O211" s="114">
        <f t="shared" si="11"/>
        <v>0</v>
      </c>
      <c r="Q211" s="116" t="str">
        <f t="shared" si="10"/>
        <v>SI</v>
      </c>
    </row>
    <row r="212" spans="3:17" hidden="1" x14ac:dyDescent="0.25">
      <c r="C212" s="106">
        <v>198</v>
      </c>
      <c r="D212" s="533"/>
      <c r="E212" s="533"/>
      <c r="F212" s="533"/>
      <c r="G212" s="78"/>
      <c r="H212" s="80">
        <v>20</v>
      </c>
      <c r="I212" s="249">
        <v>50</v>
      </c>
      <c r="J212" s="107">
        <f>SUMIFS(APUS!Y:Y,APUS!M:M,INSUMOS!C212)</f>
        <v>0</v>
      </c>
      <c r="K212" s="209">
        <f t="shared" si="12"/>
        <v>0</v>
      </c>
      <c r="N212" s="123">
        <f>IFERROR(SUMIFS(APUS!$Z$140:$Z$182,APUS!#REF!,INSUMOS!D212),0)</f>
        <v>0</v>
      </c>
      <c r="O212" s="114">
        <f t="shared" si="11"/>
        <v>0</v>
      </c>
      <c r="Q212" s="116" t="str">
        <f t="shared" si="10"/>
        <v>SI</v>
      </c>
    </row>
    <row r="213" spans="3:17" hidden="1" x14ac:dyDescent="0.25">
      <c r="C213" s="106">
        <v>199</v>
      </c>
      <c r="D213" s="600"/>
      <c r="E213" s="600"/>
      <c r="F213" s="600"/>
      <c r="G213" s="78"/>
      <c r="H213" s="80">
        <v>20</v>
      </c>
      <c r="I213" s="249">
        <v>50</v>
      </c>
      <c r="J213" s="107">
        <f>SUMIFS(APUS!Y:Y,APUS!M:M,INSUMOS!C213)</f>
        <v>0</v>
      </c>
      <c r="K213" s="209">
        <f t="shared" si="12"/>
        <v>0</v>
      </c>
      <c r="N213" s="123">
        <f>IFERROR(SUMIFS(APUS!$Z$140:$Z$182,APUS!#REF!,INSUMOS!D213),0)</f>
        <v>0</v>
      </c>
      <c r="O213" s="114">
        <f t="shared" si="11"/>
        <v>0</v>
      </c>
      <c r="Q213" s="116" t="str">
        <f t="shared" si="10"/>
        <v>SI</v>
      </c>
    </row>
    <row r="214" spans="3:17" hidden="1" x14ac:dyDescent="0.25">
      <c r="C214" s="106"/>
      <c r="D214" s="667"/>
      <c r="E214" s="667"/>
      <c r="F214" s="667"/>
      <c r="G214" s="347"/>
      <c r="H214" s="78"/>
      <c r="I214" s="249"/>
      <c r="J214" s="107"/>
      <c r="K214" s="180"/>
      <c r="N214" s="124"/>
      <c r="O214" s="114"/>
      <c r="Q214" s="128"/>
    </row>
    <row r="215" spans="3:17" ht="15.75" thickBot="1" x14ac:dyDescent="0.3">
      <c r="C215" s="544" t="str">
        <f>+"SUBTOTAL "&amp;C112</f>
        <v>SUBTOTAL TRANSPORTES</v>
      </c>
      <c r="D215" s="537"/>
      <c r="E215" s="537"/>
      <c r="F215" s="537"/>
      <c r="G215" s="537"/>
      <c r="H215" s="537"/>
      <c r="I215" s="537"/>
      <c r="J215" s="537"/>
      <c r="K215" s="208">
        <f>+SUM(K113:K214)</f>
        <v>17482570.795786001</v>
      </c>
      <c r="N215" s="179">
        <f>SUM(N113:N214)</f>
        <v>0</v>
      </c>
      <c r="O215" s="125">
        <f>+N215-K215</f>
        <v>-17482570.795786001</v>
      </c>
      <c r="Q215" s="129"/>
    </row>
    <row r="216" spans="3:17" ht="15.75" thickBot="1" x14ac:dyDescent="0.3"/>
    <row r="217" spans="3:17" x14ac:dyDescent="0.25">
      <c r="C217" s="538" t="s">
        <v>159</v>
      </c>
      <c r="D217" s="539"/>
      <c r="E217" s="539"/>
      <c r="F217" s="539"/>
      <c r="G217" s="539"/>
      <c r="H217" s="539"/>
      <c r="I217" s="539"/>
      <c r="J217" s="539"/>
      <c r="K217" s="540"/>
      <c r="N217" s="120"/>
      <c r="O217" s="121"/>
      <c r="P217" s="94"/>
      <c r="Q217" s="126"/>
    </row>
    <row r="218" spans="3:17" ht="15.75" customHeight="1" x14ac:dyDescent="0.25">
      <c r="C218" s="185" t="s">
        <v>143</v>
      </c>
      <c r="D218" s="95" t="s">
        <v>95</v>
      </c>
      <c r="E218" s="183" t="s">
        <v>6</v>
      </c>
      <c r="F218" s="183" t="s">
        <v>160</v>
      </c>
      <c r="G218" s="183" t="s">
        <v>161</v>
      </c>
      <c r="H218" s="184" t="s">
        <v>162</v>
      </c>
      <c r="I218" s="247" t="s">
        <v>163</v>
      </c>
      <c r="J218" s="117" t="s">
        <v>104</v>
      </c>
      <c r="K218" s="119" t="s">
        <v>9</v>
      </c>
      <c r="N218" s="122" t="s">
        <v>9</v>
      </c>
      <c r="O218" s="119" t="s">
        <v>158</v>
      </c>
      <c r="P218" s="115"/>
      <c r="Q218" s="127"/>
    </row>
    <row r="219" spans="3:17" x14ac:dyDescent="0.25">
      <c r="C219" s="106">
        <v>201</v>
      </c>
      <c r="D219" s="348" t="str">
        <f>'DESGLOCE DE PERSONAL'!C28</f>
        <v>Oficial Albañileria</v>
      </c>
      <c r="E219" s="78" t="s">
        <v>119</v>
      </c>
      <c r="F219" s="113">
        <f>ROUND(VLOOKUP(D219,'DESGLOCE DE PERSONAL'!$C$26:$J$55,4,0)+VLOOKUP(D219,'DESGLOCE DE PERSONAL'!$C$26:$J$55,5,0),0)</f>
        <v>85136</v>
      </c>
      <c r="G219" s="113">
        <f>ROUND(VLOOKUP(D219,'DESGLOCE DE PERSONAL'!$C$26:$J$55,6,0),0)</f>
        <v>0</v>
      </c>
      <c r="H219" s="130">
        <f>ROUND(VLOOKUP(D219,'DESGLOCE DE PERSONAL'!$C$26:$J$55,7,0),0)</f>
        <v>68109</v>
      </c>
      <c r="I219" s="249">
        <f>SUM(F219:H219)</f>
        <v>153245</v>
      </c>
      <c r="J219" s="107">
        <f>SUMIFS(APUS!Y:Y,APUS!M:M,INSUMOS!C219)</f>
        <v>124.37537619047619</v>
      </c>
      <c r="K219" s="209">
        <f>+J219*I219</f>
        <v>19059904.524309523</v>
      </c>
      <c r="N219" s="123">
        <f>IFERROR(SUMIFS(APUS!$Z$140:$Z$182,APUS!#REF!,INSUMOS!D219),0)</f>
        <v>0</v>
      </c>
      <c r="O219" s="114">
        <f>+N219-K219</f>
        <v>-19059904.524309523</v>
      </c>
      <c r="P219" s="94"/>
      <c r="Q219" s="116" t="str">
        <f t="shared" ref="Q219:Q226" si="13">+IF(K219=0,"SI","NO")</f>
        <v>NO</v>
      </c>
    </row>
    <row r="220" spans="3:17" ht="25.5" x14ac:dyDescent="0.25">
      <c r="C220" s="106">
        <v>202</v>
      </c>
      <c r="D220" s="348" t="str">
        <f>'DESGLOCE DE PERSONAL'!C29</f>
        <v>Ayudante Albañileria</v>
      </c>
      <c r="E220" s="78" t="s">
        <v>119</v>
      </c>
      <c r="F220" s="113">
        <f>ROUND(VLOOKUP(D220,'DESGLOCE DE PERSONAL'!$C$26:$J$55,4,0)+VLOOKUP(D220,'DESGLOCE DE PERSONAL'!$C$26:$J$55,5,0),0)</f>
        <v>63490</v>
      </c>
      <c r="G220" s="113">
        <f>ROUND(VLOOKUP(D220,'DESGLOCE DE PERSONAL'!$C$26:$J$55,6,0),0)</f>
        <v>0</v>
      </c>
      <c r="H220" s="130">
        <f>ROUND(VLOOKUP(D220,'DESGLOCE DE PERSONAL'!$C$26:$J$55,7,0),0)</f>
        <v>50792</v>
      </c>
      <c r="I220" s="249">
        <f t="shared" ref="I220:I234" si="14">SUM(F220:H220)</f>
        <v>114282</v>
      </c>
      <c r="J220" s="107">
        <f>SUMIFS(APUS!Y:Y,APUS!M:M,INSUMOS!C220)</f>
        <v>316.66272723809521</v>
      </c>
      <c r="K220" s="209">
        <f t="shared" ref="K220:K234" si="15">+J220*I220</f>
        <v>36188849.794223994</v>
      </c>
      <c r="N220" s="123">
        <f>IFERROR(SUMIFS(APUS!$Z$140:$Z$182,APUS!#REF!,INSUMOS!D220),0)</f>
        <v>0</v>
      </c>
      <c r="O220" s="114">
        <f t="shared" ref="O220:O226" si="16">+N220-K220</f>
        <v>-36188849.794223994</v>
      </c>
      <c r="P220" s="94"/>
      <c r="Q220" s="116" t="str">
        <f t="shared" si="13"/>
        <v>NO</v>
      </c>
    </row>
    <row r="221" spans="3:17" hidden="1" x14ac:dyDescent="0.25">
      <c r="C221" s="106">
        <v>203</v>
      </c>
      <c r="D221" s="348" t="str">
        <f>'DESGLOCE DE PERSONAL'!C32</f>
        <v>Oficial Acabados</v>
      </c>
      <c r="E221" s="78" t="s">
        <v>119</v>
      </c>
      <c r="F221" s="113">
        <f>ROUND(VLOOKUP(D221,'DESGLOCE DE PERSONAL'!$C$26:$J$55,4,0)+VLOOKUP(D221,'DESGLOCE DE PERSONAL'!$C$26:$J$55,5,0),0)</f>
        <v>89060</v>
      </c>
      <c r="G221" s="113">
        <f>ROUND(VLOOKUP(D221,'DESGLOCE DE PERSONAL'!$C$26:$J$55,6,0),0)</f>
        <v>0</v>
      </c>
      <c r="H221" s="130">
        <f>ROUND(VLOOKUP(D221,'DESGLOCE DE PERSONAL'!$C$26:$J$55,7,0),0)</f>
        <v>71248</v>
      </c>
      <c r="I221" s="249">
        <f t="shared" si="14"/>
        <v>160308</v>
      </c>
      <c r="J221" s="107">
        <f>SUMIFS(APUS!Y:Y,APUS!M:M,INSUMOS!C221)</f>
        <v>0</v>
      </c>
      <c r="K221" s="209">
        <f t="shared" si="15"/>
        <v>0</v>
      </c>
      <c r="N221" s="123">
        <f>IFERROR(SUMIFS(APUS!$Z$140:$Z$182,APUS!#REF!,INSUMOS!D221),0)</f>
        <v>0</v>
      </c>
      <c r="O221" s="114">
        <f t="shared" si="16"/>
        <v>0</v>
      </c>
      <c r="P221" s="94"/>
      <c r="Q221" s="116" t="str">
        <f t="shared" si="13"/>
        <v>SI</v>
      </c>
    </row>
    <row r="222" spans="3:17" hidden="1" x14ac:dyDescent="0.25">
      <c r="C222" s="106">
        <v>204</v>
      </c>
      <c r="D222" s="348" t="str">
        <f>'DESGLOCE DE PERSONAL'!C33</f>
        <v>Ayudante Acabados</v>
      </c>
      <c r="E222" s="78" t="s">
        <v>119</v>
      </c>
      <c r="F222" s="113">
        <f>ROUND(VLOOKUP(D222,'DESGLOCE DE PERSONAL'!$C$26:$J$55,4,0)+VLOOKUP(D222,'DESGLOCE DE PERSONAL'!$C$26:$J$55,5,0),0)</f>
        <v>66331</v>
      </c>
      <c r="G222" s="113">
        <f>ROUND(VLOOKUP(D222,'DESGLOCE DE PERSONAL'!$C$26:$J$55,6,0),0)</f>
        <v>0</v>
      </c>
      <c r="H222" s="130">
        <f>ROUND(VLOOKUP(D222,'DESGLOCE DE PERSONAL'!$C$26:$J$55,7,0),0)</f>
        <v>53065</v>
      </c>
      <c r="I222" s="249">
        <f t="shared" si="14"/>
        <v>119396</v>
      </c>
      <c r="J222" s="107">
        <f>SUMIFS(APUS!Y:Y,APUS!M:M,INSUMOS!C222)</f>
        <v>0</v>
      </c>
      <c r="K222" s="209">
        <f t="shared" si="15"/>
        <v>0</v>
      </c>
      <c r="N222" s="123">
        <f>IFERROR(SUMIFS(APUS!$Z$140:$Z$182,APUS!#REF!,INSUMOS!D222),0)</f>
        <v>0</v>
      </c>
      <c r="O222" s="114">
        <f t="shared" si="16"/>
        <v>0</v>
      </c>
      <c r="P222" s="94"/>
      <c r="Q222" s="116" t="str">
        <f t="shared" si="13"/>
        <v>SI</v>
      </c>
    </row>
    <row r="223" spans="3:17" hidden="1" x14ac:dyDescent="0.25">
      <c r="C223" s="106">
        <v>205</v>
      </c>
      <c r="D223" s="348" t="str">
        <f>'DESGLOCE DE PERSONAL'!C36</f>
        <v>Oficial Soldador</v>
      </c>
      <c r="E223" s="78" t="s">
        <v>119</v>
      </c>
      <c r="F223" s="113">
        <f>ROUND(VLOOKUP(D223,'DESGLOCE DE PERSONAL'!$C$26:$J$55,4,0)+VLOOKUP(D223,'DESGLOCE DE PERSONAL'!$C$26:$J$55,5,0),0)</f>
        <v>96907</v>
      </c>
      <c r="G223" s="113">
        <f>ROUND(VLOOKUP(D223,'DESGLOCE DE PERSONAL'!$C$26:$J$55,6,0),0)</f>
        <v>0</v>
      </c>
      <c r="H223" s="130">
        <f>ROUND(VLOOKUP(D223,'DESGLOCE DE PERSONAL'!$C$26:$J$55,7,0),0)</f>
        <v>77525</v>
      </c>
      <c r="I223" s="249">
        <f t="shared" si="14"/>
        <v>174432</v>
      </c>
      <c r="J223" s="107">
        <f>SUMIFS(APUS!Y:Y,APUS!M:M,INSUMOS!C223)</f>
        <v>0</v>
      </c>
      <c r="K223" s="209">
        <f t="shared" si="15"/>
        <v>0</v>
      </c>
      <c r="N223" s="123">
        <f>IFERROR(SUMIFS(APUS!$Z$140:$Z$182,APUS!#REF!,INSUMOS!D223),0)</f>
        <v>0</v>
      </c>
      <c r="O223" s="114">
        <f t="shared" si="16"/>
        <v>0</v>
      </c>
      <c r="P223" s="94"/>
      <c r="Q223" s="116" t="str">
        <f t="shared" si="13"/>
        <v>SI</v>
      </c>
    </row>
    <row r="224" spans="3:17" hidden="1" x14ac:dyDescent="0.25">
      <c r="C224" s="106">
        <v>206</v>
      </c>
      <c r="D224" s="348" t="str">
        <f>'DESGLOCE DE PERSONAL'!C37</f>
        <v>Ayudante Soldador</v>
      </c>
      <c r="E224" s="78" t="s">
        <v>119</v>
      </c>
      <c r="F224" s="113">
        <f>ROUND(VLOOKUP(D224,'DESGLOCE DE PERSONAL'!$C$26:$J$55,4,0)+VLOOKUP(D224,'DESGLOCE DE PERSONAL'!$C$26:$J$55,5,0),0)</f>
        <v>72013</v>
      </c>
      <c r="G224" s="113">
        <f>ROUND(VLOOKUP(D224,'DESGLOCE DE PERSONAL'!$C$26:$J$55,6,0),0)</f>
        <v>0</v>
      </c>
      <c r="H224" s="130">
        <f>ROUND(VLOOKUP(D224,'DESGLOCE DE PERSONAL'!$C$26:$J$55,7,0),0)</f>
        <v>57610</v>
      </c>
      <c r="I224" s="249">
        <f t="shared" si="14"/>
        <v>129623</v>
      </c>
      <c r="J224" s="107">
        <f>SUMIFS(APUS!Y:Y,APUS!M:M,INSUMOS!C224)</f>
        <v>0</v>
      </c>
      <c r="K224" s="209">
        <f t="shared" si="15"/>
        <v>0</v>
      </c>
      <c r="N224" s="123">
        <f>IFERROR(SUMIFS(APUS!$Z$140:$Z$182,APUS!#REF!,INSUMOS!D224),0)</f>
        <v>0</v>
      </c>
      <c r="O224" s="114">
        <f t="shared" si="16"/>
        <v>0</v>
      </c>
      <c r="P224" s="94"/>
      <c r="Q224" s="116" t="str">
        <f t="shared" si="13"/>
        <v>SI</v>
      </c>
    </row>
    <row r="225" spans="3:17" ht="25.5" x14ac:dyDescent="0.25">
      <c r="C225" s="106">
        <v>207</v>
      </c>
      <c r="D225" s="348" t="str">
        <f>'DESGLOCE DE PERSONAL'!C40</f>
        <v>Oficial Hidrosanitario</v>
      </c>
      <c r="E225" s="78" t="s">
        <v>119</v>
      </c>
      <c r="F225" s="113">
        <f>ROUND(VLOOKUP(D225,'DESGLOCE DE PERSONAL'!$C$26:$J$55,4,0)+VLOOKUP(D225,'DESGLOCE DE PERSONAL'!$C$26:$J$55,5,0),0)</f>
        <v>92983</v>
      </c>
      <c r="G225" s="113">
        <f>ROUND(VLOOKUP(D225,'DESGLOCE DE PERSONAL'!$C$26:$J$55,6,0),0)</f>
        <v>0</v>
      </c>
      <c r="H225" s="130">
        <f>ROUND(VLOOKUP(D225,'DESGLOCE DE PERSONAL'!$C$26:$J$55,7,0),0)</f>
        <v>74386</v>
      </c>
      <c r="I225" s="249">
        <f t="shared" si="14"/>
        <v>167369</v>
      </c>
      <c r="J225" s="107">
        <f>SUMIFS(APUS!Y:Y,APUS!M:M,INSUMOS!C225)</f>
        <v>274.12743171643251</v>
      </c>
      <c r="K225" s="209">
        <f t="shared" si="15"/>
        <v>45880434.118947595</v>
      </c>
      <c r="N225" s="123">
        <f>IFERROR(SUMIFS(APUS!$Z$140:$Z$182,APUS!#REF!,INSUMOS!D225),0)</f>
        <v>0</v>
      </c>
      <c r="O225" s="114">
        <f t="shared" si="16"/>
        <v>-45880434.118947595</v>
      </c>
      <c r="P225" s="94"/>
      <c r="Q225" s="116" t="str">
        <f t="shared" si="13"/>
        <v>NO</v>
      </c>
    </row>
    <row r="226" spans="3:17" ht="25.5" x14ac:dyDescent="0.25">
      <c r="C226" s="106">
        <v>208</v>
      </c>
      <c r="D226" s="348" t="str">
        <f>'DESGLOCE DE PERSONAL'!C41</f>
        <v>Ayudante Hidrosanitario</v>
      </c>
      <c r="E226" s="78" t="s">
        <v>119</v>
      </c>
      <c r="F226" s="113">
        <f>ROUND(VLOOKUP(D226,'DESGLOCE DE PERSONAL'!$C$26:$J$55,4,0)+VLOOKUP(D226,'DESGLOCE DE PERSONAL'!$C$26:$J$55,5,0),0)</f>
        <v>69172</v>
      </c>
      <c r="G226" s="113">
        <f>ROUND(VLOOKUP(D226,'DESGLOCE DE PERSONAL'!$C$26:$J$55,6,0),0)</f>
        <v>0</v>
      </c>
      <c r="H226" s="130">
        <f>ROUND(VLOOKUP(D226,'DESGLOCE DE PERSONAL'!$C$26:$J$55,7,0),0)</f>
        <v>55337</v>
      </c>
      <c r="I226" s="249">
        <f>SUM(F226:H226)</f>
        <v>124509</v>
      </c>
      <c r="J226" s="107">
        <f>SUMIFS(APUS!Y:Y,APUS!M:M,INSUMOS!C226)</f>
        <v>220.08182565582649</v>
      </c>
      <c r="K226" s="209">
        <f t="shared" si="15"/>
        <v>27402168.030581299</v>
      </c>
      <c r="N226" s="123">
        <f>IFERROR(SUMIFS(APUS!$Z$140:$Z$182,APUS!#REF!,INSUMOS!D226),0)</f>
        <v>0</v>
      </c>
      <c r="O226" s="114">
        <f t="shared" si="16"/>
        <v>-27402168.030581299</v>
      </c>
      <c r="P226" s="94"/>
      <c r="Q226" s="116" t="str">
        <f t="shared" si="13"/>
        <v>NO</v>
      </c>
    </row>
    <row r="227" spans="3:17" hidden="1" x14ac:dyDescent="0.25">
      <c r="C227" s="106">
        <v>209</v>
      </c>
      <c r="D227" s="348" t="str">
        <f>'DESGLOCE DE PERSONAL'!C44</f>
        <v>Oficial Electrico</v>
      </c>
      <c r="E227" s="78" t="s">
        <v>119</v>
      </c>
      <c r="F227" s="113">
        <f>ROUND(VLOOKUP(D227,'DESGLOCE DE PERSONAL'!$C$26:$J$55,4,0)+VLOOKUP(D227,'DESGLOCE DE PERSONAL'!$C$26:$J$55,5,0),0)</f>
        <v>100830</v>
      </c>
      <c r="G227" s="113">
        <f>ROUND(VLOOKUP(D227,'DESGLOCE DE PERSONAL'!$C$26:$J$55,6,0),0)</f>
        <v>0</v>
      </c>
      <c r="H227" s="130">
        <f>ROUND(VLOOKUP(D227,'DESGLOCE DE PERSONAL'!$C$26:$J$55,7,0),0)</f>
        <v>80664</v>
      </c>
      <c r="I227" s="249">
        <f t="shared" si="14"/>
        <v>181494</v>
      </c>
      <c r="J227" s="107">
        <f>SUMIFS(APUS!Y:Y,APUS!M:M,INSUMOS!C227)</f>
        <v>0</v>
      </c>
      <c r="K227" s="209">
        <f t="shared" si="15"/>
        <v>0</v>
      </c>
      <c r="N227" s="123">
        <f>IFERROR(SUMIFS(APUS!$Z$140:$Z$182,APUS!#REF!,INSUMOS!D227),0)</f>
        <v>0</v>
      </c>
      <c r="O227" s="114">
        <f t="shared" ref="O227:O232" si="17">+N227-K227</f>
        <v>0</v>
      </c>
      <c r="P227" s="94"/>
      <c r="Q227" s="116" t="str">
        <f t="shared" ref="Q227:Q232" si="18">+IF(K227=0,"SI","NO")</f>
        <v>SI</v>
      </c>
    </row>
    <row r="228" spans="3:17" hidden="1" x14ac:dyDescent="0.25">
      <c r="C228" s="106">
        <v>210</v>
      </c>
      <c r="D228" s="348" t="str">
        <f>'DESGLOCE DE PERSONAL'!C45</f>
        <v>Ayudante Electrico</v>
      </c>
      <c r="E228" s="78" t="s">
        <v>119</v>
      </c>
      <c r="F228" s="113">
        <f>ROUND(VLOOKUP(D228,'DESGLOCE DE PERSONAL'!$C$26:$J$55,4,0)+VLOOKUP(D228,'DESGLOCE DE PERSONAL'!$C$26:$J$55,5,0),0)</f>
        <v>74854</v>
      </c>
      <c r="G228" s="113">
        <f>ROUND(VLOOKUP(D228,'DESGLOCE DE PERSONAL'!$C$26:$J$55,6,0),0)</f>
        <v>0</v>
      </c>
      <c r="H228" s="130">
        <f>ROUND(VLOOKUP(D228,'DESGLOCE DE PERSONAL'!$C$26:$J$55,7,0),0)</f>
        <v>59883</v>
      </c>
      <c r="I228" s="249">
        <f t="shared" si="14"/>
        <v>134737</v>
      </c>
      <c r="J228" s="107">
        <f>SUMIFS(APUS!Y:Y,APUS!M:M,INSUMOS!C228)</f>
        <v>0</v>
      </c>
      <c r="K228" s="209">
        <f t="shared" si="15"/>
        <v>0</v>
      </c>
      <c r="N228" s="123">
        <f>IFERROR(SUMIFS(APUS!$Z$140:$Z$182,APUS!#REF!,INSUMOS!D228),0)</f>
        <v>0</v>
      </c>
      <c r="O228" s="114">
        <f t="shared" si="17"/>
        <v>0</v>
      </c>
      <c r="P228" s="94"/>
      <c r="Q228" s="116" t="str">
        <f t="shared" si="18"/>
        <v>SI</v>
      </c>
    </row>
    <row r="229" spans="3:17" hidden="1" x14ac:dyDescent="0.25">
      <c r="C229" s="106">
        <v>211</v>
      </c>
      <c r="D229" s="348" t="str">
        <f>'DESGLOCE DE PERSONAL'!C48</f>
        <v>Oficial PINTURA</v>
      </c>
      <c r="E229" s="78" t="s">
        <v>119</v>
      </c>
      <c r="F229" s="113">
        <f>ROUND(VLOOKUP(D229,'DESGLOCE DE PERSONAL'!$C$26:$J$55,4,0)+VLOOKUP(D229,'DESGLOCE DE PERSONAL'!$C$26:$J$55,5,0),0)</f>
        <v>92983</v>
      </c>
      <c r="G229" s="113">
        <f>ROUND(VLOOKUP(D229,'DESGLOCE DE PERSONAL'!$C$26:$J$55,6,0),0)</f>
        <v>0</v>
      </c>
      <c r="H229" s="130">
        <f>ROUND(VLOOKUP(D229,'DESGLOCE DE PERSONAL'!$C$26:$J$55,7,0),0)</f>
        <v>74386</v>
      </c>
      <c r="I229" s="249">
        <f t="shared" si="14"/>
        <v>167369</v>
      </c>
      <c r="J229" s="107">
        <f>SUMIFS(APUS!Y:Y,APUS!M:M,INSUMOS!C229)</f>
        <v>0</v>
      </c>
      <c r="K229" s="209">
        <f t="shared" si="15"/>
        <v>0</v>
      </c>
      <c r="N229" s="123">
        <f>IFERROR(SUMIFS(APUS!$Z$140:$Z$182,APUS!#REF!,INSUMOS!D229),0)</f>
        <v>0</v>
      </c>
      <c r="O229" s="114">
        <f t="shared" si="17"/>
        <v>0</v>
      </c>
      <c r="P229" s="94"/>
      <c r="Q229" s="116" t="str">
        <f t="shared" si="18"/>
        <v>SI</v>
      </c>
    </row>
    <row r="230" spans="3:17" hidden="1" x14ac:dyDescent="0.25">
      <c r="C230" s="106">
        <v>212</v>
      </c>
      <c r="D230" s="348" t="str">
        <f>'DESGLOCE DE PERSONAL'!C49</f>
        <v>Ayudante PINTURA</v>
      </c>
      <c r="E230" s="78" t="s">
        <v>119</v>
      </c>
      <c r="F230" s="113">
        <f>ROUND(VLOOKUP(D230,'DESGLOCE DE PERSONAL'!$C$26:$J$55,4,0)+VLOOKUP(D230,'DESGLOCE DE PERSONAL'!$C$26:$J$55,5,0),0)</f>
        <v>69172</v>
      </c>
      <c r="G230" s="113">
        <f>ROUND(VLOOKUP(D230,'DESGLOCE DE PERSONAL'!$C$26:$J$55,6,0),0)</f>
        <v>0</v>
      </c>
      <c r="H230" s="130">
        <f>ROUND(VLOOKUP(D230,'DESGLOCE DE PERSONAL'!$C$26:$J$55,7,0),0)</f>
        <v>55337</v>
      </c>
      <c r="I230" s="249">
        <f t="shared" si="14"/>
        <v>124509</v>
      </c>
      <c r="J230" s="107">
        <f>SUMIFS(APUS!Y:Y,APUS!M:M,INSUMOS!C230)</f>
        <v>0</v>
      </c>
      <c r="K230" s="209">
        <f t="shared" si="15"/>
        <v>0</v>
      </c>
      <c r="N230" s="123">
        <f>IFERROR(SUMIFS(APUS!$Z$140:$Z$182,APUS!#REF!,INSUMOS!D230),0)</f>
        <v>0</v>
      </c>
      <c r="O230" s="114">
        <f t="shared" si="17"/>
        <v>0</v>
      </c>
      <c r="P230" s="94"/>
      <c r="Q230" s="116" t="str">
        <f t="shared" si="18"/>
        <v>SI</v>
      </c>
    </row>
    <row r="231" spans="3:17" hidden="1" x14ac:dyDescent="0.25">
      <c r="C231" s="106">
        <v>213</v>
      </c>
      <c r="D231" s="348" t="str">
        <f>'DESGLOCE DE PERSONAL'!C52</f>
        <v>TOPOGRAFO</v>
      </c>
      <c r="E231" s="78" t="s">
        <v>119</v>
      </c>
      <c r="F231" s="113">
        <f>ROUND(VLOOKUP(D231,'DESGLOCE DE PERSONAL'!$C$26:$J$55,4,0)+VLOOKUP(D231,'DESGLOCE DE PERSONAL'!$C$26:$J$55,5,0),0)</f>
        <v>101371</v>
      </c>
      <c r="G231" s="113">
        <f>ROUND(VLOOKUP(D231,'DESGLOCE DE PERSONAL'!$C$26:$J$55,6,0),0)</f>
        <v>0</v>
      </c>
      <c r="H231" s="130">
        <f>ROUND(VLOOKUP(D231,'DESGLOCE DE PERSONAL'!$C$26:$J$55,7,0),0)</f>
        <v>81097</v>
      </c>
      <c r="I231" s="249">
        <f t="shared" si="14"/>
        <v>182468</v>
      </c>
      <c r="J231" s="107">
        <f>SUMIFS(APUS!Y:Y,APUS!M:M,INSUMOS!C231)</f>
        <v>0</v>
      </c>
      <c r="K231" s="209">
        <f t="shared" si="15"/>
        <v>0</v>
      </c>
      <c r="N231" s="123">
        <f>IFERROR(SUMIFS(APUS!$Z$140:$Z$182,APUS!#REF!,INSUMOS!D231),0)</f>
        <v>0</v>
      </c>
      <c r="O231" s="114">
        <f t="shared" si="17"/>
        <v>0</v>
      </c>
      <c r="P231" s="94"/>
      <c r="Q231" s="116" t="str">
        <f t="shared" si="18"/>
        <v>SI</v>
      </c>
    </row>
    <row r="232" spans="3:17" hidden="1" x14ac:dyDescent="0.25">
      <c r="C232" s="106">
        <v>214</v>
      </c>
      <c r="D232" s="348" t="str">
        <f>'DESGLOCE DE PERSONAL'!C53</f>
        <v>CADENERO</v>
      </c>
      <c r="E232" s="78" t="s">
        <v>119</v>
      </c>
      <c r="F232" s="113">
        <f>ROUND(VLOOKUP(D232,'DESGLOCE DE PERSONAL'!$C$26:$J$55,4,0)+VLOOKUP(D232,'DESGLOCE DE PERSONAL'!$C$26:$J$55,5,0),0)</f>
        <v>79725</v>
      </c>
      <c r="G232" s="113">
        <f>ROUND(VLOOKUP(D232,'DESGLOCE DE PERSONAL'!$C$26:$J$55,6,0),0)</f>
        <v>0</v>
      </c>
      <c r="H232" s="130">
        <f>ROUND(VLOOKUP(D232,'DESGLOCE DE PERSONAL'!$C$26:$J$55,7,0),0)</f>
        <v>63780</v>
      </c>
      <c r="I232" s="249">
        <f t="shared" si="14"/>
        <v>143505</v>
      </c>
      <c r="J232" s="107">
        <f>SUMIFS(APUS!Y:Y,APUS!M:M,INSUMOS!C232)</f>
        <v>0</v>
      </c>
      <c r="K232" s="209">
        <f t="shared" si="15"/>
        <v>0</v>
      </c>
      <c r="N232" s="123">
        <f>IFERROR(SUMIFS(APUS!$Z$140:$Z$182,APUS!#REF!,INSUMOS!D232),0)</f>
        <v>0</v>
      </c>
      <c r="O232" s="114">
        <f t="shared" si="17"/>
        <v>0</v>
      </c>
      <c r="P232" s="94"/>
      <c r="Q232" s="116" t="str">
        <f t="shared" si="18"/>
        <v>SI</v>
      </c>
    </row>
    <row r="233" spans="3:17" ht="25.5" hidden="1" x14ac:dyDescent="0.25">
      <c r="C233" s="106">
        <v>215</v>
      </c>
      <c r="D233" s="348" t="s">
        <v>513</v>
      </c>
      <c r="E233" s="78" t="s">
        <v>119</v>
      </c>
      <c r="F233" s="113">
        <f>F220</f>
        <v>63490</v>
      </c>
      <c r="G233" s="113">
        <f>G232</f>
        <v>0</v>
      </c>
      <c r="H233" s="111">
        <f>H220</f>
        <v>50792</v>
      </c>
      <c r="I233" s="249">
        <f t="shared" si="14"/>
        <v>114282</v>
      </c>
      <c r="J233" s="107">
        <f>SUMIFS(APUS!Y:Y,APUS!M:M,INSUMOS!C233)</f>
        <v>0</v>
      </c>
      <c r="K233" s="209">
        <f t="shared" si="15"/>
        <v>0</v>
      </c>
      <c r="N233" s="124"/>
      <c r="O233" s="114"/>
      <c r="Q233" s="128"/>
    </row>
    <row r="234" spans="3:17" hidden="1" x14ac:dyDescent="0.25">
      <c r="C234" s="241"/>
      <c r="D234" s="349" t="s">
        <v>585</v>
      </c>
      <c r="E234" s="78" t="s">
        <v>119</v>
      </c>
      <c r="F234" s="242">
        <f>+'DESGLOCE DE PERSONAL'!E64/30</f>
        <v>142350</v>
      </c>
      <c r="G234" s="242">
        <f>+G233</f>
        <v>0</v>
      </c>
      <c r="H234" s="109">
        <f>+'DESGLOCE DE PERSONAL'!G64/30</f>
        <v>94363.815000000017</v>
      </c>
      <c r="I234" s="249">
        <f t="shared" si="14"/>
        <v>236713.815</v>
      </c>
      <c r="J234" s="107">
        <v>0</v>
      </c>
      <c r="K234" s="209">
        <f t="shared" si="15"/>
        <v>0</v>
      </c>
      <c r="N234" s="243"/>
      <c r="O234" s="244"/>
      <c r="Q234" s="245"/>
    </row>
    <row r="235" spans="3:17" ht="15.75" thickBot="1" x14ac:dyDescent="0.3">
      <c r="C235" s="544" t="str">
        <f>+"SUBTOTAL "&amp;C217</f>
        <v>SUBTOTAL MANO DE OBRA</v>
      </c>
      <c r="D235" s="537"/>
      <c r="E235" s="537"/>
      <c r="F235" s="537"/>
      <c r="G235" s="537"/>
      <c r="H235" s="537"/>
      <c r="I235" s="537"/>
      <c r="J235" s="537"/>
      <c r="K235" s="208">
        <f>+SUM(K219:K234)</f>
        <v>128531356.4680624</v>
      </c>
      <c r="N235" s="179">
        <f>SUM(N218:N233)</f>
        <v>0</v>
      </c>
      <c r="O235" s="206">
        <f>+N235-K235</f>
        <v>-128531356.4680624</v>
      </c>
      <c r="Q235" s="129"/>
    </row>
    <row r="236" spans="3:17" ht="15.75" thickBot="1" x14ac:dyDescent="0.3"/>
    <row r="237" spans="3:17" hidden="1" x14ac:dyDescent="0.25">
      <c r="C237" s="510" t="s">
        <v>218</v>
      </c>
      <c r="D237" s="511"/>
      <c r="E237" s="511"/>
      <c r="F237" s="511"/>
      <c r="G237" s="511"/>
      <c r="H237" s="511"/>
      <c r="I237" s="511"/>
      <c r="J237" s="511"/>
      <c r="K237" s="512"/>
      <c r="N237" s="120"/>
      <c r="O237" s="121"/>
      <c r="P237" s="94"/>
      <c r="Q237" s="126"/>
    </row>
    <row r="238" spans="3:17" hidden="1" x14ac:dyDescent="0.25">
      <c r="C238" s="118" t="s">
        <v>143</v>
      </c>
      <c r="D238" s="561" t="s">
        <v>95</v>
      </c>
      <c r="E238" s="561"/>
      <c r="F238" s="561"/>
      <c r="G238" s="561"/>
      <c r="H238" s="95" t="s">
        <v>109</v>
      </c>
      <c r="I238" s="247" t="s">
        <v>144</v>
      </c>
      <c r="J238" s="117" t="s">
        <v>104</v>
      </c>
      <c r="K238" s="119" t="s">
        <v>9</v>
      </c>
      <c r="N238" s="122" t="s">
        <v>9</v>
      </c>
      <c r="O238" s="119" t="s">
        <v>158</v>
      </c>
      <c r="P238" s="115"/>
      <c r="Q238" s="127"/>
    </row>
    <row r="239" spans="3:17" hidden="1" x14ac:dyDescent="0.25">
      <c r="C239" s="106">
        <v>301</v>
      </c>
      <c r="D239" s="533" t="s">
        <v>587</v>
      </c>
      <c r="E239" s="533"/>
      <c r="F239" s="533"/>
      <c r="G239" s="533"/>
      <c r="H239" s="111" t="s">
        <v>34</v>
      </c>
      <c r="I239" s="250">
        <v>52301</v>
      </c>
      <c r="J239" s="107">
        <f>SUMIFS(APUS!$Y$10:$Y$231,APUS!$M$10:$M$231,INSUMOS!C239)</f>
        <v>0</v>
      </c>
      <c r="K239" s="112">
        <f t="shared" ref="K239:K245" si="19">+J239*I239</f>
        <v>0</v>
      </c>
      <c r="N239" s="123">
        <f>IFERROR(SUMIFS(APUS!$Z$140:$Z$182,APUS!#REF!,INSUMOS!D239),0)</f>
        <v>0</v>
      </c>
      <c r="O239" s="114">
        <f>+N239-K239</f>
        <v>0</v>
      </c>
      <c r="P239" s="94"/>
      <c r="Q239" s="116" t="str">
        <f t="shared" ref="Q239:Q253" si="20">+IF(K239=0,"SI","NO")</f>
        <v>SI</v>
      </c>
    </row>
    <row r="240" spans="3:17" ht="30" hidden="1" customHeight="1" x14ac:dyDescent="0.25">
      <c r="C240" s="106">
        <v>302</v>
      </c>
      <c r="D240" s="533" t="s">
        <v>365</v>
      </c>
      <c r="E240" s="533"/>
      <c r="F240" s="533"/>
      <c r="G240" s="533"/>
      <c r="H240" s="111" t="s">
        <v>34</v>
      </c>
      <c r="I240" s="250">
        <v>38000000</v>
      </c>
      <c r="J240" s="107">
        <f>SUMIFS(APUS!$Y$10:$Y$231,APUS!$M$10:$M$231,INSUMOS!C240)</f>
        <v>0</v>
      </c>
      <c r="K240" s="112">
        <f t="shared" si="19"/>
        <v>0</v>
      </c>
      <c r="N240" s="123">
        <f>IFERROR(SUMIFS(APUS!$Z$140:$Z$182,APUS!#REF!,INSUMOS!D240),0)</f>
        <v>0</v>
      </c>
      <c r="O240" s="114">
        <f t="shared" ref="O240:O253" si="21">+N240-K240</f>
        <v>0</v>
      </c>
      <c r="P240" s="94"/>
      <c r="Q240" s="116" t="str">
        <f t="shared" si="20"/>
        <v>SI</v>
      </c>
    </row>
    <row r="241" spans="3:17" ht="30" hidden="1" customHeight="1" x14ac:dyDescent="0.25">
      <c r="C241" s="106">
        <v>303</v>
      </c>
      <c r="D241" s="533" t="s">
        <v>377</v>
      </c>
      <c r="E241" s="533"/>
      <c r="F241" s="533"/>
      <c r="G241" s="533"/>
      <c r="H241" s="111" t="s">
        <v>34</v>
      </c>
      <c r="I241" s="250">
        <v>35000000</v>
      </c>
      <c r="J241" s="107">
        <f>SUMIFS(APUS!$Y$10:$Y$231,APUS!$M$10:$M$231,INSUMOS!C241)</f>
        <v>0</v>
      </c>
      <c r="K241" s="112">
        <f t="shared" si="19"/>
        <v>0</v>
      </c>
      <c r="N241" s="123">
        <f>IFERROR(SUMIFS(APUS!$Z$140:$Z$182,APUS!#REF!,INSUMOS!D241),0)</f>
        <v>0</v>
      </c>
      <c r="O241" s="114">
        <f t="shared" si="21"/>
        <v>0</v>
      </c>
      <c r="P241" s="94"/>
      <c r="Q241" s="116" t="str">
        <f t="shared" si="20"/>
        <v>SI</v>
      </c>
    </row>
    <row r="242" spans="3:17" ht="30" hidden="1" customHeight="1" x14ac:dyDescent="0.25">
      <c r="C242" s="106">
        <v>304</v>
      </c>
      <c r="D242" s="533" t="s">
        <v>374</v>
      </c>
      <c r="E242" s="533"/>
      <c r="F242" s="533"/>
      <c r="G242" s="533"/>
      <c r="H242" s="111" t="s">
        <v>34</v>
      </c>
      <c r="I242" s="250">
        <v>55000000</v>
      </c>
      <c r="J242" s="107">
        <f>SUMIFS(APUS!$Y$10:$Y$231,APUS!$M$10:$M$231,INSUMOS!C242)</f>
        <v>0</v>
      </c>
      <c r="K242" s="112">
        <f t="shared" si="19"/>
        <v>0</v>
      </c>
      <c r="N242" s="123">
        <f>IFERROR(SUMIFS(APUS!$Z$140:$Z$182,APUS!#REF!,INSUMOS!D242),0)</f>
        <v>0</v>
      </c>
      <c r="O242" s="114">
        <f t="shared" si="21"/>
        <v>0</v>
      </c>
      <c r="P242" s="94"/>
      <c r="Q242" s="116" t="str">
        <f t="shared" si="20"/>
        <v>SI</v>
      </c>
    </row>
    <row r="243" spans="3:17" hidden="1" x14ac:dyDescent="0.25">
      <c r="C243" s="106">
        <v>305</v>
      </c>
      <c r="D243" s="533" t="s">
        <v>395</v>
      </c>
      <c r="E243" s="533"/>
      <c r="F243" s="533"/>
      <c r="G243" s="533"/>
      <c r="H243" s="111" t="s">
        <v>34</v>
      </c>
      <c r="I243" s="250">
        <v>4356000</v>
      </c>
      <c r="J243" s="107">
        <f>SUMIFS(APUS!$Y$10:$Y$231,APUS!$M$10:$M$231,INSUMOS!C243)</f>
        <v>0</v>
      </c>
      <c r="K243" s="112">
        <f t="shared" si="19"/>
        <v>0</v>
      </c>
      <c r="N243" s="123">
        <f>IFERROR(SUMIFS(APUS!$Z$140:$Z$182,APUS!#REF!,INSUMOS!D243),0)</f>
        <v>0</v>
      </c>
      <c r="O243" s="114">
        <f t="shared" si="21"/>
        <v>0</v>
      </c>
      <c r="P243" s="94"/>
      <c r="Q243" s="116" t="str">
        <f t="shared" si="20"/>
        <v>SI</v>
      </c>
    </row>
    <row r="244" spans="3:17" ht="30.75" hidden="1" customHeight="1" x14ac:dyDescent="0.25">
      <c r="C244" s="106">
        <v>306</v>
      </c>
      <c r="D244" s="533" t="s">
        <v>366</v>
      </c>
      <c r="E244" s="533"/>
      <c r="F244" s="533"/>
      <c r="G244" s="533"/>
      <c r="H244" s="111" t="s">
        <v>34</v>
      </c>
      <c r="I244" s="250">
        <v>1950000</v>
      </c>
      <c r="J244" s="107">
        <f>SUMIFS(APUS!$Y$10:$Y$231,APUS!$M$10:$M$231,INSUMOS!C244)</f>
        <v>0</v>
      </c>
      <c r="K244" s="112">
        <f t="shared" si="19"/>
        <v>0</v>
      </c>
      <c r="N244" s="123">
        <f>IFERROR(SUMIFS(APUS!$Z$140:$Z$182,APUS!#REF!,INSUMOS!D244),0)</f>
        <v>0</v>
      </c>
      <c r="O244" s="114">
        <f t="shared" si="21"/>
        <v>0</v>
      </c>
      <c r="P244" s="94"/>
      <c r="Q244" s="116" t="str">
        <f t="shared" si="20"/>
        <v>SI</v>
      </c>
    </row>
    <row r="245" spans="3:17" hidden="1" x14ac:dyDescent="0.25">
      <c r="C245" s="106">
        <v>307</v>
      </c>
      <c r="D245" s="533" t="s">
        <v>367</v>
      </c>
      <c r="E245" s="533"/>
      <c r="F245" s="533"/>
      <c r="G245" s="533"/>
      <c r="H245" s="111" t="s">
        <v>34</v>
      </c>
      <c r="I245" s="250">
        <v>3500000</v>
      </c>
      <c r="J245" s="107">
        <f>SUMIFS(APUS!$Y$10:$Y$231,APUS!$M$10:$M$231,INSUMOS!C245)</f>
        <v>0</v>
      </c>
      <c r="K245" s="112">
        <f t="shared" si="19"/>
        <v>0</v>
      </c>
      <c r="N245" s="123">
        <f>IFERROR(SUMIFS(APUS!$Z$140:$Z$182,APUS!#REF!,INSUMOS!D245),0)</f>
        <v>0</v>
      </c>
      <c r="O245" s="114">
        <f t="shared" si="21"/>
        <v>0</v>
      </c>
      <c r="P245" s="94"/>
      <c r="Q245" s="116" t="str">
        <f t="shared" si="20"/>
        <v>SI</v>
      </c>
    </row>
    <row r="246" spans="3:17" hidden="1" x14ac:dyDescent="0.25">
      <c r="C246" s="106">
        <v>308</v>
      </c>
      <c r="D246" s="533" t="s">
        <v>396</v>
      </c>
      <c r="E246" s="533"/>
      <c r="F246" s="533"/>
      <c r="G246" s="533"/>
      <c r="H246" s="111" t="s">
        <v>34</v>
      </c>
      <c r="I246" s="250">
        <v>15122809</v>
      </c>
      <c r="J246" s="107">
        <f>SUMIFS(APUS!$Y$10:$Y$231,APUS!$M$10:$M$231,INSUMOS!C246)</f>
        <v>0</v>
      </c>
      <c r="K246" s="108">
        <f t="shared" ref="K246:K259" si="22">+J246*I246</f>
        <v>0</v>
      </c>
      <c r="N246" s="123">
        <f>IFERROR(SUMIFS(APUS!$Z$140:$Z$182,APUS!#REF!,INSUMOS!D246),0)</f>
        <v>0</v>
      </c>
      <c r="O246" s="114">
        <f t="shared" si="21"/>
        <v>0</v>
      </c>
      <c r="P246" s="94"/>
      <c r="Q246" s="116" t="str">
        <f t="shared" si="20"/>
        <v>SI</v>
      </c>
    </row>
    <row r="247" spans="3:17" hidden="1" x14ac:dyDescent="0.25">
      <c r="C247" s="106">
        <v>309</v>
      </c>
      <c r="D247" s="533" t="s">
        <v>397</v>
      </c>
      <c r="E247" s="533"/>
      <c r="F247" s="533"/>
      <c r="G247" s="533"/>
      <c r="H247" s="111" t="s">
        <v>34</v>
      </c>
      <c r="I247" s="250">
        <v>4235000</v>
      </c>
      <c r="J247" s="107">
        <f>SUMIFS(APUS!$Y$10:$Y$231,APUS!$M$10:$M$231,INSUMOS!C247)</f>
        <v>0</v>
      </c>
      <c r="K247" s="108">
        <f t="shared" si="22"/>
        <v>0</v>
      </c>
      <c r="N247" s="123">
        <f>IFERROR(SUMIFS(APUS!$Z$140:$Z$182,APUS!#REF!,INSUMOS!D247),0)</f>
        <v>0</v>
      </c>
      <c r="O247" s="114">
        <f t="shared" si="21"/>
        <v>0</v>
      </c>
      <c r="P247" s="94"/>
      <c r="Q247" s="116" t="str">
        <f t="shared" si="20"/>
        <v>SI</v>
      </c>
    </row>
    <row r="248" spans="3:17" hidden="1" x14ac:dyDescent="0.25">
      <c r="C248" s="106">
        <v>310</v>
      </c>
      <c r="D248" s="533" t="s">
        <v>398</v>
      </c>
      <c r="E248" s="533"/>
      <c r="F248" s="533"/>
      <c r="G248" s="533"/>
      <c r="H248" s="111" t="s">
        <v>34</v>
      </c>
      <c r="I248" s="250">
        <v>49767600</v>
      </c>
      <c r="J248" s="107">
        <f>SUMIFS(APUS!$Y$10:$Y$231,APUS!$M$10:$M$231,INSUMOS!C248)</f>
        <v>0</v>
      </c>
      <c r="K248" s="108">
        <f t="shared" si="22"/>
        <v>0</v>
      </c>
      <c r="N248" s="123">
        <f>IFERROR(SUMIFS(APUS!$Z$140:$Z$182,APUS!#REF!,INSUMOS!D248),0)</f>
        <v>0</v>
      </c>
      <c r="O248" s="114">
        <f t="shared" si="21"/>
        <v>0</v>
      </c>
      <c r="P248" s="94"/>
      <c r="Q248" s="116" t="str">
        <f t="shared" si="20"/>
        <v>SI</v>
      </c>
    </row>
    <row r="249" spans="3:17" ht="29.25" hidden="1" customHeight="1" x14ac:dyDescent="0.25">
      <c r="C249" s="106">
        <v>311</v>
      </c>
      <c r="D249" s="533" t="s">
        <v>399</v>
      </c>
      <c r="E249" s="533"/>
      <c r="F249" s="533"/>
      <c r="G249" s="533"/>
      <c r="H249" s="111" t="s">
        <v>34</v>
      </c>
      <c r="I249" s="250">
        <v>11000000</v>
      </c>
      <c r="J249" s="107">
        <f>SUMIFS(APUS!$Y$10:$Y$231,APUS!$M$10:$M$231,INSUMOS!C249)</f>
        <v>0</v>
      </c>
      <c r="K249" s="108">
        <f t="shared" si="22"/>
        <v>0</v>
      </c>
      <c r="N249" s="123">
        <f>IFERROR(SUMIFS(APUS!$Z$140:$Z$182,APUS!#REF!,INSUMOS!D249),0)</f>
        <v>0</v>
      </c>
      <c r="O249" s="114">
        <f t="shared" si="21"/>
        <v>0</v>
      </c>
      <c r="P249" s="94"/>
      <c r="Q249" s="116" t="str">
        <f t="shared" si="20"/>
        <v>SI</v>
      </c>
    </row>
    <row r="250" spans="3:17" hidden="1" x14ac:dyDescent="0.25">
      <c r="C250" s="106">
        <v>312</v>
      </c>
      <c r="D250" s="533" t="s">
        <v>400</v>
      </c>
      <c r="E250" s="533"/>
      <c r="F250" s="533"/>
      <c r="G250" s="533"/>
      <c r="H250" s="111" t="s">
        <v>34</v>
      </c>
      <c r="I250" s="250">
        <v>52600000</v>
      </c>
      <c r="J250" s="107">
        <f>SUMIFS(APUS!$Y$10:$Y$231,APUS!$M$10:$M$231,INSUMOS!C250)</f>
        <v>0</v>
      </c>
      <c r="K250" s="108">
        <f t="shared" si="22"/>
        <v>0</v>
      </c>
      <c r="N250" s="123">
        <f>IFERROR(SUMIFS(APUS!$Z$140:$Z$182,APUS!#REF!,INSUMOS!D250),0)</f>
        <v>0</v>
      </c>
      <c r="O250" s="114">
        <f t="shared" si="21"/>
        <v>0</v>
      </c>
      <c r="P250" s="94"/>
      <c r="Q250" s="116" t="str">
        <f t="shared" si="20"/>
        <v>SI</v>
      </c>
    </row>
    <row r="251" spans="3:17" hidden="1" x14ac:dyDescent="0.25">
      <c r="C251" s="106">
        <v>313</v>
      </c>
      <c r="D251" s="533" t="s">
        <v>413</v>
      </c>
      <c r="E251" s="533"/>
      <c r="F251" s="533"/>
      <c r="G251" s="533"/>
      <c r="H251" s="111" t="s">
        <v>34</v>
      </c>
      <c r="I251" s="250">
        <v>25350000</v>
      </c>
      <c r="J251" s="107">
        <f>SUMIFS(APUS!$Y$10:$Y$231,APUS!$M$10:$M$231,INSUMOS!C251)</f>
        <v>0</v>
      </c>
      <c r="K251" s="108">
        <f>+J251*I251</f>
        <v>0</v>
      </c>
      <c r="N251" s="123"/>
      <c r="O251" s="114"/>
      <c r="P251" s="94"/>
      <c r="Q251" s="116"/>
    </row>
    <row r="252" spans="3:17" hidden="1" x14ac:dyDescent="0.25">
      <c r="C252" s="106">
        <v>314</v>
      </c>
      <c r="D252" s="533" t="s">
        <v>401</v>
      </c>
      <c r="E252" s="533"/>
      <c r="F252" s="533"/>
      <c r="G252" s="533"/>
      <c r="H252" s="111" t="s">
        <v>34</v>
      </c>
      <c r="I252" s="250">
        <v>40921800</v>
      </c>
      <c r="J252" s="107">
        <f>SUMIFS(APUS!$Y$10:$Y$231,APUS!$M$10:$M$231,INSUMOS!C252)</f>
        <v>0</v>
      </c>
      <c r="K252" s="108">
        <f>+J252*I252</f>
        <v>0</v>
      </c>
      <c r="N252" s="123">
        <f>IFERROR(SUMIFS(APUS!$Z$140:$Z$182,APUS!#REF!,INSUMOS!D252),0)</f>
        <v>0</v>
      </c>
      <c r="O252" s="114">
        <f t="shared" si="21"/>
        <v>0</v>
      </c>
      <c r="P252" s="94"/>
      <c r="Q252" s="116" t="str">
        <f t="shared" si="20"/>
        <v>SI</v>
      </c>
    </row>
    <row r="253" spans="3:17" hidden="1" x14ac:dyDescent="0.25">
      <c r="C253" s="106">
        <v>315</v>
      </c>
      <c r="D253" s="533" t="s">
        <v>403</v>
      </c>
      <c r="E253" s="533"/>
      <c r="F253" s="533"/>
      <c r="G253" s="533"/>
      <c r="H253" s="111" t="s">
        <v>34</v>
      </c>
      <c r="I253" s="250">
        <v>39363204</v>
      </c>
      <c r="J253" s="107">
        <f>SUMIFS(APUS!$Y$10:$Y$231,APUS!$M$10:$M$231,INSUMOS!C253)</f>
        <v>0</v>
      </c>
      <c r="K253" s="108">
        <f t="shared" si="22"/>
        <v>0</v>
      </c>
      <c r="N253" s="123">
        <f>IFERROR(SUMIFS(APUS!$Z$140:$Z$182,APUS!#REF!,INSUMOS!D253),0)</f>
        <v>0</v>
      </c>
      <c r="O253" s="114">
        <f t="shared" si="21"/>
        <v>0</v>
      </c>
      <c r="P253" s="94"/>
      <c r="Q253" s="116" t="str">
        <f t="shared" si="20"/>
        <v>SI</v>
      </c>
    </row>
    <row r="254" spans="3:17" hidden="1" x14ac:dyDescent="0.25">
      <c r="C254" s="106">
        <v>316</v>
      </c>
      <c r="D254" s="533" t="s">
        <v>402</v>
      </c>
      <c r="E254" s="533"/>
      <c r="F254" s="533"/>
      <c r="G254" s="533"/>
      <c r="H254" s="111" t="s">
        <v>34</v>
      </c>
      <c r="I254" s="250">
        <v>175000</v>
      </c>
      <c r="J254" s="107">
        <f>SUMIFS(APUS!$Y$10:$Y$231,APUS!$M$10:$M$231,INSUMOS!C254)</f>
        <v>0</v>
      </c>
      <c r="K254" s="108">
        <f t="shared" si="22"/>
        <v>0</v>
      </c>
      <c r="N254" s="123">
        <f>IFERROR(SUMIFS(APUS!$Z$140:$Z$182,APUS!#REF!,INSUMOS!D254),0)</f>
        <v>0</v>
      </c>
      <c r="O254" s="114">
        <f t="shared" ref="O254:O259" si="23">+N254-K254</f>
        <v>0</v>
      </c>
      <c r="P254" s="94"/>
      <c r="Q254" s="116" t="str">
        <f t="shared" ref="Q254:Q259" si="24">+IF(K254=0,"SI","NO")</f>
        <v>SI</v>
      </c>
    </row>
    <row r="255" spans="3:17" hidden="1" x14ac:dyDescent="0.25">
      <c r="C255" s="106">
        <v>317</v>
      </c>
      <c r="D255" s="533" t="s">
        <v>404</v>
      </c>
      <c r="E255" s="533"/>
      <c r="F255" s="533"/>
      <c r="G255" s="533"/>
      <c r="H255" s="111" t="s">
        <v>219</v>
      </c>
      <c r="I255" s="250">
        <v>5500</v>
      </c>
      <c r="J255" s="107">
        <f>SUMIFS(APUS!$Y$10:$Y$231,APUS!$M$10:$M$231,INSUMOS!C255)</f>
        <v>0</v>
      </c>
      <c r="K255" s="108">
        <f t="shared" si="22"/>
        <v>0</v>
      </c>
      <c r="N255" s="123">
        <f>IFERROR(SUMIFS(APUS!$Z$140:$Z$182,APUS!#REF!,INSUMOS!D255),0)</f>
        <v>0</v>
      </c>
      <c r="O255" s="114">
        <f t="shared" si="23"/>
        <v>0</v>
      </c>
      <c r="P255" s="94"/>
      <c r="Q255" s="116" t="str">
        <f t="shared" si="24"/>
        <v>SI</v>
      </c>
    </row>
    <row r="256" spans="3:17" hidden="1" x14ac:dyDescent="0.25">
      <c r="C256" s="106">
        <v>318</v>
      </c>
      <c r="D256" s="533" t="s">
        <v>388</v>
      </c>
      <c r="E256" s="533"/>
      <c r="F256" s="533"/>
      <c r="G256" s="533"/>
      <c r="H256" s="111" t="s">
        <v>219</v>
      </c>
      <c r="I256" s="250">
        <v>3000</v>
      </c>
      <c r="J256" s="107">
        <f>SUMIFS(APUS!$Y$10:$Y$231,APUS!$M$10:$M$231,INSUMOS!C256)</f>
        <v>0</v>
      </c>
      <c r="K256" s="108">
        <f t="shared" si="22"/>
        <v>0</v>
      </c>
      <c r="N256" s="123">
        <f>IFERROR(SUMIFS(APUS!$Z$140:$Z$182,APUS!#REF!,INSUMOS!D256),0)</f>
        <v>0</v>
      </c>
      <c r="O256" s="114">
        <f t="shared" si="23"/>
        <v>0</v>
      </c>
      <c r="P256" s="94"/>
      <c r="Q256" s="116" t="str">
        <f t="shared" si="24"/>
        <v>SI</v>
      </c>
    </row>
    <row r="257" spans="3:17" hidden="1" x14ac:dyDescent="0.25">
      <c r="C257" s="106">
        <v>319</v>
      </c>
      <c r="D257" s="533" t="s">
        <v>405</v>
      </c>
      <c r="E257" s="533"/>
      <c r="F257" s="533"/>
      <c r="G257" s="533"/>
      <c r="H257" s="111" t="s">
        <v>219</v>
      </c>
      <c r="I257" s="250">
        <v>30000</v>
      </c>
      <c r="J257" s="107">
        <f>SUMIFS(APUS!$Y$10:$Y$231,APUS!$M$10:$M$231,INSUMOS!C257)</f>
        <v>0</v>
      </c>
      <c r="K257" s="108">
        <f t="shared" si="22"/>
        <v>0</v>
      </c>
      <c r="N257" s="123">
        <f>IFERROR(SUMIFS(APUS!$Z$140:$Z$182,APUS!#REF!,INSUMOS!D257),0)</f>
        <v>0</v>
      </c>
      <c r="O257" s="114">
        <f t="shared" si="23"/>
        <v>0</v>
      </c>
      <c r="P257" s="94"/>
      <c r="Q257" s="116" t="str">
        <f t="shared" si="24"/>
        <v>SI</v>
      </c>
    </row>
    <row r="258" spans="3:17" hidden="1" x14ac:dyDescent="0.25">
      <c r="C258" s="106">
        <v>320</v>
      </c>
      <c r="D258" s="533" t="s">
        <v>406</v>
      </c>
      <c r="E258" s="533"/>
      <c r="F258" s="533"/>
      <c r="G258" s="533"/>
      <c r="H258" s="111" t="s">
        <v>34</v>
      </c>
      <c r="I258" s="250">
        <v>35600</v>
      </c>
      <c r="J258" s="107">
        <f>SUMIFS(APUS!$Y$10:$Y$231,APUS!$M$10:$M$231,INSUMOS!C258)</f>
        <v>0</v>
      </c>
      <c r="K258" s="108">
        <f t="shared" si="22"/>
        <v>0</v>
      </c>
      <c r="N258" s="123">
        <f>IFERROR(SUMIFS(APUS!$Z$140:$Z$182,APUS!#REF!,INSUMOS!D258),0)</f>
        <v>0</v>
      </c>
      <c r="O258" s="114">
        <f t="shared" si="23"/>
        <v>0</v>
      </c>
      <c r="P258" s="94"/>
      <c r="Q258" s="116" t="str">
        <f t="shared" si="24"/>
        <v>SI</v>
      </c>
    </row>
    <row r="259" spans="3:17" hidden="1" x14ac:dyDescent="0.25">
      <c r="C259" s="106">
        <v>321</v>
      </c>
      <c r="D259" s="533" t="s">
        <v>407</v>
      </c>
      <c r="E259" s="533"/>
      <c r="F259" s="533"/>
      <c r="G259" s="533"/>
      <c r="H259" s="111" t="s">
        <v>412</v>
      </c>
      <c r="I259" s="250">
        <v>20000</v>
      </c>
      <c r="J259" s="107">
        <f>SUMIFS(APUS!$Y$10:$Y$231,APUS!$M$10:$M$231,INSUMOS!C259)</f>
        <v>0</v>
      </c>
      <c r="K259" s="108">
        <f t="shared" si="22"/>
        <v>0</v>
      </c>
      <c r="N259" s="123">
        <f>IFERROR(SUMIFS(APUS!$Z$140:$Z$182,APUS!#REF!,INSUMOS!D259),0)</f>
        <v>0</v>
      </c>
      <c r="O259" s="114">
        <f t="shared" si="23"/>
        <v>0</v>
      </c>
      <c r="P259" s="94"/>
      <c r="Q259" s="116" t="str">
        <f t="shared" si="24"/>
        <v>SI</v>
      </c>
    </row>
    <row r="260" spans="3:17" ht="26.25" hidden="1" customHeight="1" x14ac:dyDescent="0.25">
      <c r="C260" s="106">
        <v>322</v>
      </c>
      <c r="D260" s="533" t="s">
        <v>408</v>
      </c>
      <c r="E260" s="533"/>
      <c r="F260" s="533"/>
      <c r="G260" s="533"/>
      <c r="H260" s="111" t="s">
        <v>412</v>
      </c>
      <c r="I260" s="250">
        <v>22500</v>
      </c>
      <c r="J260" s="107">
        <f>SUMIFS(APUS!$Y$10:$Y$231,APUS!$M$10:$M$231,INSUMOS!C260)</f>
        <v>0</v>
      </c>
      <c r="K260" s="108">
        <f t="shared" ref="K260:K275" si="25">+J260*I260</f>
        <v>0</v>
      </c>
      <c r="N260" s="123">
        <f>IFERROR(SUMIFS(APUS!$Z$140:$Z$182,APUS!#REF!,INSUMOS!D260),0)</f>
        <v>0</v>
      </c>
      <c r="O260" s="114">
        <f t="shared" ref="O260:O275" si="26">+N260-K260</f>
        <v>0</v>
      </c>
      <c r="P260" s="94"/>
      <c r="Q260" s="116" t="str">
        <f t="shared" ref="Q260:Q275" si="27">+IF(K260=0,"SI","NO")</f>
        <v>SI</v>
      </c>
    </row>
    <row r="261" spans="3:17" ht="28.5" hidden="1" customHeight="1" x14ac:dyDescent="0.25">
      <c r="C261" s="106">
        <v>323</v>
      </c>
      <c r="D261" s="533" t="s">
        <v>409</v>
      </c>
      <c r="E261" s="533"/>
      <c r="F261" s="533"/>
      <c r="G261" s="533"/>
      <c r="H261" s="111" t="s">
        <v>412</v>
      </c>
      <c r="I261" s="250">
        <v>25000</v>
      </c>
      <c r="J261" s="107">
        <f>SUMIFS(APUS!$Y$10:$Y$231,APUS!$M$10:$M$231,INSUMOS!C261)</f>
        <v>0</v>
      </c>
      <c r="K261" s="108">
        <f t="shared" si="25"/>
        <v>0</v>
      </c>
      <c r="N261" s="123">
        <f>IFERROR(SUMIFS(APUS!$Z$140:$Z$182,APUS!#REF!,INSUMOS!D261),0)</f>
        <v>0</v>
      </c>
      <c r="O261" s="114">
        <f t="shared" si="26"/>
        <v>0</v>
      </c>
      <c r="P261" s="94"/>
      <c r="Q261" s="116" t="str">
        <f t="shared" si="27"/>
        <v>SI</v>
      </c>
    </row>
    <row r="262" spans="3:17" hidden="1" x14ac:dyDescent="0.25">
      <c r="C262" s="106">
        <v>324</v>
      </c>
      <c r="D262" s="533" t="s">
        <v>410</v>
      </c>
      <c r="E262" s="533"/>
      <c r="F262" s="533"/>
      <c r="G262" s="533"/>
      <c r="H262" s="111" t="s">
        <v>412</v>
      </c>
      <c r="I262" s="250">
        <v>25000</v>
      </c>
      <c r="J262" s="107">
        <f>SUMIFS(APUS!$Y$10:$Y$231,APUS!$M$10:$M$231,INSUMOS!C262)</f>
        <v>0</v>
      </c>
      <c r="K262" s="108">
        <f t="shared" si="25"/>
        <v>0</v>
      </c>
      <c r="N262" s="123">
        <f>IFERROR(SUMIFS(APUS!$Z$140:$Z$182,APUS!#REF!,INSUMOS!D262),0)</f>
        <v>0</v>
      </c>
      <c r="O262" s="114">
        <f t="shared" si="26"/>
        <v>0</v>
      </c>
      <c r="P262" s="94"/>
      <c r="Q262" s="116" t="str">
        <f t="shared" si="27"/>
        <v>SI</v>
      </c>
    </row>
    <row r="263" spans="3:17" ht="24" hidden="1" customHeight="1" x14ac:dyDescent="0.25">
      <c r="C263" s="106">
        <v>325</v>
      </c>
      <c r="D263" s="533" t="s">
        <v>411</v>
      </c>
      <c r="E263" s="533"/>
      <c r="F263" s="533"/>
      <c r="G263" s="533"/>
      <c r="H263" s="111" t="s">
        <v>412</v>
      </c>
      <c r="I263" s="250">
        <v>250000</v>
      </c>
      <c r="J263" s="107">
        <f>SUMIFS(APUS!$Y$10:$Y$231,APUS!$M$10:$M$231,INSUMOS!C263)</f>
        <v>0</v>
      </c>
      <c r="K263" s="108">
        <f t="shared" si="25"/>
        <v>0</v>
      </c>
      <c r="N263" s="123">
        <f>IFERROR(SUMIFS(APUS!$Z$140:$Z$182,APUS!#REF!,INSUMOS!D263),0)</f>
        <v>0</v>
      </c>
      <c r="O263" s="114">
        <f t="shared" si="26"/>
        <v>0</v>
      </c>
      <c r="P263" s="94"/>
      <c r="Q263" s="116" t="str">
        <f t="shared" si="27"/>
        <v>SI</v>
      </c>
    </row>
    <row r="264" spans="3:17" ht="32.25" hidden="1" customHeight="1" x14ac:dyDescent="0.25">
      <c r="C264" s="106">
        <v>326</v>
      </c>
      <c r="D264" s="533" t="s">
        <v>416</v>
      </c>
      <c r="E264" s="533"/>
      <c r="F264" s="533"/>
      <c r="G264" s="533"/>
      <c r="H264" s="111" t="s">
        <v>34</v>
      </c>
      <c r="I264" s="250">
        <v>185000</v>
      </c>
      <c r="J264" s="107">
        <f>SUMIFS(APUS!$Y$10:$Y$231,APUS!$M$10:$M$231,INSUMOS!C264)</f>
        <v>0</v>
      </c>
      <c r="K264" s="108">
        <f t="shared" si="25"/>
        <v>0</v>
      </c>
      <c r="N264" s="123">
        <f>IFERROR(SUMIFS(APUS!$Z$140:$Z$182,APUS!#REF!,INSUMOS!D264),0)</f>
        <v>0</v>
      </c>
      <c r="O264" s="114">
        <f t="shared" si="26"/>
        <v>0</v>
      </c>
      <c r="P264" s="94"/>
      <c r="Q264" s="116" t="str">
        <f t="shared" si="27"/>
        <v>SI</v>
      </c>
    </row>
    <row r="265" spans="3:17" hidden="1" x14ac:dyDescent="0.25">
      <c r="C265" s="106">
        <v>327</v>
      </c>
      <c r="D265" s="533" t="s">
        <v>417</v>
      </c>
      <c r="E265" s="533"/>
      <c r="F265" s="533"/>
      <c r="G265" s="533"/>
      <c r="H265" s="111" t="s">
        <v>34</v>
      </c>
      <c r="I265" s="250">
        <v>145000</v>
      </c>
      <c r="J265" s="107">
        <f>SUMIFS(APUS!$Y$10:$Y$231,APUS!$M$10:$M$231,INSUMOS!C265)</f>
        <v>0</v>
      </c>
      <c r="K265" s="108">
        <f t="shared" si="25"/>
        <v>0</v>
      </c>
      <c r="N265" s="123">
        <f>IFERROR(SUMIFS(APUS!$Z$140:$Z$182,APUS!#REF!,INSUMOS!D265),0)</f>
        <v>0</v>
      </c>
      <c r="O265" s="114">
        <f t="shared" si="26"/>
        <v>0</v>
      </c>
      <c r="P265" s="94"/>
      <c r="Q265" s="116" t="str">
        <f t="shared" si="27"/>
        <v>SI</v>
      </c>
    </row>
    <row r="266" spans="3:17" ht="25.5" hidden="1" customHeight="1" x14ac:dyDescent="0.25">
      <c r="C266" s="106">
        <v>328</v>
      </c>
      <c r="D266" s="533" t="s">
        <v>418</v>
      </c>
      <c r="E266" s="533"/>
      <c r="F266" s="533"/>
      <c r="G266" s="533"/>
      <c r="H266" s="111" t="s">
        <v>34</v>
      </c>
      <c r="I266" s="250">
        <v>65000</v>
      </c>
      <c r="J266" s="107">
        <f>SUMIFS(APUS!$Y$10:$Y$231,APUS!$M$10:$M$231,INSUMOS!C266)</f>
        <v>0</v>
      </c>
      <c r="K266" s="108">
        <f t="shared" si="25"/>
        <v>0</v>
      </c>
      <c r="N266" s="123">
        <f>IFERROR(SUMIFS(APUS!$Z$140:$Z$182,APUS!#REF!,INSUMOS!D266),0)</f>
        <v>0</v>
      </c>
      <c r="O266" s="114">
        <f t="shared" si="26"/>
        <v>0</v>
      </c>
      <c r="P266" s="94"/>
      <c r="Q266" s="116" t="str">
        <f t="shared" si="27"/>
        <v>SI</v>
      </c>
    </row>
    <row r="267" spans="3:17" hidden="1" x14ac:dyDescent="0.25">
      <c r="C267" s="106">
        <v>329</v>
      </c>
      <c r="D267" s="533"/>
      <c r="E267" s="533"/>
      <c r="F267" s="533"/>
      <c r="G267" s="533"/>
      <c r="H267" s="111"/>
      <c r="I267" s="250"/>
      <c r="J267" s="107">
        <f>SUMIFS(APUS!$Y$10:$Y$231,APUS!$M$10:$M$231,INSUMOS!C267)</f>
        <v>0</v>
      </c>
      <c r="K267" s="108">
        <f t="shared" si="25"/>
        <v>0</v>
      </c>
      <c r="N267" s="123">
        <f>IFERROR(SUMIFS(APUS!$Z$140:$Z$182,APUS!#REF!,INSUMOS!D267),0)</f>
        <v>0</v>
      </c>
      <c r="O267" s="114">
        <f t="shared" si="26"/>
        <v>0</v>
      </c>
      <c r="P267" s="94"/>
      <c r="Q267" s="116" t="str">
        <f t="shared" si="27"/>
        <v>SI</v>
      </c>
    </row>
    <row r="268" spans="3:17" hidden="1" x14ac:dyDescent="0.25">
      <c r="C268" s="106">
        <v>330</v>
      </c>
      <c r="D268" s="533" t="s">
        <v>440</v>
      </c>
      <c r="E268" s="533"/>
      <c r="F268" s="533"/>
      <c r="G268" s="533"/>
      <c r="H268" s="111" t="s">
        <v>33</v>
      </c>
      <c r="I268" s="250">
        <v>75000</v>
      </c>
      <c r="J268" s="107">
        <f>SUMIFS(APUS!$Y$10:$Y$231,APUS!$M$10:$M$231,INSUMOS!C268)</f>
        <v>0</v>
      </c>
      <c r="K268" s="108">
        <f t="shared" si="25"/>
        <v>0</v>
      </c>
      <c r="N268" s="123">
        <f>IFERROR(SUMIFS(APUS!$Z$140:$Z$182,APUS!#REF!,INSUMOS!D268),0)</f>
        <v>0</v>
      </c>
      <c r="O268" s="114">
        <f t="shared" si="26"/>
        <v>0</v>
      </c>
      <c r="P268" s="94"/>
      <c r="Q268" s="116" t="str">
        <f t="shared" si="27"/>
        <v>SI</v>
      </c>
    </row>
    <row r="269" spans="3:17" hidden="1" x14ac:dyDescent="0.25">
      <c r="C269" s="106">
        <v>331</v>
      </c>
      <c r="D269" s="533" t="s">
        <v>439</v>
      </c>
      <c r="E269" s="533"/>
      <c r="F269" s="533"/>
      <c r="G269" s="533"/>
      <c r="H269" s="111" t="s">
        <v>34</v>
      </c>
      <c r="I269" s="250">
        <v>210000</v>
      </c>
      <c r="J269" s="107">
        <f>SUMIFS(APUS!$Y$10:$Y$231,APUS!$M$10:$M$231,INSUMOS!C269)</f>
        <v>0</v>
      </c>
      <c r="K269" s="108">
        <f t="shared" si="25"/>
        <v>0</v>
      </c>
      <c r="N269" s="123">
        <f>IFERROR(SUMIFS(APUS!$Z$140:$Z$182,APUS!#REF!,INSUMOS!D269),0)</f>
        <v>0</v>
      </c>
      <c r="O269" s="114">
        <f t="shared" si="26"/>
        <v>0</v>
      </c>
      <c r="P269" s="94"/>
      <c r="Q269" s="116" t="str">
        <f t="shared" si="27"/>
        <v>SI</v>
      </c>
    </row>
    <row r="270" spans="3:17" hidden="1" x14ac:dyDescent="0.25">
      <c r="C270" s="106">
        <v>332</v>
      </c>
      <c r="D270" s="533" t="s">
        <v>441</v>
      </c>
      <c r="E270" s="533"/>
      <c r="F270" s="533"/>
      <c r="G270" s="533"/>
      <c r="H270" s="111" t="s">
        <v>34</v>
      </c>
      <c r="I270" s="250">
        <v>480000</v>
      </c>
      <c r="J270" s="107">
        <f>SUMIFS(APUS!$Y$10:$Y$231,APUS!$M$10:$M$231,INSUMOS!C270)</f>
        <v>0</v>
      </c>
      <c r="K270" s="108">
        <f t="shared" si="25"/>
        <v>0</v>
      </c>
      <c r="N270" s="123">
        <f>IFERROR(SUMIFS(APUS!$Z$140:$Z$182,APUS!#REF!,INSUMOS!D270),0)</f>
        <v>0</v>
      </c>
      <c r="O270" s="114">
        <f t="shared" si="26"/>
        <v>0</v>
      </c>
      <c r="P270" s="94"/>
      <c r="Q270" s="116" t="str">
        <f t="shared" si="27"/>
        <v>SI</v>
      </c>
    </row>
    <row r="271" spans="3:17" hidden="1" x14ac:dyDescent="0.25">
      <c r="C271" s="106">
        <v>333</v>
      </c>
      <c r="D271" s="533"/>
      <c r="E271" s="533"/>
      <c r="F271" s="533"/>
      <c r="G271" s="533"/>
      <c r="H271" s="111"/>
      <c r="I271" s="250"/>
      <c r="J271" s="107">
        <f>SUMIFS(APUS!$Y$10:$Y$231,APUS!$M$10:$M$231,INSUMOS!C271)</f>
        <v>0</v>
      </c>
      <c r="K271" s="108">
        <f t="shared" si="25"/>
        <v>0</v>
      </c>
      <c r="N271" s="123">
        <f>IFERROR(SUMIFS(APUS!$Z$140:$Z$182,APUS!#REF!,INSUMOS!D271),0)</f>
        <v>0</v>
      </c>
      <c r="O271" s="114">
        <f t="shared" si="26"/>
        <v>0</v>
      </c>
      <c r="P271" s="94"/>
      <c r="Q271" s="116" t="str">
        <f t="shared" si="27"/>
        <v>SI</v>
      </c>
    </row>
    <row r="272" spans="3:17" hidden="1" x14ac:dyDescent="0.25">
      <c r="C272" s="106">
        <v>334</v>
      </c>
      <c r="D272" s="533"/>
      <c r="E272" s="533"/>
      <c r="F272" s="533"/>
      <c r="G272" s="533"/>
      <c r="H272" s="111"/>
      <c r="I272" s="250"/>
      <c r="J272" s="107">
        <f>SUMIFS(APUS!$Y$10:$Y$231,APUS!$M$10:$M$231,INSUMOS!C272)</f>
        <v>0</v>
      </c>
      <c r="K272" s="108">
        <f t="shared" si="25"/>
        <v>0</v>
      </c>
      <c r="N272" s="123">
        <f>IFERROR(SUMIFS(APUS!$Z$140:$Z$182,APUS!#REF!,INSUMOS!D272),0)</f>
        <v>0</v>
      </c>
      <c r="O272" s="114">
        <f t="shared" si="26"/>
        <v>0</v>
      </c>
      <c r="P272" s="94"/>
      <c r="Q272" s="116" t="str">
        <f t="shared" si="27"/>
        <v>SI</v>
      </c>
    </row>
    <row r="273" spans="3:17" hidden="1" x14ac:dyDescent="0.25">
      <c r="C273" s="106">
        <v>335</v>
      </c>
      <c r="D273" s="533"/>
      <c r="E273" s="533"/>
      <c r="F273" s="533"/>
      <c r="G273" s="533"/>
      <c r="H273" s="111"/>
      <c r="I273" s="250"/>
      <c r="J273" s="107">
        <f>SUMIFS(APUS!$Y$10:$Y$231,APUS!$M$10:$M$231,INSUMOS!C273)</f>
        <v>0</v>
      </c>
      <c r="K273" s="108">
        <f t="shared" si="25"/>
        <v>0</v>
      </c>
      <c r="N273" s="123">
        <f>IFERROR(SUMIFS(APUS!$Z$140:$Z$182,APUS!#REF!,INSUMOS!D273),0)</f>
        <v>0</v>
      </c>
      <c r="O273" s="114">
        <f t="shared" si="26"/>
        <v>0</v>
      </c>
      <c r="P273" s="94"/>
      <c r="Q273" s="116" t="str">
        <f t="shared" si="27"/>
        <v>SI</v>
      </c>
    </row>
    <row r="274" spans="3:17" hidden="1" x14ac:dyDescent="0.25">
      <c r="C274" s="106">
        <v>336</v>
      </c>
      <c r="D274" s="533"/>
      <c r="E274" s="533"/>
      <c r="F274" s="533"/>
      <c r="G274" s="533"/>
      <c r="H274" s="111"/>
      <c r="I274" s="250"/>
      <c r="J274" s="107">
        <f>SUMIFS(APUS!$Y$10:$Y$231,APUS!$M$10:$M$231,INSUMOS!C274)</f>
        <v>0</v>
      </c>
      <c r="K274" s="108">
        <f t="shared" si="25"/>
        <v>0</v>
      </c>
      <c r="N274" s="123">
        <f>IFERROR(SUMIFS(APUS!$Z$140:$Z$182,APUS!#REF!,INSUMOS!D274),0)</f>
        <v>0</v>
      </c>
      <c r="O274" s="114">
        <f t="shared" si="26"/>
        <v>0</v>
      </c>
      <c r="P274" s="94"/>
      <c r="Q274" s="116" t="str">
        <f t="shared" si="27"/>
        <v>SI</v>
      </c>
    </row>
    <row r="275" spans="3:17" hidden="1" x14ac:dyDescent="0.25">
      <c r="C275" s="106">
        <v>337</v>
      </c>
      <c r="D275" s="533"/>
      <c r="E275" s="533"/>
      <c r="F275" s="533"/>
      <c r="G275" s="533"/>
      <c r="H275" s="111"/>
      <c r="I275" s="250"/>
      <c r="J275" s="107">
        <f>SUMIFS(APUS!$Y$10:$Y$231,APUS!$M$10:$M$231,INSUMOS!C275)</f>
        <v>0</v>
      </c>
      <c r="K275" s="108">
        <f t="shared" si="25"/>
        <v>0</v>
      </c>
      <c r="N275" s="123">
        <f>IFERROR(SUMIFS(APUS!$Z$140:$Z$182,APUS!#REF!,INSUMOS!D275),0)</f>
        <v>0</v>
      </c>
      <c r="O275" s="114">
        <f t="shared" si="26"/>
        <v>0</v>
      </c>
      <c r="P275" s="94"/>
      <c r="Q275" s="116" t="str">
        <f t="shared" si="27"/>
        <v>SI</v>
      </c>
    </row>
    <row r="276" spans="3:17" hidden="1" x14ac:dyDescent="0.25">
      <c r="C276" s="106">
        <v>338</v>
      </c>
      <c r="D276" s="533"/>
      <c r="E276" s="533"/>
      <c r="F276" s="533"/>
      <c r="G276" s="533"/>
      <c r="H276" s="111"/>
      <c r="I276" s="250"/>
      <c r="J276" s="107">
        <f>SUMIFS(APUS!$Y$10:$Y$231,APUS!$M$10:$M$231,INSUMOS!C276)</f>
        <v>0</v>
      </c>
      <c r="K276" s="108">
        <f t="shared" ref="K276:K284" si="28">+J276*I276</f>
        <v>0</v>
      </c>
      <c r="N276" s="123"/>
      <c r="O276" s="114"/>
      <c r="P276" s="94"/>
      <c r="Q276" s="116"/>
    </row>
    <row r="277" spans="3:17" hidden="1" x14ac:dyDescent="0.25">
      <c r="C277" s="106">
        <v>339</v>
      </c>
      <c r="D277" s="533"/>
      <c r="E277" s="533"/>
      <c r="F277" s="533"/>
      <c r="G277" s="533"/>
      <c r="H277" s="111"/>
      <c r="I277" s="250"/>
      <c r="J277" s="107">
        <f>SUMIFS(APUS!$Y$10:$Y$231,APUS!$M$10:$M$231,INSUMOS!C277)</f>
        <v>0</v>
      </c>
      <c r="K277" s="108">
        <f t="shared" si="28"/>
        <v>0</v>
      </c>
      <c r="N277" s="123"/>
      <c r="O277" s="114"/>
      <c r="P277" s="94"/>
      <c r="Q277" s="116"/>
    </row>
    <row r="278" spans="3:17" ht="45.75" hidden="1" customHeight="1" x14ac:dyDescent="0.25">
      <c r="C278" s="106">
        <v>340</v>
      </c>
      <c r="D278" s="533" t="s">
        <v>465</v>
      </c>
      <c r="E278" s="533"/>
      <c r="F278" s="533"/>
      <c r="G278" s="533"/>
      <c r="H278" s="111" t="s">
        <v>219</v>
      </c>
      <c r="I278" s="250">
        <v>3850</v>
      </c>
      <c r="J278" s="107">
        <f>SUMIFS(APUS!$Y$10:$Y$231,APUS!$M$10:$M$231,INSUMOS!C278)</f>
        <v>0</v>
      </c>
      <c r="K278" s="108">
        <f t="shared" si="28"/>
        <v>0</v>
      </c>
      <c r="N278" s="123"/>
      <c r="O278" s="114"/>
      <c r="P278" s="94"/>
      <c r="Q278" s="116"/>
    </row>
    <row r="279" spans="3:17" ht="30" hidden="1" customHeight="1" x14ac:dyDescent="0.25">
      <c r="C279" s="106">
        <v>341</v>
      </c>
      <c r="D279" s="533" t="s">
        <v>471</v>
      </c>
      <c r="E279" s="533"/>
      <c r="F279" s="533"/>
      <c r="G279" s="533"/>
      <c r="H279" s="111" t="s">
        <v>219</v>
      </c>
      <c r="I279" s="250">
        <v>3850</v>
      </c>
      <c r="J279" s="107">
        <f>SUMIFS(APUS!$Y$10:$Y$231,APUS!$M$10:$M$231,INSUMOS!C279)</f>
        <v>0</v>
      </c>
      <c r="K279" s="108">
        <f t="shared" si="28"/>
        <v>0</v>
      </c>
      <c r="N279" s="123"/>
      <c r="O279" s="114"/>
      <c r="P279" s="94"/>
      <c r="Q279" s="116"/>
    </row>
    <row r="280" spans="3:17" ht="30.75" hidden="1" customHeight="1" x14ac:dyDescent="0.25">
      <c r="C280" s="106"/>
      <c r="D280" s="533"/>
      <c r="E280" s="533"/>
      <c r="F280" s="533"/>
      <c r="G280" s="533"/>
      <c r="H280" s="111"/>
      <c r="I280" s="250"/>
      <c r="J280" s="107"/>
      <c r="K280" s="108">
        <f t="shared" si="28"/>
        <v>0</v>
      </c>
      <c r="N280" s="123"/>
      <c r="O280" s="114"/>
      <c r="P280" s="94"/>
      <c r="Q280" s="116"/>
    </row>
    <row r="281" spans="3:17" ht="43.5" hidden="1" customHeight="1" x14ac:dyDescent="0.25">
      <c r="C281" s="106"/>
      <c r="D281" s="533"/>
      <c r="E281" s="533"/>
      <c r="F281" s="533"/>
      <c r="G281" s="533"/>
      <c r="H281" s="111"/>
      <c r="I281" s="250"/>
      <c r="J281" s="107"/>
      <c r="K281" s="108">
        <f t="shared" si="28"/>
        <v>0</v>
      </c>
      <c r="N281" s="123"/>
      <c r="O281" s="114"/>
      <c r="P281" s="94"/>
      <c r="Q281" s="116"/>
    </row>
    <row r="282" spans="3:17" ht="40.5" hidden="1" customHeight="1" x14ac:dyDescent="0.25">
      <c r="C282" s="106"/>
      <c r="D282" s="533"/>
      <c r="E282" s="533"/>
      <c r="F282" s="533"/>
      <c r="G282" s="533"/>
      <c r="H282" s="111"/>
      <c r="I282" s="250"/>
      <c r="J282" s="107"/>
      <c r="K282" s="108">
        <f t="shared" si="28"/>
        <v>0</v>
      </c>
      <c r="N282" s="123"/>
      <c r="O282" s="114"/>
      <c r="P282" s="94"/>
      <c r="Q282" s="116"/>
    </row>
    <row r="283" spans="3:17" ht="30" hidden="1" customHeight="1" x14ac:dyDescent="0.25">
      <c r="C283" s="106"/>
      <c r="D283" s="533"/>
      <c r="E283" s="533"/>
      <c r="F283" s="533"/>
      <c r="G283" s="533"/>
      <c r="H283" s="111"/>
      <c r="I283" s="250"/>
      <c r="J283" s="107"/>
      <c r="K283" s="108">
        <f t="shared" si="28"/>
        <v>0</v>
      </c>
      <c r="N283" s="123"/>
      <c r="O283" s="114"/>
      <c r="P283" s="94"/>
      <c r="Q283" s="116"/>
    </row>
    <row r="284" spans="3:17" hidden="1" x14ac:dyDescent="0.25">
      <c r="C284" s="106"/>
      <c r="D284" s="533"/>
      <c r="E284" s="533"/>
      <c r="F284" s="533"/>
      <c r="G284" s="533"/>
      <c r="H284" s="111"/>
      <c r="I284" s="250"/>
      <c r="J284" s="107"/>
      <c r="K284" s="108">
        <f t="shared" si="28"/>
        <v>0</v>
      </c>
      <c r="N284" s="123"/>
      <c r="O284" s="114"/>
      <c r="P284" s="94"/>
      <c r="Q284" s="116"/>
    </row>
    <row r="285" spans="3:17" hidden="1" x14ac:dyDescent="0.25">
      <c r="C285" s="106"/>
      <c r="D285" s="533"/>
      <c r="E285" s="533"/>
      <c r="F285" s="533"/>
      <c r="G285" s="533"/>
      <c r="H285" s="111"/>
      <c r="I285" s="250"/>
      <c r="J285" s="107"/>
      <c r="K285" s="108">
        <f t="shared" ref="K285:K295" si="29">+J285*I285</f>
        <v>0</v>
      </c>
      <c r="N285" s="123"/>
      <c r="O285" s="114"/>
      <c r="P285" s="94"/>
      <c r="Q285" s="116"/>
    </row>
    <row r="286" spans="3:17" hidden="1" x14ac:dyDescent="0.25">
      <c r="C286" s="106"/>
      <c r="D286" s="533"/>
      <c r="E286" s="533"/>
      <c r="F286" s="533"/>
      <c r="G286" s="533"/>
      <c r="H286" s="111"/>
      <c r="I286" s="250"/>
      <c r="J286" s="107"/>
      <c r="K286" s="108">
        <f t="shared" si="29"/>
        <v>0</v>
      </c>
      <c r="N286" s="123"/>
      <c r="O286" s="114"/>
      <c r="P286" s="94"/>
      <c r="Q286" s="116"/>
    </row>
    <row r="287" spans="3:17" hidden="1" x14ac:dyDescent="0.25">
      <c r="C287" s="106"/>
      <c r="D287" s="533"/>
      <c r="E287" s="533"/>
      <c r="F287" s="533"/>
      <c r="G287" s="533"/>
      <c r="H287" s="111"/>
      <c r="I287" s="250"/>
      <c r="J287" s="107"/>
      <c r="K287" s="108">
        <f t="shared" si="29"/>
        <v>0</v>
      </c>
      <c r="N287" s="123"/>
      <c r="O287" s="114"/>
      <c r="P287" s="94"/>
      <c r="Q287" s="116"/>
    </row>
    <row r="288" spans="3:17" hidden="1" x14ac:dyDescent="0.25">
      <c r="C288" s="106"/>
      <c r="D288" s="533"/>
      <c r="E288" s="533"/>
      <c r="F288" s="533"/>
      <c r="G288" s="533"/>
      <c r="H288" s="111"/>
      <c r="I288" s="250"/>
      <c r="J288" s="107"/>
      <c r="K288" s="108">
        <f t="shared" si="29"/>
        <v>0</v>
      </c>
      <c r="N288" s="123"/>
      <c r="O288" s="114"/>
      <c r="P288" s="94"/>
      <c r="Q288" s="116"/>
    </row>
    <row r="289" spans="3:17" hidden="1" x14ac:dyDescent="0.25">
      <c r="C289" s="106"/>
      <c r="D289" s="533"/>
      <c r="E289" s="533"/>
      <c r="F289" s="533"/>
      <c r="G289" s="533"/>
      <c r="H289" s="111"/>
      <c r="I289" s="250"/>
      <c r="J289" s="107"/>
      <c r="K289" s="108">
        <f t="shared" si="29"/>
        <v>0</v>
      </c>
      <c r="N289" s="123"/>
      <c r="O289" s="114"/>
      <c r="P289" s="94"/>
      <c r="Q289" s="116"/>
    </row>
    <row r="290" spans="3:17" hidden="1" x14ac:dyDescent="0.25">
      <c r="C290" s="106">
        <v>352</v>
      </c>
      <c r="D290" s="533"/>
      <c r="E290" s="533"/>
      <c r="F290" s="533"/>
      <c r="G290" s="533"/>
      <c r="H290" s="111"/>
      <c r="I290" s="250"/>
      <c r="J290" s="107">
        <f>SUMIFS(APUS!$Y$10:$Y$231,APUS!$M$10:$M$231,INSUMOS!C290)</f>
        <v>0</v>
      </c>
      <c r="K290" s="108">
        <f t="shared" si="29"/>
        <v>0</v>
      </c>
      <c r="N290" s="123"/>
      <c r="O290" s="114"/>
      <c r="P290" s="94"/>
      <c r="Q290" s="116"/>
    </row>
    <row r="291" spans="3:17" hidden="1" x14ac:dyDescent="0.25">
      <c r="C291" s="106">
        <v>353</v>
      </c>
      <c r="D291" s="533"/>
      <c r="E291" s="533"/>
      <c r="F291" s="533"/>
      <c r="G291" s="533"/>
      <c r="H291" s="111"/>
      <c r="I291" s="250"/>
      <c r="J291" s="107">
        <f>SUMIFS(APUS!$Y$10:$Y$231,APUS!$M$10:$M$231,INSUMOS!C291)</f>
        <v>0</v>
      </c>
      <c r="K291" s="108">
        <f t="shared" si="29"/>
        <v>0</v>
      </c>
      <c r="N291" s="123"/>
      <c r="O291" s="114"/>
      <c r="P291" s="94"/>
      <c r="Q291" s="116"/>
    </row>
    <row r="292" spans="3:17" hidden="1" x14ac:dyDescent="0.25">
      <c r="C292" s="106">
        <v>354</v>
      </c>
      <c r="D292" s="533"/>
      <c r="E292" s="533"/>
      <c r="F292" s="533"/>
      <c r="G292" s="533"/>
      <c r="H292" s="111"/>
      <c r="I292" s="250"/>
      <c r="J292" s="107">
        <f>SUMIFS(APUS!$Y$10:$Y$231,APUS!$M$10:$M$231,INSUMOS!C292)</f>
        <v>0</v>
      </c>
      <c r="K292" s="108">
        <f t="shared" si="29"/>
        <v>0</v>
      </c>
      <c r="N292" s="123"/>
      <c r="O292" s="114"/>
      <c r="P292" s="94"/>
      <c r="Q292" s="116"/>
    </row>
    <row r="293" spans="3:17" hidden="1" x14ac:dyDescent="0.25">
      <c r="C293" s="106">
        <v>355</v>
      </c>
      <c r="D293" s="533"/>
      <c r="E293" s="533"/>
      <c r="F293" s="533"/>
      <c r="G293" s="533"/>
      <c r="H293" s="111"/>
      <c r="I293" s="250"/>
      <c r="J293" s="107">
        <f>SUMIFS(APUS!$Y$10:$Y$231,APUS!$M$10:$M$231,INSUMOS!C293)</f>
        <v>0</v>
      </c>
      <c r="K293" s="108">
        <f t="shared" si="29"/>
        <v>0</v>
      </c>
      <c r="N293" s="123"/>
      <c r="O293" s="114"/>
      <c r="P293" s="94"/>
      <c r="Q293" s="116"/>
    </row>
    <row r="294" spans="3:17" hidden="1" x14ac:dyDescent="0.25">
      <c r="C294" s="106">
        <v>356</v>
      </c>
      <c r="D294" s="533"/>
      <c r="E294" s="533"/>
      <c r="F294" s="533"/>
      <c r="G294" s="533"/>
      <c r="H294" s="111"/>
      <c r="I294" s="250"/>
      <c r="J294" s="107">
        <f>SUMIFS(APUS!$Y$10:$Y$231,APUS!$M$10:$M$231,INSUMOS!C294)</f>
        <v>0</v>
      </c>
      <c r="K294" s="108">
        <f t="shared" si="29"/>
        <v>0</v>
      </c>
      <c r="N294" s="123"/>
      <c r="O294" s="114"/>
      <c r="P294" s="94"/>
      <c r="Q294" s="116"/>
    </row>
    <row r="295" spans="3:17" hidden="1" x14ac:dyDescent="0.25">
      <c r="C295" s="106">
        <v>357</v>
      </c>
      <c r="D295" s="533"/>
      <c r="E295" s="533"/>
      <c r="F295" s="533"/>
      <c r="G295" s="533"/>
      <c r="H295" s="111"/>
      <c r="I295" s="250"/>
      <c r="J295" s="107">
        <f>SUMIFS(APUS!$Y$10:$Y$231,APUS!$M$10:$M$231,INSUMOS!C295)</f>
        <v>0</v>
      </c>
      <c r="K295" s="108">
        <f t="shared" si="29"/>
        <v>0</v>
      </c>
      <c r="N295" s="123"/>
      <c r="O295" s="114"/>
      <c r="P295" s="94"/>
      <c r="Q295" s="116"/>
    </row>
    <row r="296" spans="3:17" hidden="1" x14ac:dyDescent="0.25">
      <c r="C296" s="106">
        <v>358</v>
      </c>
      <c r="D296" s="533"/>
      <c r="E296" s="533"/>
      <c r="F296" s="533"/>
      <c r="G296" s="533"/>
      <c r="H296" s="111"/>
      <c r="I296" s="250"/>
      <c r="J296" s="107">
        <f>SUMIFS(APUS!$Y$10:$Y$231,APUS!$M$10:$M$231,INSUMOS!C296)</f>
        <v>0</v>
      </c>
      <c r="K296" s="108">
        <f t="shared" ref="K296:K305" si="30">+J296*I296</f>
        <v>0</v>
      </c>
      <c r="N296" s="123"/>
      <c r="O296" s="114"/>
      <c r="P296" s="94"/>
      <c r="Q296" s="116"/>
    </row>
    <row r="297" spans="3:17" hidden="1" x14ac:dyDescent="0.25">
      <c r="C297" s="106">
        <v>359</v>
      </c>
      <c r="D297" s="533"/>
      <c r="E297" s="533"/>
      <c r="F297" s="533"/>
      <c r="G297" s="533"/>
      <c r="H297" s="111"/>
      <c r="I297" s="250"/>
      <c r="J297" s="107">
        <f>SUMIFS(APUS!$Y$10:$Y$231,APUS!$M$10:$M$231,INSUMOS!C297)</f>
        <v>0</v>
      </c>
      <c r="K297" s="108">
        <f t="shared" si="30"/>
        <v>0</v>
      </c>
      <c r="N297" s="123"/>
      <c r="O297" s="114"/>
      <c r="P297" s="94"/>
      <c r="Q297" s="116"/>
    </row>
    <row r="298" spans="3:17" ht="30" hidden="1" customHeight="1" x14ac:dyDescent="0.25">
      <c r="C298" s="106">
        <v>360</v>
      </c>
      <c r="D298" s="533" t="s">
        <v>487</v>
      </c>
      <c r="E298" s="533"/>
      <c r="F298" s="533"/>
      <c r="G298" s="533"/>
      <c r="H298" s="111" t="s">
        <v>34</v>
      </c>
      <c r="I298" s="250">
        <v>410000</v>
      </c>
      <c r="J298" s="107">
        <f>SUMIFS(APUS!$Y$10:$Y$231,APUS!$M$10:$M$231,INSUMOS!C298)</f>
        <v>0</v>
      </c>
      <c r="K298" s="108">
        <f t="shared" si="30"/>
        <v>0</v>
      </c>
      <c r="N298" s="123"/>
      <c r="O298" s="114"/>
      <c r="P298" s="94"/>
      <c r="Q298" s="116"/>
    </row>
    <row r="299" spans="3:17" hidden="1" x14ac:dyDescent="0.25">
      <c r="C299" s="106">
        <v>361</v>
      </c>
      <c r="D299" s="533"/>
      <c r="E299" s="533"/>
      <c r="F299" s="533"/>
      <c r="G299" s="533"/>
      <c r="H299" s="111"/>
      <c r="I299" s="250"/>
      <c r="J299" s="107">
        <f>SUMIFS(APUS!$Y$10:$Y$231,APUS!$M$10:$M$231,INSUMOS!C299)</f>
        <v>0</v>
      </c>
      <c r="K299" s="108">
        <f t="shared" si="30"/>
        <v>0</v>
      </c>
      <c r="N299" s="123"/>
      <c r="O299" s="114"/>
      <c r="P299" s="94"/>
      <c r="Q299" s="116"/>
    </row>
    <row r="300" spans="3:17" hidden="1" x14ac:dyDescent="0.25">
      <c r="C300" s="106">
        <v>362</v>
      </c>
      <c r="D300" s="533"/>
      <c r="E300" s="533"/>
      <c r="F300" s="533"/>
      <c r="G300" s="533"/>
      <c r="H300" s="111"/>
      <c r="I300" s="250"/>
      <c r="J300" s="107">
        <f>SUMIFS(APUS!$Y$10:$Y$231,APUS!$M$10:$M$231,INSUMOS!C300)</f>
        <v>0</v>
      </c>
      <c r="K300" s="108">
        <f t="shared" si="30"/>
        <v>0</v>
      </c>
      <c r="N300" s="123"/>
      <c r="O300" s="114"/>
      <c r="P300" s="94"/>
      <c r="Q300" s="116"/>
    </row>
    <row r="301" spans="3:17" hidden="1" x14ac:dyDescent="0.25">
      <c r="C301" s="106">
        <v>363</v>
      </c>
      <c r="D301" s="533"/>
      <c r="E301" s="533"/>
      <c r="F301" s="533"/>
      <c r="G301" s="533"/>
      <c r="H301" s="111"/>
      <c r="I301" s="250"/>
      <c r="J301" s="107">
        <f>SUMIFS(APUS!$Y$10:$Y$231,APUS!$M$10:$M$231,INSUMOS!C301)</f>
        <v>0</v>
      </c>
      <c r="K301" s="108">
        <f t="shared" si="30"/>
        <v>0</v>
      </c>
      <c r="N301" s="123"/>
      <c r="O301" s="114"/>
      <c r="P301" s="94"/>
      <c r="Q301" s="116"/>
    </row>
    <row r="302" spans="3:17" hidden="1" x14ac:dyDescent="0.25">
      <c r="C302" s="106">
        <v>364</v>
      </c>
      <c r="D302" s="533"/>
      <c r="E302" s="533"/>
      <c r="F302" s="533"/>
      <c r="G302" s="533"/>
      <c r="H302" s="111"/>
      <c r="I302" s="250"/>
      <c r="J302" s="107">
        <f>SUMIFS(APUS!$Y$10:$Y$231,APUS!$M$10:$M$231,INSUMOS!C302)</f>
        <v>0</v>
      </c>
      <c r="K302" s="108">
        <f t="shared" si="30"/>
        <v>0</v>
      </c>
      <c r="N302" s="123"/>
      <c r="O302" s="114"/>
      <c r="P302" s="94"/>
      <c r="Q302" s="116"/>
    </row>
    <row r="303" spans="3:17" hidden="1" x14ac:dyDescent="0.25">
      <c r="C303" s="106">
        <v>365</v>
      </c>
      <c r="D303" s="533"/>
      <c r="E303" s="533"/>
      <c r="F303" s="533"/>
      <c r="G303" s="533"/>
      <c r="H303" s="111"/>
      <c r="I303" s="250"/>
      <c r="J303" s="107">
        <f>SUMIFS(APUS!$Y$10:$Y$231,APUS!$M$10:$M$231,INSUMOS!C303)</f>
        <v>0</v>
      </c>
      <c r="K303" s="108">
        <f t="shared" si="30"/>
        <v>0</v>
      </c>
      <c r="N303" s="123"/>
      <c r="O303" s="114"/>
      <c r="P303" s="94"/>
      <c r="Q303" s="116"/>
    </row>
    <row r="304" spans="3:17" hidden="1" x14ac:dyDescent="0.25">
      <c r="C304" s="106">
        <v>366</v>
      </c>
      <c r="D304" s="533"/>
      <c r="E304" s="533"/>
      <c r="F304" s="533"/>
      <c r="G304" s="533"/>
      <c r="H304" s="111"/>
      <c r="I304" s="250"/>
      <c r="J304" s="107">
        <f>SUMIFS(APUS!$Y$10:$Y$231,APUS!$M$10:$M$231,INSUMOS!C304)</f>
        <v>0</v>
      </c>
      <c r="K304" s="108">
        <f t="shared" si="30"/>
        <v>0</v>
      </c>
      <c r="N304" s="123"/>
      <c r="O304" s="114"/>
      <c r="P304" s="94"/>
      <c r="Q304" s="116"/>
    </row>
    <row r="305" spans="3:17" hidden="1" x14ac:dyDescent="0.25">
      <c r="C305" s="106">
        <v>367</v>
      </c>
      <c r="D305" s="533"/>
      <c r="E305" s="533"/>
      <c r="F305" s="533"/>
      <c r="G305" s="533"/>
      <c r="H305" s="111"/>
      <c r="I305" s="250"/>
      <c r="J305" s="107">
        <f>SUMIFS(APUS!$Y$10:$Y$231,APUS!$M$10:$M$231,INSUMOS!C305)</f>
        <v>0</v>
      </c>
      <c r="K305" s="108">
        <f t="shared" si="30"/>
        <v>0</v>
      </c>
      <c r="N305" s="123"/>
      <c r="O305" s="114"/>
      <c r="P305" s="94"/>
      <c r="Q305" s="116"/>
    </row>
    <row r="306" spans="3:17" hidden="1" x14ac:dyDescent="0.25">
      <c r="C306" s="106">
        <v>368</v>
      </c>
      <c r="D306" s="533"/>
      <c r="E306" s="533"/>
      <c r="F306" s="533"/>
      <c r="G306" s="533"/>
      <c r="H306" s="111"/>
      <c r="I306" s="250"/>
      <c r="J306" s="107">
        <f>SUMIFS(APUS!$Y$10:$Y$231,APUS!$M$10:$M$231,INSUMOS!C306)</f>
        <v>0</v>
      </c>
      <c r="K306" s="108">
        <f>+J306*I306</f>
        <v>0</v>
      </c>
      <c r="N306" s="123"/>
      <c r="O306" s="114"/>
      <c r="P306" s="94"/>
      <c r="Q306" s="116"/>
    </row>
    <row r="307" spans="3:17" hidden="1" x14ac:dyDescent="0.25">
      <c r="C307" s="106"/>
      <c r="D307" s="533"/>
      <c r="E307" s="533"/>
      <c r="F307" s="533"/>
      <c r="G307" s="533"/>
      <c r="H307" s="111"/>
      <c r="I307" s="250"/>
      <c r="J307" s="107"/>
      <c r="K307" s="180"/>
      <c r="N307" s="124"/>
      <c r="O307" s="114"/>
      <c r="Q307" s="128"/>
    </row>
    <row r="308" spans="3:17" ht="15.75" hidden="1" thickBot="1" x14ac:dyDescent="0.3">
      <c r="C308" s="544" t="str">
        <f>+"SUBTOTAL "&amp;C237</f>
        <v>SUBTOTAL SUB-CONTRATOS</v>
      </c>
      <c r="D308" s="537"/>
      <c r="E308" s="537"/>
      <c r="F308" s="537"/>
      <c r="G308" s="537"/>
      <c r="H308" s="537"/>
      <c r="I308" s="537"/>
      <c r="J308" s="537"/>
      <c r="K308" s="186">
        <f>+SUM(K238:K307)</f>
        <v>0</v>
      </c>
      <c r="N308" s="179">
        <f>SUM(N244:N307)</f>
        <v>0</v>
      </c>
      <c r="O308" s="125">
        <f>+N308-K308</f>
        <v>0</v>
      </c>
      <c r="Q308" s="129"/>
    </row>
    <row r="309" spans="3:17" ht="15.75" hidden="1" thickBot="1" x14ac:dyDescent="0.3"/>
    <row r="310" spans="3:17" ht="15.75" thickBot="1" x14ac:dyDescent="0.3">
      <c r="C310" s="663" t="s">
        <v>238</v>
      </c>
      <c r="D310" s="664"/>
      <c r="E310" s="664"/>
      <c r="F310" s="664"/>
      <c r="G310" s="664"/>
      <c r="H310" s="664"/>
      <c r="I310" s="664"/>
      <c r="J310" s="664"/>
      <c r="K310" s="665"/>
      <c r="N310" s="120"/>
      <c r="O310" s="121"/>
      <c r="P310" s="94"/>
      <c r="Q310" s="126"/>
    </row>
    <row r="311" spans="3:17" ht="15.75" thickBot="1" x14ac:dyDescent="0.3">
      <c r="C311" s="187" t="s">
        <v>143</v>
      </c>
      <c r="D311" s="666" t="s">
        <v>95</v>
      </c>
      <c r="E311" s="666"/>
      <c r="F311" s="666"/>
      <c r="G311" s="666"/>
      <c r="H311" s="77" t="s">
        <v>109</v>
      </c>
      <c r="I311" s="251" t="s">
        <v>144</v>
      </c>
      <c r="J311" s="104" t="s">
        <v>104</v>
      </c>
      <c r="K311" s="105" t="s">
        <v>9</v>
      </c>
      <c r="N311" s="122" t="s">
        <v>9</v>
      </c>
      <c r="O311" s="119" t="s">
        <v>158</v>
      </c>
      <c r="P311" s="115"/>
      <c r="Q311" s="127"/>
    </row>
    <row r="312" spans="3:17" hidden="1" x14ac:dyDescent="0.25">
      <c r="C312" s="110" t="s">
        <v>330</v>
      </c>
      <c r="D312" s="530" t="s">
        <v>340</v>
      </c>
      <c r="E312" s="531"/>
      <c r="F312" s="531"/>
      <c r="G312" s="532"/>
      <c r="H312" s="78" t="s">
        <v>32</v>
      </c>
      <c r="I312" s="238">
        <f>+IFERROR(VLOOKUP(C312,APUS!N:W,10,FALSE),0)</f>
        <v>0</v>
      </c>
      <c r="J312" s="107">
        <f>SUMIFS(APUS!Y:Y,APUS!M:M,INSUMOS!C312)</f>
        <v>0</v>
      </c>
      <c r="K312" s="112">
        <f t="shared" ref="K312:K370" si="31">+J312*I312</f>
        <v>0</v>
      </c>
      <c r="N312" s="123">
        <f>IFERROR(SUMIFS(APUS!$Z$140:$Z$182,APUS!#REF!,INSUMOS!D312),0)</f>
        <v>0</v>
      </c>
      <c r="O312" s="114">
        <f>+N312-K312</f>
        <v>0</v>
      </c>
      <c r="P312" s="94"/>
      <c r="Q312" s="116" t="str">
        <f>+IF(K312=0,"SI","NO")</f>
        <v>SI</v>
      </c>
    </row>
    <row r="313" spans="3:17" hidden="1" x14ac:dyDescent="0.25">
      <c r="C313" s="110" t="s">
        <v>459</v>
      </c>
      <c r="D313" s="671" t="s">
        <v>458</v>
      </c>
      <c r="E313" s="672"/>
      <c r="F313" s="672"/>
      <c r="G313" s="673"/>
      <c r="H313" s="78" t="s">
        <v>32</v>
      </c>
      <c r="I313" s="238">
        <f>+IFERROR(VLOOKUP(C313,APUS!N:W,10,FALSE),0)</f>
        <v>671556.87</v>
      </c>
      <c r="J313" s="107">
        <f>SUMIFS(APUS!Y:Y,APUS!M:M,INSUMOS!C313)</f>
        <v>0</v>
      </c>
      <c r="K313" s="112">
        <f t="shared" si="31"/>
        <v>0</v>
      </c>
      <c r="N313" s="123">
        <f>IFERROR(SUMIFS(APUS!$Z$140:$Z$182,APUS!#REF!,INSUMOS!D313),0)</f>
        <v>0</v>
      </c>
      <c r="O313" s="114">
        <f>+N313-K313</f>
        <v>0</v>
      </c>
      <c r="P313" s="94"/>
      <c r="Q313" s="116" t="str">
        <f>+IF(K313=0,"SI","NO")</f>
        <v>SI</v>
      </c>
    </row>
    <row r="314" spans="3:17" hidden="1" x14ac:dyDescent="0.25">
      <c r="C314" s="110" t="s">
        <v>331</v>
      </c>
      <c r="D314" s="671" t="s">
        <v>341</v>
      </c>
      <c r="E314" s="672"/>
      <c r="F314" s="672"/>
      <c r="G314" s="673"/>
      <c r="H314" s="78" t="s">
        <v>32</v>
      </c>
      <c r="I314" s="238">
        <f>+IFERROR(VLOOKUP(C314,APUS!N:W,10,FALSE),0)</f>
        <v>0</v>
      </c>
      <c r="J314" s="107">
        <f>SUMIFS(APUS!Y:Y,APUS!M:M,INSUMOS!C314)</f>
        <v>0</v>
      </c>
      <c r="K314" s="112">
        <f t="shared" si="31"/>
        <v>0</v>
      </c>
      <c r="N314" s="123">
        <f>IFERROR(SUMIFS(APUS!$Z$140:$Z$182,APUS!#REF!,INSUMOS!D314),0)</f>
        <v>0</v>
      </c>
      <c r="O314" s="114">
        <f>+N314-K314</f>
        <v>0</v>
      </c>
      <c r="P314" s="94"/>
      <c r="Q314" s="116" t="str">
        <f>+IF(K314=0,"SI","NO")</f>
        <v>SI</v>
      </c>
    </row>
    <row r="315" spans="3:17" hidden="1" x14ac:dyDescent="0.25">
      <c r="C315" s="110" t="s">
        <v>332</v>
      </c>
      <c r="D315" s="671" t="s">
        <v>342</v>
      </c>
      <c r="E315" s="672"/>
      <c r="F315" s="672"/>
      <c r="G315" s="673"/>
      <c r="H315" s="78" t="s">
        <v>32</v>
      </c>
      <c r="I315" s="238">
        <f>+IFERROR(VLOOKUP(C315,APUS!N:W,10,FALSE),0)</f>
        <v>0</v>
      </c>
      <c r="J315" s="107">
        <f>SUMIFS(APUS!Y:Y,APUS!M:M,INSUMOS!C315)</f>
        <v>0</v>
      </c>
      <c r="K315" s="209">
        <f t="shared" si="31"/>
        <v>0</v>
      </c>
      <c r="N315" s="123">
        <f>IFERROR(SUMIFS(APUS!$Z$140:$Z$182,APUS!#REF!,INSUMOS!D315),0)</f>
        <v>0</v>
      </c>
      <c r="O315" s="114">
        <f>+N315-K315</f>
        <v>0</v>
      </c>
      <c r="P315" s="94"/>
      <c r="Q315" s="116" t="str">
        <f>+IF(K315=0,"SI","NO")</f>
        <v>SI</v>
      </c>
    </row>
    <row r="316" spans="3:17" hidden="1" x14ac:dyDescent="0.25">
      <c r="C316" s="110" t="s">
        <v>333</v>
      </c>
      <c r="D316" s="671" t="s">
        <v>343</v>
      </c>
      <c r="E316" s="672"/>
      <c r="F316" s="672"/>
      <c r="G316" s="673"/>
      <c r="H316" s="78" t="s">
        <v>32</v>
      </c>
      <c r="I316" s="238">
        <f>+IFERROR(VLOOKUP(C316,APUS!N:W,10,FALSE),0)</f>
        <v>0</v>
      </c>
      <c r="J316" s="107">
        <f>SUMIFS(APUS!Y:Y,APUS!M:M,INSUMOS!C316)</f>
        <v>0</v>
      </c>
      <c r="K316" s="209">
        <f t="shared" si="31"/>
        <v>0</v>
      </c>
      <c r="N316" s="123">
        <f>IFERROR(SUMIFS(APUS!$Z$140:$Z$182,APUS!#REF!,INSUMOS!D316),0)</f>
        <v>0</v>
      </c>
      <c r="O316" s="114">
        <f>+N316-K316</f>
        <v>0</v>
      </c>
      <c r="P316" s="94"/>
      <c r="Q316" s="116" t="str">
        <f>+IF(K316=0,"SI","NO")</f>
        <v>SI</v>
      </c>
    </row>
    <row r="317" spans="3:17" x14ac:dyDescent="0.25">
      <c r="C317" s="110" t="s">
        <v>563</v>
      </c>
      <c r="D317" s="671" t="s">
        <v>566</v>
      </c>
      <c r="E317" s="672"/>
      <c r="F317" s="672"/>
      <c r="G317" s="673"/>
      <c r="H317" s="78" t="s">
        <v>32</v>
      </c>
      <c r="I317" s="238">
        <f>+IFERROR(VLOOKUP(C317,APUS!N:W,10,FALSE),0)</f>
        <v>789152.76</v>
      </c>
      <c r="J317" s="107">
        <f>SUMIFS(APUS!Y:Y,APUS!M:M,INSUMOS!C317)</f>
        <v>3.9874999999999998</v>
      </c>
      <c r="K317" s="209">
        <f>+J317*I317</f>
        <v>3146746.6305</v>
      </c>
      <c r="N317" s="123"/>
      <c r="O317" s="114"/>
      <c r="P317" s="94"/>
      <c r="Q317" s="116"/>
    </row>
    <row r="318" spans="3:17" x14ac:dyDescent="0.25">
      <c r="C318" s="110" t="s">
        <v>571</v>
      </c>
      <c r="D318" s="671" t="s">
        <v>572</v>
      </c>
      <c r="E318" s="672"/>
      <c r="F318" s="672"/>
      <c r="G318" s="673"/>
      <c r="H318" s="78" t="s">
        <v>32</v>
      </c>
      <c r="I318" s="238">
        <f>+IFERROR(VLOOKUP(C318,APUS!N:W,10,FALSE),0)</f>
        <v>812856.43</v>
      </c>
      <c r="J318" s="107">
        <f>SUMIFS(APUS!Y:Y,APUS!M:M,INSUMOS!C318)</f>
        <v>34.911540000000002</v>
      </c>
      <c r="K318" s="209">
        <f t="shared" si="31"/>
        <v>28378069.770202205</v>
      </c>
      <c r="N318" s="123">
        <f>IFERROR(SUMIFS(APUS!$Z$140:$Z$182,APUS!#REF!,INSUMOS!D318),0)</f>
        <v>0</v>
      </c>
      <c r="O318" s="114">
        <f t="shared" ref="O318:O323" si="32">+N318-K318</f>
        <v>-28378069.770202205</v>
      </c>
      <c r="P318" s="94"/>
      <c r="Q318" s="116" t="str">
        <f>+IF(K318=0,"SI","NO")</f>
        <v>NO</v>
      </c>
    </row>
    <row r="319" spans="3:17" hidden="1" x14ac:dyDescent="0.25">
      <c r="C319" s="110" t="s">
        <v>334</v>
      </c>
      <c r="D319" s="671" t="s">
        <v>344</v>
      </c>
      <c r="E319" s="672"/>
      <c r="F319" s="672"/>
      <c r="G319" s="673"/>
      <c r="H319" s="78" t="s">
        <v>32</v>
      </c>
      <c r="I319" s="238">
        <f>+IFERROR(VLOOKUP(C319,APUS!N:W,10,FALSE),0)</f>
        <v>0</v>
      </c>
      <c r="J319" s="107">
        <f>SUMIFS(APUS!Y:Y,APUS!M:M,INSUMOS!C319)</f>
        <v>0</v>
      </c>
      <c r="K319" s="209">
        <f t="shared" si="31"/>
        <v>0</v>
      </c>
      <c r="N319" s="123">
        <f>IFERROR(SUMIFS(APUS!$Z$140:$Z$182,APUS!#REF!,INSUMOS!D319),0)</f>
        <v>0</v>
      </c>
      <c r="O319" s="114">
        <f t="shared" si="32"/>
        <v>0</v>
      </c>
      <c r="P319" s="94"/>
      <c r="Q319" s="116" t="str">
        <f>+IF(K319=0,"SI","NO")</f>
        <v>SI</v>
      </c>
    </row>
    <row r="320" spans="3:17" ht="14.25" hidden="1" customHeight="1" x14ac:dyDescent="0.25">
      <c r="C320" s="110" t="s">
        <v>335</v>
      </c>
      <c r="D320" s="671" t="s">
        <v>345</v>
      </c>
      <c r="E320" s="672"/>
      <c r="F320" s="672"/>
      <c r="G320" s="673"/>
      <c r="H320" s="78" t="s">
        <v>32</v>
      </c>
      <c r="I320" s="238">
        <f>+IFERROR(VLOOKUP(C320,APUS!N:W,10,FALSE),0)</f>
        <v>0</v>
      </c>
      <c r="J320" s="107">
        <f>SUMIFS(APUS!Y:Y,APUS!M:M,INSUMOS!C320)</f>
        <v>0</v>
      </c>
      <c r="K320" s="209">
        <f t="shared" si="31"/>
        <v>0</v>
      </c>
      <c r="N320" s="123">
        <f>IFERROR(SUMIFS(APUS!$Z$140:$Z$182,APUS!#REF!,INSUMOS!D320),0)</f>
        <v>0</v>
      </c>
      <c r="O320" s="114">
        <f t="shared" si="32"/>
        <v>0</v>
      </c>
      <c r="P320" s="94"/>
      <c r="Q320" s="116" t="str">
        <f>+IF(K320=0,"SI","NO")</f>
        <v>SI</v>
      </c>
    </row>
    <row r="321" spans="3:17" x14ac:dyDescent="0.25">
      <c r="C321" s="110" t="s">
        <v>565</v>
      </c>
      <c r="D321" s="671" t="s">
        <v>564</v>
      </c>
      <c r="E321" s="672"/>
      <c r="F321" s="672"/>
      <c r="G321" s="673"/>
      <c r="H321" s="78" t="s">
        <v>32</v>
      </c>
      <c r="I321" s="238">
        <f>+IFERROR(VLOOKUP(C321,APUS!N:W,10,FALSE),0)</f>
        <v>678786.06</v>
      </c>
      <c r="J321" s="107">
        <f>SUMIFS(APUS!Y:Y,APUS!M:M,INSUMOS!C321)</f>
        <v>0.14000000000000001</v>
      </c>
      <c r="K321" s="209">
        <f t="shared" si="31"/>
        <v>95030.048400000014</v>
      </c>
      <c r="N321" s="123">
        <f>IFERROR(SUMIFS(APUS!$Z$140:$Z$182,APUS!#REF!,INSUMOS!D321),0)</f>
        <v>0</v>
      </c>
      <c r="O321" s="114">
        <f t="shared" si="32"/>
        <v>-95030.048400000014</v>
      </c>
      <c r="P321" s="94"/>
      <c r="Q321" s="116" t="str">
        <f>+IF(K321=0,"SI","NO")</f>
        <v>NO</v>
      </c>
    </row>
    <row r="322" spans="3:17" hidden="1" x14ac:dyDescent="0.25">
      <c r="C322" s="110" t="s">
        <v>336</v>
      </c>
      <c r="D322" s="671" t="s">
        <v>337</v>
      </c>
      <c r="E322" s="672"/>
      <c r="F322" s="672"/>
      <c r="G322" s="673"/>
      <c r="H322" s="78" t="s">
        <v>32</v>
      </c>
      <c r="I322" s="238">
        <f>+IFERROR(VLOOKUP(C322,APUS!N:W,10,FALSE),0)</f>
        <v>0</v>
      </c>
      <c r="J322" s="107">
        <f>SUMIFS(APUS!Y:Y,APUS!M:M,INSUMOS!C322)</f>
        <v>0</v>
      </c>
      <c r="K322" s="209">
        <f t="shared" si="31"/>
        <v>0</v>
      </c>
      <c r="N322" s="123">
        <f>IFERROR(SUMIFS(APUS!$Z$140:$Z$182,APUS!#REF!,INSUMOS!D322),0)</f>
        <v>0</v>
      </c>
      <c r="O322" s="114">
        <f t="shared" si="32"/>
        <v>0</v>
      </c>
      <c r="P322" s="94"/>
      <c r="Q322" s="116" t="str">
        <f>+IF(K322=0,"SI","NO")</f>
        <v>SI</v>
      </c>
    </row>
    <row r="323" spans="3:17" hidden="1" x14ac:dyDescent="0.25">
      <c r="C323" s="110" t="s">
        <v>338</v>
      </c>
      <c r="D323" s="671" t="s">
        <v>339</v>
      </c>
      <c r="E323" s="672"/>
      <c r="F323" s="672"/>
      <c r="G323" s="673"/>
      <c r="H323" s="78" t="s">
        <v>32</v>
      </c>
      <c r="I323" s="238">
        <f>+IFERROR(VLOOKUP(C323,APUS!N:W,10,FALSE),0)</f>
        <v>0</v>
      </c>
      <c r="J323" s="107">
        <f>SUMIFS(APUS!Y:Y,APUS!M:M,INSUMOS!C323)</f>
        <v>0</v>
      </c>
      <c r="K323" s="209">
        <f>+J323*I323</f>
        <v>0</v>
      </c>
      <c r="N323" s="123">
        <f>IFERROR(SUMIFS(APUS!$Z$140:$Z$182,APUS!#REF!,INSUMOS!D323),0)</f>
        <v>0</v>
      </c>
      <c r="O323" s="114">
        <f t="shared" si="32"/>
        <v>0</v>
      </c>
      <c r="P323" s="94"/>
      <c r="Q323" s="116" t="str">
        <f t="shared" ref="Q323:Q353" si="33">+IF(K323=0,"SI","NO")</f>
        <v>SI</v>
      </c>
    </row>
    <row r="324" spans="3:17" x14ac:dyDescent="0.25">
      <c r="C324" s="106">
        <v>400</v>
      </c>
      <c r="D324" s="671" t="s">
        <v>239</v>
      </c>
      <c r="E324" s="672"/>
      <c r="F324" s="672"/>
      <c r="G324" s="673"/>
      <c r="H324" s="343" t="s">
        <v>219</v>
      </c>
      <c r="I324" s="238">
        <v>600</v>
      </c>
      <c r="J324" s="107">
        <f>SUMIFS(APUS!Y:Y,APUS!M:M,INSUMOS!C324)</f>
        <v>16444.472436000004</v>
      </c>
      <c r="K324" s="209">
        <f>+J324*I324</f>
        <v>9866683.4616000019</v>
      </c>
      <c r="N324" s="123">
        <f>IFERROR(SUMIFS(APUS!$Z$140:$Z$182,APUS!#REF!,INSUMOS!D324),0)</f>
        <v>0</v>
      </c>
      <c r="O324" s="114">
        <f t="shared" ref="O324:O353" si="34">+N324-K324</f>
        <v>-9866683.4616000019</v>
      </c>
      <c r="P324" s="94"/>
      <c r="Q324" s="116" t="str">
        <f t="shared" si="33"/>
        <v>NO</v>
      </c>
    </row>
    <row r="325" spans="3:17" x14ac:dyDescent="0.25">
      <c r="C325" s="106">
        <v>401</v>
      </c>
      <c r="D325" s="671" t="s">
        <v>242</v>
      </c>
      <c r="E325" s="672"/>
      <c r="F325" s="672"/>
      <c r="G325" s="673"/>
      <c r="H325" s="343" t="s">
        <v>243</v>
      </c>
      <c r="I325" s="238">
        <v>75</v>
      </c>
      <c r="J325" s="107">
        <f>SUMIFS(APUS!Y:Y,APUS!M:M,INSUMOS!C325)</f>
        <v>7753.76973</v>
      </c>
      <c r="K325" s="209">
        <f>+J325*I325</f>
        <v>581532.72974999994</v>
      </c>
      <c r="N325" s="123">
        <f>IFERROR(SUMIFS(APUS!$Z$140:$Z$182,APUS!#REF!,INSUMOS!D325),0)</f>
        <v>0</v>
      </c>
      <c r="O325" s="114">
        <f t="shared" si="34"/>
        <v>-581532.72974999994</v>
      </c>
      <c r="P325" s="94"/>
      <c r="Q325" s="116" t="str">
        <f t="shared" si="33"/>
        <v>NO</v>
      </c>
    </row>
    <row r="326" spans="3:17" hidden="1" x14ac:dyDescent="0.25">
      <c r="C326" s="106">
        <v>402</v>
      </c>
      <c r="D326" s="671" t="s">
        <v>436</v>
      </c>
      <c r="E326" s="672"/>
      <c r="F326" s="672"/>
      <c r="G326" s="673"/>
      <c r="H326" s="343" t="s">
        <v>40</v>
      </c>
      <c r="I326" s="238">
        <v>21780</v>
      </c>
      <c r="J326" s="107">
        <f>SUMIFS(APUS!Y:Y,APUS!M:M,INSUMOS!C326)</f>
        <v>0</v>
      </c>
      <c r="K326" s="209">
        <f t="shared" si="31"/>
        <v>0</v>
      </c>
      <c r="N326" s="123">
        <f>IFERROR(SUMIFS(APUS!$Z$140:$Z$182,APUS!#REF!,INSUMOS!D326),0)</f>
        <v>0</v>
      </c>
      <c r="O326" s="114">
        <f t="shared" si="34"/>
        <v>0</v>
      </c>
      <c r="P326" s="94"/>
      <c r="Q326" s="116" t="str">
        <f t="shared" si="33"/>
        <v>SI</v>
      </c>
    </row>
    <row r="327" spans="3:17" hidden="1" x14ac:dyDescent="0.25">
      <c r="C327" s="106">
        <v>403</v>
      </c>
      <c r="D327" s="671" t="s">
        <v>438</v>
      </c>
      <c r="E327" s="672"/>
      <c r="F327" s="672"/>
      <c r="G327" s="673"/>
      <c r="H327" s="343" t="s">
        <v>219</v>
      </c>
      <c r="I327" s="238">
        <v>1461.6800000000003</v>
      </c>
      <c r="J327" s="107">
        <f>SUMIFS(APUS!Y:Y,APUS!M:M,INSUMOS!C327)</f>
        <v>0</v>
      </c>
      <c r="K327" s="209">
        <f t="shared" si="31"/>
        <v>0</v>
      </c>
      <c r="N327" s="123">
        <f>IFERROR(SUMIFS(APUS!$Z$140:$Z$182,APUS!#REF!,INSUMOS!D327),0)</f>
        <v>0</v>
      </c>
      <c r="O327" s="114">
        <f t="shared" si="34"/>
        <v>0</v>
      </c>
      <c r="P327" s="94"/>
      <c r="Q327" s="116" t="str">
        <f t="shared" si="33"/>
        <v>SI</v>
      </c>
    </row>
    <row r="328" spans="3:17" hidden="1" x14ac:dyDescent="0.25">
      <c r="C328" s="106">
        <v>404</v>
      </c>
      <c r="D328" s="671" t="s">
        <v>462</v>
      </c>
      <c r="E328" s="672"/>
      <c r="F328" s="672"/>
      <c r="G328" s="673"/>
      <c r="H328" s="343" t="s">
        <v>219</v>
      </c>
      <c r="I328" s="238">
        <v>11500</v>
      </c>
      <c r="J328" s="107">
        <f>SUMIFS(APUS!Y:Y,APUS!M:M,INSUMOS!C328)</f>
        <v>0</v>
      </c>
      <c r="K328" s="209">
        <f t="shared" si="31"/>
        <v>0</v>
      </c>
      <c r="N328" s="123">
        <f>IFERROR(SUMIFS(APUS!$Z$140:$Z$182,APUS!#REF!,INSUMOS!D328),0)</f>
        <v>0</v>
      </c>
      <c r="O328" s="114">
        <f t="shared" si="34"/>
        <v>0</v>
      </c>
      <c r="P328" s="94"/>
      <c r="Q328" s="116" t="str">
        <f t="shared" si="33"/>
        <v>SI</v>
      </c>
    </row>
    <row r="329" spans="3:17" x14ac:dyDescent="0.25">
      <c r="C329" s="106">
        <v>405</v>
      </c>
      <c r="D329" s="671" t="s">
        <v>240</v>
      </c>
      <c r="E329" s="672"/>
      <c r="F329" s="672"/>
      <c r="G329" s="673"/>
      <c r="H329" s="343" t="s">
        <v>32</v>
      </c>
      <c r="I329" s="238">
        <f>81230*1.2</f>
        <v>97476</v>
      </c>
      <c r="J329" s="107">
        <f>SUMIFS(APUS!Y:Y,APUS!M:M,INSUMOS!C329)</f>
        <v>26.549621754000004</v>
      </c>
      <c r="K329" s="209">
        <f t="shared" si="31"/>
        <v>2587950.9300929043</v>
      </c>
      <c r="N329" s="123">
        <f>IFERROR(SUMIFS(APUS!$Z$140:$Z$182,APUS!#REF!,INSUMOS!D329),0)</f>
        <v>0</v>
      </c>
      <c r="O329" s="114">
        <f t="shared" si="34"/>
        <v>-2587950.9300929043</v>
      </c>
      <c r="P329" s="94"/>
      <c r="Q329" s="116" t="str">
        <f t="shared" si="33"/>
        <v>NO</v>
      </c>
    </row>
    <row r="330" spans="3:17" hidden="1" x14ac:dyDescent="0.25">
      <c r="C330" s="106">
        <v>406</v>
      </c>
      <c r="D330" s="671" t="s">
        <v>557</v>
      </c>
      <c r="E330" s="672"/>
      <c r="F330" s="672"/>
      <c r="G330" s="673"/>
      <c r="H330" s="343" t="s">
        <v>556</v>
      </c>
      <c r="I330" s="238">
        <v>8427</v>
      </c>
      <c r="J330" s="107">
        <f>SUMIFS(APUS!Y:Y,APUS!M:M,INSUMOS!C330)</f>
        <v>0</v>
      </c>
      <c r="K330" s="209">
        <f t="shared" si="31"/>
        <v>0</v>
      </c>
      <c r="N330" s="123">
        <f>IFERROR(SUMIFS(APUS!$Z$140:$Z$182,APUS!#REF!,INSUMOS!D330),0)</f>
        <v>0</v>
      </c>
      <c r="O330" s="114">
        <f t="shared" si="34"/>
        <v>0</v>
      </c>
      <c r="P330" s="94"/>
      <c r="Q330" s="116" t="str">
        <f t="shared" si="33"/>
        <v>SI</v>
      </c>
    </row>
    <row r="331" spans="3:17" hidden="1" x14ac:dyDescent="0.25">
      <c r="C331" s="106">
        <v>407</v>
      </c>
      <c r="D331" s="671"/>
      <c r="E331" s="672"/>
      <c r="F331" s="672"/>
      <c r="G331" s="673"/>
      <c r="H331" s="343"/>
      <c r="I331" s="238"/>
      <c r="J331" s="107">
        <f>SUMIFS(APUS!Y:Y,APUS!M:M,INSUMOS!C331)</f>
        <v>0</v>
      </c>
      <c r="K331" s="209">
        <f t="shared" si="31"/>
        <v>0</v>
      </c>
      <c r="N331" s="123">
        <f>IFERROR(SUMIFS(APUS!$Z$140:$Z$182,APUS!#REF!,INSUMOS!D331),0)</f>
        <v>0</v>
      </c>
      <c r="O331" s="114">
        <f t="shared" si="34"/>
        <v>0</v>
      </c>
      <c r="P331" s="94"/>
      <c r="Q331" s="116" t="str">
        <f t="shared" si="33"/>
        <v>SI</v>
      </c>
    </row>
    <row r="332" spans="3:17" hidden="1" x14ac:dyDescent="0.25">
      <c r="C332" s="106">
        <v>408</v>
      </c>
      <c r="D332" s="671"/>
      <c r="E332" s="672"/>
      <c r="F332" s="672"/>
      <c r="G332" s="673"/>
      <c r="H332" s="343"/>
      <c r="I332" s="238"/>
      <c r="J332" s="107">
        <f>SUMIFS(APUS!Y:Y,APUS!M:M,INSUMOS!C332)</f>
        <v>0</v>
      </c>
      <c r="K332" s="209">
        <f t="shared" si="31"/>
        <v>0</v>
      </c>
      <c r="N332" s="123">
        <f>IFERROR(SUMIFS(APUS!$Z$140:$Z$182,APUS!#REF!,INSUMOS!D332),0)</f>
        <v>0</v>
      </c>
      <c r="O332" s="114">
        <f t="shared" si="34"/>
        <v>0</v>
      </c>
      <c r="P332" s="94"/>
      <c r="Q332" s="116" t="str">
        <f t="shared" si="33"/>
        <v>SI</v>
      </c>
    </row>
    <row r="333" spans="3:17" hidden="1" x14ac:dyDescent="0.25">
      <c r="C333" s="106">
        <v>409</v>
      </c>
      <c r="D333" s="671"/>
      <c r="E333" s="672"/>
      <c r="F333" s="672"/>
      <c r="G333" s="673"/>
      <c r="H333" s="343"/>
      <c r="I333" s="238"/>
      <c r="J333" s="107">
        <f>SUMIFS(APUS!Y:Y,APUS!M:M,INSUMOS!C333)</f>
        <v>0</v>
      </c>
      <c r="K333" s="209">
        <f t="shared" si="31"/>
        <v>0</v>
      </c>
      <c r="N333" s="123">
        <f>IFERROR(SUMIFS(APUS!$Z$140:$Z$182,APUS!#REF!,INSUMOS!D333),0)</f>
        <v>0</v>
      </c>
      <c r="O333" s="114">
        <f t="shared" si="34"/>
        <v>0</v>
      </c>
      <c r="P333" s="94"/>
      <c r="Q333" s="116" t="str">
        <f t="shared" si="33"/>
        <v>SI</v>
      </c>
    </row>
    <row r="334" spans="3:17" hidden="1" x14ac:dyDescent="0.25">
      <c r="C334" s="106">
        <v>410</v>
      </c>
      <c r="D334" s="671"/>
      <c r="E334" s="672"/>
      <c r="F334" s="672"/>
      <c r="G334" s="673"/>
      <c r="H334" s="343"/>
      <c r="I334" s="238"/>
      <c r="J334" s="107">
        <f>SUMIFS(APUS!Y:Y,APUS!M:M,INSUMOS!C334)</f>
        <v>0</v>
      </c>
      <c r="K334" s="209">
        <f t="shared" si="31"/>
        <v>0</v>
      </c>
      <c r="N334" s="123">
        <f>IFERROR(SUMIFS(APUS!$Z$140:$Z$182,APUS!#REF!,INSUMOS!D334),0)</f>
        <v>0</v>
      </c>
      <c r="O334" s="114">
        <f t="shared" si="34"/>
        <v>0</v>
      </c>
      <c r="P334" s="94"/>
      <c r="Q334" s="116" t="str">
        <f t="shared" si="33"/>
        <v>SI</v>
      </c>
    </row>
    <row r="335" spans="3:17" x14ac:dyDescent="0.25">
      <c r="C335" s="106">
        <v>411</v>
      </c>
      <c r="D335" s="671" t="s">
        <v>241</v>
      </c>
      <c r="E335" s="672"/>
      <c r="F335" s="672"/>
      <c r="G335" s="673"/>
      <c r="H335" s="343" t="s">
        <v>32</v>
      </c>
      <c r="I335" s="238">
        <f>33000*1.2</f>
        <v>39600</v>
      </c>
      <c r="J335" s="107">
        <f>SUMIFS(APUS!Y:Y,APUS!M:M,INSUMOS!C335)</f>
        <v>94.721438754000005</v>
      </c>
      <c r="K335" s="209">
        <f t="shared" si="31"/>
        <v>3750968.9746584003</v>
      </c>
      <c r="N335" s="123">
        <f>IFERROR(SUMIFS(APUS!$Z$140:$Z$182,APUS!#REF!,INSUMOS!D335),0)</f>
        <v>0</v>
      </c>
      <c r="O335" s="114">
        <f t="shared" si="34"/>
        <v>-3750968.9746584003</v>
      </c>
      <c r="P335" s="94"/>
      <c r="Q335" s="116" t="str">
        <f t="shared" si="33"/>
        <v>NO</v>
      </c>
    </row>
    <row r="336" spans="3:17" ht="15" hidden="1" customHeight="1" x14ac:dyDescent="0.25">
      <c r="C336" s="106">
        <v>412</v>
      </c>
      <c r="D336" s="671" t="s">
        <v>540</v>
      </c>
      <c r="E336" s="672"/>
      <c r="F336" s="672"/>
      <c r="G336" s="673"/>
      <c r="H336" s="343" t="s">
        <v>32</v>
      </c>
      <c r="I336" s="238">
        <v>110000</v>
      </c>
      <c r="J336" s="107">
        <f>SUMIFS(APUS!Y:Y,APUS!M:M,INSUMOS!C336)</f>
        <v>0</v>
      </c>
      <c r="K336" s="209">
        <f t="shared" si="31"/>
        <v>0</v>
      </c>
      <c r="N336" s="123">
        <f>IFERROR(SUMIFS(APUS!$Z$140:$Z$182,APUS!#REF!,INSUMOS!D336),0)</f>
        <v>0</v>
      </c>
      <c r="O336" s="114">
        <f t="shared" si="34"/>
        <v>0</v>
      </c>
      <c r="P336" s="94"/>
      <c r="Q336" s="116" t="str">
        <f t="shared" si="33"/>
        <v>SI</v>
      </c>
    </row>
    <row r="337" spans="3:17" hidden="1" x14ac:dyDescent="0.25">
      <c r="C337" s="106">
        <v>413</v>
      </c>
      <c r="D337" s="671" t="s">
        <v>451</v>
      </c>
      <c r="E337" s="672"/>
      <c r="F337" s="672"/>
      <c r="G337" s="673"/>
      <c r="H337" s="343" t="s">
        <v>32</v>
      </c>
      <c r="I337" s="238">
        <v>54450.000000000015</v>
      </c>
      <c r="J337" s="107">
        <f>SUMIFS(APUS!Y:Y,APUS!M:M,INSUMOS!C337)</f>
        <v>0</v>
      </c>
      <c r="K337" s="209">
        <f t="shared" si="31"/>
        <v>0</v>
      </c>
      <c r="N337" s="123">
        <f>IFERROR(SUMIFS(APUS!$Z$140:$Z$182,APUS!#REF!,INSUMOS!D337),0)</f>
        <v>0</v>
      </c>
      <c r="O337" s="114">
        <f t="shared" si="34"/>
        <v>0</v>
      </c>
      <c r="P337" s="94"/>
      <c r="Q337" s="116" t="str">
        <f t="shared" si="33"/>
        <v>SI</v>
      </c>
    </row>
    <row r="338" spans="3:17" ht="15" hidden="1" customHeight="1" x14ac:dyDescent="0.25">
      <c r="C338" s="106">
        <v>414</v>
      </c>
      <c r="D338" s="671" t="s">
        <v>431</v>
      </c>
      <c r="E338" s="672"/>
      <c r="F338" s="672"/>
      <c r="G338" s="673"/>
      <c r="H338" s="343" t="s">
        <v>40</v>
      </c>
      <c r="I338" s="238">
        <v>42350</v>
      </c>
      <c r="J338" s="107">
        <f>SUMIFS(APUS!Y:Y,APUS!M:M,INSUMOS!C338)</f>
        <v>0</v>
      </c>
      <c r="K338" s="209">
        <f t="shared" si="31"/>
        <v>0</v>
      </c>
      <c r="N338" s="123">
        <f>IFERROR(SUMIFS(APUS!$Z$140:$Z$182,APUS!#REF!,INSUMOS!D338),0)</f>
        <v>0</v>
      </c>
      <c r="O338" s="114">
        <f t="shared" si="34"/>
        <v>0</v>
      </c>
      <c r="P338" s="94"/>
      <c r="Q338" s="116" t="str">
        <f t="shared" si="33"/>
        <v>SI</v>
      </c>
    </row>
    <row r="339" spans="3:17" ht="15" hidden="1" customHeight="1" x14ac:dyDescent="0.25">
      <c r="C339" s="106">
        <v>415</v>
      </c>
      <c r="D339" s="671" t="s">
        <v>432</v>
      </c>
      <c r="E339" s="672"/>
      <c r="F339" s="672"/>
      <c r="G339" s="673"/>
      <c r="H339" s="343" t="s">
        <v>40</v>
      </c>
      <c r="I339" s="238">
        <v>66550.000000000015</v>
      </c>
      <c r="J339" s="107">
        <f>SUMIFS(APUS!Y:Y,APUS!M:M,INSUMOS!C339)</f>
        <v>0</v>
      </c>
      <c r="K339" s="209">
        <f t="shared" si="31"/>
        <v>0</v>
      </c>
      <c r="N339" s="123">
        <f>IFERROR(SUMIFS(APUS!$Z$140:$Z$182,APUS!#REF!,INSUMOS!D339),0)</f>
        <v>0</v>
      </c>
      <c r="O339" s="114">
        <f t="shared" si="34"/>
        <v>0</v>
      </c>
      <c r="P339" s="94"/>
      <c r="Q339" s="116" t="str">
        <f t="shared" si="33"/>
        <v>SI</v>
      </c>
    </row>
    <row r="340" spans="3:17" hidden="1" x14ac:dyDescent="0.25">
      <c r="C340" s="106">
        <v>416</v>
      </c>
      <c r="D340" s="671" t="s">
        <v>289</v>
      </c>
      <c r="E340" s="672"/>
      <c r="F340" s="672"/>
      <c r="G340" s="673"/>
      <c r="H340" s="343" t="s">
        <v>32</v>
      </c>
      <c r="I340" s="238">
        <v>60500.000000000015</v>
      </c>
      <c r="J340" s="107">
        <f>SUMIFS(APUS!Y:Y,APUS!M:M,INSUMOS!C340)</f>
        <v>0</v>
      </c>
      <c r="K340" s="209">
        <f t="shared" si="31"/>
        <v>0</v>
      </c>
      <c r="N340" s="123">
        <f>IFERROR(SUMIFS(APUS!$Z$140:$Z$182,APUS!#REF!,INSUMOS!D340),0)</f>
        <v>0</v>
      </c>
      <c r="O340" s="114">
        <f t="shared" si="34"/>
        <v>0</v>
      </c>
      <c r="P340" s="94"/>
      <c r="Q340" s="116" t="str">
        <f t="shared" si="33"/>
        <v>SI</v>
      </c>
    </row>
    <row r="341" spans="3:17" ht="15" hidden="1" customHeight="1" x14ac:dyDescent="0.25">
      <c r="C341" s="106">
        <v>417</v>
      </c>
      <c r="D341" s="671" t="s">
        <v>288</v>
      </c>
      <c r="E341" s="672"/>
      <c r="F341" s="672"/>
      <c r="G341" s="673"/>
      <c r="H341" s="343" t="s">
        <v>32</v>
      </c>
      <c r="I341" s="238">
        <v>66550.000000000015</v>
      </c>
      <c r="J341" s="107">
        <f>SUMIFS(APUS!Y:Y,APUS!M:M,INSUMOS!C341)</f>
        <v>0</v>
      </c>
      <c r="K341" s="209">
        <f t="shared" si="31"/>
        <v>0</v>
      </c>
      <c r="N341" s="123">
        <f>IFERROR(SUMIFS(APUS!$Z$140:$Z$182,APUS!#REF!,INSUMOS!D341),0)</f>
        <v>0</v>
      </c>
      <c r="O341" s="114">
        <f t="shared" si="34"/>
        <v>0</v>
      </c>
      <c r="P341" s="94"/>
      <c r="Q341" s="116" t="str">
        <f t="shared" si="33"/>
        <v>SI</v>
      </c>
    </row>
    <row r="342" spans="3:17" hidden="1" x14ac:dyDescent="0.25">
      <c r="C342" s="106">
        <v>418</v>
      </c>
      <c r="D342" s="671" t="s">
        <v>292</v>
      </c>
      <c r="E342" s="672"/>
      <c r="F342" s="672"/>
      <c r="G342" s="673"/>
      <c r="H342" s="343" t="s">
        <v>32</v>
      </c>
      <c r="I342" s="238">
        <v>78650</v>
      </c>
      <c r="J342" s="107">
        <f>SUMIFS(APUS!Y:Y,APUS!M:M,INSUMOS!C342)</f>
        <v>0</v>
      </c>
      <c r="K342" s="209">
        <f t="shared" si="31"/>
        <v>0</v>
      </c>
      <c r="N342" s="123">
        <f>IFERROR(SUMIFS(APUS!$Z$140:$Z$182,APUS!#REF!,INSUMOS!D342),0)</f>
        <v>0</v>
      </c>
      <c r="O342" s="114">
        <f t="shared" si="34"/>
        <v>0</v>
      </c>
      <c r="P342" s="94"/>
      <c r="Q342" s="116" t="str">
        <f t="shared" si="33"/>
        <v>SI</v>
      </c>
    </row>
    <row r="343" spans="3:17" hidden="1" x14ac:dyDescent="0.25">
      <c r="C343" s="106">
        <v>419</v>
      </c>
      <c r="D343" s="668" t="s">
        <v>246</v>
      </c>
      <c r="E343" s="669"/>
      <c r="F343" s="669"/>
      <c r="G343" s="670"/>
      <c r="H343" s="343" t="s">
        <v>32</v>
      </c>
      <c r="I343" s="238">
        <v>42350</v>
      </c>
      <c r="J343" s="107">
        <f>SUMIFS(APUS!Y:Y,APUS!M:M,INSUMOS!C343)</f>
        <v>0</v>
      </c>
      <c r="K343" s="209">
        <f t="shared" si="31"/>
        <v>0</v>
      </c>
      <c r="N343" s="123">
        <f>IFERROR(SUMIFS(APUS!$Z$140:$Z$182,APUS!#REF!,INSUMOS!D343),0)</f>
        <v>0</v>
      </c>
      <c r="O343" s="114">
        <f t="shared" si="34"/>
        <v>0</v>
      </c>
      <c r="P343" s="94"/>
      <c r="Q343" s="116" t="str">
        <f t="shared" si="33"/>
        <v>SI</v>
      </c>
    </row>
    <row r="344" spans="3:17" ht="15" hidden="1" customHeight="1" x14ac:dyDescent="0.25">
      <c r="C344" s="106">
        <v>420</v>
      </c>
      <c r="D344" s="668" t="s">
        <v>648</v>
      </c>
      <c r="E344" s="669"/>
      <c r="F344" s="669"/>
      <c r="G344" s="670"/>
      <c r="H344" s="343" t="s">
        <v>245</v>
      </c>
      <c r="I344" s="238"/>
      <c r="J344" s="107">
        <f>SUMIFS(APUS!Y:Y,APUS!M:M,INSUMOS!C344)</f>
        <v>0</v>
      </c>
      <c r="K344" s="209">
        <f t="shared" si="31"/>
        <v>0</v>
      </c>
      <c r="N344" s="123">
        <f>IFERROR(SUMIFS(APUS!$Z$140:$Z$182,APUS!#REF!,INSUMOS!D344),0)</f>
        <v>0</v>
      </c>
      <c r="O344" s="114">
        <f t="shared" si="34"/>
        <v>0</v>
      </c>
      <c r="P344" s="94"/>
      <c r="Q344" s="116" t="str">
        <f t="shared" si="33"/>
        <v>SI</v>
      </c>
    </row>
    <row r="345" spans="3:17" hidden="1" x14ac:dyDescent="0.25">
      <c r="C345" s="106">
        <v>421</v>
      </c>
      <c r="D345" s="668" t="s">
        <v>290</v>
      </c>
      <c r="E345" s="669"/>
      <c r="F345" s="669"/>
      <c r="G345" s="670"/>
      <c r="H345" s="343" t="s">
        <v>245</v>
      </c>
      <c r="I345" s="238"/>
      <c r="J345" s="107">
        <f>SUMIFS(APUS!Y:Y,APUS!M:M,INSUMOS!C345)</f>
        <v>0</v>
      </c>
      <c r="K345" s="209">
        <f t="shared" si="31"/>
        <v>0</v>
      </c>
      <c r="N345" s="123">
        <f>IFERROR(SUMIFS(APUS!$Z$140:$Z$182,APUS!#REF!,INSUMOS!D345),0)</f>
        <v>0</v>
      </c>
      <c r="O345" s="114">
        <f t="shared" si="34"/>
        <v>0</v>
      </c>
      <c r="P345" s="94"/>
      <c r="Q345" s="116" t="str">
        <f t="shared" si="33"/>
        <v>SI</v>
      </c>
    </row>
    <row r="346" spans="3:17" hidden="1" x14ac:dyDescent="0.25">
      <c r="C346" s="106">
        <v>422</v>
      </c>
      <c r="D346" s="668" t="s">
        <v>291</v>
      </c>
      <c r="E346" s="669"/>
      <c r="F346" s="669"/>
      <c r="G346" s="670"/>
      <c r="H346" s="343" t="s">
        <v>245</v>
      </c>
      <c r="I346" s="238"/>
      <c r="J346" s="107">
        <f>SUMIFS(APUS!Y:Y,APUS!M:M,INSUMOS!C346)</f>
        <v>0</v>
      </c>
      <c r="K346" s="209">
        <f t="shared" si="31"/>
        <v>0</v>
      </c>
      <c r="N346" s="123">
        <f>IFERROR(SUMIFS(APUS!$Z$140:$Z$182,APUS!#REF!,INSUMOS!D346),0)</f>
        <v>0</v>
      </c>
      <c r="O346" s="114">
        <f t="shared" si="34"/>
        <v>0</v>
      </c>
      <c r="P346" s="94"/>
      <c r="Q346" s="116" t="str">
        <f t="shared" si="33"/>
        <v>SI</v>
      </c>
    </row>
    <row r="347" spans="3:17" hidden="1" x14ac:dyDescent="0.25">
      <c r="C347" s="106">
        <v>423</v>
      </c>
      <c r="D347" s="668" t="s">
        <v>244</v>
      </c>
      <c r="E347" s="669"/>
      <c r="F347" s="669"/>
      <c r="G347" s="670"/>
      <c r="H347" s="343" t="s">
        <v>245</v>
      </c>
      <c r="I347" s="238">
        <v>6776.0000000000018</v>
      </c>
      <c r="J347" s="107">
        <f>SUMIFS(APUS!Y:Y,APUS!M:M,INSUMOS!C347)</f>
        <v>0</v>
      </c>
      <c r="K347" s="209">
        <f t="shared" si="31"/>
        <v>0</v>
      </c>
      <c r="N347" s="123">
        <f>IFERROR(SUMIFS(APUS!$Z$140:$Z$182,APUS!#REF!,INSUMOS!D347),0)</f>
        <v>0</v>
      </c>
      <c r="O347" s="114">
        <f t="shared" si="34"/>
        <v>0</v>
      </c>
      <c r="P347" s="94"/>
      <c r="Q347" s="116" t="str">
        <f t="shared" si="33"/>
        <v>SI</v>
      </c>
    </row>
    <row r="348" spans="3:17" hidden="1" x14ac:dyDescent="0.25">
      <c r="C348" s="106">
        <v>424</v>
      </c>
      <c r="D348" s="668"/>
      <c r="E348" s="669"/>
      <c r="F348" s="669"/>
      <c r="G348" s="670"/>
      <c r="H348" s="343"/>
      <c r="I348" s="238"/>
      <c r="J348" s="107">
        <f>SUMIFS(APUS!Y:Y,APUS!M:M,INSUMOS!C348)</f>
        <v>0</v>
      </c>
      <c r="K348" s="209">
        <f t="shared" si="31"/>
        <v>0</v>
      </c>
      <c r="N348" s="123">
        <f>IFERROR(SUMIFS(APUS!$Z$140:$Z$182,APUS!#REF!,INSUMOS!D348),0)</f>
        <v>0</v>
      </c>
      <c r="O348" s="114">
        <f t="shared" si="34"/>
        <v>0</v>
      </c>
      <c r="P348" s="94"/>
      <c r="Q348" s="116" t="str">
        <f t="shared" si="33"/>
        <v>SI</v>
      </c>
    </row>
    <row r="349" spans="3:17" hidden="1" x14ac:dyDescent="0.25">
      <c r="C349" s="106">
        <v>425</v>
      </c>
      <c r="D349" s="668"/>
      <c r="E349" s="669"/>
      <c r="F349" s="669"/>
      <c r="G349" s="670"/>
      <c r="H349" s="343"/>
      <c r="I349" s="238"/>
      <c r="J349" s="107">
        <f>SUMIFS(APUS!Y:Y,APUS!M:M,INSUMOS!C349)</f>
        <v>0</v>
      </c>
      <c r="K349" s="209">
        <f t="shared" si="31"/>
        <v>0</v>
      </c>
      <c r="N349" s="123">
        <f>IFERROR(SUMIFS(APUS!$Z$140:$Z$182,APUS!#REF!,INSUMOS!D349),0)</f>
        <v>0</v>
      </c>
      <c r="O349" s="114">
        <f t="shared" si="34"/>
        <v>0</v>
      </c>
      <c r="P349" s="94"/>
      <c r="Q349" s="116" t="str">
        <f t="shared" si="33"/>
        <v>SI</v>
      </c>
    </row>
    <row r="350" spans="3:17" ht="15" hidden="1" customHeight="1" x14ac:dyDescent="0.25">
      <c r="C350" s="106">
        <v>426</v>
      </c>
      <c r="D350" s="668"/>
      <c r="E350" s="669"/>
      <c r="F350" s="669"/>
      <c r="G350" s="670"/>
      <c r="H350" s="343"/>
      <c r="I350" s="238"/>
      <c r="J350" s="107">
        <f>SUMIFS(APUS!Y:Y,APUS!M:M,INSUMOS!C350)</f>
        <v>0</v>
      </c>
      <c r="K350" s="209">
        <f t="shared" si="31"/>
        <v>0</v>
      </c>
      <c r="N350" s="123">
        <f>IFERROR(SUMIFS(APUS!$Z$140:$Z$182,APUS!#REF!,INSUMOS!D350),0)</f>
        <v>0</v>
      </c>
      <c r="O350" s="114">
        <f t="shared" si="34"/>
        <v>0</v>
      </c>
      <c r="P350" s="94"/>
      <c r="Q350" s="116" t="str">
        <f t="shared" si="33"/>
        <v>SI</v>
      </c>
    </row>
    <row r="351" spans="3:17" ht="15" hidden="1" customHeight="1" x14ac:dyDescent="0.25">
      <c r="C351" s="106">
        <v>427</v>
      </c>
      <c r="D351" s="668"/>
      <c r="E351" s="669"/>
      <c r="F351" s="669"/>
      <c r="G351" s="670"/>
      <c r="H351" s="343"/>
      <c r="I351" s="238"/>
      <c r="J351" s="107">
        <f>SUMIFS(APUS!Y:Y,APUS!M:M,INSUMOS!C351)</f>
        <v>0</v>
      </c>
      <c r="K351" s="209">
        <f t="shared" si="31"/>
        <v>0</v>
      </c>
      <c r="N351" s="123">
        <f>IFERROR(SUMIFS(APUS!$Z$140:$Z$182,APUS!#REF!,INSUMOS!D351),0)</f>
        <v>0</v>
      </c>
      <c r="O351" s="114">
        <f t="shared" si="34"/>
        <v>0</v>
      </c>
      <c r="P351" s="94"/>
      <c r="Q351" s="116" t="str">
        <f t="shared" si="33"/>
        <v>SI</v>
      </c>
    </row>
    <row r="352" spans="3:17" hidden="1" x14ac:dyDescent="0.25">
      <c r="C352" s="106">
        <v>428</v>
      </c>
      <c r="D352" s="668"/>
      <c r="E352" s="669"/>
      <c r="F352" s="669"/>
      <c r="G352" s="670"/>
      <c r="H352" s="343"/>
      <c r="I352" s="238"/>
      <c r="J352" s="107">
        <f>SUMIFS(APUS!Y:Y,APUS!M:M,INSUMOS!C352)</f>
        <v>0</v>
      </c>
      <c r="K352" s="209">
        <f t="shared" si="31"/>
        <v>0</v>
      </c>
      <c r="N352" s="123">
        <f>IFERROR(SUMIFS(APUS!$Z$140:$Z$182,APUS!#REF!,INSUMOS!D352),0)</f>
        <v>0</v>
      </c>
      <c r="O352" s="114">
        <f t="shared" si="34"/>
        <v>0</v>
      </c>
      <c r="P352" s="94"/>
      <c r="Q352" s="116" t="str">
        <f t="shared" si="33"/>
        <v>SI</v>
      </c>
    </row>
    <row r="353" spans="3:17" ht="15" hidden="1" customHeight="1" x14ac:dyDescent="0.25">
      <c r="C353" s="106">
        <v>429</v>
      </c>
      <c r="D353" s="668" t="s">
        <v>247</v>
      </c>
      <c r="E353" s="669"/>
      <c r="F353" s="669"/>
      <c r="G353" s="670"/>
      <c r="H353" s="343" t="s">
        <v>33</v>
      </c>
      <c r="I353" s="238">
        <v>1210</v>
      </c>
      <c r="J353" s="107">
        <f>SUMIFS(APUS!Y:Y,APUS!M:M,INSUMOS!C353)</f>
        <v>0</v>
      </c>
      <c r="K353" s="209">
        <f t="shared" si="31"/>
        <v>0</v>
      </c>
      <c r="N353" s="123">
        <f>IFERROR(SUMIFS(APUS!$Z$140:$Z$182,APUS!#REF!,INSUMOS!D353),0)</f>
        <v>0</v>
      </c>
      <c r="O353" s="114">
        <f t="shared" si="34"/>
        <v>0</v>
      </c>
      <c r="P353" s="94"/>
      <c r="Q353" s="116" t="str">
        <f t="shared" si="33"/>
        <v>SI</v>
      </c>
    </row>
    <row r="354" spans="3:17" x14ac:dyDescent="0.25">
      <c r="C354" s="106">
        <v>430</v>
      </c>
      <c r="D354" s="668" t="s">
        <v>248</v>
      </c>
      <c r="E354" s="669"/>
      <c r="F354" s="669"/>
      <c r="G354" s="670"/>
      <c r="H354" s="343" t="s">
        <v>34</v>
      </c>
      <c r="I354" s="238">
        <v>1089.0000000000002</v>
      </c>
      <c r="J354" s="107">
        <f>SUMIFS(APUS!Y:Y,APUS!M:M,INSUMOS!C354)</f>
        <v>14</v>
      </c>
      <c r="K354" s="209">
        <f t="shared" si="31"/>
        <v>15246.000000000004</v>
      </c>
      <c r="N354" s="123">
        <f>IFERROR(SUMIFS(APUS!$Z$140:$Z$182,APUS!#REF!,INSUMOS!D354),0)</f>
        <v>0</v>
      </c>
      <c r="O354" s="114">
        <f t="shared" ref="O354:O417" si="35">+N354-K354</f>
        <v>-15246.000000000004</v>
      </c>
      <c r="P354" s="94"/>
      <c r="Q354" s="116" t="str">
        <f t="shared" ref="Q354:Q417" si="36">+IF(K354=0,"SI","NO")</f>
        <v>NO</v>
      </c>
    </row>
    <row r="355" spans="3:17" ht="15" hidden="1" customHeight="1" x14ac:dyDescent="0.25">
      <c r="C355" s="106">
        <v>431</v>
      </c>
      <c r="D355" s="668" t="s">
        <v>293</v>
      </c>
      <c r="E355" s="669"/>
      <c r="F355" s="669"/>
      <c r="G355" s="670"/>
      <c r="H355" s="343" t="s">
        <v>34</v>
      </c>
      <c r="I355" s="238">
        <v>907.50000000000023</v>
      </c>
      <c r="J355" s="107">
        <f>SUMIFS(APUS!Y:Y,APUS!M:M,INSUMOS!C355)</f>
        <v>0</v>
      </c>
      <c r="K355" s="209">
        <f t="shared" si="31"/>
        <v>0</v>
      </c>
      <c r="N355" s="123">
        <f>IFERROR(SUMIFS(APUS!$Z$140:$Z$182,APUS!#REF!,INSUMOS!D355),0)</f>
        <v>0</v>
      </c>
      <c r="O355" s="114">
        <f t="shared" si="35"/>
        <v>0</v>
      </c>
      <c r="P355" s="94"/>
      <c r="Q355" s="116" t="str">
        <f t="shared" si="36"/>
        <v>SI</v>
      </c>
    </row>
    <row r="356" spans="3:17" ht="15" hidden="1" customHeight="1" x14ac:dyDescent="0.25">
      <c r="C356" s="106">
        <v>432</v>
      </c>
      <c r="D356" s="668" t="s">
        <v>254</v>
      </c>
      <c r="E356" s="669"/>
      <c r="F356" s="669"/>
      <c r="G356" s="670"/>
      <c r="H356" s="343" t="s">
        <v>34</v>
      </c>
      <c r="I356" s="238">
        <v>1452.0000000000002</v>
      </c>
      <c r="J356" s="107">
        <f>SUMIFS(APUS!Y:Y,APUS!M:M,INSUMOS!C356)</f>
        <v>0</v>
      </c>
      <c r="K356" s="209">
        <f t="shared" si="31"/>
        <v>0</v>
      </c>
      <c r="N356" s="123">
        <f>IFERROR(SUMIFS(APUS!$Z$140:$Z$182,APUS!#REF!,INSUMOS!D356),0)</f>
        <v>0</v>
      </c>
      <c r="O356" s="114">
        <f t="shared" si="35"/>
        <v>0</v>
      </c>
      <c r="P356" s="94"/>
      <c r="Q356" s="116" t="str">
        <f t="shared" si="36"/>
        <v>SI</v>
      </c>
    </row>
    <row r="357" spans="3:17" ht="15" hidden="1" customHeight="1" x14ac:dyDescent="0.25">
      <c r="C357" s="106">
        <v>433</v>
      </c>
      <c r="D357" s="668" t="s">
        <v>294</v>
      </c>
      <c r="E357" s="669"/>
      <c r="F357" s="669"/>
      <c r="G357" s="670"/>
      <c r="H357" s="343" t="s">
        <v>34</v>
      </c>
      <c r="I357" s="238">
        <v>1331</v>
      </c>
      <c r="J357" s="107">
        <f>SUMIFS(APUS!Y:Y,APUS!M:M,INSUMOS!C357)</f>
        <v>0</v>
      </c>
      <c r="K357" s="209">
        <f t="shared" si="31"/>
        <v>0</v>
      </c>
      <c r="N357" s="123">
        <f>IFERROR(SUMIFS(APUS!$Z$140:$Z$182,APUS!#REF!,INSUMOS!D357),0)</f>
        <v>0</v>
      </c>
      <c r="O357" s="114">
        <f t="shared" si="35"/>
        <v>0</v>
      </c>
      <c r="P357" s="94"/>
      <c r="Q357" s="116" t="str">
        <f t="shared" si="36"/>
        <v>SI</v>
      </c>
    </row>
    <row r="358" spans="3:17" hidden="1" x14ac:dyDescent="0.25">
      <c r="C358" s="106">
        <v>434</v>
      </c>
      <c r="D358" s="668" t="s">
        <v>435</v>
      </c>
      <c r="E358" s="669"/>
      <c r="F358" s="669"/>
      <c r="G358" s="670"/>
      <c r="H358" s="343" t="s">
        <v>34</v>
      </c>
      <c r="I358" s="238">
        <v>786.50000000000023</v>
      </c>
      <c r="J358" s="107">
        <f>SUMIFS(APUS!Y:Y,APUS!M:M,INSUMOS!C358)</f>
        <v>0</v>
      </c>
      <c r="K358" s="209">
        <f t="shared" si="31"/>
        <v>0</v>
      </c>
      <c r="N358" s="123">
        <f>IFERROR(SUMIFS(APUS!$Z$140:$Z$182,APUS!#REF!,INSUMOS!D358),0)</f>
        <v>0</v>
      </c>
      <c r="O358" s="114">
        <f t="shared" si="35"/>
        <v>0</v>
      </c>
      <c r="P358" s="94"/>
      <c r="Q358" s="116" t="str">
        <f t="shared" si="36"/>
        <v>SI</v>
      </c>
    </row>
    <row r="359" spans="3:17" ht="15" hidden="1" customHeight="1" x14ac:dyDescent="0.25">
      <c r="C359" s="106">
        <v>435</v>
      </c>
      <c r="D359" s="668" t="s">
        <v>554</v>
      </c>
      <c r="E359" s="669"/>
      <c r="F359" s="669"/>
      <c r="G359" s="670"/>
      <c r="H359" s="343" t="s">
        <v>34</v>
      </c>
      <c r="I359" s="238">
        <v>1100</v>
      </c>
      <c r="J359" s="107">
        <f>SUMIFS(APUS!Y:Y,APUS!M:M,INSUMOS!C359)</f>
        <v>0</v>
      </c>
      <c r="K359" s="209">
        <f t="shared" si="31"/>
        <v>0</v>
      </c>
      <c r="N359" s="123">
        <f>IFERROR(SUMIFS(APUS!$Z$140:$Z$182,APUS!#REF!,INSUMOS!D359),0)</f>
        <v>0</v>
      </c>
      <c r="O359" s="114">
        <f t="shared" si="35"/>
        <v>0</v>
      </c>
      <c r="P359" s="94"/>
      <c r="Q359" s="116" t="str">
        <f t="shared" si="36"/>
        <v>SI</v>
      </c>
    </row>
    <row r="360" spans="3:17" hidden="1" x14ac:dyDescent="0.25">
      <c r="C360" s="106">
        <v>436</v>
      </c>
      <c r="D360" s="668" t="s">
        <v>555</v>
      </c>
      <c r="E360" s="669"/>
      <c r="F360" s="669"/>
      <c r="G360" s="670"/>
      <c r="H360" s="343" t="s">
        <v>219</v>
      </c>
      <c r="I360" s="238">
        <v>6930</v>
      </c>
      <c r="J360" s="107">
        <f>SUMIFS(APUS!Y:Y,APUS!M:M,INSUMOS!C360)</f>
        <v>0</v>
      </c>
      <c r="K360" s="209">
        <f t="shared" si="31"/>
        <v>0</v>
      </c>
      <c r="N360" s="123">
        <f>IFERROR(SUMIFS(APUS!$Z$140:$Z$182,APUS!#REF!,INSUMOS!D360),0)</f>
        <v>0</v>
      </c>
      <c r="O360" s="114">
        <f t="shared" si="35"/>
        <v>0</v>
      </c>
      <c r="P360" s="94"/>
      <c r="Q360" s="116" t="str">
        <f t="shared" si="36"/>
        <v>SI</v>
      </c>
    </row>
    <row r="361" spans="3:17" ht="15" hidden="1" customHeight="1" x14ac:dyDescent="0.25">
      <c r="C361" s="106">
        <v>437</v>
      </c>
      <c r="D361" s="668"/>
      <c r="E361" s="669"/>
      <c r="F361" s="669"/>
      <c r="G361" s="670"/>
      <c r="H361" s="343"/>
      <c r="I361" s="238"/>
      <c r="J361" s="107">
        <f>SUMIFS(APUS!Y:Y,APUS!M:M,INSUMOS!C361)</f>
        <v>0</v>
      </c>
      <c r="K361" s="209">
        <f t="shared" si="31"/>
        <v>0</v>
      </c>
      <c r="N361" s="123">
        <f>IFERROR(SUMIFS(APUS!$Z$140:$Z$182,APUS!#REF!,INSUMOS!D361),0)</f>
        <v>0</v>
      </c>
      <c r="O361" s="114">
        <f t="shared" si="35"/>
        <v>0</v>
      </c>
      <c r="P361" s="94"/>
      <c r="Q361" s="116" t="str">
        <f t="shared" si="36"/>
        <v>SI</v>
      </c>
    </row>
    <row r="362" spans="3:17" hidden="1" x14ac:dyDescent="0.25">
      <c r="C362" s="106">
        <v>438</v>
      </c>
      <c r="D362" s="668"/>
      <c r="E362" s="669"/>
      <c r="F362" s="669"/>
      <c r="G362" s="670"/>
      <c r="H362" s="343"/>
      <c r="I362" s="238"/>
      <c r="J362" s="107">
        <f>SUMIFS(APUS!Y:Y,APUS!M:M,INSUMOS!C362)</f>
        <v>0</v>
      </c>
      <c r="K362" s="209">
        <f t="shared" si="31"/>
        <v>0</v>
      </c>
      <c r="N362" s="123">
        <f>IFERROR(SUMIFS(APUS!$Z$140:$Z$182,APUS!#REF!,INSUMOS!D362),0)</f>
        <v>0</v>
      </c>
      <c r="O362" s="114">
        <f t="shared" si="35"/>
        <v>0</v>
      </c>
      <c r="P362" s="94"/>
      <c r="Q362" s="116" t="str">
        <f t="shared" si="36"/>
        <v>SI</v>
      </c>
    </row>
    <row r="363" spans="3:17" ht="15" customHeight="1" x14ac:dyDescent="0.25">
      <c r="C363" s="106">
        <v>439</v>
      </c>
      <c r="D363" s="668" t="s">
        <v>450</v>
      </c>
      <c r="E363" s="669"/>
      <c r="F363" s="669"/>
      <c r="G363" s="670"/>
      <c r="H363" s="343" t="s">
        <v>575</v>
      </c>
      <c r="I363" s="238">
        <f>17265*1.1</f>
        <v>18991.5</v>
      </c>
      <c r="J363" s="107">
        <f>SUMIFS(APUS!Y:Y,APUS!M:M,INSUMOS!C363)</f>
        <v>90.759600000000006</v>
      </c>
      <c r="K363" s="209">
        <f t="shared" si="31"/>
        <v>1723660.9434000002</v>
      </c>
      <c r="N363" s="123">
        <f>IFERROR(SUMIFS(APUS!$Z$140:$Z$182,APUS!#REF!,INSUMOS!D363),0)</f>
        <v>0</v>
      </c>
      <c r="O363" s="114">
        <f t="shared" si="35"/>
        <v>-1723660.9434000002</v>
      </c>
      <c r="P363" s="94"/>
      <c r="Q363" s="116" t="str">
        <f t="shared" si="36"/>
        <v>NO</v>
      </c>
    </row>
    <row r="364" spans="3:17" ht="15" customHeight="1" x14ac:dyDescent="0.25">
      <c r="C364" s="106">
        <v>440</v>
      </c>
      <c r="D364" s="668" t="s">
        <v>520</v>
      </c>
      <c r="E364" s="669"/>
      <c r="F364" s="669"/>
      <c r="G364" s="670"/>
      <c r="H364" s="343" t="s">
        <v>219</v>
      </c>
      <c r="I364" s="238">
        <v>4477.0000000000009</v>
      </c>
      <c r="J364" s="107">
        <f>SUMIFS(APUS!Y:Y,APUS!M:M,INSUMOS!C364)</f>
        <v>2674.4280000000003</v>
      </c>
      <c r="K364" s="209">
        <f t="shared" si="31"/>
        <v>11973414.156000003</v>
      </c>
      <c r="N364" s="123">
        <f>IFERROR(SUMIFS(APUS!$Z$140:$Z$182,APUS!#REF!,INSUMOS!D364),0)</f>
        <v>0</v>
      </c>
      <c r="O364" s="114">
        <f t="shared" si="35"/>
        <v>-11973414.156000003</v>
      </c>
      <c r="P364" s="94"/>
      <c r="Q364" s="116" t="str">
        <f t="shared" si="36"/>
        <v>NO</v>
      </c>
    </row>
    <row r="365" spans="3:17" hidden="1" x14ac:dyDescent="0.25">
      <c r="C365" s="106">
        <v>441</v>
      </c>
      <c r="D365" s="668" t="s">
        <v>482</v>
      </c>
      <c r="E365" s="669"/>
      <c r="F365" s="669"/>
      <c r="G365" s="670"/>
      <c r="H365" s="343" t="s">
        <v>219</v>
      </c>
      <c r="I365" s="238">
        <v>4235.0000000000009</v>
      </c>
      <c r="J365" s="107">
        <f>SUMIFS(APUS!Y:Y,APUS!M:M,INSUMOS!C365)</f>
        <v>0</v>
      </c>
      <c r="K365" s="209">
        <f t="shared" si="31"/>
        <v>0</v>
      </c>
      <c r="N365" s="123">
        <f>IFERROR(SUMIFS(APUS!$Z$140:$Z$182,APUS!#REF!,INSUMOS!D365),0)</f>
        <v>0</v>
      </c>
      <c r="O365" s="114">
        <f t="shared" si="35"/>
        <v>0</v>
      </c>
      <c r="P365" s="94"/>
      <c r="Q365" s="116" t="str">
        <f t="shared" si="36"/>
        <v>SI</v>
      </c>
    </row>
    <row r="366" spans="3:17" ht="19.5" hidden="1" customHeight="1" x14ac:dyDescent="0.25">
      <c r="C366" s="106">
        <v>442</v>
      </c>
      <c r="D366" s="668"/>
      <c r="E366" s="669"/>
      <c r="F366" s="669"/>
      <c r="G366" s="670"/>
      <c r="H366" s="343"/>
      <c r="I366" s="238"/>
      <c r="J366" s="107">
        <f>SUMIFS(APUS!Y:Y,APUS!M:M,INSUMOS!C366)</f>
        <v>0</v>
      </c>
      <c r="K366" s="209">
        <f t="shared" si="31"/>
        <v>0</v>
      </c>
      <c r="N366" s="123">
        <f>IFERROR(SUMIFS(APUS!$Z$140:$Z$182,APUS!#REF!,INSUMOS!D366),0)</f>
        <v>0</v>
      </c>
      <c r="O366" s="114">
        <f t="shared" si="35"/>
        <v>0</v>
      </c>
      <c r="P366" s="94"/>
      <c r="Q366" s="116" t="str">
        <f t="shared" si="36"/>
        <v>SI</v>
      </c>
    </row>
    <row r="367" spans="3:17" hidden="1" x14ac:dyDescent="0.25">
      <c r="C367" s="106">
        <v>443</v>
      </c>
      <c r="D367" s="668"/>
      <c r="E367" s="669"/>
      <c r="F367" s="669"/>
      <c r="G367" s="670"/>
      <c r="H367" s="343"/>
      <c r="I367" s="238"/>
      <c r="J367" s="107">
        <f>SUMIFS(APUS!Y:Y,APUS!M:M,INSUMOS!C367)</f>
        <v>0</v>
      </c>
      <c r="K367" s="209">
        <f t="shared" si="31"/>
        <v>0</v>
      </c>
      <c r="N367" s="123">
        <f>IFERROR(SUMIFS(APUS!$Z$140:$Z$182,APUS!#REF!,INSUMOS!D367),0)</f>
        <v>0</v>
      </c>
      <c r="O367" s="114">
        <f t="shared" si="35"/>
        <v>0</v>
      </c>
      <c r="P367" s="94"/>
      <c r="Q367" s="116" t="str">
        <f t="shared" si="36"/>
        <v>SI</v>
      </c>
    </row>
    <row r="368" spans="3:17" hidden="1" x14ac:dyDescent="0.25">
      <c r="C368" s="106">
        <v>444</v>
      </c>
      <c r="D368" s="668"/>
      <c r="E368" s="669"/>
      <c r="F368" s="669"/>
      <c r="G368" s="670"/>
      <c r="H368" s="343"/>
      <c r="I368" s="238"/>
      <c r="J368" s="107">
        <f>SUMIFS(APUS!Y:Y,APUS!M:M,INSUMOS!C368)</f>
        <v>0</v>
      </c>
      <c r="K368" s="209">
        <f t="shared" si="31"/>
        <v>0</v>
      </c>
      <c r="N368" s="123">
        <f>IFERROR(SUMIFS(APUS!$Z$140:$Z$182,APUS!#REF!,INSUMOS!D368),0)</f>
        <v>0</v>
      </c>
      <c r="O368" s="114">
        <f t="shared" si="35"/>
        <v>0</v>
      </c>
      <c r="P368" s="94"/>
      <c r="Q368" s="116" t="str">
        <f t="shared" si="36"/>
        <v>SI</v>
      </c>
    </row>
    <row r="369" spans="3:17" hidden="1" x14ac:dyDescent="0.25">
      <c r="C369" s="106">
        <v>445</v>
      </c>
      <c r="D369" s="668"/>
      <c r="E369" s="669"/>
      <c r="F369" s="669"/>
      <c r="G369" s="670"/>
      <c r="H369" s="343"/>
      <c r="I369" s="238"/>
      <c r="J369" s="107">
        <f>SUMIFS(APUS!Y:Y,APUS!M:M,INSUMOS!C369)</f>
        <v>0</v>
      </c>
      <c r="K369" s="209">
        <f t="shared" si="31"/>
        <v>0</v>
      </c>
      <c r="N369" s="123">
        <f>IFERROR(SUMIFS(APUS!$Z$140:$Z$182,APUS!#REF!,INSUMOS!D369),0)</f>
        <v>0</v>
      </c>
      <c r="O369" s="114">
        <f t="shared" si="35"/>
        <v>0</v>
      </c>
      <c r="P369" s="94"/>
      <c r="Q369" s="116" t="str">
        <f t="shared" si="36"/>
        <v>SI</v>
      </c>
    </row>
    <row r="370" spans="3:17" hidden="1" x14ac:dyDescent="0.25">
      <c r="C370" s="106">
        <v>446</v>
      </c>
      <c r="D370" s="668"/>
      <c r="E370" s="669"/>
      <c r="F370" s="669"/>
      <c r="G370" s="670"/>
      <c r="H370" s="343"/>
      <c r="I370" s="238"/>
      <c r="J370" s="107">
        <f>SUMIFS(APUS!Y:Y,APUS!M:M,INSUMOS!C370)</f>
        <v>0</v>
      </c>
      <c r="K370" s="209">
        <f t="shared" si="31"/>
        <v>0</v>
      </c>
      <c r="N370" s="123">
        <f>IFERROR(SUMIFS(APUS!$Z$140:$Z$182,APUS!#REF!,INSUMOS!D370),0)</f>
        <v>0</v>
      </c>
      <c r="O370" s="114">
        <f t="shared" si="35"/>
        <v>0</v>
      </c>
      <c r="P370" s="94"/>
      <c r="Q370" s="116" t="str">
        <f t="shared" si="36"/>
        <v>SI</v>
      </c>
    </row>
    <row r="371" spans="3:17" ht="15" customHeight="1" x14ac:dyDescent="0.25">
      <c r="C371" s="106">
        <v>447</v>
      </c>
      <c r="D371" s="668" t="s">
        <v>250</v>
      </c>
      <c r="E371" s="669"/>
      <c r="F371" s="669"/>
      <c r="G371" s="670"/>
      <c r="H371" s="343" t="s">
        <v>251</v>
      </c>
      <c r="I371" s="238">
        <v>5500</v>
      </c>
      <c r="J371" s="107">
        <f>SUMIFS(APUS!Y:Y,APUS!M:M,INSUMOS!C371)</f>
        <v>121.81536000000001</v>
      </c>
      <c r="K371" s="209">
        <f t="shared" ref="K371:K434" si="37">+J371*I371</f>
        <v>669984.4800000001</v>
      </c>
      <c r="N371" s="123">
        <f>IFERROR(SUMIFS(APUS!$Z$140:$Z$182,APUS!#REF!,INSUMOS!D371),0)</f>
        <v>0</v>
      </c>
      <c r="O371" s="114">
        <f t="shared" si="35"/>
        <v>-669984.4800000001</v>
      </c>
      <c r="P371" s="94"/>
      <c r="Q371" s="116" t="str">
        <f t="shared" si="36"/>
        <v>NO</v>
      </c>
    </row>
    <row r="372" spans="3:17" hidden="1" x14ac:dyDescent="0.25">
      <c r="C372" s="106">
        <v>448</v>
      </c>
      <c r="D372" s="668"/>
      <c r="E372" s="669"/>
      <c r="F372" s="669"/>
      <c r="G372" s="670"/>
      <c r="H372" s="343"/>
      <c r="I372" s="238"/>
      <c r="J372" s="107">
        <f>SUMIFS(APUS!Y:Y,APUS!M:M,INSUMOS!C372)</f>
        <v>0</v>
      </c>
      <c r="K372" s="209">
        <f t="shared" si="37"/>
        <v>0</v>
      </c>
      <c r="N372" s="123">
        <f>IFERROR(SUMIFS(APUS!$Z$140:$Z$182,APUS!#REF!,INSUMOS!D372),0)</f>
        <v>0</v>
      </c>
      <c r="O372" s="114">
        <f t="shared" si="35"/>
        <v>0</v>
      </c>
      <c r="P372" s="94"/>
      <c r="Q372" s="116" t="str">
        <f t="shared" si="36"/>
        <v>SI</v>
      </c>
    </row>
    <row r="373" spans="3:17" hidden="1" x14ac:dyDescent="0.25">
      <c r="C373" s="106">
        <v>449</v>
      </c>
      <c r="D373" s="668"/>
      <c r="E373" s="669"/>
      <c r="F373" s="669"/>
      <c r="G373" s="670"/>
      <c r="H373" s="343"/>
      <c r="I373" s="238"/>
      <c r="J373" s="107">
        <f>SUMIFS(APUS!Y:Y,APUS!M:M,INSUMOS!C373)</f>
        <v>0</v>
      </c>
      <c r="K373" s="209">
        <f t="shared" si="37"/>
        <v>0</v>
      </c>
      <c r="N373" s="123">
        <f>IFERROR(SUMIFS(APUS!$Z$140:$Z$182,APUS!#REF!,INSUMOS!D373),0)</f>
        <v>0</v>
      </c>
      <c r="O373" s="114">
        <f t="shared" si="35"/>
        <v>0</v>
      </c>
      <c r="P373" s="94"/>
      <c r="Q373" s="116" t="str">
        <f t="shared" si="36"/>
        <v>SI</v>
      </c>
    </row>
    <row r="374" spans="3:17" hidden="1" x14ac:dyDescent="0.25">
      <c r="C374" s="106">
        <v>450</v>
      </c>
      <c r="D374" s="668" t="s">
        <v>249</v>
      </c>
      <c r="E374" s="669"/>
      <c r="F374" s="669"/>
      <c r="G374" s="670"/>
      <c r="H374" s="343" t="s">
        <v>40</v>
      </c>
      <c r="I374" s="238">
        <v>14695.450000000003</v>
      </c>
      <c r="J374" s="107">
        <f>SUMIFS(APUS!Y:Y,APUS!M:M,INSUMOS!C374)</f>
        <v>0</v>
      </c>
      <c r="K374" s="209">
        <f t="shared" si="37"/>
        <v>0</v>
      </c>
      <c r="N374" s="123">
        <f>IFERROR(SUMIFS(APUS!$Z$140:$Z$182,APUS!#REF!,INSUMOS!#REF!),0)</f>
        <v>0</v>
      </c>
      <c r="O374" s="114">
        <f t="shared" si="35"/>
        <v>0</v>
      </c>
      <c r="P374" s="94"/>
      <c r="Q374" s="116" t="str">
        <f t="shared" si="36"/>
        <v>SI</v>
      </c>
    </row>
    <row r="375" spans="3:17" hidden="1" x14ac:dyDescent="0.25">
      <c r="C375" s="106">
        <v>451</v>
      </c>
      <c r="D375" s="668"/>
      <c r="E375" s="669"/>
      <c r="F375" s="669"/>
      <c r="G375" s="670"/>
      <c r="H375" s="343"/>
      <c r="I375" s="238"/>
      <c r="J375" s="107">
        <f>SUMIFS(APUS!Y:Y,APUS!M:M,INSUMOS!C375)</f>
        <v>0</v>
      </c>
      <c r="K375" s="209">
        <f t="shared" si="37"/>
        <v>0</v>
      </c>
      <c r="N375" s="123">
        <f>IFERROR(SUMIFS(APUS!$Z$140:$Z$182,APUS!#REF!,INSUMOS!#REF!),0)</f>
        <v>0</v>
      </c>
      <c r="O375" s="114">
        <f t="shared" si="35"/>
        <v>0</v>
      </c>
      <c r="P375" s="94"/>
      <c r="Q375" s="116" t="str">
        <f t="shared" si="36"/>
        <v>SI</v>
      </c>
    </row>
    <row r="376" spans="3:17" hidden="1" x14ac:dyDescent="0.25">
      <c r="C376" s="106">
        <v>452</v>
      </c>
      <c r="D376" s="668"/>
      <c r="E376" s="669"/>
      <c r="F376" s="669"/>
      <c r="G376" s="670"/>
      <c r="H376" s="343"/>
      <c r="I376" s="238"/>
      <c r="J376" s="107">
        <f>SUMIFS(APUS!Y:Y,APUS!M:M,INSUMOS!C376)</f>
        <v>0</v>
      </c>
      <c r="K376" s="209">
        <f t="shared" si="37"/>
        <v>0</v>
      </c>
      <c r="N376" s="123">
        <f>IFERROR(SUMIFS(APUS!$Z$140:$Z$182,APUS!#REF!,INSUMOS!D376),0)</f>
        <v>0</v>
      </c>
      <c r="O376" s="114">
        <f t="shared" si="35"/>
        <v>0</v>
      </c>
      <c r="P376" s="94"/>
      <c r="Q376" s="116" t="str">
        <f t="shared" si="36"/>
        <v>SI</v>
      </c>
    </row>
    <row r="377" spans="3:17" hidden="1" x14ac:dyDescent="0.25">
      <c r="C377" s="106">
        <v>453</v>
      </c>
      <c r="D377" s="668"/>
      <c r="E377" s="669"/>
      <c r="F377" s="669"/>
      <c r="G377" s="670"/>
      <c r="H377" s="343"/>
      <c r="I377" s="238"/>
      <c r="J377" s="107">
        <f>SUMIFS(APUS!Y:Y,APUS!M:M,INSUMOS!C377)</f>
        <v>0</v>
      </c>
      <c r="K377" s="209">
        <f t="shared" si="37"/>
        <v>0</v>
      </c>
      <c r="N377" s="123">
        <f>IFERROR(SUMIFS(APUS!$Z$140:$Z$182,APUS!#REF!,INSUMOS!D377),0)</f>
        <v>0</v>
      </c>
      <c r="O377" s="114">
        <f t="shared" si="35"/>
        <v>0</v>
      </c>
      <c r="P377" s="94"/>
      <c r="Q377" s="116" t="str">
        <f t="shared" si="36"/>
        <v>SI</v>
      </c>
    </row>
    <row r="378" spans="3:17" hidden="1" x14ac:dyDescent="0.25">
      <c r="C378" s="106">
        <v>454</v>
      </c>
      <c r="D378" s="668"/>
      <c r="E378" s="669"/>
      <c r="F378" s="669"/>
      <c r="G378" s="670"/>
      <c r="H378" s="343"/>
      <c r="I378" s="238"/>
      <c r="J378" s="107">
        <f>SUMIFS(APUS!Y:Y,APUS!M:M,INSUMOS!C378)</f>
        <v>0</v>
      </c>
      <c r="K378" s="209">
        <f t="shared" si="37"/>
        <v>0</v>
      </c>
      <c r="N378" s="123">
        <f>IFERROR(SUMIFS(APUS!$Z$140:$Z$182,APUS!#REF!,INSUMOS!D378),0)</f>
        <v>0</v>
      </c>
      <c r="O378" s="114">
        <f t="shared" si="35"/>
        <v>0</v>
      </c>
      <c r="P378" s="94"/>
      <c r="Q378" s="116" t="str">
        <f t="shared" si="36"/>
        <v>SI</v>
      </c>
    </row>
    <row r="379" spans="3:17" ht="15" hidden="1" customHeight="1" x14ac:dyDescent="0.25">
      <c r="C379" s="106">
        <v>455</v>
      </c>
      <c r="D379" s="668" t="s">
        <v>521</v>
      </c>
      <c r="E379" s="669"/>
      <c r="F379" s="669"/>
      <c r="G379" s="670"/>
      <c r="H379" s="343" t="s">
        <v>33</v>
      </c>
      <c r="I379" s="238">
        <v>18513</v>
      </c>
      <c r="J379" s="107">
        <f>SUMIFS(APUS!Y:Y,APUS!M:M,INSUMOS!C379)</f>
        <v>0</v>
      </c>
      <c r="K379" s="209">
        <f t="shared" si="37"/>
        <v>0</v>
      </c>
      <c r="N379" s="123">
        <f>IFERROR(SUMIFS(APUS!$Z$140:$Z$182,APUS!#REF!,INSUMOS!D379),0)</f>
        <v>0</v>
      </c>
      <c r="O379" s="114">
        <f t="shared" si="35"/>
        <v>0</v>
      </c>
      <c r="P379" s="94"/>
      <c r="Q379" s="116" t="str">
        <f t="shared" si="36"/>
        <v>SI</v>
      </c>
    </row>
    <row r="380" spans="3:17" ht="15" hidden="1" customHeight="1" x14ac:dyDescent="0.25">
      <c r="C380" s="106">
        <v>456</v>
      </c>
      <c r="D380" s="668" t="s">
        <v>461</v>
      </c>
      <c r="E380" s="669"/>
      <c r="F380" s="669"/>
      <c r="G380" s="670"/>
      <c r="H380" s="343" t="s">
        <v>33</v>
      </c>
      <c r="I380" s="238">
        <v>21538</v>
      </c>
      <c r="J380" s="107">
        <f>SUMIFS(APUS!Y:Y,APUS!M:M,INSUMOS!C380)</f>
        <v>0</v>
      </c>
      <c r="K380" s="209">
        <f t="shared" si="37"/>
        <v>0</v>
      </c>
      <c r="N380" s="123">
        <f>IFERROR(SUMIFS(APUS!$Z$140:$Z$182,APUS!#REF!,INSUMOS!D380),0)</f>
        <v>0</v>
      </c>
      <c r="O380" s="114">
        <f t="shared" si="35"/>
        <v>0</v>
      </c>
      <c r="P380" s="94"/>
      <c r="Q380" s="116" t="str">
        <f t="shared" si="36"/>
        <v>SI</v>
      </c>
    </row>
    <row r="381" spans="3:17" ht="15" hidden="1" customHeight="1" x14ac:dyDescent="0.25">
      <c r="C381" s="106">
        <v>457</v>
      </c>
      <c r="D381" s="668" t="s">
        <v>522</v>
      </c>
      <c r="E381" s="669"/>
      <c r="F381" s="669"/>
      <c r="G381" s="670"/>
      <c r="H381" s="343" t="s">
        <v>40</v>
      </c>
      <c r="I381" s="238">
        <v>540472</v>
      </c>
      <c r="J381" s="107">
        <f>SUMIFS(APUS!Y:Y,APUS!M:M,INSUMOS!C381)</f>
        <v>0</v>
      </c>
      <c r="K381" s="209">
        <f t="shared" si="37"/>
        <v>0</v>
      </c>
      <c r="N381" s="123">
        <f>IFERROR(SUMIFS(APUS!$Z$140:$Z$182,APUS!#REF!,INSUMOS!D381),0)</f>
        <v>0</v>
      </c>
      <c r="O381" s="114">
        <f t="shared" si="35"/>
        <v>0</v>
      </c>
      <c r="P381" s="94"/>
      <c r="Q381" s="116" t="str">
        <f t="shared" si="36"/>
        <v>SI</v>
      </c>
    </row>
    <row r="382" spans="3:17" ht="15" hidden="1" customHeight="1" x14ac:dyDescent="0.25">
      <c r="C382" s="106">
        <v>458</v>
      </c>
      <c r="D382" s="668" t="s">
        <v>523</v>
      </c>
      <c r="E382" s="669"/>
      <c r="F382" s="669"/>
      <c r="G382" s="670"/>
      <c r="H382" s="343" t="s">
        <v>33</v>
      </c>
      <c r="I382" s="238">
        <v>47200</v>
      </c>
      <c r="J382" s="107">
        <f>SUMIFS(APUS!Y:Y,APUS!M:M,INSUMOS!C382)</f>
        <v>0</v>
      </c>
      <c r="K382" s="209">
        <f t="shared" si="37"/>
        <v>0</v>
      </c>
      <c r="N382" s="123">
        <f>IFERROR(SUMIFS(APUS!$Z$140:$Z$182,APUS!#REF!,INSUMOS!D382),0)</f>
        <v>0</v>
      </c>
      <c r="O382" s="114">
        <f t="shared" si="35"/>
        <v>0</v>
      </c>
      <c r="P382" s="94"/>
      <c r="Q382" s="116" t="str">
        <f t="shared" si="36"/>
        <v>SI</v>
      </c>
    </row>
    <row r="383" spans="3:17" ht="15" hidden="1" customHeight="1" x14ac:dyDescent="0.25">
      <c r="C383" s="106">
        <v>459</v>
      </c>
      <c r="D383" s="668" t="s">
        <v>524</v>
      </c>
      <c r="E383" s="669"/>
      <c r="F383" s="669"/>
      <c r="G383" s="670"/>
      <c r="H383" s="343" t="s">
        <v>33</v>
      </c>
      <c r="I383" s="238">
        <v>115233</v>
      </c>
      <c r="J383" s="107">
        <f>SUMIFS(APUS!Y:Y,APUS!M:M,INSUMOS!C383)</f>
        <v>0</v>
      </c>
      <c r="K383" s="209">
        <f t="shared" si="37"/>
        <v>0</v>
      </c>
      <c r="N383" s="123">
        <f>IFERROR(SUMIFS(APUS!$Z$140:$Z$182,APUS!#REF!,INSUMOS!D383),0)</f>
        <v>0</v>
      </c>
      <c r="O383" s="114">
        <f t="shared" si="35"/>
        <v>0</v>
      </c>
      <c r="P383" s="94"/>
      <c r="Q383" s="116" t="str">
        <f t="shared" si="36"/>
        <v>SI</v>
      </c>
    </row>
    <row r="384" spans="3:17" hidden="1" x14ac:dyDescent="0.25">
      <c r="C384" s="106">
        <v>460</v>
      </c>
      <c r="D384" s="668"/>
      <c r="E384" s="669"/>
      <c r="F384" s="669"/>
      <c r="G384" s="670"/>
      <c r="H384" s="343"/>
      <c r="I384" s="238"/>
      <c r="J384" s="107">
        <f>SUMIFS(APUS!Y:Y,APUS!M:M,INSUMOS!C384)</f>
        <v>0</v>
      </c>
      <c r="K384" s="209">
        <f t="shared" si="37"/>
        <v>0</v>
      </c>
      <c r="N384" s="123">
        <f>IFERROR(SUMIFS(APUS!$Z$140:$Z$182,APUS!#REF!,INSUMOS!#REF!),0)</f>
        <v>0</v>
      </c>
      <c r="O384" s="114">
        <f t="shared" si="35"/>
        <v>0</v>
      </c>
      <c r="P384" s="94"/>
      <c r="Q384" s="116" t="str">
        <f t="shared" si="36"/>
        <v>SI</v>
      </c>
    </row>
    <row r="385" spans="3:17" ht="15" hidden="1" customHeight="1" x14ac:dyDescent="0.25">
      <c r="C385" s="106">
        <v>461</v>
      </c>
      <c r="D385" s="668" t="s">
        <v>649</v>
      </c>
      <c r="E385" s="669"/>
      <c r="F385" s="669"/>
      <c r="G385" s="670"/>
      <c r="H385" s="343" t="s">
        <v>34</v>
      </c>
      <c r="I385" s="238">
        <v>13862606</v>
      </c>
      <c r="J385" s="107">
        <f>SUMIFS(APUS!Y:Y,APUS!M:M,INSUMOS!C385)</f>
        <v>0</v>
      </c>
      <c r="K385" s="209">
        <f t="shared" si="37"/>
        <v>0</v>
      </c>
      <c r="N385" s="123">
        <f>IFERROR(SUMIFS(APUS!$Z$140:$Z$182,APUS!#REF!,INSUMOS!D385),0)</f>
        <v>0</v>
      </c>
      <c r="O385" s="114">
        <f t="shared" si="35"/>
        <v>0</v>
      </c>
      <c r="P385" s="94"/>
      <c r="Q385" s="116" t="str">
        <f t="shared" si="36"/>
        <v>SI</v>
      </c>
    </row>
    <row r="386" spans="3:17" ht="15" hidden="1" customHeight="1" x14ac:dyDescent="0.25">
      <c r="C386" s="106">
        <v>462</v>
      </c>
      <c r="D386" s="668" t="s">
        <v>650</v>
      </c>
      <c r="E386" s="669"/>
      <c r="F386" s="669"/>
      <c r="G386" s="670"/>
      <c r="H386" s="343" t="s">
        <v>34</v>
      </c>
      <c r="I386" s="238">
        <v>4378000</v>
      </c>
      <c r="J386" s="107">
        <f>SUMIFS(APUS!Y:Y,APUS!M:M,INSUMOS!C386)</f>
        <v>0</v>
      </c>
      <c r="K386" s="209">
        <f t="shared" si="37"/>
        <v>0</v>
      </c>
      <c r="N386" s="123">
        <f>IFERROR(SUMIFS(APUS!$Z$140:$Z$182,APUS!#REF!,INSUMOS!D386),0)</f>
        <v>0</v>
      </c>
      <c r="O386" s="114">
        <f t="shared" si="35"/>
        <v>0</v>
      </c>
      <c r="P386" s="94"/>
      <c r="Q386" s="116" t="str">
        <f t="shared" si="36"/>
        <v>SI</v>
      </c>
    </row>
    <row r="387" spans="3:17" ht="28.5" customHeight="1" x14ac:dyDescent="0.25">
      <c r="C387" s="106">
        <v>463</v>
      </c>
      <c r="D387" s="668" t="s">
        <v>873</v>
      </c>
      <c r="E387" s="669"/>
      <c r="F387" s="669"/>
      <c r="G387" s="670"/>
      <c r="H387" s="343" t="s">
        <v>34</v>
      </c>
      <c r="I387" s="238">
        <f>15862*4106*1.19</f>
        <v>77503952.679999992</v>
      </c>
      <c r="J387" s="107">
        <f>SUMIFS(APUS!Y:Y,APUS!M:M,INSUMOS!C387)</f>
        <v>1</v>
      </c>
      <c r="K387" s="209">
        <f t="shared" si="37"/>
        <v>77503952.679999992</v>
      </c>
      <c r="N387" s="123">
        <f>IFERROR(SUMIFS(APUS!$Z$140:$Z$182,APUS!#REF!,INSUMOS!D387),0)</f>
        <v>0</v>
      </c>
      <c r="O387" s="114">
        <f t="shared" si="35"/>
        <v>-77503952.679999992</v>
      </c>
      <c r="P387" s="94"/>
      <c r="Q387" s="116" t="str">
        <f t="shared" si="36"/>
        <v>NO</v>
      </c>
    </row>
    <row r="388" spans="3:17" ht="30.75" customHeight="1" x14ac:dyDescent="0.25">
      <c r="C388" s="106">
        <v>464</v>
      </c>
      <c r="D388" s="668" t="s">
        <v>874</v>
      </c>
      <c r="E388" s="669"/>
      <c r="F388" s="669"/>
      <c r="G388" s="670"/>
      <c r="H388" s="343" t="s">
        <v>34</v>
      </c>
      <c r="I388" s="238">
        <f>1837*4106*1.19</f>
        <v>8975839.1799999997</v>
      </c>
      <c r="J388" s="107">
        <f>SUMIFS(APUS!Y:Y,APUS!M:M,INSUMOS!C388)</f>
        <v>1</v>
      </c>
      <c r="K388" s="209">
        <f t="shared" si="37"/>
        <v>8975839.1799999997</v>
      </c>
      <c r="N388" s="123">
        <f>IFERROR(SUMIFS(APUS!$Z$140:$Z$182,APUS!#REF!,INSUMOS!D388),0)</f>
        <v>0</v>
      </c>
      <c r="O388" s="114">
        <f t="shared" si="35"/>
        <v>-8975839.1799999997</v>
      </c>
      <c r="P388" s="94"/>
      <c r="Q388" s="116" t="str">
        <f t="shared" si="36"/>
        <v>NO</v>
      </c>
    </row>
    <row r="389" spans="3:17" ht="15" hidden="1" customHeight="1" x14ac:dyDescent="0.25">
      <c r="C389" s="106">
        <v>465</v>
      </c>
      <c r="D389" s="668" t="s">
        <v>636</v>
      </c>
      <c r="E389" s="669"/>
      <c r="F389" s="669"/>
      <c r="G389" s="670"/>
      <c r="H389" s="343" t="s">
        <v>34</v>
      </c>
      <c r="I389" s="238">
        <v>369773.95</v>
      </c>
      <c r="J389" s="107">
        <f>SUMIFS(APUS!Y:Y,APUS!M:M,INSUMOS!C389)</f>
        <v>0</v>
      </c>
      <c r="K389" s="209">
        <f t="shared" si="37"/>
        <v>0</v>
      </c>
      <c r="N389" s="123">
        <f>IFERROR(SUMIFS(APUS!$Z$140:$Z$182,APUS!#REF!,INSUMOS!D389),0)</f>
        <v>0</v>
      </c>
      <c r="O389" s="114">
        <f t="shared" si="35"/>
        <v>0</v>
      </c>
      <c r="P389" s="94"/>
      <c r="Q389" s="116" t="str">
        <f t="shared" si="36"/>
        <v>SI</v>
      </c>
    </row>
    <row r="390" spans="3:17" hidden="1" x14ac:dyDescent="0.25">
      <c r="C390" s="106">
        <v>466</v>
      </c>
      <c r="D390" s="668"/>
      <c r="E390" s="669"/>
      <c r="F390" s="669"/>
      <c r="G390" s="670"/>
      <c r="H390" s="343"/>
      <c r="I390" s="238"/>
      <c r="J390" s="107">
        <f>SUMIFS(APUS!Y:Y,APUS!M:M,INSUMOS!C390)</f>
        <v>0</v>
      </c>
      <c r="K390" s="209">
        <f t="shared" si="37"/>
        <v>0</v>
      </c>
      <c r="N390" s="123">
        <f>IFERROR(SUMIFS(APUS!$Z$140:$Z$182,APUS!#REF!,INSUMOS!D390),0)</f>
        <v>0</v>
      </c>
      <c r="O390" s="114">
        <f t="shared" si="35"/>
        <v>0</v>
      </c>
      <c r="P390" s="94"/>
      <c r="Q390" s="116" t="str">
        <f t="shared" si="36"/>
        <v>SI</v>
      </c>
    </row>
    <row r="391" spans="3:17" hidden="1" x14ac:dyDescent="0.25">
      <c r="C391" s="106">
        <v>467</v>
      </c>
      <c r="D391" s="668" t="s">
        <v>651</v>
      </c>
      <c r="E391" s="669"/>
      <c r="F391" s="669"/>
      <c r="G391" s="670"/>
      <c r="H391" s="343" t="s">
        <v>34</v>
      </c>
      <c r="I391" s="238">
        <v>269225</v>
      </c>
      <c r="J391" s="107">
        <f>SUMIFS(APUS!Y:Y,APUS!M:M,INSUMOS!C391)</f>
        <v>0</v>
      </c>
      <c r="K391" s="209">
        <f t="shared" si="37"/>
        <v>0</v>
      </c>
      <c r="N391" s="123">
        <f>IFERROR(SUMIFS(APUS!$Z$140:$Z$182,APUS!#REF!,INSUMOS!D391),0)</f>
        <v>0</v>
      </c>
      <c r="O391" s="114">
        <f t="shared" si="35"/>
        <v>0</v>
      </c>
      <c r="P391" s="94"/>
      <c r="Q391" s="116" t="str">
        <f t="shared" si="36"/>
        <v>SI</v>
      </c>
    </row>
    <row r="392" spans="3:17" x14ac:dyDescent="0.25">
      <c r="C392" s="106">
        <v>468</v>
      </c>
      <c r="D392" s="668" t="s">
        <v>857</v>
      </c>
      <c r="E392" s="669"/>
      <c r="F392" s="669"/>
      <c r="G392" s="670"/>
      <c r="H392" s="343" t="s">
        <v>34</v>
      </c>
      <c r="I392" s="238">
        <v>641619</v>
      </c>
      <c r="J392" s="107">
        <f>SUMIFS(APUS!Y:Y,APUS!M:M,INSUMOS!C392)</f>
        <v>2</v>
      </c>
      <c r="K392" s="209">
        <f t="shared" si="37"/>
        <v>1283238</v>
      </c>
      <c r="N392" s="123">
        <f>IFERROR(SUMIFS(APUS!$Z$140:$Z$182,APUS!#REF!,INSUMOS!D392),0)</f>
        <v>0</v>
      </c>
      <c r="O392" s="114">
        <f t="shared" si="35"/>
        <v>-1283238</v>
      </c>
      <c r="P392" s="94"/>
      <c r="Q392" s="116" t="str">
        <f t="shared" si="36"/>
        <v>NO</v>
      </c>
    </row>
    <row r="393" spans="3:17" x14ac:dyDescent="0.25">
      <c r="C393" s="106">
        <v>469</v>
      </c>
      <c r="D393" s="668" t="s">
        <v>876</v>
      </c>
      <c r="E393" s="669"/>
      <c r="F393" s="669"/>
      <c r="G393" s="670"/>
      <c r="H393" s="343" t="s">
        <v>34</v>
      </c>
      <c r="I393" s="238">
        <v>1297062</v>
      </c>
      <c r="J393" s="107">
        <f>SUMIFS(APUS!Y:Y,APUS!M:M,INSUMOS!C393)</f>
        <v>2</v>
      </c>
      <c r="K393" s="209">
        <f t="shared" si="37"/>
        <v>2594124</v>
      </c>
      <c r="N393" s="123">
        <f>IFERROR(SUMIFS(APUS!$Z$140:$Z$182,APUS!#REF!,INSUMOS!D393),0)</f>
        <v>0</v>
      </c>
      <c r="O393" s="114">
        <f t="shared" si="35"/>
        <v>-2594124</v>
      </c>
      <c r="P393" s="94"/>
      <c r="Q393" s="116" t="str">
        <f t="shared" si="36"/>
        <v>NO</v>
      </c>
    </row>
    <row r="394" spans="3:17" ht="15" hidden="1" customHeight="1" x14ac:dyDescent="0.25">
      <c r="C394" s="106">
        <v>470</v>
      </c>
      <c r="D394" s="668" t="s">
        <v>252</v>
      </c>
      <c r="E394" s="669"/>
      <c r="F394" s="669"/>
      <c r="G394" s="670"/>
      <c r="H394" s="343" t="s">
        <v>33</v>
      </c>
      <c r="I394" s="238">
        <v>41745</v>
      </c>
      <c r="J394" s="107">
        <f>SUMIFS(APUS!Y:Y,APUS!M:M,INSUMOS!C394)</f>
        <v>0</v>
      </c>
      <c r="K394" s="209">
        <f t="shared" si="37"/>
        <v>0</v>
      </c>
      <c r="N394" s="123">
        <f>IFERROR(SUMIFS(APUS!$Z$140:$Z$182,APUS!#REF!,INSUMOS!D394),0)</f>
        <v>0</v>
      </c>
      <c r="O394" s="114">
        <f t="shared" si="35"/>
        <v>0</v>
      </c>
      <c r="P394" s="94"/>
      <c r="Q394" s="116" t="str">
        <f t="shared" si="36"/>
        <v>SI</v>
      </c>
    </row>
    <row r="395" spans="3:17" hidden="1" x14ac:dyDescent="0.25">
      <c r="C395" s="106">
        <v>471</v>
      </c>
      <c r="D395" s="668" t="s">
        <v>253</v>
      </c>
      <c r="E395" s="669"/>
      <c r="F395" s="669"/>
      <c r="G395" s="670"/>
      <c r="H395" s="343" t="s">
        <v>34</v>
      </c>
      <c r="I395" s="238">
        <v>27225.000000000007</v>
      </c>
      <c r="J395" s="107">
        <f>SUMIFS(APUS!Y:Y,APUS!M:M,INSUMOS!C395)</f>
        <v>0</v>
      </c>
      <c r="K395" s="209">
        <f t="shared" si="37"/>
        <v>0</v>
      </c>
      <c r="N395" s="123">
        <f>IFERROR(SUMIFS(APUS!$Z$140:$Z$182,APUS!#REF!,INSUMOS!D395),0)</f>
        <v>0</v>
      </c>
      <c r="O395" s="114">
        <f t="shared" si="35"/>
        <v>0</v>
      </c>
      <c r="P395" s="94"/>
      <c r="Q395" s="116" t="str">
        <f t="shared" si="36"/>
        <v>SI</v>
      </c>
    </row>
    <row r="396" spans="3:17" hidden="1" x14ac:dyDescent="0.25">
      <c r="C396" s="106">
        <v>472</v>
      </c>
      <c r="D396" s="668" t="s">
        <v>528</v>
      </c>
      <c r="E396" s="669"/>
      <c r="F396" s="669"/>
      <c r="G396" s="670"/>
      <c r="H396" s="343" t="s">
        <v>40</v>
      </c>
      <c r="I396" s="238">
        <v>18825</v>
      </c>
      <c r="J396" s="107">
        <f>SUMIFS(APUS!Y:Y,APUS!M:M,INSUMOS!C396)</f>
        <v>0</v>
      </c>
      <c r="K396" s="209">
        <f t="shared" si="37"/>
        <v>0</v>
      </c>
      <c r="N396" s="123">
        <f>IFERROR(SUMIFS(APUS!$Z$140:$Z$182,APUS!#REF!,INSUMOS!D396),0)</f>
        <v>0</v>
      </c>
      <c r="O396" s="114">
        <f t="shared" si="35"/>
        <v>0</v>
      </c>
      <c r="P396" s="94"/>
      <c r="Q396" s="116" t="str">
        <f t="shared" si="36"/>
        <v>SI</v>
      </c>
    </row>
    <row r="397" spans="3:17" ht="15" hidden="1" customHeight="1" x14ac:dyDescent="0.25">
      <c r="C397" s="106">
        <v>473</v>
      </c>
      <c r="D397" s="668" t="s">
        <v>553</v>
      </c>
      <c r="E397" s="669"/>
      <c r="F397" s="669"/>
      <c r="G397" s="670"/>
      <c r="H397" s="343" t="s">
        <v>40</v>
      </c>
      <c r="I397" s="238">
        <v>39900</v>
      </c>
      <c r="J397" s="107">
        <f>SUMIFS(APUS!Y:Y,APUS!M:M,INSUMOS!C397)</f>
        <v>0</v>
      </c>
      <c r="K397" s="209">
        <f t="shared" si="37"/>
        <v>0</v>
      </c>
      <c r="N397" s="123">
        <f>IFERROR(SUMIFS(APUS!$Z$140:$Z$182,APUS!#REF!,INSUMOS!D397),0)</f>
        <v>0</v>
      </c>
      <c r="O397" s="114">
        <f t="shared" si="35"/>
        <v>0</v>
      </c>
      <c r="P397" s="94"/>
      <c r="Q397" s="116" t="str">
        <f t="shared" si="36"/>
        <v>SI</v>
      </c>
    </row>
    <row r="398" spans="3:17" ht="15" hidden="1" customHeight="1" x14ac:dyDescent="0.25">
      <c r="C398" s="106">
        <v>474</v>
      </c>
      <c r="D398" s="668" t="s">
        <v>558</v>
      </c>
      <c r="E398" s="669"/>
      <c r="F398" s="669"/>
      <c r="G398" s="670"/>
      <c r="H398" s="343" t="s">
        <v>40</v>
      </c>
      <c r="I398" s="238">
        <v>40000</v>
      </c>
      <c r="J398" s="107">
        <f>SUMIFS(APUS!Y:Y,APUS!M:M,INSUMOS!C398)</f>
        <v>0</v>
      </c>
      <c r="K398" s="209">
        <f t="shared" si="37"/>
        <v>0</v>
      </c>
      <c r="N398" s="123">
        <f>IFERROR(SUMIFS(APUS!$Z$140:$Z$182,APUS!#REF!,INSUMOS!D398),0)</f>
        <v>0</v>
      </c>
      <c r="O398" s="114">
        <f t="shared" si="35"/>
        <v>0</v>
      </c>
      <c r="P398" s="94"/>
      <c r="Q398" s="116" t="str">
        <f t="shared" si="36"/>
        <v>SI</v>
      </c>
    </row>
    <row r="399" spans="3:17" ht="15" hidden="1" customHeight="1" x14ac:dyDescent="0.25">
      <c r="C399" s="106">
        <v>475</v>
      </c>
      <c r="D399" s="668" t="s">
        <v>652</v>
      </c>
      <c r="E399" s="669"/>
      <c r="F399" s="669"/>
      <c r="G399" s="670"/>
      <c r="H399" s="344" t="s">
        <v>34</v>
      </c>
      <c r="I399" s="238">
        <v>693900</v>
      </c>
      <c r="J399" s="107">
        <f>SUMIFS(APUS!Y:Y,APUS!M:M,INSUMOS!C399)</f>
        <v>0</v>
      </c>
      <c r="K399" s="209">
        <f t="shared" si="37"/>
        <v>0</v>
      </c>
      <c r="N399" s="123">
        <f>IFERROR(SUMIFS(APUS!$Z$140:$Z$182,APUS!#REF!,INSUMOS!D399),0)</f>
        <v>0</v>
      </c>
      <c r="O399" s="114">
        <f t="shared" si="35"/>
        <v>0</v>
      </c>
      <c r="P399" s="94"/>
      <c r="Q399" s="116" t="str">
        <f t="shared" si="36"/>
        <v>SI</v>
      </c>
    </row>
    <row r="400" spans="3:17" ht="15" hidden="1" customHeight="1" x14ac:dyDescent="0.25">
      <c r="C400" s="106">
        <v>476</v>
      </c>
      <c r="D400" s="668" t="s">
        <v>570</v>
      </c>
      <c r="E400" s="669"/>
      <c r="F400" s="669"/>
      <c r="G400" s="670"/>
      <c r="H400" s="344" t="s">
        <v>34</v>
      </c>
      <c r="I400" s="238">
        <v>1142900</v>
      </c>
      <c r="J400" s="107">
        <f>SUMIFS(APUS!Y:Y,APUS!M:M,INSUMOS!C400)</f>
        <v>0</v>
      </c>
      <c r="K400" s="209">
        <f t="shared" si="37"/>
        <v>0</v>
      </c>
      <c r="N400" s="123">
        <f>IFERROR(SUMIFS(APUS!$Z$140:$Z$182,APUS!#REF!,INSUMOS!D400),0)</f>
        <v>0</v>
      </c>
      <c r="O400" s="114">
        <f t="shared" si="35"/>
        <v>0</v>
      </c>
      <c r="P400" s="94"/>
      <c r="Q400" s="116" t="str">
        <f t="shared" si="36"/>
        <v>SI</v>
      </c>
    </row>
    <row r="401" spans="3:17" ht="15" hidden="1" customHeight="1" x14ac:dyDescent="0.25">
      <c r="C401" s="106">
        <v>477</v>
      </c>
      <c r="D401" s="668" t="s">
        <v>541</v>
      </c>
      <c r="E401" s="669"/>
      <c r="F401" s="669"/>
      <c r="G401" s="670"/>
      <c r="H401" s="344" t="s">
        <v>34</v>
      </c>
      <c r="I401" s="238">
        <v>1234</v>
      </c>
      <c r="J401" s="107">
        <f>SUMIFS(APUS!Y:Y,APUS!M:M,INSUMOS!C401)</f>
        <v>0</v>
      </c>
      <c r="K401" s="209">
        <f t="shared" si="37"/>
        <v>0</v>
      </c>
      <c r="N401" s="123">
        <f>IFERROR(SUMIFS(APUS!$Z$140:$Z$182,APUS!#REF!,INSUMOS!D401),0)</f>
        <v>0</v>
      </c>
      <c r="O401" s="114">
        <f t="shared" si="35"/>
        <v>0</v>
      </c>
      <c r="P401" s="94"/>
      <c r="Q401" s="116" t="str">
        <f t="shared" si="36"/>
        <v>SI</v>
      </c>
    </row>
    <row r="402" spans="3:17" ht="15" hidden="1" customHeight="1" x14ac:dyDescent="0.25">
      <c r="C402" s="106">
        <v>478</v>
      </c>
      <c r="D402" s="668" t="s">
        <v>542</v>
      </c>
      <c r="E402" s="669"/>
      <c r="F402" s="669"/>
      <c r="G402" s="670"/>
      <c r="H402" s="344" t="s">
        <v>34</v>
      </c>
      <c r="I402" s="238">
        <v>2869</v>
      </c>
      <c r="J402" s="107">
        <f>SUMIFS(APUS!Y:Y,APUS!M:M,INSUMOS!C402)</f>
        <v>0</v>
      </c>
      <c r="K402" s="209">
        <f t="shared" si="37"/>
        <v>0</v>
      </c>
      <c r="N402" s="123">
        <f>IFERROR(SUMIFS(APUS!$Z$140:$Z$182,APUS!#REF!,INSUMOS!D402),0)</f>
        <v>0</v>
      </c>
      <c r="O402" s="114">
        <f t="shared" si="35"/>
        <v>0</v>
      </c>
      <c r="P402" s="94"/>
      <c r="Q402" s="116" t="str">
        <f t="shared" si="36"/>
        <v>SI</v>
      </c>
    </row>
    <row r="403" spans="3:17" ht="15" hidden="1" customHeight="1" x14ac:dyDescent="0.25">
      <c r="C403" s="106">
        <v>479</v>
      </c>
      <c r="D403" s="668" t="s">
        <v>653</v>
      </c>
      <c r="E403" s="669"/>
      <c r="F403" s="669"/>
      <c r="G403" s="670"/>
      <c r="H403" s="344" t="s">
        <v>34</v>
      </c>
      <c r="I403" s="238">
        <v>6700</v>
      </c>
      <c r="J403" s="107">
        <f>SUMIFS(APUS!Y:Y,APUS!M:M,INSUMOS!C403)</f>
        <v>0</v>
      </c>
      <c r="K403" s="209">
        <f t="shared" si="37"/>
        <v>0</v>
      </c>
      <c r="N403" s="123">
        <f>IFERROR(SUMIFS(APUS!$Z$140:$Z$182,APUS!#REF!,INSUMOS!D403),0)</f>
        <v>0</v>
      </c>
      <c r="O403" s="114">
        <f t="shared" si="35"/>
        <v>0</v>
      </c>
      <c r="P403" s="94"/>
      <c r="Q403" s="116" t="str">
        <f t="shared" si="36"/>
        <v>SI</v>
      </c>
    </row>
    <row r="404" spans="3:17" ht="15" hidden="1" customHeight="1" x14ac:dyDescent="0.25">
      <c r="C404" s="106">
        <v>480</v>
      </c>
      <c r="D404" s="671" t="s">
        <v>258</v>
      </c>
      <c r="E404" s="672"/>
      <c r="F404" s="672"/>
      <c r="G404" s="673"/>
      <c r="H404" s="344" t="s">
        <v>34</v>
      </c>
      <c r="I404" s="238">
        <v>1188.2200000000003</v>
      </c>
      <c r="J404" s="107">
        <f>SUMIFS(APUS!Y:Y,APUS!M:M,INSUMOS!C404)</f>
        <v>0</v>
      </c>
      <c r="K404" s="209">
        <f t="shared" si="37"/>
        <v>0</v>
      </c>
      <c r="N404" s="123">
        <f>IFERROR(SUMIFS(APUS!$Z$140:$Z$182,APUS!#REF!,INSUMOS!D404),0)</f>
        <v>0</v>
      </c>
      <c r="O404" s="114">
        <f t="shared" si="35"/>
        <v>0</v>
      </c>
      <c r="P404" s="94"/>
      <c r="Q404" s="116" t="str">
        <f t="shared" si="36"/>
        <v>SI</v>
      </c>
    </row>
    <row r="405" spans="3:17" ht="15" hidden="1" customHeight="1" x14ac:dyDescent="0.25">
      <c r="C405" s="106">
        <v>481</v>
      </c>
      <c r="D405" s="671" t="s">
        <v>295</v>
      </c>
      <c r="E405" s="672"/>
      <c r="F405" s="672"/>
      <c r="G405" s="673"/>
      <c r="H405" s="344" t="s">
        <v>34</v>
      </c>
      <c r="I405" s="238">
        <v>1899.7000000000005</v>
      </c>
      <c r="J405" s="107">
        <f>SUMIFS(APUS!Y:Y,APUS!M:M,INSUMOS!C405)</f>
        <v>0</v>
      </c>
      <c r="K405" s="209">
        <f t="shared" si="37"/>
        <v>0</v>
      </c>
      <c r="N405" s="123">
        <f>IFERROR(SUMIFS(APUS!$Z$140:$Z$182,APUS!#REF!,INSUMOS!D405),0)</f>
        <v>0</v>
      </c>
      <c r="O405" s="114">
        <f t="shared" si="35"/>
        <v>0</v>
      </c>
      <c r="P405" s="94"/>
      <c r="Q405" s="116" t="str">
        <f t="shared" si="36"/>
        <v>SI</v>
      </c>
    </row>
    <row r="406" spans="3:17" ht="15" hidden="1" customHeight="1" x14ac:dyDescent="0.25">
      <c r="C406" s="106">
        <v>482</v>
      </c>
      <c r="D406" s="671" t="s">
        <v>259</v>
      </c>
      <c r="E406" s="672"/>
      <c r="F406" s="672"/>
      <c r="G406" s="673"/>
      <c r="H406" s="344" t="s">
        <v>34</v>
      </c>
      <c r="I406" s="238">
        <v>3616.6900000000005</v>
      </c>
      <c r="J406" s="107">
        <f>SUMIFS(APUS!Y:Y,APUS!M:M,INSUMOS!C406)</f>
        <v>0</v>
      </c>
      <c r="K406" s="209">
        <f t="shared" si="37"/>
        <v>0</v>
      </c>
      <c r="N406" s="123">
        <f>IFERROR(SUMIFS(APUS!$Z$140:$Z$182,APUS!#REF!,INSUMOS!D406),0)</f>
        <v>0</v>
      </c>
      <c r="O406" s="114">
        <f t="shared" si="35"/>
        <v>0</v>
      </c>
      <c r="P406" s="94"/>
      <c r="Q406" s="116" t="str">
        <f t="shared" si="36"/>
        <v>SI</v>
      </c>
    </row>
    <row r="407" spans="3:17" ht="15" hidden="1" customHeight="1" x14ac:dyDescent="0.25">
      <c r="C407" s="106">
        <v>483</v>
      </c>
      <c r="D407" s="671" t="s">
        <v>301</v>
      </c>
      <c r="E407" s="672"/>
      <c r="F407" s="672"/>
      <c r="G407" s="673"/>
      <c r="H407" s="344" t="s">
        <v>34</v>
      </c>
      <c r="I407" s="238">
        <v>6538.8400000000011</v>
      </c>
      <c r="J407" s="107">
        <f>SUMIFS(APUS!Y:Y,APUS!M:M,INSUMOS!C407)</f>
        <v>0</v>
      </c>
      <c r="K407" s="209">
        <f t="shared" si="37"/>
        <v>0</v>
      </c>
      <c r="N407" s="123">
        <f>IFERROR(SUMIFS(APUS!$Z$140:$Z$182,APUS!#REF!,INSUMOS!D407),0)</f>
        <v>0</v>
      </c>
      <c r="O407" s="114">
        <f t="shared" si="35"/>
        <v>0</v>
      </c>
      <c r="P407" s="94"/>
      <c r="Q407" s="116" t="str">
        <f t="shared" si="36"/>
        <v>SI</v>
      </c>
    </row>
    <row r="408" spans="3:17" ht="15" hidden="1" customHeight="1" x14ac:dyDescent="0.25">
      <c r="C408" s="106">
        <v>484</v>
      </c>
      <c r="D408" s="671" t="s">
        <v>296</v>
      </c>
      <c r="E408" s="672"/>
      <c r="F408" s="672"/>
      <c r="G408" s="673"/>
      <c r="H408" s="344" t="s">
        <v>34</v>
      </c>
      <c r="I408" s="238">
        <v>8767.6600000000017</v>
      </c>
      <c r="J408" s="107">
        <f>SUMIFS(APUS!Y:Y,APUS!M:M,INSUMOS!C408)</f>
        <v>0</v>
      </c>
      <c r="K408" s="209">
        <f t="shared" si="37"/>
        <v>0</v>
      </c>
      <c r="N408" s="123">
        <f>IFERROR(SUMIFS(APUS!$Z$140:$Z$182,APUS!#REF!,INSUMOS!D408),0)</f>
        <v>0</v>
      </c>
      <c r="O408" s="114">
        <f t="shared" si="35"/>
        <v>0</v>
      </c>
      <c r="P408" s="94"/>
      <c r="Q408" s="116" t="str">
        <f t="shared" si="36"/>
        <v>SI</v>
      </c>
    </row>
    <row r="409" spans="3:17" ht="15" hidden="1" customHeight="1" x14ac:dyDescent="0.25">
      <c r="C409" s="106">
        <v>485</v>
      </c>
      <c r="D409" s="671" t="s">
        <v>297</v>
      </c>
      <c r="E409" s="672"/>
      <c r="F409" s="672"/>
      <c r="G409" s="673"/>
      <c r="H409" s="344" t="s">
        <v>34</v>
      </c>
      <c r="I409" s="238">
        <v>14499.430000000002</v>
      </c>
      <c r="J409" s="107">
        <f>SUMIFS(APUS!Y:Y,APUS!M:M,INSUMOS!C409)</f>
        <v>0</v>
      </c>
      <c r="K409" s="209">
        <f t="shared" si="37"/>
        <v>0</v>
      </c>
      <c r="N409" s="123">
        <f>IFERROR(SUMIFS(APUS!$Z$140:$Z$182,APUS!#REF!,INSUMOS!D409),0)</f>
        <v>0</v>
      </c>
      <c r="O409" s="114">
        <f t="shared" si="35"/>
        <v>0</v>
      </c>
      <c r="P409" s="94"/>
      <c r="Q409" s="116" t="str">
        <f t="shared" si="36"/>
        <v>SI</v>
      </c>
    </row>
    <row r="410" spans="3:17" ht="15" hidden="1" customHeight="1" x14ac:dyDescent="0.25">
      <c r="C410" s="106">
        <v>486</v>
      </c>
      <c r="D410" s="671" t="s">
        <v>298</v>
      </c>
      <c r="E410" s="672"/>
      <c r="F410" s="672"/>
      <c r="G410" s="673"/>
      <c r="H410" s="344" t="s">
        <v>34</v>
      </c>
      <c r="I410" s="238">
        <v>40871.380000000005</v>
      </c>
      <c r="J410" s="107">
        <f>SUMIFS(APUS!Y:Y,APUS!M:M,INSUMOS!C410)</f>
        <v>0</v>
      </c>
      <c r="K410" s="209">
        <f t="shared" si="37"/>
        <v>0</v>
      </c>
      <c r="N410" s="123">
        <f>IFERROR(SUMIFS(APUS!$Z$140:$Z$182,APUS!#REF!,INSUMOS!D410),0)</f>
        <v>0</v>
      </c>
      <c r="O410" s="114">
        <f t="shared" si="35"/>
        <v>0</v>
      </c>
      <c r="P410" s="94"/>
      <c r="Q410" s="116" t="str">
        <f t="shared" si="36"/>
        <v>SI</v>
      </c>
    </row>
    <row r="411" spans="3:17" ht="15" hidden="1" customHeight="1" x14ac:dyDescent="0.25">
      <c r="C411" s="106">
        <v>487</v>
      </c>
      <c r="D411" s="671" t="s">
        <v>299</v>
      </c>
      <c r="E411" s="672"/>
      <c r="F411" s="672"/>
      <c r="G411" s="673"/>
      <c r="H411" s="344" t="s">
        <v>34</v>
      </c>
      <c r="I411" s="238">
        <v>46680.590000000004</v>
      </c>
      <c r="J411" s="107">
        <f>SUMIFS(APUS!Y:Y,APUS!M:M,INSUMOS!C411)</f>
        <v>0</v>
      </c>
      <c r="K411" s="209">
        <f t="shared" si="37"/>
        <v>0</v>
      </c>
      <c r="N411" s="123">
        <f>IFERROR(SUMIFS(APUS!$Z$140:$Z$182,APUS!#REF!,INSUMOS!D411),0)</f>
        <v>0</v>
      </c>
      <c r="O411" s="114">
        <f t="shared" si="35"/>
        <v>0</v>
      </c>
      <c r="P411" s="94"/>
      <c r="Q411" s="116" t="str">
        <f t="shared" si="36"/>
        <v>SI</v>
      </c>
    </row>
    <row r="412" spans="3:17" ht="15" hidden="1" customHeight="1" x14ac:dyDescent="0.25">
      <c r="C412" s="106">
        <v>488</v>
      </c>
      <c r="D412" s="671" t="s">
        <v>300</v>
      </c>
      <c r="E412" s="672"/>
      <c r="F412" s="672"/>
      <c r="G412" s="673"/>
      <c r="H412" s="344" t="s">
        <v>34</v>
      </c>
      <c r="I412" s="238">
        <v>99313.170000000027</v>
      </c>
      <c r="J412" s="107">
        <f>SUMIFS(APUS!Y:Y,APUS!M:M,INSUMOS!C412)</f>
        <v>0</v>
      </c>
      <c r="K412" s="209">
        <f t="shared" si="37"/>
        <v>0</v>
      </c>
      <c r="N412" s="123">
        <f>IFERROR(SUMIFS(APUS!$Z$140:$Z$182,APUS!#REF!,INSUMOS!D412),0)</f>
        <v>0</v>
      </c>
      <c r="O412" s="114">
        <f t="shared" si="35"/>
        <v>0</v>
      </c>
      <c r="P412" s="94"/>
      <c r="Q412" s="116" t="str">
        <f t="shared" si="36"/>
        <v>SI</v>
      </c>
    </row>
    <row r="413" spans="3:17" ht="15" hidden="1" customHeight="1" x14ac:dyDescent="0.25">
      <c r="C413" s="106">
        <v>489</v>
      </c>
      <c r="D413" s="671" t="s">
        <v>308</v>
      </c>
      <c r="E413" s="672"/>
      <c r="F413" s="672"/>
      <c r="G413" s="673"/>
      <c r="H413" s="344" t="s">
        <v>34</v>
      </c>
      <c r="I413" s="238">
        <v>57367.310000000012</v>
      </c>
      <c r="J413" s="107">
        <f>SUMIFS(APUS!Y:Y,APUS!M:M,INSUMOS!C413)</f>
        <v>0</v>
      </c>
      <c r="K413" s="209">
        <f t="shared" si="37"/>
        <v>0</v>
      </c>
      <c r="N413" s="123">
        <f>IFERROR(SUMIFS(APUS!$Z$140:$Z$182,APUS!#REF!,INSUMOS!D413),0)</f>
        <v>0</v>
      </c>
      <c r="O413" s="114">
        <f t="shared" si="35"/>
        <v>0</v>
      </c>
      <c r="P413" s="94"/>
      <c r="Q413" s="116" t="str">
        <f t="shared" si="36"/>
        <v>SI</v>
      </c>
    </row>
    <row r="414" spans="3:17" ht="15" hidden="1" customHeight="1" x14ac:dyDescent="0.25">
      <c r="C414" s="106">
        <v>490</v>
      </c>
      <c r="D414" s="671" t="s">
        <v>309</v>
      </c>
      <c r="E414" s="672"/>
      <c r="F414" s="672"/>
      <c r="G414" s="673"/>
      <c r="H414" s="344" t="s">
        <v>34</v>
      </c>
      <c r="I414" s="238">
        <v>61822.530000000006</v>
      </c>
      <c r="J414" s="107">
        <f>SUMIFS(APUS!Y:Y,APUS!M:M,INSUMOS!C414)</f>
        <v>0</v>
      </c>
      <c r="K414" s="209">
        <f t="shared" si="37"/>
        <v>0</v>
      </c>
      <c r="N414" s="123">
        <f>IFERROR(SUMIFS(APUS!$Z$140:$Z$182,APUS!#REF!,INSUMOS!D414),0)</f>
        <v>0</v>
      </c>
      <c r="O414" s="114">
        <f t="shared" si="35"/>
        <v>0</v>
      </c>
      <c r="P414" s="94"/>
      <c r="Q414" s="116" t="str">
        <f t="shared" si="36"/>
        <v>SI</v>
      </c>
    </row>
    <row r="415" spans="3:17" ht="15" hidden="1" customHeight="1" x14ac:dyDescent="0.25">
      <c r="C415" s="106">
        <v>491</v>
      </c>
      <c r="D415" s="671" t="s">
        <v>310</v>
      </c>
      <c r="E415" s="672"/>
      <c r="F415" s="672"/>
      <c r="G415" s="673"/>
      <c r="H415" s="344" t="s">
        <v>34</v>
      </c>
      <c r="I415" s="238">
        <v>89841.290000000023</v>
      </c>
      <c r="J415" s="107">
        <f>SUMIFS(APUS!Y:Y,APUS!M:M,INSUMOS!C415)</f>
        <v>0</v>
      </c>
      <c r="K415" s="209">
        <f t="shared" si="37"/>
        <v>0</v>
      </c>
      <c r="N415" s="123">
        <f>IFERROR(SUMIFS(APUS!$Z$140:$Z$182,APUS!#REF!,INSUMOS!D415),0)</f>
        <v>0</v>
      </c>
      <c r="O415" s="114">
        <f t="shared" si="35"/>
        <v>0</v>
      </c>
      <c r="P415" s="94"/>
      <c r="Q415" s="116" t="str">
        <f t="shared" si="36"/>
        <v>SI</v>
      </c>
    </row>
    <row r="416" spans="3:17" ht="15" hidden="1" customHeight="1" x14ac:dyDescent="0.25">
      <c r="C416" s="106">
        <v>492</v>
      </c>
      <c r="D416" s="671" t="s">
        <v>311</v>
      </c>
      <c r="E416" s="672"/>
      <c r="F416" s="672"/>
      <c r="G416" s="673"/>
      <c r="H416" s="344" t="s">
        <v>34</v>
      </c>
      <c r="I416" s="238">
        <v>132827.75000000003</v>
      </c>
      <c r="J416" s="107">
        <f>SUMIFS(APUS!Y:Y,APUS!M:M,INSUMOS!C416)</f>
        <v>0</v>
      </c>
      <c r="K416" s="209">
        <f t="shared" si="37"/>
        <v>0</v>
      </c>
      <c r="N416" s="123">
        <f>IFERROR(SUMIFS(APUS!$Z$140:$Z$182,APUS!#REF!,INSUMOS!D416),0)</f>
        <v>0</v>
      </c>
      <c r="O416" s="114">
        <f t="shared" si="35"/>
        <v>0</v>
      </c>
      <c r="P416" s="94"/>
      <c r="Q416" s="116" t="str">
        <f t="shared" si="36"/>
        <v>SI</v>
      </c>
    </row>
    <row r="417" spans="3:17" ht="15" hidden="1" customHeight="1" x14ac:dyDescent="0.25">
      <c r="C417" s="106">
        <v>493</v>
      </c>
      <c r="D417" s="671" t="s">
        <v>312</v>
      </c>
      <c r="E417" s="672"/>
      <c r="F417" s="672"/>
      <c r="G417" s="673"/>
      <c r="H417" s="344" t="s">
        <v>34</v>
      </c>
      <c r="I417" s="238">
        <v>271603.86000000004</v>
      </c>
      <c r="J417" s="107">
        <f>SUMIFS(APUS!Y:Y,APUS!M:M,INSUMOS!C417)</f>
        <v>0</v>
      </c>
      <c r="K417" s="209">
        <f t="shared" si="37"/>
        <v>0</v>
      </c>
      <c r="N417" s="123">
        <f>IFERROR(SUMIFS(APUS!$Z$140:$Z$182,APUS!#REF!,INSUMOS!D417),0)</f>
        <v>0</v>
      </c>
      <c r="O417" s="114">
        <f t="shared" si="35"/>
        <v>0</v>
      </c>
      <c r="P417" s="94"/>
      <c r="Q417" s="116" t="str">
        <f t="shared" si="36"/>
        <v>SI</v>
      </c>
    </row>
    <row r="418" spans="3:17" ht="15" hidden="1" customHeight="1" x14ac:dyDescent="0.25">
      <c r="C418" s="106">
        <v>494</v>
      </c>
      <c r="D418" s="671" t="s">
        <v>313</v>
      </c>
      <c r="E418" s="672"/>
      <c r="F418" s="672"/>
      <c r="G418" s="673"/>
      <c r="H418" s="344" t="s">
        <v>34</v>
      </c>
      <c r="I418" s="238">
        <v>977177.85000000021</v>
      </c>
      <c r="J418" s="107">
        <f>SUMIFS(APUS!Y:Y,APUS!M:M,INSUMOS!C418)</f>
        <v>0</v>
      </c>
      <c r="K418" s="209">
        <f t="shared" si="37"/>
        <v>0</v>
      </c>
      <c r="N418" s="123">
        <f>IFERROR(SUMIFS(APUS!$Z$140:$Z$182,APUS!#REF!,INSUMOS!D418),0)</f>
        <v>0</v>
      </c>
      <c r="O418" s="114">
        <f t="shared" ref="O418:O481" si="38">+N418-K418</f>
        <v>0</v>
      </c>
      <c r="P418" s="94"/>
      <c r="Q418" s="116" t="str">
        <f t="shared" ref="Q418:Q481" si="39">+IF(K418=0,"SI","NO")</f>
        <v>SI</v>
      </c>
    </row>
    <row r="419" spans="3:17" ht="15" hidden="1" customHeight="1" x14ac:dyDescent="0.25">
      <c r="C419" s="106">
        <v>495</v>
      </c>
      <c r="D419" s="671" t="s">
        <v>314</v>
      </c>
      <c r="E419" s="672"/>
      <c r="F419" s="672"/>
      <c r="G419" s="673"/>
      <c r="H419" s="344" t="s">
        <v>34</v>
      </c>
      <c r="I419" s="238">
        <v>2125314.1800000002</v>
      </c>
      <c r="J419" s="107">
        <f>SUMIFS(APUS!Y:Y,APUS!M:M,INSUMOS!C419)</f>
        <v>0</v>
      </c>
      <c r="K419" s="209">
        <f t="shared" si="37"/>
        <v>0</v>
      </c>
      <c r="N419" s="123">
        <f>IFERROR(SUMIFS(APUS!$Z$140:$Z$182,APUS!#REF!,INSUMOS!D419),0)</f>
        <v>0</v>
      </c>
      <c r="O419" s="114">
        <f t="shared" si="38"/>
        <v>0</v>
      </c>
      <c r="P419" s="94"/>
      <c r="Q419" s="116" t="str">
        <f t="shared" si="39"/>
        <v>SI</v>
      </c>
    </row>
    <row r="420" spans="3:17" ht="15" hidden="1" customHeight="1" x14ac:dyDescent="0.25">
      <c r="C420" s="106">
        <v>496</v>
      </c>
      <c r="D420" s="671" t="s">
        <v>315</v>
      </c>
      <c r="E420" s="672"/>
      <c r="F420" s="672"/>
      <c r="G420" s="673"/>
      <c r="H420" s="344" t="s">
        <v>34</v>
      </c>
      <c r="I420" s="238">
        <v>2884437.9300000006</v>
      </c>
      <c r="J420" s="107">
        <f>SUMIFS(APUS!Y:Y,APUS!M:M,INSUMOS!C420)</f>
        <v>0</v>
      </c>
      <c r="K420" s="209">
        <f t="shared" si="37"/>
        <v>0</v>
      </c>
      <c r="N420" s="123">
        <f>IFERROR(SUMIFS(APUS!$Z$140:$Z$182,APUS!#REF!,INSUMOS!D420),0)</f>
        <v>0</v>
      </c>
      <c r="O420" s="114">
        <f t="shared" si="38"/>
        <v>0</v>
      </c>
      <c r="P420" s="94"/>
      <c r="Q420" s="116" t="str">
        <f t="shared" si="39"/>
        <v>SI</v>
      </c>
    </row>
    <row r="421" spans="3:17" ht="15" hidden="1" customHeight="1" x14ac:dyDescent="0.25">
      <c r="C421" s="106">
        <v>497</v>
      </c>
      <c r="D421" s="671" t="s">
        <v>302</v>
      </c>
      <c r="E421" s="672"/>
      <c r="F421" s="672"/>
      <c r="G421" s="673"/>
      <c r="H421" s="344" t="s">
        <v>34</v>
      </c>
      <c r="I421" s="238">
        <v>1762.9700000000003</v>
      </c>
      <c r="J421" s="107">
        <f>SUMIFS(APUS!Y:Y,APUS!M:M,INSUMOS!C421)</f>
        <v>0</v>
      </c>
      <c r="K421" s="209">
        <f t="shared" si="37"/>
        <v>0</v>
      </c>
      <c r="N421" s="123">
        <f>IFERROR(SUMIFS(APUS!$Z$140:$Z$182,APUS!#REF!,INSUMOS!D421),0)</f>
        <v>0</v>
      </c>
      <c r="O421" s="114">
        <f t="shared" si="38"/>
        <v>0</v>
      </c>
      <c r="P421" s="94"/>
      <c r="Q421" s="116" t="str">
        <f t="shared" si="39"/>
        <v>SI</v>
      </c>
    </row>
    <row r="422" spans="3:17" ht="15" hidden="1" customHeight="1" x14ac:dyDescent="0.25">
      <c r="C422" s="106">
        <v>498</v>
      </c>
      <c r="D422" s="671" t="s">
        <v>303</v>
      </c>
      <c r="E422" s="672"/>
      <c r="F422" s="672"/>
      <c r="G422" s="673"/>
      <c r="H422" s="344" t="s">
        <v>34</v>
      </c>
      <c r="I422" s="238">
        <v>3185.9300000000003</v>
      </c>
      <c r="J422" s="107">
        <f>SUMIFS(APUS!Y:Y,APUS!M:M,INSUMOS!C422)</f>
        <v>0</v>
      </c>
      <c r="K422" s="209">
        <f t="shared" si="37"/>
        <v>0</v>
      </c>
      <c r="N422" s="123">
        <f>IFERROR(SUMIFS(APUS!$Z$140:$Z$182,APUS!#REF!,INSUMOS!D422),0)</f>
        <v>0</v>
      </c>
      <c r="O422" s="114">
        <f t="shared" si="38"/>
        <v>0</v>
      </c>
      <c r="P422" s="94"/>
      <c r="Q422" s="116" t="str">
        <f t="shared" si="39"/>
        <v>SI</v>
      </c>
    </row>
    <row r="423" spans="3:17" ht="15" hidden="1" customHeight="1" x14ac:dyDescent="0.25">
      <c r="C423" s="106">
        <v>499</v>
      </c>
      <c r="D423" s="671" t="s">
        <v>304</v>
      </c>
      <c r="E423" s="672"/>
      <c r="F423" s="672"/>
      <c r="G423" s="673"/>
      <c r="H423" s="344" t="s">
        <v>34</v>
      </c>
      <c r="I423" s="238">
        <v>8381.6700000000019</v>
      </c>
      <c r="J423" s="107">
        <f>SUMIFS(APUS!Y:Y,APUS!M:M,INSUMOS!C423)</f>
        <v>0</v>
      </c>
      <c r="K423" s="209">
        <f t="shared" si="37"/>
        <v>0</v>
      </c>
      <c r="N423" s="123">
        <f>IFERROR(SUMIFS(APUS!$Z$140:$Z$182,APUS!#REF!,INSUMOS!D423),0)</f>
        <v>0</v>
      </c>
      <c r="O423" s="114">
        <f t="shared" si="38"/>
        <v>0</v>
      </c>
      <c r="P423" s="94"/>
      <c r="Q423" s="116" t="str">
        <f t="shared" si="39"/>
        <v>SI</v>
      </c>
    </row>
    <row r="424" spans="3:17" ht="15" hidden="1" customHeight="1" x14ac:dyDescent="0.25">
      <c r="C424" s="106">
        <v>500</v>
      </c>
      <c r="D424" s="671" t="s">
        <v>305</v>
      </c>
      <c r="E424" s="672"/>
      <c r="F424" s="672"/>
      <c r="G424" s="673"/>
      <c r="H424" s="344" t="s">
        <v>34</v>
      </c>
      <c r="I424" s="238">
        <v>21730.390000000003</v>
      </c>
      <c r="J424" s="107">
        <f>SUMIFS(APUS!Y:Y,APUS!M:M,INSUMOS!C424)</f>
        <v>0</v>
      </c>
      <c r="K424" s="209">
        <f t="shared" si="37"/>
        <v>0</v>
      </c>
      <c r="N424" s="123">
        <f>IFERROR(SUMIFS(APUS!$Z$140:$Z$182,APUS!#REF!,INSUMOS!D424),0)</f>
        <v>0</v>
      </c>
      <c r="O424" s="114">
        <f t="shared" si="38"/>
        <v>0</v>
      </c>
      <c r="P424" s="94"/>
      <c r="Q424" s="116" t="str">
        <f t="shared" si="39"/>
        <v>SI</v>
      </c>
    </row>
    <row r="425" spans="3:17" ht="15" hidden="1" customHeight="1" x14ac:dyDescent="0.25">
      <c r="C425" s="106">
        <v>501</v>
      </c>
      <c r="D425" s="671" t="s">
        <v>306</v>
      </c>
      <c r="E425" s="672"/>
      <c r="F425" s="672"/>
      <c r="G425" s="673"/>
      <c r="H425" s="344" t="s">
        <v>34</v>
      </c>
      <c r="I425" s="238">
        <v>30783.610000000004</v>
      </c>
      <c r="J425" s="107">
        <f>SUMIFS(APUS!Y:Y,APUS!M:M,INSUMOS!C425)</f>
        <v>0</v>
      </c>
      <c r="K425" s="209">
        <f t="shared" si="37"/>
        <v>0</v>
      </c>
      <c r="N425" s="123">
        <f>IFERROR(SUMIFS(APUS!$Z$140:$Z$182,APUS!#REF!,INSUMOS!D425),0)</f>
        <v>0</v>
      </c>
      <c r="O425" s="114">
        <f t="shared" si="38"/>
        <v>0</v>
      </c>
      <c r="P425" s="94"/>
      <c r="Q425" s="116" t="str">
        <f t="shared" si="39"/>
        <v>SI</v>
      </c>
    </row>
    <row r="426" spans="3:17" ht="15" hidden="1" customHeight="1" x14ac:dyDescent="0.25">
      <c r="C426" s="106">
        <v>502</v>
      </c>
      <c r="D426" s="671" t="s">
        <v>307</v>
      </c>
      <c r="E426" s="672"/>
      <c r="F426" s="672"/>
      <c r="G426" s="673"/>
      <c r="H426" s="344" t="s">
        <v>34</v>
      </c>
      <c r="I426" s="238">
        <v>75353.960000000006</v>
      </c>
      <c r="J426" s="107">
        <f>SUMIFS(APUS!Y:Y,APUS!M:M,INSUMOS!C426)</f>
        <v>0</v>
      </c>
      <c r="K426" s="209">
        <f t="shared" si="37"/>
        <v>0</v>
      </c>
      <c r="N426" s="123">
        <f>IFERROR(SUMIFS(APUS!$Z$140:$Z$182,APUS!#REF!,INSUMOS!D426),0)</f>
        <v>0</v>
      </c>
      <c r="O426" s="114">
        <f t="shared" si="38"/>
        <v>0</v>
      </c>
      <c r="P426" s="94"/>
      <c r="Q426" s="116" t="str">
        <f t="shared" si="39"/>
        <v>SI</v>
      </c>
    </row>
    <row r="427" spans="3:17" ht="15" hidden="1" customHeight="1" x14ac:dyDescent="0.25">
      <c r="C427" s="106">
        <v>503</v>
      </c>
      <c r="D427" s="671" t="s">
        <v>654</v>
      </c>
      <c r="E427" s="672"/>
      <c r="F427" s="672"/>
      <c r="G427" s="673"/>
      <c r="H427" s="344" t="s">
        <v>34</v>
      </c>
      <c r="I427" s="238">
        <v>7000</v>
      </c>
      <c r="J427" s="107">
        <f>SUMIFS(APUS!Y:Y,APUS!M:M,INSUMOS!C427)</f>
        <v>0</v>
      </c>
      <c r="K427" s="209">
        <f t="shared" si="37"/>
        <v>0</v>
      </c>
      <c r="N427" s="123">
        <f>IFERROR(SUMIFS(APUS!$Z$140:$Z$182,APUS!#REF!,INSUMOS!D427),0)</f>
        <v>0</v>
      </c>
      <c r="O427" s="114">
        <f t="shared" si="38"/>
        <v>0</v>
      </c>
      <c r="P427" s="94"/>
      <c r="Q427" s="116" t="str">
        <f t="shared" si="39"/>
        <v>SI</v>
      </c>
    </row>
    <row r="428" spans="3:17" ht="15" hidden="1" customHeight="1" x14ac:dyDescent="0.25">
      <c r="C428" s="106">
        <v>504</v>
      </c>
      <c r="D428" s="671" t="s">
        <v>655</v>
      </c>
      <c r="E428" s="672"/>
      <c r="F428" s="672"/>
      <c r="G428" s="673"/>
      <c r="H428" s="344" t="s">
        <v>34</v>
      </c>
      <c r="I428" s="238">
        <v>168190</v>
      </c>
      <c r="J428" s="107">
        <f>SUMIFS(APUS!Y:Y,APUS!M:M,INSUMOS!C428)</f>
        <v>0</v>
      </c>
      <c r="K428" s="209">
        <f t="shared" si="37"/>
        <v>0</v>
      </c>
      <c r="N428" s="123">
        <f>IFERROR(SUMIFS(APUS!$Z$140:$Z$182,APUS!#REF!,INSUMOS!D428),0)</f>
        <v>0</v>
      </c>
      <c r="O428" s="114">
        <f t="shared" si="38"/>
        <v>0</v>
      </c>
      <c r="P428" s="94"/>
      <c r="Q428" s="116" t="str">
        <f t="shared" si="39"/>
        <v>SI</v>
      </c>
    </row>
    <row r="429" spans="3:17" ht="15" hidden="1" customHeight="1" x14ac:dyDescent="0.25">
      <c r="C429" s="106">
        <v>505</v>
      </c>
      <c r="D429" s="671" t="s">
        <v>656</v>
      </c>
      <c r="E429" s="672"/>
      <c r="F429" s="672"/>
      <c r="G429" s="673"/>
      <c r="H429" s="344" t="s">
        <v>34</v>
      </c>
      <c r="I429" s="238">
        <v>96209.520000000019</v>
      </c>
      <c r="J429" s="107">
        <f>SUMIFS(APUS!Y:Y,APUS!M:M,INSUMOS!C429)</f>
        <v>0</v>
      </c>
      <c r="K429" s="209">
        <f t="shared" si="37"/>
        <v>0</v>
      </c>
      <c r="N429" s="123">
        <f>IFERROR(SUMIFS(APUS!$Z$140:$Z$182,APUS!#REF!,INSUMOS!D429),0)</f>
        <v>0</v>
      </c>
      <c r="O429" s="114">
        <f t="shared" si="38"/>
        <v>0</v>
      </c>
      <c r="P429" s="94"/>
      <c r="Q429" s="116" t="str">
        <f t="shared" si="39"/>
        <v>SI</v>
      </c>
    </row>
    <row r="430" spans="3:17" ht="15" hidden="1" customHeight="1" x14ac:dyDescent="0.25">
      <c r="C430" s="106">
        <v>506</v>
      </c>
      <c r="D430" s="671" t="s">
        <v>657</v>
      </c>
      <c r="E430" s="672"/>
      <c r="F430" s="672"/>
      <c r="G430" s="673"/>
      <c r="H430" s="344" t="s">
        <v>34</v>
      </c>
      <c r="I430" s="238">
        <v>151250</v>
      </c>
      <c r="J430" s="107">
        <f>SUMIFS(APUS!Y:Y,APUS!M:M,INSUMOS!C430)</f>
        <v>0</v>
      </c>
      <c r="K430" s="209">
        <f t="shared" si="37"/>
        <v>0</v>
      </c>
      <c r="N430" s="123">
        <f>IFERROR(SUMIFS(APUS!$Z$140:$Z$182,APUS!#REF!,INSUMOS!D430),0)</f>
        <v>0</v>
      </c>
      <c r="O430" s="114">
        <f t="shared" si="38"/>
        <v>0</v>
      </c>
      <c r="P430" s="94"/>
      <c r="Q430" s="116" t="str">
        <f t="shared" si="39"/>
        <v>SI</v>
      </c>
    </row>
    <row r="431" spans="3:17" ht="15" hidden="1" customHeight="1" x14ac:dyDescent="0.25">
      <c r="C431" s="106">
        <v>507</v>
      </c>
      <c r="D431" s="671" t="s">
        <v>658</v>
      </c>
      <c r="E431" s="672"/>
      <c r="F431" s="672"/>
      <c r="G431" s="673"/>
      <c r="H431" s="344" t="s">
        <v>34</v>
      </c>
      <c r="I431" s="238">
        <v>228881.18000000005</v>
      </c>
      <c r="J431" s="107">
        <f>SUMIFS(APUS!Y:Y,APUS!M:M,INSUMOS!C431)</f>
        <v>0</v>
      </c>
      <c r="K431" s="209">
        <f t="shared" si="37"/>
        <v>0</v>
      </c>
      <c r="N431" s="123">
        <f>IFERROR(SUMIFS(APUS!$Z$140:$Z$182,APUS!#REF!,INSUMOS!D431),0)</f>
        <v>0</v>
      </c>
      <c r="O431" s="114">
        <f t="shared" si="38"/>
        <v>0</v>
      </c>
      <c r="P431" s="94"/>
      <c r="Q431" s="116" t="str">
        <f t="shared" si="39"/>
        <v>SI</v>
      </c>
    </row>
    <row r="432" spans="3:17" ht="15" hidden="1" customHeight="1" x14ac:dyDescent="0.25">
      <c r="C432" s="106">
        <v>508</v>
      </c>
      <c r="D432" s="671" t="s">
        <v>659</v>
      </c>
      <c r="E432" s="672"/>
      <c r="F432" s="672"/>
      <c r="G432" s="673"/>
      <c r="H432" s="344" t="s">
        <v>34</v>
      </c>
      <c r="I432" s="238">
        <v>1427509.6</v>
      </c>
      <c r="J432" s="107">
        <f>SUMIFS(APUS!Y:Y,APUS!M:M,INSUMOS!C432)</f>
        <v>0</v>
      </c>
      <c r="K432" s="209">
        <f t="shared" si="37"/>
        <v>0</v>
      </c>
      <c r="N432" s="123">
        <f>IFERROR(SUMIFS(APUS!$Z$140:$Z$182,APUS!#REF!,INSUMOS!D432),0)</f>
        <v>0</v>
      </c>
      <c r="O432" s="114">
        <f t="shared" si="38"/>
        <v>0</v>
      </c>
      <c r="P432" s="94"/>
      <c r="Q432" s="116" t="str">
        <f t="shared" si="39"/>
        <v>SI</v>
      </c>
    </row>
    <row r="433" spans="3:17" ht="15" hidden="1" customHeight="1" x14ac:dyDescent="0.25">
      <c r="C433" s="106">
        <v>509</v>
      </c>
      <c r="D433" s="668" t="s">
        <v>660</v>
      </c>
      <c r="E433" s="669"/>
      <c r="F433" s="669"/>
      <c r="G433" s="670"/>
      <c r="H433" s="343" t="s">
        <v>34</v>
      </c>
      <c r="I433" s="238">
        <v>4888.4000000000005</v>
      </c>
      <c r="J433" s="107">
        <f>SUMIFS(APUS!Y:Y,APUS!M:M,INSUMOS!C433)</f>
        <v>0</v>
      </c>
      <c r="K433" s="209">
        <f t="shared" si="37"/>
        <v>0</v>
      </c>
      <c r="N433" s="123">
        <f>IFERROR(SUMIFS(APUS!$Z$140:$Z$182,APUS!#REF!,INSUMOS!D433),0)</f>
        <v>0</v>
      </c>
      <c r="O433" s="114">
        <f t="shared" si="38"/>
        <v>0</v>
      </c>
      <c r="P433" s="94"/>
      <c r="Q433" s="116" t="str">
        <f t="shared" si="39"/>
        <v>SI</v>
      </c>
    </row>
    <row r="434" spans="3:17" ht="15" hidden="1" customHeight="1" x14ac:dyDescent="0.25">
      <c r="C434" s="106">
        <v>510</v>
      </c>
      <c r="D434" s="668" t="s">
        <v>661</v>
      </c>
      <c r="E434" s="669"/>
      <c r="F434" s="669"/>
      <c r="G434" s="670"/>
      <c r="H434" s="343" t="s">
        <v>34</v>
      </c>
      <c r="I434" s="238">
        <v>23242.890000000003</v>
      </c>
      <c r="J434" s="107">
        <f>SUMIFS(APUS!Y:Y,APUS!M:M,INSUMOS!C434)</f>
        <v>0</v>
      </c>
      <c r="K434" s="209">
        <f t="shared" si="37"/>
        <v>0</v>
      </c>
      <c r="N434" s="123">
        <f>IFERROR(SUMIFS(APUS!$Z$140:$Z$182,APUS!#REF!,INSUMOS!D434),0)</f>
        <v>0</v>
      </c>
      <c r="O434" s="114">
        <f t="shared" si="38"/>
        <v>0</v>
      </c>
      <c r="P434" s="94"/>
      <c r="Q434" s="116" t="str">
        <f t="shared" si="39"/>
        <v>SI</v>
      </c>
    </row>
    <row r="435" spans="3:17" ht="15" hidden="1" customHeight="1" x14ac:dyDescent="0.25">
      <c r="C435" s="106">
        <v>511</v>
      </c>
      <c r="D435" s="668" t="s">
        <v>662</v>
      </c>
      <c r="E435" s="669"/>
      <c r="F435" s="669"/>
      <c r="G435" s="670"/>
      <c r="H435" s="343" t="s">
        <v>34</v>
      </c>
      <c r="I435" s="238"/>
      <c r="J435" s="107">
        <f>SUMIFS(APUS!Y:Y,APUS!M:M,INSUMOS!C435)</f>
        <v>0</v>
      </c>
      <c r="K435" s="209">
        <f t="shared" ref="K435:K498" si="40">+J435*I435</f>
        <v>0</v>
      </c>
      <c r="N435" s="123">
        <f>IFERROR(SUMIFS(APUS!$Z$140:$Z$182,APUS!#REF!,INSUMOS!D435),0)</f>
        <v>0</v>
      </c>
      <c r="O435" s="114">
        <f t="shared" si="38"/>
        <v>0</v>
      </c>
      <c r="P435" s="94"/>
      <c r="Q435" s="116" t="str">
        <f t="shared" si="39"/>
        <v>SI</v>
      </c>
    </row>
    <row r="436" spans="3:17" ht="15" hidden="1" customHeight="1" x14ac:dyDescent="0.25">
      <c r="C436" s="106">
        <v>512</v>
      </c>
      <c r="D436" s="668" t="s">
        <v>663</v>
      </c>
      <c r="E436" s="669"/>
      <c r="F436" s="669"/>
      <c r="G436" s="670"/>
      <c r="H436" s="343" t="s">
        <v>34</v>
      </c>
      <c r="I436" s="238"/>
      <c r="J436" s="107">
        <f>SUMIFS(APUS!Y:Y,APUS!M:M,INSUMOS!C436)</f>
        <v>0</v>
      </c>
      <c r="K436" s="209">
        <f t="shared" si="40"/>
        <v>0</v>
      </c>
      <c r="N436" s="123">
        <f>IFERROR(SUMIFS(APUS!$Z$140:$Z$182,APUS!#REF!,INSUMOS!D436),0)</f>
        <v>0</v>
      </c>
      <c r="O436" s="114">
        <f t="shared" si="38"/>
        <v>0</v>
      </c>
      <c r="P436" s="94"/>
      <c r="Q436" s="116" t="str">
        <f t="shared" si="39"/>
        <v>SI</v>
      </c>
    </row>
    <row r="437" spans="3:17" ht="15" hidden="1" customHeight="1" x14ac:dyDescent="0.25">
      <c r="C437" s="106">
        <v>513</v>
      </c>
      <c r="D437" s="668" t="s">
        <v>664</v>
      </c>
      <c r="E437" s="669"/>
      <c r="F437" s="669"/>
      <c r="G437" s="670"/>
      <c r="H437" s="343" t="s">
        <v>34</v>
      </c>
      <c r="I437" s="238"/>
      <c r="J437" s="107">
        <f>SUMIFS(APUS!Y:Y,APUS!M:M,INSUMOS!C437)</f>
        <v>0</v>
      </c>
      <c r="K437" s="209">
        <f t="shared" si="40"/>
        <v>0</v>
      </c>
      <c r="N437" s="123">
        <f>IFERROR(SUMIFS(APUS!$Z$140:$Z$182,APUS!#REF!,INSUMOS!D437),0)</f>
        <v>0</v>
      </c>
      <c r="O437" s="114">
        <f t="shared" si="38"/>
        <v>0</v>
      </c>
      <c r="P437" s="94"/>
      <c r="Q437" s="116" t="str">
        <f t="shared" si="39"/>
        <v>SI</v>
      </c>
    </row>
    <row r="438" spans="3:17" ht="15" hidden="1" customHeight="1" x14ac:dyDescent="0.25">
      <c r="C438" s="106">
        <v>514</v>
      </c>
      <c r="D438" s="668" t="s">
        <v>665</v>
      </c>
      <c r="E438" s="669"/>
      <c r="F438" s="669"/>
      <c r="G438" s="670"/>
      <c r="H438" s="343" t="s">
        <v>34</v>
      </c>
      <c r="I438" s="238">
        <v>19554.810000000005</v>
      </c>
      <c r="J438" s="107">
        <f>SUMIFS(APUS!Y:Y,APUS!M:M,INSUMOS!C438)</f>
        <v>0</v>
      </c>
      <c r="K438" s="209">
        <f t="shared" si="40"/>
        <v>0</v>
      </c>
      <c r="N438" s="123">
        <f>IFERROR(SUMIFS(APUS!$Z$140:$Z$182,APUS!#REF!,INSUMOS!D438),0)</f>
        <v>0</v>
      </c>
      <c r="O438" s="114">
        <f t="shared" si="38"/>
        <v>0</v>
      </c>
      <c r="P438" s="94"/>
      <c r="Q438" s="116" t="str">
        <f t="shared" si="39"/>
        <v>SI</v>
      </c>
    </row>
    <row r="439" spans="3:17" ht="15" hidden="1" customHeight="1" x14ac:dyDescent="0.25">
      <c r="C439" s="106">
        <v>515</v>
      </c>
      <c r="D439" s="668" t="s">
        <v>666</v>
      </c>
      <c r="E439" s="669"/>
      <c r="F439" s="669"/>
      <c r="G439" s="670"/>
      <c r="H439" s="343" t="s">
        <v>34</v>
      </c>
      <c r="I439" s="238"/>
      <c r="J439" s="107">
        <f>SUMIFS(APUS!Y:Y,APUS!M:M,INSUMOS!C439)</f>
        <v>0</v>
      </c>
      <c r="K439" s="209">
        <f t="shared" si="40"/>
        <v>0</v>
      </c>
      <c r="N439" s="123">
        <f>IFERROR(SUMIFS(APUS!$Z$140:$Z$182,APUS!#REF!,INSUMOS!D439),0)</f>
        <v>0</v>
      </c>
      <c r="O439" s="114">
        <f t="shared" si="38"/>
        <v>0</v>
      </c>
      <c r="P439" s="94"/>
      <c r="Q439" s="116" t="str">
        <f t="shared" si="39"/>
        <v>SI</v>
      </c>
    </row>
    <row r="440" spans="3:17" ht="15" hidden="1" customHeight="1" x14ac:dyDescent="0.25">
      <c r="C440" s="106">
        <v>516</v>
      </c>
      <c r="D440" s="668" t="s">
        <v>472</v>
      </c>
      <c r="E440" s="669"/>
      <c r="F440" s="669"/>
      <c r="G440" s="670"/>
      <c r="H440" s="343" t="s">
        <v>34</v>
      </c>
      <c r="I440" s="238"/>
      <c r="J440" s="107">
        <f>SUMIFS(APUS!Y:Y,APUS!M:M,INSUMOS!C440)</f>
        <v>0</v>
      </c>
      <c r="K440" s="209">
        <f t="shared" si="40"/>
        <v>0</v>
      </c>
      <c r="N440" s="123">
        <f>IFERROR(SUMIFS(APUS!$Z$140:$Z$182,APUS!#REF!,INSUMOS!D440),0)</f>
        <v>0</v>
      </c>
      <c r="O440" s="114">
        <f t="shared" si="38"/>
        <v>0</v>
      </c>
      <c r="P440" s="94"/>
      <c r="Q440" s="116" t="str">
        <f t="shared" si="39"/>
        <v>SI</v>
      </c>
    </row>
    <row r="441" spans="3:17" ht="15" hidden="1" customHeight="1" x14ac:dyDescent="0.25">
      <c r="C441" s="106">
        <v>517</v>
      </c>
      <c r="D441" s="668" t="s">
        <v>473</v>
      </c>
      <c r="E441" s="669"/>
      <c r="F441" s="669"/>
      <c r="G441" s="670"/>
      <c r="H441" s="343" t="s">
        <v>34</v>
      </c>
      <c r="I441" s="238"/>
      <c r="J441" s="107">
        <f>SUMIFS(APUS!Y:Y,APUS!M:M,INSUMOS!C441)</f>
        <v>0</v>
      </c>
      <c r="K441" s="209">
        <f t="shared" si="40"/>
        <v>0</v>
      </c>
      <c r="N441" s="123">
        <f>IFERROR(SUMIFS(APUS!$Z$140:$Z$182,APUS!#REF!,INSUMOS!D441),0)</f>
        <v>0</v>
      </c>
      <c r="O441" s="114">
        <f t="shared" si="38"/>
        <v>0</v>
      </c>
      <c r="P441" s="94"/>
      <c r="Q441" s="116" t="str">
        <f t="shared" si="39"/>
        <v>SI</v>
      </c>
    </row>
    <row r="442" spans="3:17" hidden="1" x14ac:dyDescent="0.25">
      <c r="C442" s="106">
        <v>518</v>
      </c>
      <c r="D442" s="668" t="s">
        <v>667</v>
      </c>
      <c r="E442" s="669"/>
      <c r="F442" s="669"/>
      <c r="G442" s="670"/>
      <c r="H442" s="343" t="s">
        <v>34</v>
      </c>
      <c r="I442" s="238">
        <v>74900</v>
      </c>
      <c r="J442" s="107">
        <f>SUMIFS(APUS!Y:Y,APUS!M:M,INSUMOS!C442)</f>
        <v>0</v>
      </c>
      <c r="K442" s="209">
        <f t="shared" si="40"/>
        <v>0</v>
      </c>
      <c r="N442" s="123">
        <f>IFERROR(SUMIFS(APUS!$Z$140:$Z$182,APUS!#REF!,INSUMOS!D442),0)</f>
        <v>0</v>
      </c>
      <c r="O442" s="114">
        <f t="shared" si="38"/>
        <v>0</v>
      </c>
      <c r="P442" s="94"/>
      <c r="Q442" s="116" t="str">
        <f t="shared" si="39"/>
        <v>SI</v>
      </c>
    </row>
    <row r="443" spans="3:17" hidden="1" x14ac:dyDescent="0.25">
      <c r="C443" s="106">
        <v>519</v>
      </c>
      <c r="D443" s="668" t="s">
        <v>668</v>
      </c>
      <c r="E443" s="669"/>
      <c r="F443" s="669"/>
      <c r="G443" s="670"/>
      <c r="H443" s="343" t="s">
        <v>34</v>
      </c>
      <c r="I443" s="238">
        <v>9900</v>
      </c>
      <c r="J443" s="107">
        <f>SUMIFS(APUS!Y:Y,APUS!M:M,INSUMOS!C443)</f>
        <v>0</v>
      </c>
      <c r="K443" s="209">
        <f t="shared" si="40"/>
        <v>0</v>
      </c>
      <c r="N443" s="123">
        <f>IFERROR(SUMIFS(APUS!$Z$140:$Z$182,APUS!#REF!,INSUMOS!D443),0)</f>
        <v>0</v>
      </c>
      <c r="O443" s="114">
        <f t="shared" si="38"/>
        <v>0</v>
      </c>
      <c r="P443" s="94"/>
      <c r="Q443" s="116" t="str">
        <f t="shared" si="39"/>
        <v>SI</v>
      </c>
    </row>
    <row r="444" spans="3:17" ht="15" hidden="1" customHeight="1" x14ac:dyDescent="0.25">
      <c r="C444" s="106">
        <v>520</v>
      </c>
      <c r="D444" s="668" t="s">
        <v>316</v>
      </c>
      <c r="E444" s="669"/>
      <c r="F444" s="669"/>
      <c r="G444" s="670"/>
      <c r="H444" s="345" t="s">
        <v>33</v>
      </c>
      <c r="I444" s="238">
        <v>4342.6900000000005</v>
      </c>
      <c r="J444" s="107">
        <f>SUMIFS(APUS!Y:Y,APUS!M:M,INSUMOS!C444)</f>
        <v>0</v>
      </c>
      <c r="K444" s="209">
        <f t="shared" si="40"/>
        <v>0</v>
      </c>
      <c r="N444" s="123">
        <f>IFERROR(SUMIFS(APUS!$Z$140:$Z$182,APUS!#REF!,INSUMOS!D444),0)</f>
        <v>0</v>
      </c>
      <c r="O444" s="114">
        <f t="shared" si="38"/>
        <v>0</v>
      </c>
      <c r="P444" s="94"/>
      <c r="Q444" s="116" t="str">
        <f t="shared" si="39"/>
        <v>SI</v>
      </c>
    </row>
    <row r="445" spans="3:17" ht="15" hidden="1" customHeight="1" x14ac:dyDescent="0.25">
      <c r="C445" s="106">
        <v>521</v>
      </c>
      <c r="D445" s="668" t="s">
        <v>317</v>
      </c>
      <c r="E445" s="669"/>
      <c r="F445" s="669"/>
      <c r="G445" s="670"/>
      <c r="H445" s="345" t="s">
        <v>33</v>
      </c>
      <c r="I445" s="238">
        <v>5782.5900000000011</v>
      </c>
      <c r="J445" s="107">
        <f>SUMIFS(APUS!Y:Y,APUS!M:M,INSUMOS!C445)</f>
        <v>0</v>
      </c>
      <c r="K445" s="209">
        <f t="shared" si="40"/>
        <v>0</v>
      </c>
      <c r="N445" s="123">
        <f>IFERROR(SUMIFS(APUS!$Z$140:$Z$182,APUS!#REF!,INSUMOS!D445),0)</f>
        <v>0</v>
      </c>
      <c r="O445" s="114">
        <f t="shared" si="38"/>
        <v>0</v>
      </c>
      <c r="P445" s="94"/>
      <c r="Q445" s="116" t="str">
        <f t="shared" si="39"/>
        <v>SI</v>
      </c>
    </row>
    <row r="446" spans="3:17" ht="15" hidden="1" customHeight="1" x14ac:dyDescent="0.25">
      <c r="C446" s="106">
        <v>522</v>
      </c>
      <c r="D446" s="668" t="s">
        <v>318</v>
      </c>
      <c r="E446" s="669"/>
      <c r="F446" s="669"/>
      <c r="G446" s="670"/>
      <c r="H446" s="345" t="s">
        <v>33</v>
      </c>
      <c r="I446" s="238">
        <v>3098.8100000000009</v>
      </c>
      <c r="J446" s="107">
        <f>SUMIFS(APUS!Y:Y,APUS!M:M,INSUMOS!C446)</f>
        <v>0</v>
      </c>
      <c r="K446" s="209">
        <f t="shared" si="40"/>
        <v>0</v>
      </c>
      <c r="N446" s="123">
        <f>IFERROR(SUMIFS(APUS!$Z$140:$Z$182,APUS!#REF!,INSUMOS!D446),0)</f>
        <v>0</v>
      </c>
      <c r="O446" s="114">
        <f t="shared" si="38"/>
        <v>0</v>
      </c>
      <c r="P446" s="94"/>
      <c r="Q446" s="116" t="str">
        <f t="shared" si="39"/>
        <v>SI</v>
      </c>
    </row>
    <row r="447" spans="3:17" ht="15" hidden="1" customHeight="1" x14ac:dyDescent="0.25">
      <c r="C447" s="106">
        <v>523</v>
      </c>
      <c r="D447" s="668" t="s">
        <v>319</v>
      </c>
      <c r="E447" s="669"/>
      <c r="F447" s="669"/>
      <c r="G447" s="670"/>
      <c r="H447" s="345" t="s">
        <v>33</v>
      </c>
      <c r="I447" s="238">
        <v>7800.8700000000017</v>
      </c>
      <c r="J447" s="107">
        <f>SUMIFS(APUS!Y:Y,APUS!M:M,INSUMOS!C447)</f>
        <v>0</v>
      </c>
      <c r="K447" s="209">
        <f t="shared" si="40"/>
        <v>0</v>
      </c>
      <c r="N447" s="123">
        <f>IFERROR(SUMIFS(APUS!$Z$140:$Z$182,APUS!#REF!,INSUMOS!D447),0)</f>
        <v>0</v>
      </c>
      <c r="O447" s="114">
        <f t="shared" si="38"/>
        <v>0</v>
      </c>
      <c r="P447" s="94"/>
      <c r="Q447" s="116" t="str">
        <f t="shared" si="39"/>
        <v>SI</v>
      </c>
    </row>
    <row r="448" spans="3:17" ht="15" hidden="1" customHeight="1" x14ac:dyDescent="0.25">
      <c r="C448" s="106">
        <v>524</v>
      </c>
      <c r="D448" s="668" t="s">
        <v>320</v>
      </c>
      <c r="E448" s="669"/>
      <c r="F448" s="669"/>
      <c r="G448" s="670"/>
      <c r="H448" s="345" t="s">
        <v>33</v>
      </c>
      <c r="I448" s="238">
        <v>3839.3300000000004</v>
      </c>
      <c r="J448" s="107">
        <f>SUMIFS(APUS!Y:Y,APUS!M:M,INSUMOS!C448)</f>
        <v>0</v>
      </c>
      <c r="K448" s="209">
        <f t="shared" si="40"/>
        <v>0</v>
      </c>
      <c r="N448" s="123">
        <f>IFERROR(SUMIFS(APUS!$Z$140:$Z$182,APUS!#REF!,INSUMOS!D448),0)</f>
        <v>0</v>
      </c>
      <c r="O448" s="114">
        <f t="shared" si="38"/>
        <v>0</v>
      </c>
      <c r="P448" s="94"/>
      <c r="Q448" s="116" t="str">
        <f t="shared" si="39"/>
        <v>SI</v>
      </c>
    </row>
    <row r="449" spans="3:17" ht="15" hidden="1" customHeight="1" x14ac:dyDescent="0.25">
      <c r="C449" s="106">
        <v>525</v>
      </c>
      <c r="D449" s="668" t="s">
        <v>321</v>
      </c>
      <c r="E449" s="669"/>
      <c r="F449" s="669"/>
      <c r="G449" s="670"/>
      <c r="H449" s="345" t="s">
        <v>33</v>
      </c>
      <c r="I449" s="238">
        <v>5388.130000000001</v>
      </c>
      <c r="J449" s="107">
        <f>SUMIFS(APUS!Y:Y,APUS!M:M,INSUMOS!C449)</f>
        <v>0</v>
      </c>
      <c r="K449" s="209">
        <f t="shared" si="40"/>
        <v>0</v>
      </c>
      <c r="N449" s="123">
        <f>IFERROR(SUMIFS(APUS!$Z$140:$Z$182,APUS!#REF!,INSUMOS!D449),0)</f>
        <v>0</v>
      </c>
      <c r="O449" s="114">
        <f t="shared" si="38"/>
        <v>0</v>
      </c>
      <c r="P449" s="94"/>
      <c r="Q449" s="116" t="str">
        <f t="shared" si="39"/>
        <v>SI</v>
      </c>
    </row>
    <row r="450" spans="3:17" ht="15" hidden="1" customHeight="1" x14ac:dyDescent="0.25">
      <c r="C450" s="106">
        <v>526</v>
      </c>
      <c r="D450" s="668" t="s">
        <v>322</v>
      </c>
      <c r="E450" s="669"/>
      <c r="F450" s="669"/>
      <c r="G450" s="670"/>
      <c r="H450" s="345" t="s">
        <v>33</v>
      </c>
      <c r="I450" s="238">
        <v>9705.4100000000017</v>
      </c>
      <c r="J450" s="107">
        <f>SUMIFS(APUS!Y:Y,APUS!M:M,INSUMOS!C450)</f>
        <v>0</v>
      </c>
      <c r="K450" s="209">
        <f t="shared" si="40"/>
        <v>0</v>
      </c>
      <c r="N450" s="123">
        <f>IFERROR(SUMIFS(APUS!$Z$140:$Z$182,APUS!#REF!,INSUMOS!D450),0)</f>
        <v>0</v>
      </c>
      <c r="O450" s="114">
        <f t="shared" si="38"/>
        <v>0</v>
      </c>
      <c r="P450" s="94"/>
      <c r="Q450" s="116" t="str">
        <f t="shared" si="39"/>
        <v>SI</v>
      </c>
    </row>
    <row r="451" spans="3:17" ht="15" hidden="1" customHeight="1" x14ac:dyDescent="0.25">
      <c r="C451" s="106">
        <v>527</v>
      </c>
      <c r="D451" s="668" t="s">
        <v>323</v>
      </c>
      <c r="E451" s="669"/>
      <c r="F451" s="669"/>
      <c r="G451" s="670"/>
      <c r="H451" s="345" t="s">
        <v>33</v>
      </c>
      <c r="I451" s="238">
        <v>12672.330000000002</v>
      </c>
      <c r="J451" s="107">
        <f>SUMIFS(APUS!Y:Y,APUS!M:M,INSUMOS!C451)</f>
        <v>0</v>
      </c>
      <c r="K451" s="209">
        <f t="shared" si="40"/>
        <v>0</v>
      </c>
      <c r="N451" s="123">
        <f>IFERROR(SUMIFS(APUS!$Z$140:$Z$182,APUS!#REF!,INSUMOS!D451),0)</f>
        <v>0</v>
      </c>
      <c r="O451" s="114">
        <f t="shared" si="38"/>
        <v>0</v>
      </c>
      <c r="P451" s="94"/>
      <c r="Q451" s="116" t="str">
        <f t="shared" si="39"/>
        <v>SI</v>
      </c>
    </row>
    <row r="452" spans="3:17" ht="15" hidden="1" customHeight="1" x14ac:dyDescent="0.25">
      <c r="C452" s="106">
        <v>528</v>
      </c>
      <c r="D452" s="668" t="s">
        <v>327</v>
      </c>
      <c r="E452" s="669"/>
      <c r="F452" s="669"/>
      <c r="G452" s="670"/>
      <c r="H452" s="345" t="s">
        <v>33</v>
      </c>
      <c r="I452" s="238">
        <v>19431.390000000003</v>
      </c>
      <c r="J452" s="107">
        <f>SUMIFS(APUS!Y:Y,APUS!M:M,INSUMOS!C452)</f>
        <v>0</v>
      </c>
      <c r="K452" s="209">
        <f t="shared" si="40"/>
        <v>0</v>
      </c>
      <c r="N452" s="123">
        <f>IFERROR(SUMIFS(APUS!$Z$140:$Z$182,APUS!#REF!,INSUMOS!D452),0)</f>
        <v>0</v>
      </c>
      <c r="O452" s="114">
        <f t="shared" si="38"/>
        <v>0</v>
      </c>
      <c r="P452" s="94"/>
      <c r="Q452" s="116" t="str">
        <f t="shared" si="39"/>
        <v>SI</v>
      </c>
    </row>
    <row r="453" spans="3:17" ht="15" hidden="1" customHeight="1" x14ac:dyDescent="0.25">
      <c r="C453" s="106">
        <v>529</v>
      </c>
      <c r="D453" s="668" t="s">
        <v>326</v>
      </c>
      <c r="E453" s="669"/>
      <c r="F453" s="669"/>
      <c r="G453" s="670"/>
      <c r="H453" s="345" t="s">
        <v>33</v>
      </c>
      <c r="I453" s="238">
        <v>31491.460000000006</v>
      </c>
      <c r="J453" s="107">
        <f>SUMIFS(APUS!Y:Y,APUS!M:M,INSUMOS!C453)</f>
        <v>0</v>
      </c>
      <c r="K453" s="209">
        <f t="shared" si="40"/>
        <v>0</v>
      </c>
      <c r="N453" s="123">
        <f>IFERROR(SUMIFS(APUS!$Z$140:$Z$182,APUS!#REF!,INSUMOS!D453),0)</f>
        <v>0</v>
      </c>
      <c r="O453" s="114">
        <f t="shared" si="38"/>
        <v>0</v>
      </c>
      <c r="P453" s="94"/>
      <c r="Q453" s="116" t="str">
        <f t="shared" si="39"/>
        <v>SI</v>
      </c>
    </row>
    <row r="454" spans="3:17" ht="15" hidden="1" customHeight="1" x14ac:dyDescent="0.25">
      <c r="C454" s="106">
        <v>530</v>
      </c>
      <c r="D454" s="668" t="s">
        <v>325</v>
      </c>
      <c r="E454" s="669"/>
      <c r="F454" s="669"/>
      <c r="G454" s="670"/>
      <c r="H454" s="345" t="s">
        <v>33</v>
      </c>
      <c r="I454" s="238">
        <v>42045.080000000009</v>
      </c>
      <c r="J454" s="107">
        <f>SUMIFS(APUS!Y:Y,APUS!M:M,INSUMOS!C454)</f>
        <v>0</v>
      </c>
      <c r="K454" s="209">
        <f t="shared" si="40"/>
        <v>0</v>
      </c>
      <c r="N454" s="123">
        <f>IFERROR(SUMIFS(APUS!$Z$140:$Z$182,APUS!#REF!,INSUMOS!D454),0)</f>
        <v>0</v>
      </c>
      <c r="O454" s="114">
        <f t="shared" si="38"/>
        <v>0</v>
      </c>
      <c r="P454" s="94"/>
      <c r="Q454" s="116" t="str">
        <f t="shared" si="39"/>
        <v>SI</v>
      </c>
    </row>
    <row r="455" spans="3:17" ht="15" hidden="1" customHeight="1" x14ac:dyDescent="0.25">
      <c r="C455" s="106">
        <v>531</v>
      </c>
      <c r="D455" s="668" t="s">
        <v>579</v>
      </c>
      <c r="E455" s="669"/>
      <c r="F455" s="669"/>
      <c r="G455" s="670"/>
      <c r="H455" s="345" t="s">
        <v>33</v>
      </c>
      <c r="I455" s="238">
        <v>71715.49000000002</v>
      </c>
      <c r="J455" s="107">
        <f>SUMIFS(APUS!Y:Y,APUS!M:M,INSUMOS!C455)</f>
        <v>0</v>
      </c>
      <c r="K455" s="209">
        <f t="shared" si="40"/>
        <v>0</v>
      </c>
      <c r="N455" s="123">
        <f>IFERROR(SUMIFS(APUS!$Z$140:$Z$182,APUS!#REF!,INSUMOS!D455),0)</f>
        <v>0</v>
      </c>
      <c r="O455" s="114">
        <f t="shared" si="38"/>
        <v>0</v>
      </c>
      <c r="P455" s="94"/>
      <c r="Q455" s="116" t="str">
        <f t="shared" si="39"/>
        <v>SI</v>
      </c>
    </row>
    <row r="456" spans="3:17" ht="15" hidden="1" customHeight="1" x14ac:dyDescent="0.25">
      <c r="C456" s="106">
        <v>532</v>
      </c>
      <c r="D456" s="668" t="s">
        <v>324</v>
      </c>
      <c r="E456" s="669"/>
      <c r="F456" s="669"/>
      <c r="G456" s="670"/>
      <c r="H456" s="345" t="s">
        <v>33</v>
      </c>
      <c r="I456" s="238">
        <v>152594.31000000003</v>
      </c>
      <c r="J456" s="107">
        <f>SUMIFS(APUS!Y:Y,APUS!M:M,INSUMOS!C456)</f>
        <v>0</v>
      </c>
      <c r="K456" s="209">
        <f t="shared" si="40"/>
        <v>0</v>
      </c>
      <c r="N456" s="123">
        <f>IFERROR(SUMIFS(APUS!$Z$140:$Z$182,APUS!#REF!,INSUMOS!D456),0)</f>
        <v>0</v>
      </c>
      <c r="O456" s="114">
        <f t="shared" si="38"/>
        <v>0</v>
      </c>
      <c r="P456" s="94"/>
      <c r="Q456" s="116" t="str">
        <f t="shared" si="39"/>
        <v>SI</v>
      </c>
    </row>
    <row r="457" spans="3:17" ht="15" hidden="1" customHeight="1" x14ac:dyDescent="0.25">
      <c r="C457" s="106">
        <v>533</v>
      </c>
      <c r="D457" s="668" t="s">
        <v>328</v>
      </c>
      <c r="E457" s="669"/>
      <c r="F457" s="669"/>
      <c r="G457" s="670"/>
      <c r="H457" s="345" t="s">
        <v>33</v>
      </c>
      <c r="I457" s="238">
        <v>16043.390000000003</v>
      </c>
      <c r="J457" s="107">
        <f>SUMIFS(APUS!Y:Y,APUS!M:M,INSUMOS!C457)</f>
        <v>0</v>
      </c>
      <c r="K457" s="209">
        <f t="shared" si="40"/>
        <v>0</v>
      </c>
      <c r="N457" s="123">
        <f>IFERROR(SUMIFS(APUS!$Z$140:$Z$182,APUS!#REF!,INSUMOS!D457),0)</f>
        <v>0</v>
      </c>
      <c r="O457" s="114">
        <f t="shared" si="38"/>
        <v>0</v>
      </c>
      <c r="P457" s="94"/>
      <c r="Q457" s="116" t="str">
        <f t="shared" si="39"/>
        <v>SI</v>
      </c>
    </row>
    <row r="458" spans="3:17" ht="15" hidden="1" customHeight="1" x14ac:dyDescent="0.25">
      <c r="C458" s="106">
        <v>534</v>
      </c>
      <c r="D458" s="668" t="s">
        <v>329</v>
      </c>
      <c r="E458" s="669"/>
      <c r="F458" s="669"/>
      <c r="G458" s="670"/>
      <c r="H458" s="345" t="s">
        <v>33</v>
      </c>
      <c r="I458" s="238">
        <v>34274.460000000006</v>
      </c>
      <c r="J458" s="107">
        <f>SUMIFS(APUS!Y:Y,APUS!M:M,INSUMOS!C458)</f>
        <v>0</v>
      </c>
      <c r="K458" s="209">
        <f t="shared" si="40"/>
        <v>0</v>
      </c>
      <c r="N458" s="123">
        <f>IFERROR(SUMIFS(APUS!$Z$140:$Z$182,APUS!#REF!,INSUMOS!D458),0)</f>
        <v>0</v>
      </c>
      <c r="O458" s="114">
        <f t="shared" si="38"/>
        <v>0</v>
      </c>
      <c r="P458" s="94"/>
      <c r="Q458" s="116" t="str">
        <f t="shared" si="39"/>
        <v>SI</v>
      </c>
    </row>
    <row r="459" spans="3:17" ht="15" hidden="1" customHeight="1" x14ac:dyDescent="0.25">
      <c r="C459" s="106">
        <v>535</v>
      </c>
      <c r="D459" s="668" t="s">
        <v>643</v>
      </c>
      <c r="E459" s="669"/>
      <c r="F459" s="669"/>
      <c r="G459" s="670"/>
      <c r="H459" s="343" t="s">
        <v>34</v>
      </c>
      <c r="I459" s="238">
        <v>3136</v>
      </c>
      <c r="J459" s="107">
        <f>SUMIFS(APUS!Y:Y,APUS!M:M,INSUMOS!C459)</f>
        <v>0</v>
      </c>
      <c r="K459" s="209">
        <f t="shared" si="40"/>
        <v>0</v>
      </c>
      <c r="N459" s="123">
        <f>IFERROR(SUMIFS(APUS!$Z$140:$Z$182,APUS!#REF!,INSUMOS!D459),0)</f>
        <v>0</v>
      </c>
      <c r="O459" s="114">
        <f t="shared" si="38"/>
        <v>0</v>
      </c>
      <c r="P459" s="94"/>
      <c r="Q459" s="116" t="str">
        <f t="shared" si="39"/>
        <v>SI</v>
      </c>
    </row>
    <row r="460" spans="3:17" ht="15" customHeight="1" x14ac:dyDescent="0.25">
      <c r="C460" s="106">
        <v>536</v>
      </c>
      <c r="D460" s="668" t="s">
        <v>543</v>
      </c>
      <c r="E460" s="669"/>
      <c r="F460" s="669"/>
      <c r="G460" s="670"/>
      <c r="H460" s="343" t="s">
        <v>34</v>
      </c>
      <c r="I460" s="238">
        <v>17859</v>
      </c>
      <c r="J460" s="107">
        <f>SUMIFS(APUS!Y:Y,APUS!M:M,INSUMOS!C460)</f>
        <v>35</v>
      </c>
      <c r="K460" s="209">
        <f t="shared" si="40"/>
        <v>625065</v>
      </c>
      <c r="N460" s="123">
        <f>IFERROR(SUMIFS(APUS!$Z$140:$Z$182,APUS!#REF!,INSUMOS!D460),0)</f>
        <v>0</v>
      </c>
      <c r="O460" s="114">
        <f t="shared" si="38"/>
        <v>-625065</v>
      </c>
      <c r="P460" s="94"/>
      <c r="Q460" s="116" t="str">
        <f t="shared" si="39"/>
        <v>NO</v>
      </c>
    </row>
    <row r="461" spans="3:17" ht="15" customHeight="1" x14ac:dyDescent="0.25">
      <c r="C461" s="106">
        <v>537</v>
      </c>
      <c r="D461" s="668" t="s">
        <v>544</v>
      </c>
      <c r="E461" s="669"/>
      <c r="F461" s="669"/>
      <c r="G461" s="670"/>
      <c r="H461" s="343" t="s">
        <v>34</v>
      </c>
      <c r="I461" s="238">
        <v>20092</v>
      </c>
      <c r="J461" s="107">
        <f>SUMIFS(APUS!Y:Y,APUS!M:M,INSUMOS!C461)</f>
        <v>59</v>
      </c>
      <c r="K461" s="209">
        <f t="shared" si="40"/>
        <v>1185428</v>
      </c>
      <c r="N461" s="123">
        <f>IFERROR(SUMIFS(APUS!$Z$140:$Z$182,APUS!#REF!,INSUMOS!D461),0)</f>
        <v>0</v>
      </c>
      <c r="O461" s="114">
        <f t="shared" si="38"/>
        <v>-1185428</v>
      </c>
      <c r="P461" s="94"/>
      <c r="Q461" s="116" t="str">
        <f t="shared" si="39"/>
        <v>NO</v>
      </c>
    </row>
    <row r="462" spans="3:17" ht="15" customHeight="1" x14ac:dyDescent="0.25">
      <c r="C462" s="106">
        <v>538</v>
      </c>
      <c r="D462" s="668" t="s">
        <v>545</v>
      </c>
      <c r="E462" s="669"/>
      <c r="F462" s="669"/>
      <c r="G462" s="670"/>
      <c r="H462" s="343" t="s">
        <v>34</v>
      </c>
      <c r="I462" s="238">
        <v>5308</v>
      </c>
      <c r="J462" s="107">
        <f>SUMIFS(APUS!Y:Y,APUS!M:M,INSUMOS!C462)</f>
        <v>43</v>
      </c>
      <c r="K462" s="209">
        <f t="shared" si="40"/>
        <v>228244</v>
      </c>
      <c r="N462" s="123">
        <f>IFERROR(SUMIFS(APUS!$Z$140:$Z$182,APUS!#REF!,INSUMOS!D462),0)</f>
        <v>0</v>
      </c>
      <c r="O462" s="114">
        <f t="shared" si="38"/>
        <v>-228244</v>
      </c>
      <c r="P462" s="94"/>
      <c r="Q462" s="116" t="str">
        <f t="shared" si="39"/>
        <v>NO</v>
      </c>
    </row>
    <row r="463" spans="3:17" ht="15" hidden="1" customHeight="1" x14ac:dyDescent="0.25">
      <c r="C463" s="106">
        <v>539</v>
      </c>
      <c r="D463" s="668" t="s">
        <v>546</v>
      </c>
      <c r="E463" s="669"/>
      <c r="F463" s="669"/>
      <c r="G463" s="670"/>
      <c r="H463" s="343" t="s">
        <v>34</v>
      </c>
      <c r="I463" s="238">
        <v>42019</v>
      </c>
      <c r="J463" s="107">
        <f>SUMIFS(APUS!Y:Y,APUS!M:M,INSUMOS!C463)</f>
        <v>0</v>
      </c>
      <c r="K463" s="209">
        <f t="shared" si="40"/>
        <v>0</v>
      </c>
      <c r="N463" s="123">
        <f>IFERROR(SUMIFS(APUS!$Z$140:$Z$182,APUS!#REF!,INSUMOS!D463),0)</f>
        <v>0</v>
      </c>
      <c r="O463" s="114">
        <f t="shared" si="38"/>
        <v>0</v>
      </c>
      <c r="P463" s="94"/>
      <c r="Q463" s="116" t="str">
        <f t="shared" si="39"/>
        <v>SI</v>
      </c>
    </row>
    <row r="464" spans="3:17" x14ac:dyDescent="0.25">
      <c r="C464" s="106">
        <v>540</v>
      </c>
      <c r="D464" s="671" t="s">
        <v>547</v>
      </c>
      <c r="E464" s="672"/>
      <c r="F464" s="672"/>
      <c r="G464" s="673"/>
      <c r="H464" s="343" t="s">
        <v>34</v>
      </c>
      <c r="I464" s="238">
        <v>10172</v>
      </c>
      <c r="J464" s="107">
        <f>SUMIFS(APUS!Y:Y,APUS!M:M,INSUMOS!C464)</f>
        <v>36</v>
      </c>
      <c r="K464" s="209">
        <f t="shared" si="40"/>
        <v>366192</v>
      </c>
      <c r="N464" s="123">
        <f>IFERROR(SUMIFS(APUS!$Z$140:$Z$182,APUS!#REF!,INSUMOS!D464),0)</f>
        <v>0</v>
      </c>
      <c r="O464" s="114">
        <f t="shared" si="38"/>
        <v>-366192</v>
      </c>
      <c r="P464" s="94"/>
      <c r="Q464" s="116" t="str">
        <f t="shared" si="39"/>
        <v>NO</v>
      </c>
    </row>
    <row r="465" spans="3:17" x14ac:dyDescent="0.25">
      <c r="C465" s="106">
        <v>541</v>
      </c>
      <c r="D465" s="671" t="s">
        <v>548</v>
      </c>
      <c r="E465" s="672"/>
      <c r="F465" s="672"/>
      <c r="G465" s="673"/>
      <c r="H465" s="343" t="s">
        <v>34</v>
      </c>
      <c r="I465" s="238">
        <v>36357</v>
      </c>
      <c r="J465" s="107">
        <f>SUMIFS(APUS!Y:Y,APUS!M:M,INSUMOS!C465)</f>
        <v>27</v>
      </c>
      <c r="K465" s="209">
        <f t="shared" si="40"/>
        <v>981639</v>
      </c>
      <c r="N465" s="123">
        <f>IFERROR(SUMIFS(APUS!$Z$140:$Z$182,APUS!#REF!,INSUMOS!D465),0)</f>
        <v>0</v>
      </c>
      <c r="O465" s="114">
        <f t="shared" si="38"/>
        <v>-981639</v>
      </c>
      <c r="P465" s="94"/>
      <c r="Q465" s="116" t="str">
        <f t="shared" si="39"/>
        <v>NO</v>
      </c>
    </row>
    <row r="466" spans="3:17" ht="15" customHeight="1" x14ac:dyDescent="0.25">
      <c r="C466" s="106">
        <v>542</v>
      </c>
      <c r="D466" s="671" t="s">
        <v>549</v>
      </c>
      <c r="E466" s="672"/>
      <c r="F466" s="672"/>
      <c r="G466" s="673"/>
      <c r="H466" s="343" t="s">
        <v>34</v>
      </c>
      <c r="I466" s="238">
        <v>31209</v>
      </c>
      <c r="J466" s="107">
        <f>SUMIFS(APUS!Y:Y,APUS!M:M,INSUMOS!C466)</f>
        <v>41</v>
      </c>
      <c r="K466" s="209">
        <f t="shared" si="40"/>
        <v>1279569</v>
      </c>
      <c r="N466" s="123">
        <f>IFERROR(SUMIFS(APUS!$Z$140:$Z$182,APUS!#REF!,INSUMOS!D466),0)</f>
        <v>0</v>
      </c>
      <c r="O466" s="114">
        <f t="shared" si="38"/>
        <v>-1279569</v>
      </c>
      <c r="P466" s="94"/>
      <c r="Q466" s="116" t="str">
        <f t="shared" si="39"/>
        <v>NO</v>
      </c>
    </row>
    <row r="467" spans="3:17" ht="15" hidden="1" customHeight="1" x14ac:dyDescent="0.25">
      <c r="C467" s="106">
        <v>543</v>
      </c>
      <c r="D467" s="671" t="s">
        <v>550</v>
      </c>
      <c r="E467" s="672"/>
      <c r="F467" s="672"/>
      <c r="G467" s="673"/>
      <c r="H467" s="343" t="s">
        <v>34</v>
      </c>
      <c r="I467" s="238">
        <v>22645</v>
      </c>
      <c r="J467" s="107">
        <f>SUMIFS(APUS!Y:Y,APUS!M:M,INSUMOS!C467)</f>
        <v>0</v>
      </c>
      <c r="K467" s="209">
        <f t="shared" si="40"/>
        <v>0</v>
      </c>
      <c r="N467" s="123">
        <f>IFERROR(SUMIFS(APUS!$Z$140:$Z$182,APUS!#REF!,INSUMOS!D467),0)</f>
        <v>0</v>
      </c>
      <c r="O467" s="114">
        <f t="shared" si="38"/>
        <v>0</v>
      </c>
      <c r="P467" s="94"/>
      <c r="Q467" s="116" t="str">
        <f t="shared" si="39"/>
        <v>SI</v>
      </c>
    </row>
    <row r="468" spans="3:17" ht="15" hidden="1" customHeight="1" x14ac:dyDescent="0.25">
      <c r="C468" s="106">
        <v>544</v>
      </c>
      <c r="D468" s="671" t="s">
        <v>551</v>
      </c>
      <c r="E468" s="672"/>
      <c r="F468" s="672"/>
      <c r="G468" s="673"/>
      <c r="H468" s="343" t="s">
        <v>34</v>
      </c>
      <c r="I468" s="238">
        <v>41319</v>
      </c>
      <c r="J468" s="107">
        <f>SUMIFS(APUS!Y:Y,APUS!M:M,INSUMOS!C468)</f>
        <v>0</v>
      </c>
      <c r="K468" s="209">
        <f t="shared" si="40"/>
        <v>0</v>
      </c>
      <c r="N468" s="123">
        <f>IFERROR(SUMIFS(APUS!$Z$140:$Z$182,APUS!#REF!,INSUMOS!D468),0)</f>
        <v>0</v>
      </c>
      <c r="O468" s="114">
        <f t="shared" si="38"/>
        <v>0</v>
      </c>
      <c r="P468" s="94"/>
      <c r="Q468" s="116" t="str">
        <f t="shared" si="39"/>
        <v>SI</v>
      </c>
    </row>
    <row r="469" spans="3:17" ht="15" customHeight="1" x14ac:dyDescent="0.25">
      <c r="C469" s="106">
        <v>545</v>
      </c>
      <c r="D469" s="668" t="s">
        <v>637</v>
      </c>
      <c r="E469" s="669"/>
      <c r="F469" s="669"/>
      <c r="G469" s="670"/>
      <c r="H469" s="343" t="s">
        <v>34</v>
      </c>
      <c r="I469" s="238">
        <f>14805+2273</f>
        <v>17078</v>
      </c>
      <c r="J469" s="107">
        <f>SUMIFS(APUS!Y:Y,APUS!M:M,INSUMOS!C469)</f>
        <v>19</v>
      </c>
      <c r="K469" s="209">
        <f t="shared" si="40"/>
        <v>324482</v>
      </c>
      <c r="N469" s="123">
        <f>IFERROR(SUMIFS(APUS!$Z$140:$Z$182,APUS!#REF!,INSUMOS!D469),0)</f>
        <v>0</v>
      </c>
      <c r="O469" s="114">
        <f t="shared" si="38"/>
        <v>-324482</v>
      </c>
      <c r="P469" s="94"/>
      <c r="Q469" s="116" t="str">
        <f t="shared" si="39"/>
        <v>NO</v>
      </c>
    </row>
    <row r="470" spans="3:17" ht="15" customHeight="1" x14ac:dyDescent="0.25">
      <c r="C470" s="106">
        <v>546</v>
      </c>
      <c r="D470" s="668" t="s">
        <v>638</v>
      </c>
      <c r="E470" s="669"/>
      <c r="F470" s="669"/>
      <c r="G470" s="670"/>
      <c r="H470" s="343" t="s">
        <v>34</v>
      </c>
      <c r="I470" s="238">
        <v>9045</v>
      </c>
      <c r="J470" s="107">
        <f>SUMIFS(APUS!Y:Y,APUS!M:M,INSUMOS!C470)</f>
        <v>11</v>
      </c>
      <c r="K470" s="209">
        <f t="shared" si="40"/>
        <v>99495</v>
      </c>
      <c r="N470" s="123">
        <f>IFERROR(SUMIFS(APUS!$Z$140:$Z$182,APUS!#REF!,INSUMOS!D470),0)</f>
        <v>0</v>
      </c>
      <c r="O470" s="114">
        <f t="shared" si="38"/>
        <v>-99495</v>
      </c>
      <c r="P470" s="94"/>
      <c r="Q470" s="116" t="str">
        <f t="shared" si="39"/>
        <v>NO</v>
      </c>
    </row>
    <row r="471" spans="3:17" ht="15" hidden="1" customHeight="1" x14ac:dyDescent="0.25">
      <c r="C471" s="106">
        <v>547</v>
      </c>
      <c r="D471" s="671" t="s">
        <v>669</v>
      </c>
      <c r="E471" s="672"/>
      <c r="F471" s="672"/>
      <c r="G471" s="673"/>
      <c r="H471" s="343" t="s">
        <v>34</v>
      </c>
      <c r="I471" s="238">
        <v>45329</v>
      </c>
      <c r="J471" s="107">
        <f>SUMIFS(APUS!Y:Y,APUS!M:M,INSUMOS!C471)</f>
        <v>0</v>
      </c>
      <c r="K471" s="209">
        <f t="shared" si="40"/>
        <v>0</v>
      </c>
      <c r="N471" s="123">
        <f>IFERROR(SUMIFS(APUS!$Z$140:$Z$182,APUS!#REF!,INSUMOS!D471),0)</f>
        <v>0</v>
      </c>
      <c r="O471" s="114">
        <f t="shared" si="38"/>
        <v>0</v>
      </c>
      <c r="P471" s="94"/>
      <c r="Q471" s="116" t="str">
        <f t="shared" si="39"/>
        <v>SI</v>
      </c>
    </row>
    <row r="472" spans="3:17" ht="15" customHeight="1" x14ac:dyDescent="0.25">
      <c r="C472" s="106">
        <v>548</v>
      </c>
      <c r="D472" s="671" t="s">
        <v>639</v>
      </c>
      <c r="E472" s="672"/>
      <c r="F472" s="672"/>
      <c r="G472" s="673"/>
      <c r="H472" s="345" t="s">
        <v>33</v>
      </c>
      <c r="I472" s="238">
        <f>99802/6</f>
        <v>16633.666666666668</v>
      </c>
      <c r="J472" s="107">
        <f>SUMIFS(APUS!Y:Y,APUS!M:M,INSUMOS!C472)</f>
        <v>150.35</v>
      </c>
      <c r="K472" s="209">
        <f t="shared" si="40"/>
        <v>2500871.7833333332</v>
      </c>
      <c r="N472" s="123">
        <f>IFERROR(SUMIFS(APUS!$Z$140:$Z$182,APUS!#REF!,INSUMOS!D472),0)</f>
        <v>0</v>
      </c>
      <c r="O472" s="114">
        <f t="shared" si="38"/>
        <v>-2500871.7833333332</v>
      </c>
      <c r="P472" s="94"/>
      <c r="Q472" s="116" t="str">
        <f t="shared" si="39"/>
        <v>NO</v>
      </c>
    </row>
    <row r="473" spans="3:17" ht="15" hidden="1" customHeight="1" x14ac:dyDescent="0.25">
      <c r="C473" s="106">
        <v>549</v>
      </c>
      <c r="D473" s="671" t="s">
        <v>670</v>
      </c>
      <c r="E473" s="672"/>
      <c r="F473" s="672"/>
      <c r="G473" s="673"/>
      <c r="H473" s="345" t="s">
        <v>33</v>
      </c>
      <c r="I473" s="238"/>
      <c r="J473" s="107">
        <f>SUMIFS(APUS!Y:Y,APUS!M:M,INSUMOS!C473)</f>
        <v>0</v>
      </c>
      <c r="K473" s="209">
        <f t="shared" si="40"/>
        <v>0</v>
      </c>
      <c r="N473" s="123">
        <f>IFERROR(SUMIFS(APUS!$Z$140:$Z$182,APUS!#REF!,INSUMOS!D473),0)</f>
        <v>0</v>
      </c>
      <c r="O473" s="114">
        <f t="shared" si="38"/>
        <v>0</v>
      </c>
      <c r="P473" s="94"/>
      <c r="Q473" s="116" t="str">
        <f t="shared" si="39"/>
        <v>SI</v>
      </c>
    </row>
    <row r="474" spans="3:17" ht="15" customHeight="1" x14ac:dyDescent="0.25">
      <c r="C474" s="106">
        <v>550</v>
      </c>
      <c r="D474" s="671" t="s">
        <v>640</v>
      </c>
      <c r="E474" s="672"/>
      <c r="F474" s="672"/>
      <c r="G474" s="673"/>
      <c r="H474" s="345" t="s">
        <v>33</v>
      </c>
      <c r="I474" s="238">
        <f>149068/6</f>
        <v>24844.666666666668</v>
      </c>
      <c r="J474" s="107">
        <f>SUMIFS(APUS!Y:Y,APUS!M:M,INSUMOS!C474)</f>
        <v>3.6</v>
      </c>
      <c r="K474" s="209">
        <f t="shared" si="40"/>
        <v>89440.8</v>
      </c>
      <c r="N474" s="123">
        <f>IFERROR(SUMIFS(APUS!$Z$140:$Z$182,APUS!#REF!,INSUMOS!D474),0)</f>
        <v>0</v>
      </c>
      <c r="O474" s="114">
        <f t="shared" si="38"/>
        <v>-89440.8</v>
      </c>
      <c r="P474" s="94"/>
      <c r="Q474" s="116" t="str">
        <f t="shared" si="39"/>
        <v>NO</v>
      </c>
    </row>
    <row r="475" spans="3:17" ht="15" customHeight="1" x14ac:dyDescent="0.25">
      <c r="C475" s="106">
        <v>551</v>
      </c>
      <c r="D475" s="671" t="s">
        <v>641</v>
      </c>
      <c r="E475" s="672"/>
      <c r="F475" s="672"/>
      <c r="G475" s="673"/>
      <c r="H475" s="345" t="s">
        <v>33</v>
      </c>
      <c r="I475" s="238">
        <f>209648/6</f>
        <v>34941.333333333336</v>
      </c>
      <c r="J475" s="107">
        <f>SUMIFS(APUS!Y:Y,APUS!M:M,INSUMOS!C475)</f>
        <v>229.4572</v>
      </c>
      <c r="K475" s="209">
        <f t="shared" si="40"/>
        <v>8017540.510933334</v>
      </c>
      <c r="N475" s="123">
        <f>IFERROR(SUMIFS(APUS!$Z$140:$Z$182,APUS!#REF!,INSUMOS!D475),0)</f>
        <v>0</v>
      </c>
      <c r="O475" s="114">
        <f t="shared" si="38"/>
        <v>-8017540.510933334</v>
      </c>
      <c r="P475" s="94"/>
      <c r="Q475" s="116" t="str">
        <f t="shared" si="39"/>
        <v>NO</v>
      </c>
    </row>
    <row r="476" spans="3:17" ht="15" customHeight="1" x14ac:dyDescent="0.25">
      <c r="C476" s="106">
        <v>552</v>
      </c>
      <c r="D476" s="671" t="s">
        <v>671</v>
      </c>
      <c r="E476" s="672"/>
      <c r="F476" s="672"/>
      <c r="G476" s="673"/>
      <c r="H476" s="345" t="s">
        <v>33</v>
      </c>
      <c r="I476" s="238">
        <f>439926/6</f>
        <v>73321</v>
      </c>
      <c r="J476" s="107">
        <f>SUMIFS(APUS!Y:Y,APUS!M:M,INSUMOS!C476)</f>
        <v>114.5052</v>
      </c>
      <c r="K476" s="209">
        <f t="shared" si="40"/>
        <v>8395635.7692000009</v>
      </c>
      <c r="N476" s="123">
        <f>IFERROR(SUMIFS(APUS!$Z$140:$Z$182,APUS!$N$183:Q183,INSUMOS!D476),0)</f>
        <v>0</v>
      </c>
      <c r="O476" s="114">
        <f t="shared" si="38"/>
        <v>-8395635.7692000009</v>
      </c>
      <c r="P476" s="94"/>
      <c r="Q476" s="116" t="str">
        <f t="shared" si="39"/>
        <v>NO</v>
      </c>
    </row>
    <row r="477" spans="3:17" ht="15" hidden="1" customHeight="1" x14ac:dyDescent="0.25">
      <c r="C477" s="106">
        <v>553</v>
      </c>
      <c r="D477" s="671" t="s">
        <v>885</v>
      </c>
      <c r="E477" s="672"/>
      <c r="F477" s="672"/>
      <c r="G477" s="673"/>
      <c r="H477" s="343" t="s">
        <v>34</v>
      </c>
      <c r="I477" s="238">
        <v>163832</v>
      </c>
      <c r="J477" s="107">
        <f>SUMIFS(APUS!Y:Y,APUS!M:M,INSUMOS!C477)</f>
        <v>0</v>
      </c>
      <c r="K477" s="209">
        <f t="shared" si="40"/>
        <v>0</v>
      </c>
      <c r="N477" s="123">
        <f>IFERROR(SUMIFS(APUS!$Z$140:$Z$182,APUS!$N$183:Q183,INSUMOS!D477),0)</f>
        <v>0</v>
      </c>
      <c r="O477" s="114">
        <f t="shared" si="38"/>
        <v>0</v>
      </c>
      <c r="P477" s="94"/>
      <c r="Q477" s="116" t="str">
        <f t="shared" si="39"/>
        <v>SI</v>
      </c>
    </row>
    <row r="478" spans="3:17" ht="15" hidden="1" customHeight="1" x14ac:dyDescent="0.25">
      <c r="C478" s="106">
        <v>554</v>
      </c>
      <c r="D478" s="671" t="s">
        <v>672</v>
      </c>
      <c r="E478" s="672"/>
      <c r="F478" s="672"/>
      <c r="G478" s="673"/>
      <c r="H478" s="345" t="s">
        <v>33</v>
      </c>
      <c r="I478" s="238"/>
      <c r="J478" s="107">
        <f>SUMIFS(APUS!Y:Y,APUS!M:M,INSUMOS!C478)</f>
        <v>0</v>
      </c>
      <c r="K478" s="209">
        <f t="shared" si="40"/>
        <v>0</v>
      </c>
      <c r="N478" s="123">
        <f>IFERROR(SUMIFS(APUS!$Z$140:$Z$182,APUS!$N$183:Q184,INSUMOS!D478),0)</f>
        <v>0</v>
      </c>
      <c r="O478" s="114">
        <f t="shared" si="38"/>
        <v>0</v>
      </c>
      <c r="P478" s="94"/>
      <c r="Q478" s="116" t="str">
        <f t="shared" si="39"/>
        <v>SI</v>
      </c>
    </row>
    <row r="479" spans="3:17" ht="15" hidden="1" customHeight="1" x14ac:dyDescent="0.25">
      <c r="C479" s="106">
        <v>555</v>
      </c>
      <c r="D479" s="668" t="s">
        <v>673</v>
      </c>
      <c r="E479" s="669"/>
      <c r="F479" s="669"/>
      <c r="G479" s="670"/>
      <c r="H479" s="343" t="s">
        <v>34</v>
      </c>
      <c r="I479" s="238">
        <v>12100</v>
      </c>
      <c r="J479" s="107">
        <f>SUMIFS(APUS!Y:Y,APUS!M:M,INSUMOS!C479)</f>
        <v>0</v>
      </c>
      <c r="K479" s="209">
        <f t="shared" si="40"/>
        <v>0</v>
      </c>
      <c r="N479" s="123">
        <f>IFERROR(SUMIFS(APUS!$Z$140:$Z$182,APUS!$N$183:Q185,INSUMOS!D479),0)</f>
        <v>0</v>
      </c>
      <c r="O479" s="114">
        <f t="shared" si="38"/>
        <v>0</v>
      </c>
      <c r="P479" s="94"/>
      <c r="Q479" s="116" t="str">
        <f t="shared" si="39"/>
        <v>SI</v>
      </c>
    </row>
    <row r="480" spans="3:17" ht="15" hidden="1" customHeight="1" x14ac:dyDescent="0.25">
      <c r="C480" s="106">
        <v>556</v>
      </c>
      <c r="D480" s="668" t="s">
        <v>559</v>
      </c>
      <c r="E480" s="669"/>
      <c r="F480" s="669"/>
      <c r="G480" s="670"/>
      <c r="H480" s="343" t="s">
        <v>40</v>
      </c>
      <c r="I480" s="238">
        <v>300000</v>
      </c>
      <c r="J480" s="107">
        <f>SUMIFS(APUS!Y:Y,APUS!M:M,INSUMOS!C480)</f>
        <v>0</v>
      </c>
      <c r="K480" s="209">
        <f t="shared" si="40"/>
        <v>0</v>
      </c>
      <c r="N480" s="123">
        <f>IFERROR(SUMIFS(APUS!$Z$140:$Z$182,APUS!$N$183:Q186,INSUMOS!D480),0)</f>
        <v>0</v>
      </c>
      <c r="O480" s="114">
        <f t="shared" si="38"/>
        <v>0</v>
      </c>
      <c r="P480" s="94"/>
      <c r="Q480" s="116" t="str">
        <f t="shared" si="39"/>
        <v>SI</v>
      </c>
    </row>
    <row r="481" spans="3:17" ht="15" hidden="1" customHeight="1" x14ac:dyDescent="0.25">
      <c r="C481" s="106">
        <v>557</v>
      </c>
      <c r="D481" s="668" t="s">
        <v>642</v>
      </c>
      <c r="E481" s="669"/>
      <c r="F481" s="669"/>
      <c r="G481" s="670"/>
      <c r="H481" s="343" t="s">
        <v>34</v>
      </c>
      <c r="I481" s="238">
        <v>11408</v>
      </c>
      <c r="J481" s="107">
        <f>SUMIFS(APUS!Y:Y,APUS!M:M,INSUMOS!C481)</f>
        <v>0</v>
      </c>
      <c r="K481" s="209">
        <f t="shared" si="40"/>
        <v>0</v>
      </c>
      <c r="N481" s="123">
        <f>IFERROR(SUMIFS(APUS!$Z$140:$Z$182,APUS!$N$183:Q187,INSUMOS!D481),0)</f>
        <v>0</v>
      </c>
      <c r="O481" s="114">
        <f t="shared" si="38"/>
        <v>0</v>
      </c>
      <c r="P481" s="94"/>
      <c r="Q481" s="116" t="str">
        <f t="shared" si="39"/>
        <v>SI</v>
      </c>
    </row>
    <row r="482" spans="3:17" ht="15" customHeight="1" x14ac:dyDescent="0.25">
      <c r="C482" s="106">
        <v>558</v>
      </c>
      <c r="D482" s="668" t="s">
        <v>643</v>
      </c>
      <c r="E482" s="669"/>
      <c r="F482" s="669"/>
      <c r="G482" s="670"/>
      <c r="H482" s="343" t="s">
        <v>34</v>
      </c>
      <c r="I482" s="238">
        <v>4434</v>
      </c>
      <c r="J482" s="107">
        <f>SUMIFS(APUS!Y:Y,APUS!M:M,INSUMOS!C482)</f>
        <v>126</v>
      </c>
      <c r="K482" s="209">
        <f t="shared" si="40"/>
        <v>558684</v>
      </c>
      <c r="N482" s="123">
        <f>IFERROR(SUMIFS(APUS!$Z$140:$Z$182,APUS!$N$183:Q188,INSUMOS!D482),0)</f>
        <v>0</v>
      </c>
      <c r="O482" s="114">
        <f t="shared" ref="O482:O545" si="41">+N482-K482</f>
        <v>-558684</v>
      </c>
      <c r="P482" s="94"/>
      <c r="Q482" s="116" t="str">
        <f t="shared" ref="Q482:Q545" si="42">+IF(K482=0,"SI","NO")</f>
        <v>NO</v>
      </c>
    </row>
    <row r="483" spans="3:17" ht="15" hidden="1" customHeight="1" x14ac:dyDescent="0.25">
      <c r="C483" s="106">
        <v>559</v>
      </c>
      <c r="D483" s="668" t="s">
        <v>674</v>
      </c>
      <c r="E483" s="669"/>
      <c r="F483" s="669"/>
      <c r="G483" s="670"/>
      <c r="H483" s="343" t="s">
        <v>34</v>
      </c>
      <c r="I483" s="238">
        <v>7262</v>
      </c>
      <c r="J483" s="107">
        <f>SUMIFS(APUS!Y:Y,APUS!M:M,INSUMOS!C483)</f>
        <v>0</v>
      </c>
      <c r="K483" s="209">
        <f t="shared" si="40"/>
        <v>0</v>
      </c>
      <c r="N483" s="123">
        <f>IFERROR(SUMIFS(APUS!$Z$140:$Z$182,APUS!$N$183:Q189,INSUMOS!D483),0)</f>
        <v>0</v>
      </c>
      <c r="O483" s="114">
        <f t="shared" si="41"/>
        <v>0</v>
      </c>
      <c r="P483" s="94"/>
      <c r="Q483" s="116" t="str">
        <f t="shared" si="42"/>
        <v>SI</v>
      </c>
    </row>
    <row r="484" spans="3:17" ht="15" customHeight="1" x14ac:dyDescent="0.25">
      <c r="C484" s="106">
        <v>560</v>
      </c>
      <c r="D484" s="668" t="s">
        <v>644</v>
      </c>
      <c r="E484" s="669"/>
      <c r="F484" s="669"/>
      <c r="G484" s="670"/>
      <c r="H484" s="343" t="s">
        <v>34</v>
      </c>
      <c r="I484" s="238">
        <v>20900</v>
      </c>
      <c r="J484" s="107">
        <f>SUMIFS(APUS!Y:Y,APUS!M:M,INSUMOS!C484)</f>
        <v>24</v>
      </c>
      <c r="K484" s="209">
        <f t="shared" si="40"/>
        <v>501600</v>
      </c>
      <c r="N484" s="123">
        <f>IFERROR(SUMIFS(APUS!$Z$140:$Z$182,APUS!$N$183:Q190,INSUMOS!D484),0)</f>
        <v>0</v>
      </c>
      <c r="O484" s="114">
        <f t="shared" si="41"/>
        <v>-501600</v>
      </c>
      <c r="P484" s="94"/>
      <c r="Q484" s="116" t="str">
        <f t="shared" si="42"/>
        <v>NO</v>
      </c>
    </row>
    <row r="485" spans="3:17" ht="15" hidden="1" customHeight="1" x14ac:dyDescent="0.25">
      <c r="C485" s="106">
        <v>561</v>
      </c>
      <c r="D485" s="671" t="s">
        <v>675</v>
      </c>
      <c r="E485" s="672"/>
      <c r="F485" s="672"/>
      <c r="G485" s="673"/>
      <c r="H485" s="343" t="s">
        <v>34</v>
      </c>
      <c r="I485" s="238">
        <v>22076</v>
      </c>
      <c r="J485" s="107">
        <f>SUMIFS(APUS!Y:Y,APUS!M:M,INSUMOS!C485)</f>
        <v>0</v>
      </c>
      <c r="K485" s="209">
        <f t="shared" si="40"/>
        <v>0</v>
      </c>
      <c r="N485" s="123">
        <f>IFERROR(SUMIFS(APUS!$Z$140:$Z$182,APUS!$N$183:Q191,INSUMOS!D485),0)</f>
        <v>0</v>
      </c>
      <c r="O485" s="114">
        <f t="shared" si="41"/>
        <v>0</v>
      </c>
      <c r="P485" s="94"/>
      <c r="Q485" s="116" t="str">
        <f t="shared" si="42"/>
        <v>SI</v>
      </c>
    </row>
    <row r="486" spans="3:17" hidden="1" x14ac:dyDescent="0.25">
      <c r="C486" s="106">
        <v>562</v>
      </c>
      <c r="D486" s="671" t="s">
        <v>676</v>
      </c>
      <c r="E486" s="672"/>
      <c r="F486" s="672"/>
      <c r="G486" s="673"/>
      <c r="H486" s="343" t="s">
        <v>34</v>
      </c>
      <c r="I486" s="238">
        <v>14780</v>
      </c>
      <c r="J486" s="107">
        <f>SUMIFS(APUS!Y:Y,APUS!M:M,INSUMOS!C486)</f>
        <v>0</v>
      </c>
      <c r="K486" s="209">
        <f t="shared" si="40"/>
        <v>0</v>
      </c>
      <c r="N486" s="123">
        <f>IFERROR(SUMIFS(APUS!$Z$140:$Z$182,APUS!$N$183:Q192,INSUMOS!D486),0)</f>
        <v>0</v>
      </c>
      <c r="O486" s="114">
        <f t="shared" si="41"/>
        <v>0</v>
      </c>
      <c r="P486" s="94"/>
      <c r="Q486" s="116" t="str">
        <f t="shared" si="42"/>
        <v>SI</v>
      </c>
    </row>
    <row r="487" spans="3:17" ht="15" hidden="1" customHeight="1" x14ac:dyDescent="0.25">
      <c r="C487" s="106">
        <v>563</v>
      </c>
      <c r="D487" s="668" t="s">
        <v>677</v>
      </c>
      <c r="E487" s="669"/>
      <c r="F487" s="669"/>
      <c r="G487" s="670"/>
      <c r="H487" s="343" t="s">
        <v>34</v>
      </c>
      <c r="I487" s="238">
        <v>8029</v>
      </c>
      <c r="J487" s="107">
        <f>SUMIFS(APUS!Y:Y,APUS!M:M,INSUMOS!C487)</f>
        <v>0</v>
      </c>
      <c r="K487" s="209">
        <f t="shared" si="40"/>
        <v>0</v>
      </c>
      <c r="N487" s="123">
        <f>IFERROR(SUMIFS(APUS!$Z$140:$Z$182,APUS!$N$183:Q193,INSUMOS!D487),0)</f>
        <v>0</v>
      </c>
      <c r="O487" s="114">
        <f t="shared" si="41"/>
        <v>0</v>
      </c>
      <c r="P487" s="94"/>
      <c r="Q487" s="116" t="str">
        <f t="shared" si="42"/>
        <v>SI</v>
      </c>
    </row>
    <row r="488" spans="3:17" ht="15" hidden="1" customHeight="1" x14ac:dyDescent="0.25">
      <c r="C488" s="106">
        <v>564</v>
      </c>
      <c r="D488" s="668" t="s">
        <v>678</v>
      </c>
      <c r="E488" s="669"/>
      <c r="F488" s="669"/>
      <c r="G488" s="670"/>
      <c r="H488" s="343"/>
      <c r="I488" s="238"/>
      <c r="J488" s="107">
        <f>SUMIFS(APUS!Y:Y,APUS!M:M,INSUMOS!C488)</f>
        <v>0</v>
      </c>
      <c r="K488" s="209">
        <f t="shared" si="40"/>
        <v>0</v>
      </c>
      <c r="N488" s="123">
        <f>IFERROR(SUMIFS(APUS!$Z$140:$Z$182,APUS!$N$183:Q194,INSUMOS!D488),0)</f>
        <v>0</v>
      </c>
      <c r="O488" s="114">
        <f t="shared" si="41"/>
        <v>0</v>
      </c>
      <c r="P488" s="94"/>
      <c r="Q488" s="116" t="str">
        <f t="shared" si="42"/>
        <v>SI</v>
      </c>
    </row>
    <row r="489" spans="3:17" ht="15" hidden="1" customHeight="1" x14ac:dyDescent="0.25">
      <c r="C489" s="106">
        <v>565</v>
      </c>
      <c r="D489" s="668" t="s">
        <v>679</v>
      </c>
      <c r="E489" s="669"/>
      <c r="F489" s="669"/>
      <c r="G489" s="670"/>
      <c r="H489" s="343" t="s">
        <v>34</v>
      </c>
      <c r="I489" s="238">
        <v>33047.520000000004</v>
      </c>
      <c r="J489" s="107">
        <f>SUMIFS(APUS!Y:Y,APUS!M:M,INSUMOS!C489)</f>
        <v>0</v>
      </c>
      <c r="K489" s="209">
        <f>+J489*I489</f>
        <v>0</v>
      </c>
      <c r="N489" s="123">
        <f>IFERROR(SUMIFS(APUS!$Z$140:$Z$182,APUS!$N$183:Q195,INSUMOS!D489),0)</f>
        <v>0</v>
      </c>
      <c r="O489" s="114">
        <f t="shared" si="41"/>
        <v>0</v>
      </c>
      <c r="P489" s="94"/>
      <c r="Q489" s="116" t="str">
        <f t="shared" si="42"/>
        <v>SI</v>
      </c>
    </row>
    <row r="490" spans="3:17" ht="15" hidden="1" customHeight="1" x14ac:dyDescent="0.25">
      <c r="C490" s="106">
        <v>566</v>
      </c>
      <c r="D490" s="668" t="s">
        <v>474</v>
      </c>
      <c r="E490" s="669"/>
      <c r="F490" s="669"/>
      <c r="G490" s="670"/>
      <c r="H490" s="343"/>
      <c r="I490" s="238"/>
      <c r="J490" s="107">
        <f>SUMIFS(APUS!Y:Y,APUS!M:M,INSUMOS!C490)</f>
        <v>0</v>
      </c>
      <c r="K490" s="209">
        <f t="shared" si="40"/>
        <v>0</v>
      </c>
      <c r="N490" s="123">
        <f>IFERROR(SUMIFS(APUS!$Z$140:$Z$182,APUS!$N$183:Q196,INSUMOS!D490),0)</f>
        <v>0</v>
      </c>
      <c r="O490" s="114">
        <f t="shared" si="41"/>
        <v>0</v>
      </c>
      <c r="P490" s="94"/>
      <c r="Q490" s="116" t="str">
        <f t="shared" si="42"/>
        <v>SI</v>
      </c>
    </row>
    <row r="491" spans="3:17" ht="15" hidden="1" customHeight="1" x14ac:dyDescent="0.25">
      <c r="C491" s="106">
        <v>567</v>
      </c>
      <c r="D491" s="668" t="s">
        <v>680</v>
      </c>
      <c r="E491" s="669"/>
      <c r="F491" s="669"/>
      <c r="G491" s="670"/>
      <c r="H491" s="343" t="s">
        <v>34</v>
      </c>
      <c r="I491" s="238">
        <v>23241</v>
      </c>
      <c r="J491" s="107">
        <f>SUMIFS(APUS!Y:Y,APUS!M:M,INSUMOS!C491)</f>
        <v>0</v>
      </c>
      <c r="K491" s="209">
        <f t="shared" si="40"/>
        <v>0</v>
      </c>
      <c r="N491" s="123">
        <f>IFERROR(SUMIFS(APUS!$Z$140:$Z$182,APUS!$N$183:Q197,INSUMOS!D491),0)</f>
        <v>0</v>
      </c>
      <c r="O491" s="114">
        <f t="shared" si="41"/>
        <v>0</v>
      </c>
      <c r="P491" s="94"/>
      <c r="Q491" s="116" t="str">
        <f t="shared" si="42"/>
        <v>SI</v>
      </c>
    </row>
    <row r="492" spans="3:17" ht="15" hidden="1" customHeight="1" x14ac:dyDescent="0.25">
      <c r="C492" s="106">
        <v>568</v>
      </c>
      <c r="D492" s="668" t="s">
        <v>681</v>
      </c>
      <c r="E492" s="669"/>
      <c r="F492" s="669"/>
      <c r="G492" s="670"/>
      <c r="H492" s="343" t="s">
        <v>34</v>
      </c>
      <c r="I492" s="238">
        <v>50703</v>
      </c>
      <c r="J492" s="107">
        <f>SUMIFS(APUS!Y:Y,APUS!M:M,INSUMOS!C492)</f>
        <v>0</v>
      </c>
      <c r="K492" s="209">
        <f t="shared" si="40"/>
        <v>0</v>
      </c>
      <c r="N492" s="123">
        <f>IFERROR(SUMIFS(APUS!$Z$140:$Z$182,APUS!$N$183:Q198,INSUMOS!D492),0)</f>
        <v>0</v>
      </c>
      <c r="O492" s="114">
        <f t="shared" si="41"/>
        <v>0</v>
      </c>
      <c r="P492" s="94"/>
      <c r="Q492" s="116" t="str">
        <f t="shared" si="42"/>
        <v>SI</v>
      </c>
    </row>
    <row r="493" spans="3:17" ht="15" hidden="1" customHeight="1" x14ac:dyDescent="0.25">
      <c r="C493" s="106">
        <v>569</v>
      </c>
      <c r="D493" s="668" t="s">
        <v>682</v>
      </c>
      <c r="E493" s="669"/>
      <c r="F493" s="669"/>
      <c r="G493" s="670"/>
      <c r="H493" s="343" t="s">
        <v>34</v>
      </c>
      <c r="I493" s="238">
        <v>22622</v>
      </c>
      <c r="J493" s="107">
        <f>SUMIFS(APUS!Y:Y,APUS!M:M,INSUMOS!C493)</f>
        <v>0</v>
      </c>
      <c r="K493" s="209">
        <f t="shared" si="40"/>
        <v>0</v>
      </c>
      <c r="N493" s="123">
        <f>IFERROR(SUMIFS(APUS!$Z$140:$Z$182,APUS!$N$183:Q199,INSUMOS!D493),0)</f>
        <v>0</v>
      </c>
      <c r="O493" s="114">
        <f t="shared" si="41"/>
        <v>0</v>
      </c>
      <c r="P493" s="94"/>
      <c r="Q493" s="116" t="str">
        <f t="shared" si="42"/>
        <v>SI</v>
      </c>
    </row>
    <row r="494" spans="3:17" ht="15" hidden="1" customHeight="1" x14ac:dyDescent="0.25">
      <c r="C494" s="106">
        <v>570</v>
      </c>
      <c r="D494" s="668" t="s">
        <v>683</v>
      </c>
      <c r="E494" s="669"/>
      <c r="F494" s="669"/>
      <c r="G494" s="670"/>
      <c r="H494" s="343" t="s">
        <v>34</v>
      </c>
      <c r="I494" s="238">
        <v>3120</v>
      </c>
      <c r="J494" s="107">
        <f>SUMIFS(APUS!Y:Y,APUS!M:M,INSUMOS!C494)</f>
        <v>0</v>
      </c>
      <c r="K494" s="209">
        <f t="shared" si="40"/>
        <v>0</v>
      </c>
      <c r="N494" s="123">
        <f>IFERROR(SUMIFS(APUS!$Z$140:$Z$182,APUS!$N$183:Q200,INSUMOS!D494),0)</f>
        <v>0</v>
      </c>
      <c r="O494" s="114">
        <f t="shared" si="41"/>
        <v>0</v>
      </c>
      <c r="P494" s="94"/>
      <c r="Q494" s="116" t="str">
        <f t="shared" si="42"/>
        <v>SI</v>
      </c>
    </row>
    <row r="495" spans="3:17" hidden="1" x14ac:dyDescent="0.25">
      <c r="C495" s="106">
        <v>571</v>
      </c>
      <c r="D495" s="668" t="s">
        <v>684</v>
      </c>
      <c r="E495" s="669"/>
      <c r="F495" s="669"/>
      <c r="G495" s="670"/>
      <c r="H495" s="343" t="s">
        <v>33</v>
      </c>
      <c r="I495" s="238">
        <v>2421</v>
      </c>
      <c r="J495" s="107">
        <f>SUMIFS(APUS!Y:Y,APUS!M:M,INSUMOS!C495)</f>
        <v>0</v>
      </c>
      <c r="K495" s="209">
        <f t="shared" si="40"/>
        <v>0</v>
      </c>
      <c r="N495" s="123">
        <f>IFERROR(SUMIFS(APUS!$Z$140:$Z$182,APUS!$N$183:Q201,INSUMOS!D495),0)</f>
        <v>0</v>
      </c>
      <c r="O495" s="114">
        <f t="shared" si="41"/>
        <v>0</v>
      </c>
      <c r="P495" s="94"/>
      <c r="Q495" s="116" t="str">
        <f t="shared" si="42"/>
        <v>SI</v>
      </c>
    </row>
    <row r="496" spans="3:17" ht="15" hidden="1" customHeight="1" x14ac:dyDescent="0.25">
      <c r="C496" s="106">
        <v>572</v>
      </c>
      <c r="D496" s="668" t="s">
        <v>685</v>
      </c>
      <c r="E496" s="669"/>
      <c r="F496" s="669"/>
      <c r="G496" s="670"/>
      <c r="H496" s="343" t="s">
        <v>34</v>
      </c>
      <c r="I496" s="238">
        <v>55000</v>
      </c>
      <c r="J496" s="107">
        <f>SUMIFS(APUS!Y:Y,APUS!M:M,INSUMOS!C496)</f>
        <v>0</v>
      </c>
      <c r="K496" s="209">
        <f t="shared" si="40"/>
        <v>0</v>
      </c>
      <c r="N496" s="123">
        <f>IFERROR(SUMIFS(APUS!$Z$140:$Z$182,APUS!$N$183:Q202,INSUMOS!D496),0)</f>
        <v>0</v>
      </c>
      <c r="O496" s="114">
        <f t="shared" si="41"/>
        <v>0</v>
      </c>
      <c r="P496" s="94"/>
      <c r="Q496" s="116" t="str">
        <f t="shared" si="42"/>
        <v>SI</v>
      </c>
    </row>
    <row r="497" spans="3:17" ht="15" hidden="1" customHeight="1" x14ac:dyDescent="0.25">
      <c r="C497" s="106">
        <v>573</v>
      </c>
      <c r="D497" s="668" t="s">
        <v>686</v>
      </c>
      <c r="E497" s="669"/>
      <c r="F497" s="669"/>
      <c r="G497" s="670"/>
      <c r="H497" s="343" t="s">
        <v>34</v>
      </c>
      <c r="I497" s="238">
        <v>119000</v>
      </c>
      <c r="J497" s="107">
        <f>SUMIFS(APUS!Y:Y,APUS!M:M,INSUMOS!C497)</f>
        <v>0</v>
      </c>
      <c r="K497" s="209">
        <f t="shared" si="40"/>
        <v>0</v>
      </c>
      <c r="N497" s="123">
        <f>IFERROR(SUMIFS(APUS!$Z$140:$Z$182,APUS!$N$183:Q203,INSUMOS!D497),0)</f>
        <v>0</v>
      </c>
      <c r="O497" s="114">
        <f t="shared" si="41"/>
        <v>0</v>
      </c>
      <c r="P497" s="94"/>
      <c r="Q497" s="116" t="str">
        <f t="shared" si="42"/>
        <v>SI</v>
      </c>
    </row>
    <row r="498" spans="3:17" ht="15" hidden="1" customHeight="1" x14ac:dyDescent="0.25">
      <c r="C498" s="106">
        <v>574</v>
      </c>
      <c r="D498" s="668" t="s">
        <v>687</v>
      </c>
      <c r="E498" s="669"/>
      <c r="F498" s="669"/>
      <c r="G498" s="670"/>
      <c r="H498" s="343" t="s">
        <v>34</v>
      </c>
      <c r="I498" s="238">
        <v>13535</v>
      </c>
      <c r="J498" s="107">
        <f>SUMIFS(APUS!Y:Y,APUS!M:M,INSUMOS!C498)</f>
        <v>0</v>
      </c>
      <c r="K498" s="209">
        <f t="shared" si="40"/>
        <v>0</v>
      </c>
      <c r="N498" s="123">
        <f>IFERROR(SUMIFS(APUS!$Z$140:$Z$182,APUS!$N$183:Q204,INSUMOS!D498),0)</f>
        <v>0</v>
      </c>
      <c r="O498" s="114">
        <f t="shared" si="41"/>
        <v>0</v>
      </c>
      <c r="P498" s="94"/>
      <c r="Q498" s="116" t="str">
        <f t="shared" si="42"/>
        <v>SI</v>
      </c>
    </row>
    <row r="499" spans="3:17" ht="15" hidden="1" customHeight="1" x14ac:dyDescent="0.25">
      <c r="C499" s="106">
        <v>575</v>
      </c>
      <c r="D499" s="668" t="s">
        <v>688</v>
      </c>
      <c r="E499" s="669"/>
      <c r="F499" s="669"/>
      <c r="G499" s="670"/>
      <c r="H499" s="345" t="s">
        <v>33</v>
      </c>
      <c r="I499" s="238">
        <v>7077</v>
      </c>
      <c r="J499" s="107">
        <f>SUMIFS(APUS!Y:Y,APUS!M:M,INSUMOS!C499)</f>
        <v>0</v>
      </c>
      <c r="K499" s="209">
        <f t="shared" ref="K499:K562" si="43">+J499*I499</f>
        <v>0</v>
      </c>
      <c r="N499" s="123">
        <f>IFERROR(SUMIFS(APUS!$Z$140:$Z$182,APUS!$N$183:Q205,INSUMOS!D499),0)</f>
        <v>0</v>
      </c>
      <c r="O499" s="114">
        <f t="shared" si="41"/>
        <v>0</v>
      </c>
      <c r="P499" s="94"/>
      <c r="Q499" s="116" t="str">
        <f t="shared" si="42"/>
        <v>SI</v>
      </c>
    </row>
    <row r="500" spans="3:17" ht="15" hidden="1" customHeight="1" x14ac:dyDescent="0.25">
      <c r="C500" s="106">
        <v>576</v>
      </c>
      <c r="D500" s="668" t="s">
        <v>689</v>
      </c>
      <c r="E500" s="669"/>
      <c r="F500" s="669"/>
      <c r="G500" s="670"/>
      <c r="H500" s="345" t="s">
        <v>33</v>
      </c>
      <c r="I500" s="238">
        <v>33905</v>
      </c>
      <c r="J500" s="107">
        <f>SUMIFS(APUS!Y:Y,APUS!M:M,INSUMOS!C500)</f>
        <v>0</v>
      </c>
      <c r="K500" s="209">
        <f t="shared" si="43"/>
        <v>0</v>
      </c>
      <c r="N500" s="123">
        <f>IFERROR(SUMIFS(APUS!$Z$140:$Z$182,APUS!$N$183:Q206,INSUMOS!D500),0)</f>
        <v>0</v>
      </c>
      <c r="O500" s="114">
        <f t="shared" si="41"/>
        <v>0</v>
      </c>
      <c r="P500" s="94"/>
      <c r="Q500" s="116" t="str">
        <f t="shared" si="42"/>
        <v>SI</v>
      </c>
    </row>
    <row r="501" spans="3:17" ht="15" customHeight="1" x14ac:dyDescent="0.25">
      <c r="C501" s="106">
        <v>577</v>
      </c>
      <c r="D501" s="668" t="s">
        <v>645</v>
      </c>
      <c r="E501" s="669"/>
      <c r="F501" s="669"/>
      <c r="G501" s="670"/>
      <c r="H501" s="343" t="s">
        <v>34</v>
      </c>
      <c r="I501" s="238">
        <v>4136</v>
      </c>
      <c r="J501" s="107">
        <f>SUMIFS(APUS!Y:Y,APUS!M:M,INSUMOS!C501)</f>
        <v>9</v>
      </c>
      <c r="K501" s="209">
        <f t="shared" si="43"/>
        <v>37224</v>
      </c>
      <c r="N501" s="123">
        <f>IFERROR(SUMIFS(APUS!$Z$140:$Z$182,APUS!$N$183:Q207,INSUMOS!D501),0)</f>
        <v>0</v>
      </c>
      <c r="O501" s="114">
        <f t="shared" si="41"/>
        <v>-37224</v>
      </c>
      <c r="P501" s="94"/>
      <c r="Q501" s="116" t="str">
        <f t="shared" si="42"/>
        <v>NO</v>
      </c>
    </row>
    <row r="502" spans="3:17" ht="15" customHeight="1" x14ac:dyDescent="0.25">
      <c r="C502" s="106">
        <v>578</v>
      </c>
      <c r="D502" s="668" t="s">
        <v>646</v>
      </c>
      <c r="E502" s="669"/>
      <c r="F502" s="669"/>
      <c r="G502" s="670"/>
      <c r="H502" s="343" t="s">
        <v>34</v>
      </c>
      <c r="I502" s="238">
        <v>1641</v>
      </c>
      <c r="J502" s="107">
        <f>SUMIFS(APUS!Y:Y,APUS!M:M,INSUMOS!C502)</f>
        <v>2</v>
      </c>
      <c r="K502" s="209">
        <f t="shared" si="43"/>
        <v>3282</v>
      </c>
      <c r="N502" s="123">
        <f>IFERROR(SUMIFS(APUS!$Z$140:$Z$182,APUS!$N$183:Q208,INSUMOS!D502),0)</f>
        <v>0</v>
      </c>
      <c r="O502" s="114">
        <f t="shared" si="41"/>
        <v>-3282</v>
      </c>
      <c r="P502" s="94"/>
      <c r="Q502" s="116" t="str">
        <f t="shared" si="42"/>
        <v>NO</v>
      </c>
    </row>
    <row r="503" spans="3:17" ht="15" customHeight="1" x14ac:dyDescent="0.25">
      <c r="C503" s="106">
        <v>579</v>
      </c>
      <c r="D503" s="668" t="s">
        <v>881</v>
      </c>
      <c r="E503" s="669"/>
      <c r="F503" s="669"/>
      <c r="G503" s="670"/>
      <c r="H503" s="343" t="s">
        <v>34</v>
      </c>
      <c r="I503" s="238">
        <v>151167</v>
      </c>
      <c r="J503" s="107">
        <f>SUMIFS(APUS!Y:Y,APUS!M:M,INSUMOS!C503)</f>
        <v>6</v>
      </c>
      <c r="K503" s="209">
        <f t="shared" si="43"/>
        <v>907002</v>
      </c>
      <c r="N503" s="123">
        <f>IFERROR(SUMIFS(APUS!$Z$140:$Z$182,APUS!$N$183:Q209,INSUMOS!D503),0)</f>
        <v>0</v>
      </c>
      <c r="O503" s="114">
        <f t="shared" si="41"/>
        <v>-907002</v>
      </c>
      <c r="P503" s="94"/>
      <c r="Q503" s="116" t="str">
        <f t="shared" si="42"/>
        <v>NO</v>
      </c>
    </row>
    <row r="504" spans="3:17" ht="15" hidden="1" customHeight="1" x14ac:dyDescent="0.25">
      <c r="C504" s="106">
        <v>580</v>
      </c>
      <c r="D504" s="668" t="s">
        <v>690</v>
      </c>
      <c r="E504" s="669"/>
      <c r="F504" s="669"/>
      <c r="G504" s="670"/>
      <c r="H504" s="345" t="s">
        <v>33</v>
      </c>
      <c r="I504" s="238"/>
      <c r="J504" s="107">
        <f>SUMIFS(APUS!Y:Y,APUS!M:M,INSUMOS!C504)</f>
        <v>0</v>
      </c>
      <c r="K504" s="209">
        <f t="shared" si="43"/>
        <v>0</v>
      </c>
      <c r="N504" s="123">
        <f>IFERROR(SUMIFS(APUS!$Z$140:$Z$182,APUS!$N$183:Q210,INSUMOS!D504),0)</f>
        <v>0</v>
      </c>
      <c r="O504" s="114">
        <f t="shared" si="41"/>
        <v>0</v>
      </c>
      <c r="P504" s="94"/>
      <c r="Q504" s="116" t="str">
        <f t="shared" si="42"/>
        <v>SI</v>
      </c>
    </row>
    <row r="505" spans="3:17" ht="15" hidden="1" customHeight="1" x14ac:dyDescent="0.25">
      <c r="C505" s="106">
        <v>581</v>
      </c>
      <c r="D505" s="668" t="s">
        <v>691</v>
      </c>
      <c r="E505" s="669"/>
      <c r="F505" s="669"/>
      <c r="G505" s="670"/>
      <c r="H505" s="345" t="s">
        <v>33</v>
      </c>
      <c r="I505" s="238">
        <v>38492.520000000011</v>
      </c>
      <c r="J505" s="107">
        <f>SUMIFS(APUS!Y:Y,APUS!M:M,INSUMOS!C505)</f>
        <v>0</v>
      </c>
      <c r="K505" s="209">
        <f t="shared" si="43"/>
        <v>0</v>
      </c>
      <c r="N505" s="123">
        <f>IFERROR(SUMIFS(APUS!$Z$140:$Z$182,APUS!$N$183:Q211,INSUMOS!D505),0)</f>
        <v>0</v>
      </c>
      <c r="O505" s="114">
        <f t="shared" si="41"/>
        <v>0</v>
      </c>
      <c r="P505" s="94"/>
      <c r="Q505" s="116" t="str">
        <f t="shared" si="42"/>
        <v>SI</v>
      </c>
    </row>
    <row r="506" spans="3:17" ht="15" hidden="1" customHeight="1" x14ac:dyDescent="0.25">
      <c r="C506" s="106">
        <v>582</v>
      </c>
      <c r="D506" s="668" t="s">
        <v>692</v>
      </c>
      <c r="E506" s="669"/>
      <c r="F506" s="669"/>
      <c r="G506" s="670"/>
      <c r="H506" s="345" t="s">
        <v>33</v>
      </c>
      <c r="I506" s="238"/>
      <c r="J506" s="107">
        <f>SUMIFS(APUS!Y:Y,APUS!M:M,INSUMOS!C506)</f>
        <v>0</v>
      </c>
      <c r="K506" s="209">
        <f t="shared" si="43"/>
        <v>0</v>
      </c>
      <c r="N506" s="123">
        <f>IFERROR(SUMIFS(APUS!$Z$140:$Z$182,APUS!$N$183:Q212,INSUMOS!D506),0)</f>
        <v>0</v>
      </c>
      <c r="O506" s="114">
        <f t="shared" si="41"/>
        <v>0</v>
      </c>
      <c r="P506" s="94"/>
      <c r="Q506" s="116" t="str">
        <f t="shared" si="42"/>
        <v>SI</v>
      </c>
    </row>
    <row r="507" spans="3:17" ht="15" hidden="1" customHeight="1" x14ac:dyDescent="0.25">
      <c r="C507" s="106">
        <v>583</v>
      </c>
      <c r="D507" s="668" t="s">
        <v>693</v>
      </c>
      <c r="E507" s="669"/>
      <c r="F507" s="669"/>
      <c r="G507" s="670"/>
      <c r="H507" s="345" t="s">
        <v>33</v>
      </c>
      <c r="I507" s="238">
        <v>76780.55</v>
      </c>
      <c r="J507" s="107">
        <f>SUMIFS(APUS!Y:Y,APUS!M:M,INSUMOS!C507)</f>
        <v>0</v>
      </c>
      <c r="K507" s="209">
        <f t="shared" si="43"/>
        <v>0</v>
      </c>
      <c r="N507" s="123">
        <f>IFERROR(SUMIFS(APUS!$Z$140:$Z$182,APUS!$N$183:Q213,INSUMOS!D507),0)</f>
        <v>0</v>
      </c>
      <c r="O507" s="114">
        <f t="shared" si="41"/>
        <v>0</v>
      </c>
      <c r="P507" s="94"/>
      <c r="Q507" s="116" t="str">
        <f t="shared" si="42"/>
        <v>SI</v>
      </c>
    </row>
    <row r="508" spans="3:17" ht="15" hidden="1" customHeight="1" x14ac:dyDescent="0.25">
      <c r="C508" s="106">
        <v>584</v>
      </c>
      <c r="D508" s="668" t="s">
        <v>694</v>
      </c>
      <c r="E508" s="669"/>
      <c r="F508" s="669"/>
      <c r="G508" s="670"/>
      <c r="H508" s="345" t="s">
        <v>33</v>
      </c>
      <c r="I508" s="238">
        <v>113522.20000000003</v>
      </c>
      <c r="J508" s="107">
        <f>SUMIFS(APUS!Y:Y,APUS!M:M,INSUMOS!C508)</f>
        <v>0</v>
      </c>
      <c r="K508" s="209">
        <f t="shared" si="43"/>
        <v>0</v>
      </c>
      <c r="N508" s="123">
        <f>IFERROR(SUMIFS(APUS!$Z$140:$Z$182,APUS!$N$183:Q214,INSUMOS!D508),0)</f>
        <v>0</v>
      </c>
      <c r="O508" s="114">
        <f t="shared" si="41"/>
        <v>0</v>
      </c>
      <c r="P508" s="94"/>
      <c r="Q508" s="116" t="str">
        <f t="shared" si="42"/>
        <v>SI</v>
      </c>
    </row>
    <row r="509" spans="3:17" ht="15" hidden="1" customHeight="1" x14ac:dyDescent="0.25">
      <c r="C509" s="106">
        <v>585</v>
      </c>
      <c r="D509" s="668" t="s">
        <v>695</v>
      </c>
      <c r="E509" s="669"/>
      <c r="F509" s="669"/>
      <c r="G509" s="670"/>
      <c r="H509" s="345" t="s">
        <v>33</v>
      </c>
      <c r="I509" s="238"/>
      <c r="J509" s="107">
        <f>SUMIFS(APUS!Y:Y,APUS!M:M,INSUMOS!C509)</f>
        <v>0</v>
      </c>
      <c r="K509" s="209">
        <f t="shared" si="43"/>
        <v>0</v>
      </c>
      <c r="N509" s="123">
        <f>IFERROR(SUMIFS(APUS!$Z$140:$Z$182,APUS!$N$183:Q215,INSUMOS!D509),0)</f>
        <v>0</v>
      </c>
      <c r="O509" s="114">
        <f t="shared" si="41"/>
        <v>0</v>
      </c>
      <c r="P509" s="94"/>
      <c r="Q509" s="116" t="str">
        <f t="shared" si="42"/>
        <v>SI</v>
      </c>
    </row>
    <row r="510" spans="3:17" ht="15" hidden="1" customHeight="1" x14ac:dyDescent="0.25">
      <c r="C510" s="106">
        <v>586</v>
      </c>
      <c r="D510" s="668" t="s">
        <v>696</v>
      </c>
      <c r="E510" s="669"/>
      <c r="F510" s="669"/>
      <c r="G510" s="670"/>
      <c r="H510" s="345" t="s">
        <v>33</v>
      </c>
      <c r="I510" s="238"/>
      <c r="J510" s="107">
        <f>SUMIFS(APUS!Y:Y,APUS!M:M,INSUMOS!C510)</f>
        <v>0</v>
      </c>
      <c r="K510" s="209">
        <f t="shared" si="43"/>
        <v>0</v>
      </c>
      <c r="N510" s="123">
        <f>IFERROR(SUMIFS(APUS!$Z$140:$Z$182,APUS!$N$183:Q216,INSUMOS!D510),0)</f>
        <v>0</v>
      </c>
      <c r="O510" s="114">
        <f t="shared" si="41"/>
        <v>0</v>
      </c>
      <c r="P510" s="94"/>
      <c r="Q510" s="116" t="str">
        <f t="shared" si="42"/>
        <v>SI</v>
      </c>
    </row>
    <row r="511" spans="3:17" ht="15" hidden="1" customHeight="1" x14ac:dyDescent="0.25">
      <c r="C511" s="106">
        <v>587</v>
      </c>
      <c r="D511" s="668" t="s">
        <v>697</v>
      </c>
      <c r="E511" s="669"/>
      <c r="F511" s="669"/>
      <c r="G511" s="670"/>
      <c r="H511" s="345" t="s">
        <v>33</v>
      </c>
      <c r="I511" s="238"/>
      <c r="J511" s="107">
        <f>SUMIFS(APUS!Y:Y,APUS!M:M,INSUMOS!C511)</f>
        <v>0</v>
      </c>
      <c r="K511" s="209">
        <f t="shared" si="43"/>
        <v>0</v>
      </c>
      <c r="N511" s="123">
        <f>IFERROR(SUMIFS(APUS!$Z$140:$Z$182,APUS!$N$183:Q217,INSUMOS!D511),0)</f>
        <v>0</v>
      </c>
      <c r="O511" s="114">
        <f t="shared" si="41"/>
        <v>0</v>
      </c>
      <c r="P511" s="94"/>
      <c r="Q511" s="116" t="str">
        <f t="shared" si="42"/>
        <v>SI</v>
      </c>
    </row>
    <row r="512" spans="3:17" ht="15" hidden="1" customHeight="1" x14ac:dyDescent="0.25">
      <c r="C512" s="106">
        <v>588</v>
      </c>
      <c r="D512" s="668" t="s">
        <v>698</v>
      </c>
      <c r="E512" s="669"/>
      <c r="F512" s="669"/>
      <c r="G512" s="670"/>
      <c r="H512" s="345" t="s">
        <v>33</v>
      </c>
      <c r="I512" s="238"/>
      <c r="J512" s="107">
        <f>SUMIFS(APUS!Y:Y,APUS!M:M,INSUMOS!C512)</f>
        <v>0</v>
      </c>
      <c r="K512" s="209">
        <f t="shared" si="43"/>
        <v>0</v>
      </c>
      <c r="N512" s="123">
        <f>IFERROR(SUMIFS(APUS!$Z$140:$Z$182,APUS!$N$183:Q218,INSUMOS!D512),0)</f>
        <v>0</v>
      </c>
      <c r="O512" s="114">
        <f t="shared" si="41"/>
        <v>0</v>
      </c>
      <c r="P512" s="94"/>
      <c r="Q512" s="116" t="str">
        <f t="shared" si="42"/>
        <v>SI</v>
      </c>
    </row>
    <row r="513" spans="3:17" ht="15" hidden="1" customHeight="1" x14ac:dyDescent="0.25">
      <c r="C513" s="106">
        <v>589</v>
      </c>
      <c r="D513" s="668" t="s">
        <v>699</v>
      </c>
      <c r="E513" s="669"/>
      <c r="F513" s="669"/>
      <c r="G513" s="670"/>
      <c r="H513" s="345" t="s">
        <v>33</v>
      </c>
      <c r="I513" s="238"/>
      <c r="J513" s="107">
        <f>SUMIFS(APUS!Y:Y,APUS!M:M,INSUMOS!C513)</f>
        <v>0</v>
      </c>
      <c r="K513" s="209">
        <f t="shared" si="43"/>
        <v>0</v>
      </c>
      <c r="N513" s="123">
        <f>IFERROR(SUMIFS(APUS!$Z$140:$Z$182,APUS!$N$183:Q219,INSUMOS!D513),0)</f>
        <v>0</v>
      </c>
      <c r="O513" s="114">
        <f t="shared" si="41"/>
        <v>0</v>
      </c>
      <c r="P513" s="94"/>
      <c r="Q513" s="116" t="str">
        <f t="shared" si="42"/>
        <v>SI</v>
      </c>
    </row>
    <row r="514" spans="3:17" ht="15" hidden="1" customHeight="1" x14ac:dyDescent="0.25">
      <c r="C514" s="106">
        <v>590</v>
      </c>
      <c r="D514" s="668" t="s">
        <v>700</v>
      </c>
      <c r="E514" s="669"/>
      <c r="F514" s="669"/>
      <c r="G514" s="670"/>
      <c r="H514" s="345" t="s">
        <v>33</v>
      </c>
      <c r="I514" s="238"/>
      <c r="J514" s="107">
        <f>SUMIFS(APUS!Y:Y,APUS!M:M,INSUMOS!C514)</f>
        <v>0</v>
      </c>
      <c r="K514" s="209">
        <f t="shared" si="43"/>
        <v>0</v>
      </c>
      <c r="N514" s="123">
        <f>IFERROR(SUMIFS(APUS!$Z$140:$Z$182,APUS!$N$183:Q220,INSUMOS!D514),0)</f>
        <v>0</v>
      </c>
      <c r="O514" s="114">
        <f t="shared" si="41"/>
        <v>0</v>
      </c>
      <c r="P514" s="94"/>
      <c r="Q514" s="116" t="str">
        <f t="shared" si="42"/>
        <v>SI</v>
      </c>
    </row>
    <row r="515" spans="3:17" ht="15" hidden="1" customHeight="1" x14ac:dyDescent="0.25">
      <c r="C515" s="106">
        <v>591</v>
      </c>
      <c r="D515" s="668" t="s">
        <v>701</v>
      </c>
      <c r="E515" s="669"/>
      <c r="F515" s="669"/>
      <c r="G515" s="670"/>
      <c r="H515" s="345" t="s">
        <v>33</v>
      </c>
      <c r="I515" s="238"/>
      <c r="J515" s="107">
        <f>SUMIFS(APUS!Y:Y,APUS!M:M,INSUMOS!C515)</f>
        <v>0</v>
      </c>
      <c r="K515" s="209">
        <f t="shared" si="43"/>
        <v>0</v>
      </c>
      <c r="N515" s="123">
        <f>IFERROR(SUMIFS(APUS!$Z$140:$Z$182,APUS!$N$183:Q221,INSUMOS!D515),0)</f>
        <v>0</v>
      </c>
      <c r="O515" s="114">
        <f t="shared" si="41"/>
        <v>0</v>
      </c>
      <c r="P515" s="94"/>
      <c r="Q515" s="116" t="str">
        <f t="shared" si="42"/>
        <v>SI</v>
      </c>
    </row>
    <row r="516" spans="3:17" ht="15" hidden="1" customHeight="1" x14ac:dyDescent="0.25">
      <c r="C516" s="106">
        <v>592</v>
      </c>
      <c r="D516" s="668" t="s">
        <v>702</v>
      </c>
      <c r="E516" s="669"/>
      <c r="F516" s="669"/>
      <c r="G516" s="670"/>
      <c r="H516" s="345" t="s">
        <v>33</v>
      </c>
      <c r="I516" s="238"/>
      <c r="J516" s="107">
        <f>SUMIFS(APUS!Y:Y,APUS!M:M,INSUMOS!C516)</f>
        <v>0</v>
      </c>
      <c r="K516" s="209">
        <f t="shared" si="43"/>
        <v>0</v>
      </c>
      <c r="N516" s="123">
        <f>IFERROR(SUMIFS(APUS!$Z$140:$Z$182,APUS!$N$183:Q222,INSUMOS!D516),0)</f>
        <v>0</v>
      </c>
      <c r="O516" s="114">
        <f t="shared" si="41"/>
        <v>0</v>
      </c>
      <c r="P516" s="94"/>
      <c r="Q516" s="116" t="str">
        <f t="shared" si="42"/>
        <v>SI</v>
      </c>
    </row>
    <row r="517" spans="3:17" ht="15" hidden="1" customHeight="1" x14ac:dyDescent="0.25">
      <c r="C517" s="106">
        <v>593</v>
      </c>
      <c r="D517" s="668" t="s">
        <v>703</v>
      </c>
      <c r="E517" s="669"/>
      <c r="F517" s="669"/>
      <c r="G517" s="670"/>
      <c r="H517" s="345" t="s">
        <v>33</v>
      </c>
      <c r="I517" s="238"/>
      <c r="J517" s="107">
        <f>SUMIFS(APUS!Y:Y,APUS!M:M,INSUMOS!C517)</f>
        <v>0</v>
      </c>
      <c r="K517" s="209">
        <f t="shared" si="43"/>
        <v>0</v>
      </c>
      <c r="N517" s="123">
        <f>IFERROR(SUMIFS(APUS!$Z$140:$Z$182,APUS!$N$183:Q223,INSUMOS!D517),0)</f>
        <v>0</v>
      </c>
      <c r="O517" s="114">
        <f t="shared" si="41"/>
        <v>0</v>
      </c>
      <c r="P517" s="94"/>
      <c r="Q517" s="116" t="str">
        <f t="shared" si="42"/>
        <v>SI</v>
      </c>
    </row>
    <row r="518" spans="3:17" ht="15" hidden="1" customHeight="1" x14ac:dyDescent="0.25">
      <c r="C518" s="106">
        <v>594</v>
      </c>
      <c r="D518" s="668" t="s">
        <v>704</v>
      </c>
      <c r="E518" s="669"/>
      <c r="F518" s="669"/>
      <c r="G518" s="670"/>
      <c r="H518" s="345" t="s">
        <v>33</v>
      </c>
      <c r="I518" s="238"/>
      <c r="J518" s="107">
        <f>SUMIFS(APUS!Y:Y,APUS!M:M,INSUMOS!C518)</f>
        <v>0</v>
      </c>
      <c r="K518" s="209">
        <f t="shared" si="43"/>
        <v>0</v>
      </c>
      <c r="N518" s="123">
        <f>IFERROR(SUMIFS(APUS!$Z$140:$Z$182,APUS!$N$183:Q224,INSUMOS!D518),0)</f>
        <v>0</v>
      </c>
      <c r="O518" s="114">
        <f t="shared" si="41"/>
        <v>0</v>
      </c>
      <c r="P518" s="94"/>
      <c r="Q518" s="116" t="str">
        <f t="shared" si="42"/>
        <v>SI</v>
      </c>
    </row>
    <row r="519" spans="3:17" ht="15" hidden="1" customHeight="1" x14ac:dyDescent="0.25">
      <c r="C519" s="106">
        <v>595</v>
      </c>
      <c r="D519" s="668" t="s">
        <v>705</v>
      </c>
      <c r="E519" s="669"/>
      <c r="F519" s="669"/>
      <c r="G519" s="670"/>
      <c r="H519" s="345" t="s">
        <v>33</v>
      </c>
      <c r="I519" s="238"/>
      <c r="J519" s="107">
        <f>SUMIFS(APUS!Y:Y,APUS!M:M,INSUMOS!C519)</f>
        <v>0</v>
      </c>
      <c r="K519" s="209">
        <f t="shared" si="43"/>
        <v>0</v>
      </c>
      <c r="N519" s="123">
        <f>IFERROR(SUMIFS(APUS!$Z$140:$Z$182,APUS!$N$183:Q225,INSUMOS!D519),0)</f>
        <v>0</v>
      </c>
      <c r="O519" s="114">
        <f t="shared" si="41"/>
        <v>0</v>
      </c>
      <c r="P519" s="94"/>
      <c r="Q519" s="116" t="str">
        <f t="shared" si="42"/>
        <v>SI</v>
      </c>
    </row>
    <row r="520" spans="3:17" ht="15" hidden="1" customHeight="1" x14ac:dyDescent="0.25">
      <c r="C520" s="106">
        <v>596</v>
      </c>
      <c r="D520" s="668" t="s">
        <v>706</v>
      </c>
      <c r="E520" s="669"/>
      <c r="F520" s="669"/>
      <c r="G520" s="670"/>
      <c r="H520" s="345" t="s">
        <v>33</v>
      </c>
      <c r="I520" s="238">
        <v>7891.6200000000017</v>
      </c>
      <c r="J520" s="107">
        <f>SUMIFS(APUS!Y:Y,APUS!M:M,INSUMOS!C520)</f>
        <v>0</v>
      </c>
      <c r="K520" s="209">
        <f t="shared" si="43"/>
        <v>0</v>
      </c>
      <c r="N520" s="123">
        <f>IFERROR(SUMIFS(APUS!$Z$140:$Z$182,APUS!$N$183:Q226,INSUMOS!D520),0)</f>
        <v>0</v>
      </c>
      <c r="O520" s="114">
        <f t="shared" si="41"/>
        <v>0</v>
      </c>
      <c r="P520" s="94"/>
      <c r="Q520" s="116" t="str">
        <f t="shared" si="42"/>
        <v>SI</v>
      </c>
    </row>
    <row r="521" spans="3:17" ht="15" hidden="1" customHeight="1" x14ac:dyDescent="0.25">
      <c r="C521" s="106">
        <v>597</v>
      </c>
      <c r="D521" s="668" t="s">
        <v>707</v>
      </c>
      <c r="E521" s="669"/>
      <c r="F521" s="669"/>
      <c r="G521" s="670"/>
      <c r="H521" s="345" t="s">
        <v>33</v>
      </c>
      <c r="I521" s="238">
        <v>12967.570000000002</v>
      </c>
      <c r="J521" s="107">
        <f>SUMIFS(APUS!Y:Y,APUS!M:M,INSUMOS!C521)</f>
        <v>0</v>
      </c>
      <c r="K521" s="209">
        <f t="shared" si="43"/>
        <v>0</v>
      </c>
      <c r="N521" s="123">
        <f>IFERROR(SUMIFS(APUS!$Z$140:$Z$182,APUS!$N$183:Q227,INSUMOS!D521),0)</f>
        <v>0</v>
      </c>
      <c r="O521" s="114">
        <f t="shared" si="41"/>
        <v>0</v>
      </c>
      <c r="P521" s="94"/>
      <c r="Q521" s="116" t="str">
        <f t="shared" si="42"/>
        <v>SI</v>
      </c>
    </row>
    <row r="522" spans="3:17" ht="15" hidden="1" customHeight="1" x14ac:dyDescent="0.25">
      <c r="C522" s="106">
        <v>598</v>
      </c>
      <c r="D522" s="668" t="s">
        <v>708</v>
      </c>
      <c r="E522" s="669"/>
      <c r="F522" s="669"/>
      <c r="G522" s="670"/>
      <c r="H522" s="345" t="s">
        <v>33</v>
      </c>
      <c r="I522" s="238">
        <v>21937.300000000003</v>
      </c>
      <c r="J522" s="107">
        <f>SUMIFS(APUS!Y:Y,APUS!M:M,INSUMOS!C522)</f>
        <v>0</v>
      </c>
      <c r="K522" s="209">
        <f t="shared" si="43"/>
        <v>0</v>
      </c>
      <c r="N522" s="123">
        <f>IFERROR(SUMIFS(APUS!$Z$140:$Z$182,APUS!$N$183:Q228,INSUMOS!D522),0)</f>
        <v>0</v>
      </c>
      <c r="O522" s="114">
        <f t="shared" si="41"/>
        <v>0</v>
      </c>
      <c r="P522" s="94"/>
      <c r="Q522" s="116" t="str">
        <f t="shared" si="42"/>
        <v>SI</v>
      </c>
    </row>
    <row r="523" spans="3:17" ht="15" hidden="1" customHeight="1" x14ac:dyDescent="0.25">
      <c r="C523" s="106">
        <v>599</v>
      </c>
      <c r="D523" s="668" t="s">
        <v>709</v>
      </c>
      <c r="E523" s="669"/>
      <c r="F523" s="669"/>
      <c r="G523" s="670"/>
      <c r="H523" s="345" t="s">
        <v>33</v>
      </c>
      <c r="I523" s="238">
        <v>89849.760000000009</v>
      </c>
      <c r="J523" s="107">
        <f>SUMIFS(APUS!Y:Y,APUS!M:M,INSUMOS!C523)</f>
        <v>0</v>
      </c>
      <c r="K523" s="209">
        <f t="shared" si="43"/>
        <v>0</v>
      </c>
      <c r="N523" s="123">
        <f>IFERROR(SUMIFS(APUS!$Z$140:$Z$182,APUS!$N$183:Q229,INSUMOS!D523),0)</f>
        <v>0</v>
      </c>
      <c r="O523" s="114">
        <f t="shared" si="41"/>
        <v>0</v>
      </c>
      <c r="P523" s="94"/>
      <c r="Q523" s="116" t="str">
        <f t="shared" si="42"/>
        <v>SI</v>
      </c>
    </row>
    <row r="524" spans="3:17" ht="15" hidden="1" customHeight="1" x14ac:dyDescent="0.25">
      <c r="C524" s="106">
        <v>600</v>
      </c>
      <c r="D524" s="668" t="s">
        <v>710</v>
      </c>
      <c r="E524" s="669"/>
      <c r="F524" s="669"/>
      <c r="G524" s="670"/>
      <c r="H524" s="345" t="s">
        <v>33</v>
      </c>
      <c r="I524" s="238">
        <v>129496.62000000002</v>
      </c>
      <c r="J524" s="107">
        <f>SUMIFS(APUS!Y:Y,APUS!M:M,INSUMOS!C524)</f>
        <v>0</v>
      </c>
      <c r="K524" s="209">
        <f t="shared" si="43"/>
        <v>0</v>
      </c>
      <c r="N524" s="123">
        <f>IFERROR(SUMIFS(APUS!$Z$140:$Z$182,APUS!$N$183:Q230,INSUMOS!D524),0)</f>
        <v>0</v>
      </c>
      <c r="O524" s="114">
        <f t="shared" si="41"/>
        <v>0</v>
      </c>
      <c r="P524" s="94"/>
      <c r="Q524" s="116" t="str">
        <f t="shared" si="42"/>
        <v>SI</v>
      </c>
    </row>
    <row r="525" spans="3:17" ht="15" hidden="1" customHeight="1" x14ac:dyDescent="0.25">
      <c r="C525" s="106">
        <v>601</v>
      </c>
      <c r="D525" s="668" t="s">
        <v>711</v>
      </c>
      <c r="E525" s="669"/>
      <c r="F525" s="669"/>
      <c r="G525" s="670"/>
      <c r="H525" s="345" t="s">
        <v>33</v>
      </c>
      <c r="I525" s="238">
        <v>220419.65000000005</v>
      </c>
      <c r="J525" s="107">
        <f>SUMIFS(APUS!Y:Y,APUS!M:M,INSUMOS!C525)</f>
        <v>0</v>
      </c>
      <c r="K525" s="209">
        <f t="shared" si="43"/>
        <v>0</v>
      </c>
      <c r="N525" s="123">
        <f>IFERROR(SUMIFS(APUS!$Z$140:$Z$182,APUS!$N$183:Q231,INSUMOS!D525),0)</f>
        <v>0</v>
      </c>
      <c r="O525" s="114">
        <f t="shared" si="41"/>
        <v>0</v>
      </c>
      <c r="P525" s="94"/>
      <c r="Q525" s="116" t="str">
        <f t="shared" si="42"/>
        <v>SI</v>
      </c>
    </row>
    <row r="526" spans="3:17" ht="15" hidden="1" customHeight="1" x14ac:dyDescent="0.25">
      <c r="C526" s="106">
        <v>602</v>
      </c>
      <c r="D526" s="668"/>
      <c r="E526" s="669"/>
      <c r="F526" s="669"/>
      <c r="G526" s="670"/>
      <c r="H526" s="343"/>
      <c r="I526" s="238"/>
      <c r="J526" s="107">
        <f>SUMIFS(APUS!Y:Y,APUS!M:M,INSUMOS!C526)</f>
        <v>0</v>
      </c>
      <c r="K526" s="209">
        <f t="shared" si="43"/>
        <v>0</v>
      </c>
      <c r="N526" s="123">
        <f>IFERROR(SUMIFS(APUS!$Z$140:$Z$182,APUS!$N$183:Q231,INSUMOS!D526),0)</f>
        <v>0</v>
      </c>
      <c r="O526" s="114">
        <f t="shared" si="41"/>
        <v>0</v>
      </c>
      <c r="P526" s="94"/>
      <c r="Q526" s="116" t="str">
        <f t="shared" si="42"/>
        <v>SI</v>
      </c>
    </row>
    <row r="527" spans="3:17" ht="15" customHeight="1" x14ac:dyDescent="0.25">
      <c r="C527" s="106">
        <v>603</v>
      </c>
      <c r="D527" s="668" t="s">
        <v>908</v>
      </c>
      <c r="E527" s="669"/>
      <c r="F527" s="669"/>
      <c r="G527" s="670"/>
      <c r="H527" s="343" t="s">
        <v>909</v>
      </c>
      <c r="I527" s="238">
        <f>258900/30</f>
        <v>8630</v>
      </c>
      <c r="J527" s="107">
        <f>SUMIFS(APUS!Y:Y,APUS!M:M,INSUMOS!C527)</f>
        <v>215.37299999999999</v>
      </c>
      <c r="K527" s="209">
        <f t="shared" si="43"/>
        <v>1858668.99</v>
      </c>
      <c r="N527" s="123">
        <f>IFERROR(SUMIFS(APUS!$Z$140:$Z$182,APUS!$N$183:Q231,INSUMOS!D527),0)</f>
        <v>0</v>
      </c>
      <c r="O527" s="114">
        <f t="shared" si="41"/>
        <v>-1858668.99</v>
      </c>
      <c r="P527" s="94"/>
      <c r="Q527" s="116" t="str">
        <f t="shared" si="42"/>
        <v>NO</v>
      </c>
    </row>
    <row r="528" spans="3:17" x14ac:dyDescent="0.25">
      <c r="C528" s="106">
        <v>604</v>
      </c>
      <c r="D528" s="668" t="s">
        <v>910</v>
      </c>
      <c r="E528" s="669"/>
      <c r="F528" s="669"/>
      <c r="G528" s="670"/>
      <c r="H528" s="343" t="s">
        <v>911</v>
      </c>
      <c r="I528" s="238">
        <v>1300000</v>
      </c>
      <c r="J528" s="107">
        <f>SUMIFS(APUS!Y:Y,APUS!M:M,INSUMOS!C528)</f>
        <v>2</v>
      </c>
      <c r="K528" s="209">
        <f t="shared" si="43"/>
        <v>2600000</v>
      </c>
      <c r="N528" s="123">
        <f>IFERROR(SUMIFS(APUS!$Z$140:$Z$182,APUS!$N$183:Q231,INSUMOS!D528),0)</f>
        <v>0</v>
      </c>
      <c r="O528" s="114">
        <f t="shared" si="41"/>
        <v>-2600000</v>
      </c>
      <c r="P528" s="94"/>
      <c r="Q528" s="116" t="str">
        <f t="shared" si="42"/>
        <v>NO</v>
      </c>
    </row>
    <row r="529" spans="3:17" x14ac:dyDescent="0.25">
      <c r="C529" s="106">
        <v>605</v>
      </c>
      <c r="D529" s="668" t="s">
        <v>914</v>
      </c>
      <c r="E529" s="669"/>
      <c r="F529" s="669"/>
      <c r="G529" s="670"/>
      <c r="H529" s="343" t="s">
        <v>40</v>
      </c>
      <c r="I529" s="238">
        <f>16350/(3.85)</f>
        <v>4246.7532467532465</v>
      </c>
      <c r="J529" s="107">
        <f>SUMIFS(APUS!Y:Y,APUS!M:M,INSUMOS!C529)</f>
        <v>441.46199999999999</v>
      </c>
      <c r="K529" s="209">
        <f t="shared" si="43"/>
        <v>1874780.1818181816</v>
      </c>
      <c r="N529" s="123">
        <f>IFERROR(SUMIFS(APUS!$Z$140:$Z$182,APUS!$N$183:Q231,INSUMOS!D529),0)</f>
        <v>0</v>
      </c>
      <c r="O529" s="114">
        <f t="shared" si="41"/>
        <v>-1874780.1818181816</v>
      </c>
      <c r="P529" s="94"/>
      <c r="Q529" s="116" t="str">
        <f t="shared" si="42"/>
        <v>NO</v>
      </c>
    </row>
    <row r="530" spans="3:17" x14ac:dyDescent="0.25">
      <c r="C530" s="106">
        <v>606</v>
      </c>
      <c r="D530" s="668" t="s">
        <v>915</v>
      </c>
      <c r="E530" s="669"/>
      <c r="F530" s="669"/>
      <c r="G530" s="670"/>
      <c r="H530" s="343" t="s">
        <v>34</v>
      </c>
      <c r="I530" s="238">
        <v>171378</v>
      </c>
      <c r="J530" s="107">
        <f>SUMIFS(APUS!Y:Y,APUS!M:M,INSUMOS!C530)</f>
        <v>13</v>
      </c>
      <c r="K530" s="209">
        <f t="shared" si="43"/>
        <v>2227914</v>
      </c>
      <c r="N530" s="123">
        <f>IFERROR(SUMIFS(APUS!$Z$140:$Z$182,APUS!$N$183:Q231,INSUMOS!D530),0)</f>
        <v>0</v>
      </c>
      <c r="O530" s="114">
        <f t="shared" si="41"/>
        <v>-2227914</v>
      </c>
      <c r="P530" s="94"/>
      <c r="Q530" s="116" t="str">
        <f t="shared" si="42"/>
        <v>NO</v>
      </c>
    </row>
    <row r="531" spans="3:17" ht="15" customHeight="1" x14ac:dyDescent="0.25">
      <c r="C531" s="106">
        <v>607</v>
      </c>
      <c r="D531" s="668" t="s">
        <v>916</v>
      </c>
      <c r="E531" s="669"/>
      <c r="F531" s="669"/>
      <c r="G531" s="670"/>
      <c r="H531" s="343" t="s">
        <v>34</v>
      </c>
      <c r="I531" s="238">
        <v>171378</v>
      </c>
      <c r="J531" s="107">
        <f>SUMIFS(APUS!Y:Y,APUS!M:M,INSUMOS!C531)</f>
        <v>6</v>
      </c>
      <c r="K531" s="209">
        <f t="shared" si="43"/>
        <v>1028268</v>
      </c>
      <c r="N531" s="123">
        <f>IFERROR(SUMIFS(APUS!$Z$140:$Z$182,APUS!$N$183:Q231,INSUMOS!D531),0)</f>
        <v>0</v>
      </c>
      <c r="O531" s="114">
        <f t="shared" si="41"/>
        <v>-1028268</v>
      </c>
      <c r="P531" s="94"/>
      <c r="Q531" s="116" t="str">
        <f t="shared" si="42"/>
        <v>NO</v>
      </c>
    </row>
    <row r="532" spans="3:17" ht="15" hidden="1" customHeight="1" x14ac:dyDescent="0.25">
      <c r="C532" s="106">
        <v>608</v>
      </c>
      <c r="D532" s="668"/>
      <c r="E532" s="669"/>
      <c r="F532" s="669"/>
      <c r="G532" s="670"/>
      <c r="H532" s="343"/>
      <c r="I532" s="238"/>
      <c r="J532" s="107">
        <f>SUMIFS(APUS!Y:Y,APUS!M:M,INSUMOS!C532)</f>
        <v>0</v>
      </c>
      <c r="K532" s="209">
        <f t="shared" si="43"/>
        <v>0</v>
      </c>
      <c r="N532" s="123">
        <f>IFERROR(SUMIFS(APUS!$Z$140:$Z$182,APUS!$N$183:Q231,INSUMOS!D532),0)</f>
        <v>0</v>
      </c>
      <c r="O532" s="114">
        <f t="shared" si="41"/>
        <v>0</v>
      </c>
      <c r="P532" s="94"/>
      <c r="Q532" s="116" t="str">
        <f t="shared" si="42"/>
        <v>SI</v>
      </c>
    </row>
    <row r="533" spans="3:17" hidden="1" x14ac:dyDescent="0.25">
      <c r="C533" s="106">
        <v>609</v>
      </c>
      <c r="D533" s="668"/>
      <c r="E533" s="669"/>
      <c r="F533" s="669"/>
      <c r="G533" s="670"/>
      <c r="H533" s="343"/>
      <c r="I533" s="238"/>
      <c r="J533" s="107">
        <f>SUMIFS(APUS!Y:Y,APUS!M:M,INSUMOS!C533)</f>
        <v>0</v>
      </c>
      <c r="K533" s="209">
        <f t="shared" si="43"/>
        <v>0</v>
      </c>
      <c r="N533" s="123">
        <f>IFERROR(SUMIFS(APUS!$Z$140:$Z$182,APUS!$N$183:Q231,INSUMOS!D533),0)</f>
        <v>0</v>
      </c>
      <c r="O533" s="114">
        <f t="shared" si="41"/>
        <v>0</v>
      </c>
      <c r="P533" s="94"/>
      <c r="Q533" s="116" t="str">
        <f t="shared" si="42"/>
        <v>SI</v>
      </c>
    </row>
    <row r="534" spans="3:17" ht="15" hidden="1" customHeight="1" x14ac:dyDescent="0.25">
      <c r="C534" s="106">
        <v>610</v>
      </c>
      <c r="D534" s="668" t="s">
        <v>712</v>
      </c>
      <c r="E534" s="669"/>
      <c r="F534" s="669"/>
      <c r="G534" s="670"/>
      <c r="H534" s="343" t="s">
        <v>33</v>
      </c>
      <c r="I534" s="238">
        <v>2779.3700000000003</v>
      </c>
      <c r="J534" s="107">
        <f>SUMIFS(APUS!Y:Y,APUS!M:M,INSUMOS!C534)</f>
        <v>0</v>
      </c>
      <c r="K534" s="209">
        <f t="shared" si="43"/>
        <v>0</v>
      </c>
      <c r="N534" s="123">
        <f>IFERROR(SUMIFS(APUS!$Z$140:$Z$182,APUS!$N$183:Q231,INSUMOS!D534),0)</f>
        <v>0</v>
      </c>
      <c r="O534" s="114">
        <f t="shared" si="41"/>
        <v>0</v>
      </c>
      <c r="P534" s="94"/>
      <c r="Q534" s="116" t="str">
        <f t="shared" si="42"/>
        <v>SI</v>
      </c>
    </row>
    <row r="535" spans="3:17" ht="15" hidden="1" customHeight="1" x14ac:dyDescent="0.25">
      <c r="C535" s="106">
        <v>611</v>
      </c>
      <c r="D535" s="668" t="s">
        <v>713</v>
      </c>
      <c r="E535" s="669"/>
      <c r="F535" s="669"/>
      <c r="G535" s="670"/>
      <c r="H535" s="343" t="s">
        <v>33</v>
      </c>
      <c r="I535" s="238">
        <v>5461.9400000000014</v>
      </c>
      <c r="J535" s="107">
        <f>SUMIFS(APUS!Y:Y,APUS!M:M,INSUMOS!C535)</f>
        <v>0</v>
      </c>
      <c r="K535" s="209">
        <f t="shared" si="43"/>
        <v>0</v>
      </c>
      <c r="N535" s="123">
        <f>IFERROR(SUMIFS(APUS!$Z$140:$Z$182,APUS!$N$183:Q231,INSUMOS!D535),0)</f>
        <v>0</v>
      </c>
      <c r="O535" s="114">
        <f t="shared" si="41"/>
        <v>0</v>
      </c>
      <c r="P535" s="94"/>
      <c r="Q535" s="116" t="str">
        <f t="shared" si="42"/>
        <v>SI</v>
      </c>
    </row>
    <row r="536" spans="3:17" hidden="1" x14ac:dyDescent="0.25">
      <c r="C536" s="106">
        <v>612</v>
      </c>
      <c r="D536" s="668"/>
      <c r="E536" s="669"/>
      <c r="F536" s="669"/>
      <c r="G536" s="670"/>
      <c r="H536" s="343"/>
      <c r="I536" s="238"/>
      <c r="J536" s="107">
        <f>SUMIFS(APUS!Y:Y,APUS!M:M,INSUMOS!C536)</f>
        <v>0</v>
      </c>
      <c r="K536" s="209">
        <f t="shared" si="43"/>
        <v>0</v>
      </c>
      <c r="N536" s="123">
        <f>IFERROR(SUMIFS(APUS!$Z$140:$Z$182,APUS!$N$183:Q231,INSUMOS!D536),0)</f>
        <v>0</v>
      </c>
      <c r="O536" s="114">
        <f t="shared" si="41"/>
        <v>0</v>
      </c>
      <c r="P536" s="94"/>
      <c r="Q536" s="116" t="str">
        <f t="shared" si="42"/>
        <v>SI</v>
      </c>
    </row>
    <row r="537" spans="3:17" x14ac:dyDescent="0.25">
      <c r="C537" s="106">
        <v>613</v>
      </c>
      <c r="D537" s="668" t="s">
        <v>917</v>
      </c>
      <c r="E537" s="669"/>
      <c r="F537" s="669"/>
      <c r="G537" s="670"/>
      <c r="H537" s="343" t="s">
        <v>33</v>
      </c>
      <c r="I537" s="238">
        <f>675000/6</f>
        <v>112500</v>
      </c>
      <c r="J537" s="107">
        <f>SUMIFS(APUS!Y:Y,APUS!M:M,INSUMOS!C537)</f>
        <v>6.75</v>
      </c>
      <c r="K537" s="209">
        <f t="shared" si="43"/>
        <v>759375</v>
      </c>
      <c r="N537" s="123">
        <f>IFERROR(SUMIFS(APUS!$Z$140:$Z$182,APUS!$N$183:Q231,INSUMOS!D537),0)</f>
        <v>0</v>
      </c>
      <c r="O537" s="114">
        <f t="shared" si="41"/>
        <v>-759375</v>
      </c>
      <c r="P537" s="94"/>
      <c r="Q537" s="116" t="str">
        <f t="shared" si="42"/>
        <v>NO</v>
      </c>
    </row>
    <row r="538" spans="3:17" x14ac:dyDescent="0.25">
      <c r="C538" s="106">
        <v>614</v>
      </c>
      <c r="D538" s="668" t="s">
        <v>918</v>
      </c>
      <c r="E538" s="669"/>
      <c r="F538" s="669"/>
      <c r="G538" s="670"/>
      <c r="H538" s="343" t="s">
        <v>33</v>
      </c>
      <c r="I538" s="238">
        <v>7400</v>
      </c>
      <c r="J538" s="107">
        <f>SUMIFS(APUS!Y:Y,APUS!M:M,INSUMOS!C538)</f>
        <v>21.6</v>
      </c>
      <c r="K538" s="209">
        <f t="shared" si="43"/>
        <v>159840</v>
      </c>
      <c r="N538" s="123">
        <f>IFERROR(SUMIFS(APUS!$Z$140:$Z$182,APUS!$N$183:Q231,INSUMOS!D538),0)</f>
        <v>0</v>
      </c>
      <c r="O538" s="114">
        <f t="shared" si="41"/>
        <v>-159840</v>
      </c>
      <c r="P538" s="94"/>
      <c r="Q538" s="116" t="str">
        <f t="shared" si="42"/>
        <v>NO</v>
      </c>
    </row>
    <row r="539" spans="3:17" hidden="1" x14ac:dyDescent="0.25">
      <c r="C539" s="106">
        <v>615</v>
      </c>
      <c r="D539" s="668"/>
      <c r="E539" s="669"/>
      <c r="F539" s="669"/>
      <c r="G539" s="670"/>
      <c r="H539" s="343"/>
      <c r="I539" s="238"/>
      <c r="J539" s="107">
        <f>SUMIFS(APUS!Y:Y,APUS!M:M,INSUMOS!C539)</f>
        <v>0</v>
      </c>
      <c r="K539" s="209">
        <f t="shared" si="43"/>
        <v>0</v>
      </c>
      <c r="N539" s="123">
        <f>IFERROR(SUMIFS(APUS!$Z$140:$Z$182,APUS!$N$183:Q231,INSUMOS!D539),0)</f>
        <v>0</v>
      </c>
      <c r="O539" s="114">
        <f t="shared" si="41"/>
        <v>0</v>
      </c>
      <c r="P539" s="94"/>
      <c r="Q539" s="116" t="str">
        <f t="shared" si="42"/>
        <v>SI</v>
      </c>
    </row>
    <row r="540" spans="3:17" hidden="1" x14ac:dyDescent="0.25">
      <c r="C540" s="106">
        <v>616</v>
      </c>
      <c r="D540" s="668"/>
      <c r="E540" s="669"/>
      <c r="F540" s="669"/>
      <c r="G540" s="670"/>
      <c r="H540" s="343"/>
      <c r="I540" s="238"/>
      <c r="J540" s="107">
        <f>SUMIFS(APUS!Y:Y,APUS!M:M,INSUMOS!C540)</f>
        <v>0</v>
      </c>
      <c r="K540" s="209">
        <f t="shared" si="43"/>
        <v>0</v>
      </c>
      <c r="N540" s="123">
        <f>IFERROR(SUMIFS(APUS!$Z$140:$Z$182,APUS!$N$183:Q231,INSUMOS!D540),0)</f>
        <v>0</v>
      </c>
      <c r="O540" s="114">
        <f t="shared" si="41"/>
        <v>0</v>
      </c>
      <c r="P540" s="94"/>
      <c r="Q540" s="116" t="str">
        <f t="shared" si="42"/>
        <v>SI</v>
      </c>
    </row>
    <row r="541" spans="3:17" ht="15" hidden="1" customHeight="1" x14ac:dyDescent="0.25">
      <c r="C541" s="106">
        <v>617</v>
      </c>
      <c r="D541" s="668" t="s">
        <v>714</v>
      </c>
      <c r="E541" s="669"/>
      <c r="F541" s="669"/>
      <c r="G541" s="670"/>
      <c r="H541" s="343" t="s">
        <v>34</v>
      </c>
      <c r="I541" s="238">
        <v>15125.000000000004</v>
      </c>
      <c r="J541" s="107">
        <f>SUMIFS(APUS!Y:Y,APUS!M:M,INSUMOS!C541)</f>
        <v>0</v>
      </c>
      <c r="K541" s="209">
        <f t="shared" si="43"/>
        <v>0</v>
      </c>
      <c r="N541" s="123">
        <f>IFERROR(SUMIFS(APUS!$Z$140:$Z$182,APUS!$N$183:Q231,INSUMOS!D541),0)</f>
        <v>0</v>
      </c>
      <c r="O541" s="114">
        <f t="shared" si="41"/>
        <v>0</v>
      </c>
      <c r="P541" s="94"/>
      <c r="Q541" s="116" t="str">
        <f t="shared" si="42"/>
        <v>SI</v>
      </c>
    </row>
    <row r="542" spans="3:17" ht="15" hidden="1" customHeight="1" x14ac:dyDescent="0.25">
      <c r="C542" s="106">
        <v>618</v>
      </c>
      <c r="D542" s="668" t="s">
        <v>715</v>
      </c>
      <c r="E542" s="669"/>
      <c r="F542" s="669"/>
      <c r="G542" s="670"/>
      <c r="H542" s="343" t="s">
        <v>34</v>
      </c>
      <c r="I542" s="238">
        <v>302.5</v>
      </c>
      <c r="J542" s="107">
        <f>SUMIFS(APUS!Y:Y,APUS!M:M,INSUMOS!C542)</f>
        <v>0</v>
      </c>
      <c r="K542" s="209">
        <f t="shared" si="43"/>
        <v>0</v>
      </c>
      <c r="N542" s="123">
        <f>IFERROR(SUMIFS(APUS!$Z$140:$Z$182,APUS!$N$183:Q231,INSUMOS!D542),0)</f>
        <v>0</v>
      </c>
      <c r="O542" s="114">
        <f t="shared" si="41"/>
        <v>0</v>
      </c>
      <c r="P542" s="94"/>
      <c r="Q542" s="116" t="str">
        <f t="shared" si="42"/>
        <v>SI</v>
      </c>
    </row>
    <row r="543" spans="3:17" ht="15" hidden="1" customHeight="1" x14ac:dyDescent="0.25">
      <c r="C543" s="106">
        <v>619</v>
      </c>
      <c r="D543" s="668" t="s">
        <v>716</v>
      </c>
      <c r="E543" s="669"/>
      <c r="F543" s="669"/>
      <c r="G543" s="670"/>
      <c r="H543" s="343" t="s">
        <v>34</v>
      </c>
      <c r="I543" s="238">
        <v>326.70000000000005</v>
      </c>
      <c r="J543" s="107">
        <f>SUMIFS(APUS!Y:Y,APUS!M:M,INSUMOS!C543)</f>
        <v>0</v>
      </c>
      <c r="K543" s="209">
        <f t="shared" si="43"/>
        <v>0</v>
      </c>
      <c r="N543" s="123">
        <f>IFERROR(SUMIFS(APUS!$Z$140:$Z$182,APUS!$N$183:Q231,INSUMOS!D543),0)</f>
        <v>0</v>
      </c>
      <c r="O543" s="114">
        <f t="shared" si="41"/>
        <v>0</v>
      </c>
      <c r="P543" s="94"/>
      <c r="Q543" s="116" t="str">
        <f t="shared" si="42"/>
        <v>SI</v>
      </c>
    </row>
    <row r="544" spans="3:17" ht="15" hidden="1" customHeight="1" x14ac:dyDescent="0.25">
      <c r="C544" s="106">
        <v>620</v>
      </c>
      <c r="D544" s="671" t="s">
        <v>717</v>
      </c>
      <c r="E544" s="672"/>
      <c r="F544" s="672"/>
      <c r="G544" s="673"/>
      <c r="H544" s="345" t="s">
        <v>34</v>
      </c>
      <c r="I544" s="238">
        <v>41745</v>
      </c>
      <c r="J544" s="107">
        <f>SUMIFS(APUS!Y:Y,APUS!M:M,INSUMOS!C544)</f>
        <v>0</v>
      </c>
      <c r="K544" s="209">
        <f t="shared" si="43"/>
        <v>0</v>
      </c>
      <c r="N544" s="123">
        <f>IFERROR(SUMIFS(APUS!$Z$140:$Z$182,APUS!$N$183:Q231,INSUMOS!D544),0)</f>
        <v>0</v>
      </c>
      <c r="O544" s="114">
        <f t="shared" si="41"/>
        <v>0</v>
      </c>
      <c r="P544" s="94"/>
      <c r="Q544" s="116" t="str">
        <f t="shared" si="42"/>
        <v>SI</v>
      </c>
    </row>
    <row r="545" spans="3:18" ht="15" hidden="1" customHeight="1" x14ac:dyDescent="0.25">
      <c r="C545" s="106">
        <v>621</v>
      </c>
      <c r="D545" s="671" t="s">
        <v>718</v>
      </c>
      <c r="E545" s="672"/>
      <c r="F545" s="672"/>
      <c r="G545" s="673"/>
      <c r="H545" s="345" t="s">
        <v>260</v>
      </c>
      <c r="I545" s="238">
        <v>56389.630000000005</v>
      </c>
      <c r="J545" s="107">
        <f>SUMIFS(APUS!Y:Y,APUS!M:M,INSUMOS!C545)</f>
        <v>0</v>
      </c>
      <c r="K545" s="209">
        <f t="shared" si="43"/>
        <v>0</v>
      </c>
      <c r="N545" s="123">
        <f>IFERROR(SUMIFS(APUS!$Z$140:$Z$182,APUS!$N$183:Q231,INSUMOS!D545),0)</f>
        <v>0</v>
      </c>
      <c r="O545" s="114">
        <f t="shared" si="41"/>
        <v>0</v>
      </c>
      <c r="P545" s="94"/>
      <c r="Q545" s="116" t="str">
        <f t="shared" si="42"/>
        <v>SI</v>
      </c>
    </row>
    <row r="546" spans="3:18" s="260" customFormat="1" ht="51" hidden="1" customHeight="1" x14ac:dyDescent="0.25">
      <c r="C546" s="106">
        <v>622</v>
      </c>
      <c r="D546" s="671" t="s">
        <v>719</v>
      </c>
      <c r="E546" s="672"/>
      <c r="F546" s="672"/>
      <c r="G546" s="673"/>
      <c r="H546" s="345" t="s">
        <v>260</v>
      </c>
      <c r="I546" s="238">
        <v>114047.34000000003</v>
      </c>
      <c r="J546" s="107">
        <f>SUMIFS(APUS!Y:Y,APUS!M:M,INSUMOS!C546)</f>
        <v>0</v>
      </c>
      <c r="K546" s="209">
        <f t="shared" si="43"/>
        <v>0</v>
      </c>
      <c r="N546" s="123">
        <f>IFERROR(SUMIFS(APUS!$Z$140:$Z$182,APUS!$N$183:Q231,INSUMOS!D546),0)</f>
        <v>0</v>
      </c>
      <c r="O546" s="114">
        <f t="shared" ref="O546:O554" si="44">+N546-K546</f>
        <v>0</v>
      </c>
      <c r="P546" s="94"/>
      <c r="Q546" s="116" t="str">
        <f t="shared" ref="Q546:Q554" si="45">+IF(K546=0,"SI","NO")</f>
        <v>SI</v>
      </c>
      <c r="R546"/>
    </row>
    <row r="547" spans="3:18" hidden="1" x14ac:dyDescent="0.25">
      <c r="C547" s="106">
        <v>623</v>
      </c>
      <c r="D547" s="668"/>
      <c r="E547" s="669"/>
      <c r="F547" s="669"/>
      <c r="G547" s="670"/>
      <c r="H547" s="343"/>
      <c r="I547" s="238"/>
      <c r="J547" s="107">
        <f>SUMIFS(APUS!Y:Y,APUS!M:M,INSUMOS!C547)</f>
        <v>0</v>
      </c>
      <c r="K547" s="209">
        <f t="shared" si="43"/>
        <v>0</v>
      </c>
      <c r="N547" s="123">
        <f>IFERROR(SUMIFS(APUS!$Z$140:$Z$182,APUS!$N$183:Q231,INSUMOS!D547),0)</f>
        <v>0</v>
      </c>
      <c r="O547" s="114">
        <f t="shared" si="44"/>
        <v>0</v>
      </c>
      <c r="P547" s="94"/>
      <c r="Q547" s="116" t="str">
        <f t="shared" si="45"/>
        <v>SI</v>
      </c>
    </row>
    <row r="548" spans="3:18" ht="15" hidden="1" customHeight="1" x14ac:dyDescent="0.25">
      <c r="C548" s="106">
        <v>624</v>
      </c>
      <c r="D548" s="668"/>
      <c r="E548" s="669"/>
      <c r="F548" s="669"/>
      <c r="G548" s="670"/>
      <c r="H548" s="343"/>
      <c r="I548" s="238"/>
      <c r="J548" s="107">
        <f>SUMIFS(APUS!Y:Y,APUS!M:M,INSUMOS!C548)</f>
        <v>0</v>
      </c>
      <c r="K548" s="209">
        <f t="shared" si="43"/>
        <v>0</v>
      </c>
      <c r="N548" s="123">
        <f>IFERROR(SUMIFS(APUS!$Z$140:$Z$182,APUS!$N$183:Q231,INSUMOS!D548),0)</f>
        <v>0</v>
      </c>
      <c r="O548" s="114">
        <f t="shared" si="44"/>
        <v>0</v>
      </c>
      <c r="P548" s="94"/>
      <c r="Q548" s="116" t="str">
        <f t="shared" si="45"/>
        <v>SI</v>
      </c>
    </row>
    <row r="549" spans="3:18" ht="15" hidden="1" customHeight="1" x14ac:dyDescent="0.25">
      <c r="C549" s="106">
        <v>625</v>
      </c>
      <c r="D549" s="668" t="s">
        <v>647</v>
      </c>
      <c r="E549" s="669"/>
      <c r="F549" s="669"/>
      <c r="G549" s="670"/>
      <c r="H549" s="343" t="s">
        <v>33</v>
      </c>
      <c r="I549" s="238">
        <v>13412</v>
      </c>
      <c r="J549" s="107">
        <f>SUMIFS(APUS!Y:Y,APUS!M:M,INSUMOS!C549)</f>
        <v>0</v>
      </c>
      <c r="K549" s="209">
        <f t="shared" si="43"/>
        <v>0</v>
      </c>
      <c r="N549" s="123">
        <f>IFERROR(SUMIFS(APUS!$Z$140:$Z$182,APUS!$N$183:Q231,INSUMOS!D549),0)</f>
        <v>0</v>
      </c>
      <c r="O549" s="114">
        <f t="shared" si="44"/>
        <v>0</v>
      </c>
      <c r="P549" s="94"/>
      <c r="Q549" s="116" t="str">
        <f t="shared" si="45"/>
        <v>SI</v>
      </c>
    </row>
    <row r="550" spans="3:18" x14ac:dyDescent="0.25">
      <c r="C550" s="106">
        <v>626</v>
      </c>
      <c r="D550" s="668" t="s">
        <v>912</v>
      </c>
      <c r="E550" s="669"/>
      <c r="F550" s="669"/>
      <c r="G550" s="670"/>
      <c r="H550" s="343" t="s">
        <v>33</v>
      </c>
      <c r="I550" s="238">
        <v>23692</v>
      </c>
      <c r="J550" s="107">
        <f>SUMIFS(APUS!Y:Y,APUS!M:M,INSUMOS!C550)</f>
        <v>145</v>
      </c>
      <c r="K550" s="209">
        <f t="shared" si="43"/>
        <v>3435340</v>
      </c>
      <c r="N550" s="123">
        <f>IFERROR(SUMIFS(APUS!$Z$140:$Z$182,APUS!$N$183:Q231,INSUMOS!D550),0)</f>
        <v>0</v>
      </c>
      <c r="O550" s="114">
        <f t="shared" si="44"/>
        <v>-3435340</v>
      </c>
      <c r="P550" s="94"/>
      <c r="Q550" s="116" t="str">
        <f t="shared" si="45"/>
        <v>NO</v>
      </c>
    </row>
    <row r="551" spans="3:18" ht="15" customHeight="1" x14ac:dyDescent="0.25">
      <c r="C551" s="106">
        <v>627</v>
      </c>
      <c r="D551" s="668" t="s">
        <v>913</v>
      </c>
      <c r="E551" s="669"/>
      <c r="F551" s="669"/>
      <c r="G551" s="670"/>
      <c r="H551" s="343" t="s">
        <v>33</v>
      </c>
      <c r="I551" s="238">
        <v>33700</v>
      </c>
      <c r="J551" s="107">
        <f>SUMIFS(APUS!Y:Y,APUS!M:M,INSUMOS!C551)</f>
        <v>46.94</v>
      </c>
      <c r="K551" s="209">
        <f t="shared" si="43"/>
        <v>1581878</v>
      </c>
      <c r="N551" s="123">
        <f>IFERROR(SUMIFS(APUS!$Z$140:$Z$182,APUS!$N$183:Q231,INSUMOS!D551),0)</f>
        <v>0</v>
      </c>
      <c r="O551" s="114">
        <f t="shared" si="44"/>
        <v>-1581878</v>
      </c>
      <c r="P551" s="94"/>
      <c r="Q551" s="116" t="str">
        <f t="shared" si="45"/>
        <v>NO</v>
      </c>
    </row>
    <row r="552" spans="3:18" hidden="1" x14ac:dyDescent="0.25">
      <c r="C552" s="106">
        <v>628</v>
      </c>
      <c r="D552" s="668"/>
      <c r="E552" s="669"/>
      <c r="F552" s="669"/>
      <c r="G552" s="670"/>
      <c r="H552" s="343"/>
      <c r="I552" s="238"/>
      <c r="J552" s="107">
        <f>SUMIFS(APUS!Y:Y,APUS!M:M,INSUMOS!C552)</f>
        <v>0</v>
      </c>
      <c r="K552" s="209">
        <f t="shared" si="43"/>
        <v>0</v>
      </c>
      <c r="N552" s="123">
        <f>IFERROR(SUMIFS(APUS!$Z$140:$Z$182,APUS!$N$183:Q231,INSUMOS!D552),0)</f>
        <v>0</v>
      </c>
      <c r="O552" s="114">
        <f t="shared" si="44"/>
        <v>0</v>
      </c>
      <c r="P552" s="94"/>
      <c r="Q552" s="116" t="str">
        <f t="shared" si="45"/>
        <v>SI</v>
      </c>
    </row>
    <row r="553" spans="3:18" hidden="1" x14ac:dyDescent="0.25">
      <c r="C553" s="106">
        <v>629</v>
      </c>
      <c r="D553" s="668"/>
      <c r="E553" s="669"/>
      <c r="F553" s="669"/>
      <c r="G553" s="670"/>
      <c r="H553" s="343"/>
      <c r="I553" s="238"/>
      <c r="J553" s="107">
        <f>SUMIFS(APUS!Y:Y,APUS!M:M,INSUMOS!C553)</f>
        <v>0</v>
      </c>
      <c r="K553" s="209">
        <f t="shared" si="43"/>
        <v>0</v>
      </c>
      <c r="N553" s="123">
        <f>IFERROR(SUMIFS(APUS!$Z$140:$Z$182,APUS!$N$183:Q231,INSUMOS!D553),0)</f>
        <v>0</v>
      </c>
      <c r="O553" s="114">
        <f t="shared" si="44"/>
        <v>0</v>
      </c>
      <c r="P553" s="94"/>
      <c r="Q553" s="116" t="str">
        <f t="shared" si="45"/>
        <v>SI</v>
      </c>
    </row>
    <row r="554" spans="3:18" ht="15" hidden="1" customHeight="1" x14ac:dyDescent="0.25">
      <c r="C554" s="106">
        <v>630</v>
      </c>
      <c r="D554" s="668" t="s">
        <v>720</v>
      </c>
      <c r="E554" s="669"/>
      <c r="F554" s="669"/>
      <c r="G554" s="670"/>
      <c r="H554" s="343" t="s">
        <v>33</v>
      </c>
      <c r="I554" s="238"/>
      <c r="J554" s="107">
        <f>SUMIFS(APUS!Y:Y,APUS!M:M,INSUMOS!C554)</f>
        <v>0</v>
      </c>
      <c r="K554" s="209">
        <f t="shared" si="43"/>
        <v>0</v>
      </c>
      <c r="N554" s="123">
        <f>IFERROR(SUMIFS(APUS!$Z$140:$Z$182,APUS!$N$183:Q231,INSUMOS!D554),0)</f>
        <v>0</v>
      </c>
      <c r="O554" s="114">
        <f t="shared" si="44"/>
        <v>0</v>
      </c>
      <c r="P554" s="94"/>
      <c r="Q554" s="116" t="str">
        <f t="shared" si="45"/>
        <v>SI</v>
      </c>
    </row>
    <row r="555" spans="3:18" ht="15" hidden="1" customHeight="1" x14ac:dyDescent="0.25">
      <c r="C555" s="106">
        <v>631</v>
      </c>
      <c r="D555" s="668" t="s">
        <v>721</v>
      </c>
      <c r="E555" s="669"/>
      <c r="F555" s="669"/>
      <c r="G555" s="670"/>
      <c r="H555" s="343" t="s">
        <v>33</v>
      </c>
      <c r="I555" s="238"/>
      <c r="J555" s="107">
        <f>SUMIFS(APUS!Y:Y,APUS!M:M,INSUMOS!C555)</f>
        <v>0</v>
      </c>
      <c r="K555" s="209">
        <f t="shared" si="43"/>
        <v>0</v>
      </c>
      <c r="N555" s="123">
        <f>IFERROR(SUMIFS(APUS!$Z$140:$Z$182,APUS!$N$183:Q231,INSUMOS!D555),0)</f>
        <v>0</v>
      </c>
      <c r="O555" s="114">
        <f t="shared" ref="O555:O618" si="46">+N555-K555</f>
        <v>0</v>
      </c>
      <c r="P555" s="94"/>
      <c r="Q555" s="116" t="str">
        <f t="shared" ref="Q555:Q618" si="47">+IF(K555=0,"SI","NO")</f>
        <v>SI</v>
      </c>
    </row>
    <row r="556" spans="3:18" ht="15" hidden="1" customHeight="1" x14ac:dyDescent="0.25">
      <c r="C556" s="106">
        <v>632</v>
      </c>
      <c r="D556" s="668" t="s">
        <v>722</v>
      </c>
      <c r="E556" s="669"/>
      <c r="F556" s="669"/>
      <c r="G556" s="670"/>
      <c r="H556" s="343" t="s">
        <v>33</v>
      </c>
      <c r="I556" s="238"/>
      <c r="J556" s="107">
        <f>SUMIFS(APUS!Y:Y,APUS!M:M,INSUMOS!C556)</f>
        <v>0</v>
      </c>
      <c r="K556" s="209">
        <f t="shared" si="43"/>
        <v>0</v>
      </c>
      <c r="N556" s="123">
        <f>IFERROR(SUMIFS(APUS!$Z$140:$Z$182,APUS!$N$183:Q231,INSUMOS!D556),0)</f>
        <v>0</v>
      </c>
      <c r="O556" s="114">
        <f t="shared" si="46"/>
        <v>0</v>
      </c>
      <c r="P556" s="94"/>
      <c r="Q556" s="116" t="str">
        <f t="shared" si="47"/>
        <v>SI</v>
      </c>
    </row>
    <row r="557" spans="3:18" hidden="1" x14ac:dyDescent="0.25">
      <c r="C557" s="106">
        <v>633</v>
      </c>
      <c r="D557" s="668" t="s">
        <v>723</v>
      </c>
      <c r="E557" s="669"/>
      <c r="F557" s="669"/>
      <c r="G557" s="670"/>
      <c r="H557" s="343" t="s">
        <v>33</v>
      </c>
      <c r="I557" s="238">
        <v>20360.670000000002</v>
      </c>
      <c r="J557" s="107">
        <f>SUMIFS(APUS!Y:Y,APUS!M:M,INSUMOS!C557)</f>
        <v>0</v>
      </c>
      <c r="K557" s="209">
        <f t="shared" si="43"/>
        <v>0</v>
      </c>
      <c r="N557" s="123">
        <f>IFERROR(SUMIFS(APUS!$Z$140:$Z$182,APUS!$N$183:Q231,INSUMOS!D557),0)</f>
        <v>0</v>
      </c>
      <c r="O557" s="114">
        <f t="shared" si="46"/>
        <v>0</v>
      </c>
      <c r="P557" s="94"/>
      <c r="Q557" s="116" t="str">
        <f t="shared" si="47"/>
        <v>SI</v>
      </c>
    </row>
    <row r="558" spans="3:18" ht="15" hidden="1" customHeight="1" x14ac:dyDescent="0.25">
      <c r="C558" s="106">
        <v>634</v>
      </c>
      <c r="D558" s="668" t="s">
        <v>724</v>
      </c>
      <c r="E558" s="669"/>
      <c r="F558" s="669"/>
      <c r="G558" s="670"/>
      <c r="H558" s="343" t="s">
        <v>33</v>
      </c>
      <c r="I558" s="238"/>
      <c r="J558" s="107">
        <f>SUMIFS(APUS!Y:Y,APUS!M:M,INSUMOS!C558)</f>
        <v>0</v>
      </c>
      <c r="K558" s="209">
        <f t="shared" si="43"/>
        <v>0</v>
      </c>
      <c r="N558" s="123">
        <f>IFERROR(SUMIFS(APUS!$Z$140:$Z$182,APUS!$N$183:Q231,INSUMOS!D558),0)</f>
        <v>0</v>
      </c>
      <c r="O558" s="114">
        <f t="shared" si="46"/>
        <v>0</v>
      </c>
      <c r="P558" s="94"/>
      <c r="Q558" s="116" t="str">
        <f t="shared" si="47"/>
        <v>SI</v>
      </c>
    </row>
    <row r="559" spans="3:18" ht="15" hidden="1" customHeight="1" x14ac:dyDescent="0.25">
      <c r="C559" s="106">
        <v>635</v>
      </c>
      <c r="D559" s="668" t="s">
        <v>725</v>
      </c>
      <c r="E559" s="669"/>
      <c r="F559" s="669"/>
      <c r="G559" s="670"/>
      <c r="H559" s="343" t="s">
        <v>33</v>
      </c>
      <c r="I559" s="238"/>
      <c r="J559" s="107">
        <f>SUMIFS(APUS!Y:Y,APUS!M:M,INSUMOS!C559)</f>
        <v>0</v>
      </c>
      <c r="K559" s="209">
        <f t="shared" si="43"/>
        <v>0</v>
      </c>
      <c r="N559" s="123">
        <f>IFERROR(SUMIFS(APUS!$Z$140:$Z$182,APUS!$N$183:Q231,INSUMOS!D559),0)</f>
        <v>0</v>
      </c>
      <c r="O559" s="114">
        <f t="shared" si="46"/>
        <v>0</v>
      </c>
      <c r="P559" s="94"/>
      <c r="Q559" s="116" t="str">
        <f t="shared" si="47"/>
        <v>SI</v>
      </c>
    </row>
    <row r="560" spans="3:18" ht="15" hidden="1" customHeight="1" x14ac:dyDescent="0.25">
      <c r="C560" s="106">
        <v>636</v>
      </c>
      <c r="D560" s="668" t="s">
        <v>726</v>
      </c>
      <c r="E560" s="669"/>
      <c r="F560" s="669"/>
      <c r="G560" s="670"/>
      <c r="H560" s="343" t="s">
        <v>33</v>
      </c>
      <c r="I560" s="238"/>
      <c r="J560" s="107">
        <f>SUMIFS(APUS!Y:Y,APUS!M:M,INSUMOS!C560)</f>
        <v>0</v>
      </c>
      <c r="K560" s="209">
        <f t="shared" si="43"/>
        <v>0</v>
      </c>
      <c r="N560" s="123">
        <f>IFERROR(SUMIFS(APUS!$Z$140:$Z$182,APUS!$N$183:Q231,INSUMOS!D560),0)</f>
        <v>0</v>
      </c>
      <c r="O560" s="114">
        <f t="shared" si="46"/>
        <v>0</v>
      </c>
      <c r="P560" s="94"/>
      <c r="Q560" s="116" t="str">
        <f t="shared" si="47"/>
        <v>SI</v>
      </c>
    </row>
    <row r="561" spans="3:17" ht="15" hidden="1" customHeight="1" x14ac:dyDescent="0.25">
      <c r="C561" s="106">
        <v>637</v>
      </c>
      <c r="D561" s="668" t="s">
        <v>727</v>
      </c>
      <c r="E561" s="669"/>
      <c r="F561" s="669"/>
      <c r="G561" s="670"/>
      <c r="H561" s="343" t="s">
        <v>33</v>
      </c>
      <c r="I561" s="238"/>
      <c r="J561" s="107">
        <f>SUMIFS(APUS!Y:Y,APUS!M:M,INSUMOS!C561)</f>
        <v>0</v>
      </c>
      <c r="K561" s="209">
        <f t="shared" si="43"/>
        <v>0</v>
      </c>
      <c r="N561" s="123">
        <f>IFERROR(SUMIFS(APUS!$Z$140:$Z$182,APUS!$N$183:Q231,INSUMOS!D561),0)</f>
        <v>0</v>
      </c>
      <c r="O561" s="114">
        <f t="shared" si="46"/>
        <v>0</v>
      </c>
      <c r="P561" s="94"/>
      <c r="Q561" s="116" t="str">
        <f t="shared" si="47"/>
        <v>SI</v>
      </c>
    </row>
    <row r="562" spans="3:17" ht="15" hidden="1" customHeight="1" x14ac:dyDescent="0.25">
      <c r="C562" s="106">
        <v>638</v>
      </c>
      <c r="D562" s="668" t="s">
        <v>728</v>
      </c>
      <c r="E562" s="669"/>
      <c r="F562" s="669"/>
      <c r="G562" s="670"/>
      <c r="H562" s="343" t="s">
        <v>33</v>
      </c>
      <c r="I562" s="238"/>
      <c r="J562" s="107">
        <f>SUMIFS(APUS!Y:Y,APUS!M:M,INSUMOS!C562)</f>
        <v>0</v>
      </c>
      <c r="K562" s="209">
        <f t="shared" si="43"/>
        <v>0</v>
      </c>
      <c r="N562" s="123">
        <f>IFERROR(SUMIFS(APUS!$Z$140:$Z$182,APUS!$N$183:Q231,INSUMOS!D562),0)</f>
        <v>0</v>
      </c>
      <c r="O562" s="114">
        <f t="shared" si="46"/>
        <v>0</v>
      </c>
      <c r="P562" s="94"/>
      <c r="Q562" s="116" t="str">
        <f t="shared" si="47"/>
        <v>SI</v>
      </c>
    </row>
    <row r="563" spans="3:17" ht="15" hidden="1" customHeight="1" x14ac:dyDescent="0.25">
      <c r="C563" s="106">
        <v>639</v>
      </c>
      <c r="D563" s="668" t="s">
        <v>729</v>
      </c>
      <c r="E563" s="669"/>
      <c r="F563" s="669"/>
      <c r="G563" s="670"/>
      <c r="H563" s="343" t="s">
        <v>33</v>
      </c>
      <c r="I563" s="238"/>
      <c r="J563" s="107">
        <f>SUMIFS(APUS!Y:Y,APUS!M:M,INSUMOS!C563)</f>
        <v>0</v>
      </c>
      <c r="K563" s="209">
        <f t="shared" ref="K563:K626" si="48">+J563*I563</f>
        <v>0</v>
      </c>
      <c r="N563" s="123">
        <f>IFERROR(SUMIFS(APUS!$Z$140:$Z$182,APUS!$N$183:Q231,INSUMOS!D563),0)</f>
        <v>0</v>
      </c>
      <c r="O563" s="114">
        <f t="shared" si="46"/>
        <v>0</v>
      </c>
      <c r="P563" s="94"/>
      <c r="Q563" s="116" t="str">
        <f t="shared" si="47"/>
        <v>SI</v>
      </c>
    </row>
    <row r="564" spans="3:17" ht="15" hidden="1" customHeight="1" x14ac:dyDescent="0.25">
      <c r="C564" s="106">
        <v>640</v>
      </c>
      <c r="D564" s="668" t="s">
        <v>730</v>
      </c>
      <c r="E564" s="669"/>
      <c r="F564" s="669"/>
      <c r="G564" s="670"/>
      <c r="H564" s="343" t="s">
        <v>33</v>
      </c>
      <c r="I564" s="238"/>
      <c r="J564" s="107">
        <f>SUMIFS(APUS!Y:Y,APUS!M:M,INSUMOS!C564)</f>
        <v>0</v>
      </c>
      <c r="K564" s="209">
        <f t="shared" si="48"/>
        <v>0</v>
      </c>
      <c r="N564" s="123">
        <f>IFERROR(SUMIFS(APUS!$Z$140:$Z$182,APUS!$N$183:Q231,INSUMOS!D564),0)</f>
        <v>0</v>
      </c>
      <c r="O564" s="114">
        <f t="shared" si="46"/>
        <v>0</v>
      </c>
      <c r="P564" s="94"/>
      <c r="Q564" s="116" t="str">
        <f t="shared" si="47"/>
        <v>SI</v>
      </c>
    </row>
    <row r="565" spans="3:17" hidden="1" x14ac:dyDescent="0.25">
      <c r="C565" s="106">
        <v>641</v>
      </c>
      <c r="D565" s="668"/>
      <c r="E565" s="669"/>
      <c r="F565" s="669"/>
      <c r="G565" s="670"/>
      <c r="H565" s="343"/>
      <c r="I565" s="238"/>
      <c r="J565" s="107">
        <f>SUMIFS(APUS!Y:Y,APUS!M:M,INSUMOS!C565)</f>
        <v>0</v>
      </c>
      <c r="K565" s="209">
        <f t="shared" si="48"/>
        <v>0</v>
      </c>
      <c r="N565" s="123">
        <f>IFERROR(SUMIFS(APUS!$Z$140:$Z$182,APUS!$N$183:Q231,INSUMOS!D565),0)</f>
        <v>0</v>
      </c>
      <c r="O565" s="114">
        <f t="shared" si="46"/>
        <v>0</v>
      </c>
      <c r="P565" s="94"/>
      <c r="Q565" s="116" t="str">
        <f t="shared" si="47"/>
        <v>SI</v>
      </c>
    </row>
    <row r="566" spans="3:17" hidden="1" x14ac:dyDescent="0.25">
      <c r="C566" s="106">
        <v>642</v>
      </c>
      <c r="D566" s="668"/>
      <c r="E566" s="669"/>
      <c r="F566" s="669"/>
      <c r="G566" s="670"/>
      <c r="H566" s="343"/>
      <c r="I566" s="238"/>
      <c r="J566" s="107">
        <f>SUMIFS(APUS!Y:Y,APUS!M:M,INSUMOS!C566)</f>
        <v>0</v>
      </c>
      <c r="K566" s="209">
        <f t="shared" si="48"/>
        <v>0</v>
      </c>
      <c r="N566" s="123">
        <f>IFERROR(SUMIFS(APUS!$Z$140:$Z$182,APUS!$N$183:Q231,INSUMOS!D566),0)</f>
        <v>0</v>
      </c>
      <c r="O566" s="114">
        <f t="shared" si="46"/>
        <v>0</v>
      </c>
      <c r="P566" s="94"/>
      <c r="Q566" s="116" t="str">
        <f t="shared" si="47"/>
        <v>SI</v>
      </c>
    </row>
    <row r="567" spans="3:17" ht="15" hidden="1" customHeight="1" x14ac:dyDescent="0.25">
      <c r="C567" s="106">
        <v>643</v>
      </c>
      <c r="D567" s="668" t="s">
        <v>731</v>
      </c>
      <c r="E567" s="669"/>
      <c r="F567" s="669"/>
      <c r="G567" s="670"/>
      <c r="H567" s="343" t="s">
        <v>34</v>
      </c>
      <c r="I567" s="238">
        <v>138900</v>
      </c>
      <c r="J567" s="107">
        <f>SUMIFS(APUS!Y:Y,APUS!M:M,INSUMOS!C567)</f>
        <v>0</v>
      </c>
      <c r="K567" s="209">
        <f t="shared" si="48"/>
        <v>0</v>
      </c>
      <c r="N567" s="123">
        <f>IFERROR(SUMIFS(APUS!$Z$140:$Z$182,APUS!$N$183:Q231,INSUMOS!D567),0)</f>
        <v>0</v>
      </c>
      <c r="O567" s="114">
        <f t="shared" si="46"/>
        <v>0</v>
      </c>
      <c r="P567" s="94"/>
      <c r="Q567" s="116" t="str">
        <f t="shared" si="47"/>
        <v>SI</v>
      </c>
    </row>
    <row r="568" spans="3:17" hidden="1" x14ac:dyDescent="0.25">
      <c r="C568" s="106">
        <v>644</v>
      </c>
      <c r="D568" s="668" t="s">
        <v>732</v>
      </c>
      <c r="E568" s="669"/>
      <c r="F568" s="669"/>
      <c r="G568" s="670"/>
      <c r="H568" s="343" t="s">
        <v>34</v>
      </c>
      <c r="I568" s="238">
        <v>251635</v>
      </c>
      <c r="J568" s="107">
        <f>SUMIFS(APUS!Y:Y,APUS!M:M,INSUMOS!C568)</f>
        <v>0</v>
      </c>
      <c r="K568" s="209">
        <f t="shared" si="48"/>
        <v>0</v>
      </c>
      <c r="N568" s="123">
        <f>IFERROR(SUMIFS(APUS!$Z$140:$Z$182,APUS!$N$183:Q231,INSUMOS!D568),0)</f>
        <v>0</v>
      </c>
      <c r="O568" s="114">
        <f t="shared" si="46"/>
        <v>0</v>
      </c>
      <c r="P568" s="94"/>
      <c r="Q568" s="116" t="str">
        <f t="shared" si="47"/>
        <v>SI</v>
      </c>
    </row>
    <row r="569" spans="3:17" hidden="1" x14ac:dyDescent="0.25">
      <c r="C569" s="106">
        <v>645</v>
      </c>
      <c r="D569" s="668" t="s">
        <v>733</v>
      </c>
      <c r="E569" s="669"/>
      <c r="F569" s="669"/>
      <c r="G569" s="670"/>
      <c r="H569" s="343" t="s">
        <v>34</v>
      </c>
      <c r="I569" s="238">
        <v>279900</v>
      </c>
      <c r="J569" s="107">
        <f>SUMIFS(APUS!Y:Y,APUS!M:M,INSUMOS!C569)</f>
        <v>0</v>
      </c>
      <c r="K569" s="209">
        <f t="shared" si="48"/>
        <v>0</v>
      </c>
      <c r="N569" s="123">
        <f>IFERROR(SUMIFS(APUS!$Z$140:$Z$182,APUS!$N$183:Q231,INSUMOS!D569),0)</f>
        <v>0</v>
      </c>
      <c r="O569" s="114">
        <f t="shared" si="46"/>
        <v>0</v>
      </c>
      <c r="P569" s="94"/>
      <c r="Q569" s="116" t="str">
        <f t="shared" si="47"/>
        <v>SI</v>
      </c>
    </row>
    <row r="570" spans="3:17" hidden="1" x14ac:dyDescent="0.25">
      <c r="C570" s="106">
        <v>646</v>
      </c>
      <c r="D570" s="668" t="s">
        <v>734</v>
      </c>
      <c r="E570" s="669"/>
      <c r="F570" s="669"/>
      <c r="G570" s="670"/>
      <c r="H570" s="343" t="s">
        <v>34</v>
      </c>
      <c r="I570" s="238">
        <v>63140</v>
      </c>
      <c r="J570" s="107">
        <f>SUMIFS(APUS!Y:Y,APUS!M:M,INSUMOS!C570)</f>
        <v>0</v>
      </c>
      <c r="K570" s="209">
        <f t="shared" si="48"/>
        <v>0</v>
      </c>
      <c r="N570" s="123">
        <f>IFERROR(SUMIFS(APUS!$Z$140:$Z$182,APUS!$N$183:Q231,INSUMOS!D570),0)</f>
        <v>0</v>
      </c>
      <c r="O570" s="114">
        <f t="shared" si="46"/>
        <v>0</v>
      </c>
      <c r="P570" s="94"/>
      <c r="Q570" s="116" t="str">
        <f t="shared" si="47"/>
        <v>SI</v>
      </c>
    </row>
    <row r="571" spans="3:17" ht="15" hidden="1" customHeight="1" x14ac:dyDescent="0.25">
      <c r="C571" s="106">
        <v>647</v>
      </c>
      <c r="D571" s="668" t="s">
        <v>735</v>
      </c>
      <c r="E571" s="669"/>
      <c r="F571" s="669"/>
      <c r="G571" s="670"/>
      <c r="H571" s="343" t="s">
        <v>34</v>
      </c>
      <c r="I571" s="238">
        <v>529900</v>
      </c>
      <c r="J571" s="107">
        <f>SUMIFS(APUS!Y:Y,APUS!M:M,INSUMOS!C571)</f>
        <v>0</v>
      </c>
      <c r="K571" s="209">
        <f t="shared" si="48"/>
        <v>0</v>
      </c>
      <c r="N571" s="123">
        <f>IFERROR(SUMIFS(APUS!$Z$140:$Z$182,APUS!$N$183:Q231,INSUMOS!D571),0)</f>
        <v>0</v>
      </c>
      <c r="O571" s="114">
        <f t="shared" si="46"/>
        <v>0</v>
      </c>
      <c r="P571" s="94"/>
      <c r="Q571" s="116" t="str">
        <f t="shared" si="47"/>
        <v>SI</v>
      </c>
    </row>
    <row r="572" spans="3:17" ht="15" hidden="1" customHeight="1" x14ac:dyDescent="0.25">
      <c r="C572" s="106">
        <v>648</v>
      </c>
      <c r="D572" s="668" t="s">
        <v>736</v>
      </c>
      <c r="E572" s="669"/>
      <c r="F572" s="669"/>
      <c r="G572" s="670"/>
      <c r="H572" s="343" t="s">
        <v>34</v>
      </c>
      <c r="I572" s="238">
        <v>700000</v>
      </c>
      <c r="J572" s="107">
        <f>SUMIFS(APUS!Y:Y,APUS!M:M,INSUMOS!C572)</f>
        <v>0</v>
      </c>
      <c r="K572" s="209">
        <f t="shared" si="48"/>
        <v>0</v>
      </c>
      <c r="N572" s="123">
        <f>IFERROR(SUMIFS(APUS!$Z$140:$Z$182,APUS!$N$183:Q231,INSUMOS!D572),0)</f>
        <v>0</v>
      </c>
      <c r="O572" s="114">
        <f t="shared" si="46"/>
        <v>0</v>
      </c>
      <c r="P572" s="94"/>
      <c r="Q572" s="116" t="str">
        <f t="shared" si="47"/>
        <v>SI</v>
      </c>
    </row>
    <row r="573" spans="3:17" hidden="1" x14ac:dyDescent="0.25">
      <c r="C573" s="106">
        <v>649</v>
      </c>
      <c r="D573" s="668"/>
      <c r="E573" s="669"/>
      <c r="F573" s="669"/>
      <c r="G573" s="670"/>
      <c r="H573" s="343"/>
      <c r="I573" s="238"/>
      <c r="J573" s="107">
        <f>SUMIFS(APUS!Y:Y,APUS!M:M,INSUMOS!C573)</f>
        <v>0</v>
      </c>
      <c r="K573" s="209">
        <f t="shared" si="48"/>
        <v>0</v>
      </c>
      <c r="N573" s="123">
        <f>IFERROR(SUMIFS(APUS!$Z$140:$Z$182,APUS!$N$183:Q231,INSUMOS!D573),0)</f>
        <v>0</v>
      </c>
      <c r="O573" s="114">
        <f t="shared" si="46"/>
        <v>0</v>
      </c>
      <c r="P573" s="94"/>
      <c r="Q573" s="116" t="str">
        <f t="shared" si="47"/>
        <v>SI</v>
      </c>
    </row>
    <row r="574" spans="3:17" hidden="1" x14ac:dyDescent="0.25">
      <c r="C574" s="106">
        <v>650</v>
      </c>
      <c r="D574" s="668"/>
      <c r="E574" s="669"/>
      <c r="F574" s="669"/>
      <c r="G574" s="670"/>
      <c r="H574" s="343"/>
      <c r="I574" s="238"/>
      <c r="J574" s="107">
        <f>SUMIFS(APUS!Y:Y,APUS!M:M,INSUMOS!C574)</f>
        <v>0</v>
      </c>
      <c r="K574" s="209">
        <f t="shared" si="48"/>
        <v>0</v>
      </c>
      <c r="N574" s="123">
        <f>IFERROR(SUMIFS(APUS!$Z$140:$Z$182,APUS!$N$183:Q231,INSUMOS!D574),0)</f>
        <v>0</v>
      </c>
      <c r="O574" s="114">
        <f t="shared" si="46"/>
        <v>0</v>
      </c>
      <c r="P574" s="94"/>
      <c r="Q574" s="116" t="str">
        <f t="shared" si="47"/>
        <v>SI</v>
      </c>
    </row>
    <row r="575" spans="3:17" hidden="1" x14ac:dyDescent="0.25">
      <c r="C575" s="106">
        <v>651</v>
      </c>
      <c r="D575" s="668"/>
      <c r="E575" s="669"/>
      <c r="F575" s="669"/>
      <c r="G575" s="670"/>
      <c r="H575" s="343"/>
      <c r="I575" s="238"/>
      <c r="J575" s="107">
        <f>SUMIFS(APUS!Y:Y,APUS!M:M,INSUMOS!C575)</f>
        <v>0</v>
      </c>
      <c r="K575" s="209">
        <f t="shared" si="48"/>
        <v>0</v>
      </c>
      <c r="N575" s="123">
        <f>IFERROR(SUMIFS(APUS!$Z$140:$Z$182,APUS!$N$183:Q231,INSUMOS!D575),0)</f>
        <v>0</v>
      </c>
      <c r="O575" s="114">
        <f t="shared" si="46"/>
        <v>0</v>
      </c>
      <c r="P575" s="94"/>
      <c r="Q575" s="116" t="str">
        <f t="shared" si="47"/>
        <v>SI</v>
      </c>
    </row>
    <row r="576" spans="3:17" hidden="1" x14ac:dyDescent="0.25">
      <c r="C576" s="106">
        <v>652</v>
      </c>
      <c r="D576" s="668"/>
      <c r="E576" s="669"/>
      <c r="F576" s="669"/>
      <c r="G576" s="670"/>
      <c r="H576" s="343"/>
      <c r="I576" s="238"/>
      <c r="J576" s="107">
        <f>SUMIFS(APUS!Y:Y,APUS!M:M,INSUMOS!C576)</f>
        <v>0</v>
      </c>
      <c r="K576" s="209">
        <f t="shared" si="48"/>
        <v>0</v>
      </c>
      <c r="N576" s="123">
        <f>IFERROR(SUMIFS(APUS!$Z$140:$Z$182,APUS!$N$183:Q231,INSUMOS!D576),0)</f>
        <v>0</v>
      </c>
      <c r="O576" s="114">
        <f t="shared" si="46"/>
        <v>0</v>
      </c>
      <c r="P576" s="94"/>
      <c r="Q576" s="116" t="str">
        <f t="shared" si="47"/>
        <v>SI</v>
      </c>
    </row>
    <row r="577" spans="3:17" ht="15" customHeight="1" x14ac:dyDescent="0.25">
      <c r="C577" s="106">
        <v>653</v>
      </c>
      <c r="D577" s="668" t="s">
        <v>737</v>
      </c>
      <c r="E577" s="669"/>
      <c r="F577" s="669"/>
      <c r="G577" s="670"/>
      <c r="H577" s="343" t="s">
        <v>34</v>
      </c>
      <c r="I577" s="238">
        <v>90000</v>
      </c>
      <c r="J577" s="107">
        <f>SUMIFS(APUS!Y:Y,APUS!M:M,INSUMOS!C577)</f>
        <v>37</v>
      </c>
      <c r="K577" s="209">
        <f t="shared" si="48"/>
        <v>3330000</v>
      </c>
      <c r="N577" s="123">
        <f>IFERROR(SUMIFS(APUS!$Z$140:$Z$182,APUS!$N$183:Q231,INSUMOS!D577),0)</f>
        <v>0</v>
      </c>
      <c r="O577" s="114">
        <f t="shared" si="46"/>
        <v>-3330000</v>
      </c>
      <c r="P577" s="94"/>
      <c r="Q577" s="116" t="str">
        <f t="shared" si="47"/>
        <v>NO</v>
      </c>
    </row>
    <row r="578" spans="3:17" ht="15" customHeight="1" x14ac:dyDescent="0.25">
      <c r="C578" s="106">
        <v>654</v>
      </c>
      <c r="D578" s="668" t="s">
        <v>872</v>
      </c>
      <c r="E578" s="669"/>
      <c r="F578" s="669"/>
      <c r="G578" s="670"/>
      <c r="H578" s="343" t="s">
        <v>34</v>
      </c>
      <c r="I578" s="238">
        <v>335000</v>
      </c>
      <c r="J578" s="107">
        <f>SUMIFS(APUS!Y:Y,APUS!M:M,INSUMOS!C578)</f>
        <v>5</v>
      </c>
      <c r="K578" s="209">
        <f t="shared" si="48"/>
        <v>1675000</v>
      </c>
      <c r="N578" s="123">
        <f>IFERROR(SUMIFS(APUS!$Z$140:$Z$182,APUS!$N$183:Q231,INSUMOS!D578),0)</f>
        <v>0</v>
      </c>
      <c r="O578" s="114">
        <f t="shared" si="46"/>
        <v>-1675000</v>
      </c>
      <c r="P578" s="94"/>
      <c r="Q578" s="116" t="str">
        <f t="shared" si="47"/>
        <v>NO</v>
      </c>
    </row>
    <row r="579" spans="3:17" hidden="1" x14ac:dyDescent="0.25">
      <c r="C579" s="106">
        <v>655</v>
      </c>
      <c r="D579" s="668"/>
      <c r="E579" s="669"/>
      <c r="F579" s="669"/>
      <c r="G579" s="670"/>
      <c r="H579" s="343"/>
      <c r="I579" s="238"/>
      <c r="J579" s="107">
        <f>SUMIFS(APUS!Y:Y,APUS!M:M,INSUMOS!C579)</f>
        <v>0</v>
      </c>
      <c r="K579" s="209">
        <f t="shared" si="48"/>
        <v>0</v>
      </c>
      <c r="N579" s="123">
        <f>IFERROR(SUMIFS(APUS!$Z$140:$Z$182,APUS!$N$183:Q231,INSUMOS!D579),0)</f>
        <v>0</v>
      </c>
      <c r="O579" s="114">
        <f t="shared" si="46"/>
        <v>0</v>
      </c>
      <c r="P579" s="94"/>
      <c r="Q579" s="116" t="str">
        <f t="shared" si="47"/>
        <v>SI</v>
      </c>
    </row>
    <row r="580" spans="3:17" ht="15" hidden="1" customHeight="1" x14ac:dyDescent="0.25">
      <c r="C580" s="106">
        <v>656</v>
      </c>
      <c r="D580" s="668" t="s">
        <v>738</v>
      </c>
      <c r="E580" s="669"/>
      <c r="F580" s="669"/>
      <c r="G580" s="670"/>
      <c r="H580" s="343" t="s">
        <v>34</v>
      </c>
      <c r="I580" s="238">
        <v>350000</v>
      </c>
      <c r="J580" s="107">
        <f>SUMIFS(APUS!Y:Y,APUS!M:M,INSUMOS!C580)</f>
        <v>0</v>
      </c>
      <c r="K580" s="209">
        <f t="shared" si="48"/>
        <v>0</v>
      </c>
      <c r="N580" s="123">
        <f>IFERROR(SUMIFS(APUS!$Z$140:$Z$182,APUS!$N$183:Q231,INSUMOS!D580),0)</f>
        <v>0</v>
      </c>
      <c r="O580" s="114">
        <f t="shared" si="46"/>
        <v>0</v>
      </c>
      <c r="P580" s="94"/>
      <c r="Q580" s="116" t="str">
        <f t="shared" si="47"/>
        <v>SI</v>
      </c>
    </row>
    <row r="581" spans="3:17" ht="15" hidden="1" customHeight="1" x14ac:dyDescent="0.25">
      <c r="C581" s="106">
        <v>657</v>
      </c>
      <c r="D581" s="668" t="s">
        <v>739</v>
      </c>
      <c r="E581" s="669"/>
      <c r="F581" s="669"/>
      <c r="G581" s="670"/>
      <c r="H581" s="343" t="s">
        <v>34</v>
      </c>
      <c r="I581" s="238">
        <v>340000</v>
      </c>
      <c r="J581" s="107">
        <f>SUMIFS(APUS!Y:Y,APUS!M:M,INSUMOS!C581)</f>
        <v>0</v>
      </c>
      <c r="K581" s="209">
        <f t="shared" si="48"/>
        <v>0</v>
      </c>
      <c r="N581" s="123">
        <f>IFERROR(SUMIFS(APUS!$Z$140:$Z$182,APUS!$N$183:Q231,INSUMOS!D581),0)</f>
        <v>0</v>
      </c>
      <c r="O581" s="114">
        <f t="shared" si="46"/>
        <v>0</v>
      </c>
      <c r="P581" s="94"/>
      <c r="Q581" s="116" t="str">
        <f t="shared" si="47"/>
        <v>SI</v>
      </c>
    </row>
    <row r="582" spans="3:17" ht="15" hidden="1" customHeight="1" x14ac:dyDescent="0.25">
      <c r="C582" s="106">
        <v>658</v>
      </c>
      <c r="D582" s="668" t="s">
        <v>740</v>
      </c>
      <c r="E582" s="669"/>
      <c r="F582" s="669"/>
      <c r="G582" s="670"/>
      <c r="H582" s="343" t="s">
        <v>34</v>
      </c>
      <c r="I582" s="238">
        <v>340000</v>
      </c>
      <c r="J582" s="107">
        <f>SUMIFS(APUS!Y:Y,APUS!M:M,INSUMOS!C582)</f>
        <v>0</v>
      </c>
      <c r="K582" s="209">
        <f t="shared" si="48"/>
        <v>0</v>
      </c>
      <c r="N582" s="123">
        <f>IFERROR(SUMIFS(APUS!$Z$140:$Z$182,APUS!$N$183:Q231,INSUMOS!D582),0)</f>
        <v>0</v>
      </c>
      <c r="O582" s="114">
        <f t="shared" si="46"/>
        <v>0</v>
      </c>
      <c r="P582" s="94"/>
      <c r="Q582" s="116" t="str">
        <f t="shared" si="47"/>
        <v>SI</v>
      </c>
    </row>
    <row r="583" spans="3:17" ht="15" hidden="1" customHeight="1" x14ac:dyDescent="0.25">
      <c r="C583" s="106">
        <v>659</v>
      </c>
      <c r="D583" s="668" t="s">
        <v>741</v>
      </c>
      <c r="E583" s="669"/>
      <c r="F583" s="669"/>
      <c r="G583" s="670"/>
      <c r="H583" s="343" t="s">
        <v>34</v>
      </c>
      <c r="I583" s="238">
        <v>300000</v>
      </c>
      <c r="J583" s="107">
        <f>SUMIFS(APUS!Y:Y,APUS!M:M,INSUMOS!C583)</f>
        <v>0</v>
      </c>
      <c r="K583" s="209">
        <f t="shared" si="48"/>
        <v>0</v>
      </c>
      <c r="N583" s="123">
        <f>IFERROR(SUMIFS(APUS!$Z$140:$Z$182,APUS!$N$183:Q231,INSUMOS!D583),0)</f>
        <v>0</v>
      </c>
      <c r="O583" s="114">
        <f t="shared" si="46"/>
        <v>0</v>
      </c>
      <c r="P583" s="94"/>
      <c r="Q583" s="116" t="str">
        <f t="shared" si="47"/>
        <v>SI</v>
      </c>
    </row>
    <row r="584" spans="3:17" ht="15" hidden="1" customHeight="1" x14ac:dyDescent="0.25">
      <c r="C584" s="106">
        <v>660</v>
      </c>
      <c r="D584" s="668" t="s">
        <v>742</v>
      </c>
      <c r="E584" s="669"/>
      <c r="F584" s="669"/>
      <c r="G584" s="670"/>
      <c r="H584" s="343" t="s">
        <v>34</v>
      </c>
      <c r="I584" s="238">
        <v>450000</v>
      </c>
      <c r="J584" s="107">
        <f>SUMIFS(APUS!Y:Y,APUS!M:M,INSUMOS!C584)</f>
        <v>0</v>
      </c>
      <c r="K584" s="209">
        <f t="shared" si="48"/>
        <v>0</v>
      </c>
      <c r="N584" s="123">
        <f>IFERROR(SUMIFS(APUS!$Z$140:$Z$182,APUS!$N$183:Q231,INSUMOS!D584),0)</f>
        <v>0</v>
      </c>
      <c r="O584" s="114">
        <f t="shared" si="46"/>
        <v>0</v>
      </c>
      <c r="P584" s="94"/>
      <c r="Q584" s="116" t="str">
        <f t="shared" si="47"/>
        <v>SI</v>
      </c>
    </row>
    <row r="585" spans="3:17" ht="15" hidden="1" customHeight="1" x14ac:dyDescent="0.25">
      <c r="C585" s="106">
        <v>661</v>
      </c>
      <c r="D585" s="668" t="s">
        <v>743</v>
      </c>
      <c r="E585" s="669"/>
      <c r="F585" s="669"/>
      <c r="G585" s="670"/>
      <c r="H585" s="343" t="s">
        <v>34</v>
      </c>
      <c r="I585" s="238">
        <v>450000</v>
      </c>
      <c r="J585" s="107">
        <f>SUMIFS(APUS!Y:Y,APUS!M:M,INSUMOS!C585)</f>
        <v>0</v>
      </c>
      <c r="K585" s="209">
        <f t="shared" si="48"/>
        <v>0</v>
      </c>
      <c r="N585" s="123">
        <f>IFERROR(SUMIFS(APUS!$Z$140:$Z$182,APUS!$N$183:Q231,INSUMOS!D585),0)</f>
        <v>0</v>
      </c>
      <c r="O585" s="114">
        <f t="shared" si="46"/>
        <v>0</v>
      </c>
      <c r="P585" s="94"/>
      <c r="Q585" s="116" t="str">
        <f t="shared" si="47"/>
        <v>SI</v>
      </c>
    </row>
    <row r="586" spans="3:17" ht="15" hidden="1" customHeight="1" x14ac:dyDescent="0.25">
      <c r="C586" s="106">
        <v>662</v>
      </c>
      <c r="D586" s="668" t="s">
        <v>744</v>
      </c>
      <c r="E586" s="669"/>
      <c r="F586" s="669"/>
      <c r="G586" s="670"/>
      <c r="H586" s="343" t="s">
        <v>34</v>
      </c>
      <c r="I586" s="238">
        <v>500000</v>
      </c>
      <c r="J586" s="107">
        <f>SUMIFS(APUS!Y:Y,APUS!M:M,INSUMOS!C586)</f>
        <v>0</v>
      </c>
      <c r="K586" s="209">
        <f t="shared" si="48"/>
        <v>0</v>
      </c>
      <c r="N586" s="123">
        <f>IFERROR(SUMIFS(APUS!$Z$140:$Z$182,APUS!$N$183:Q231,INSUMOS!D586),0)</f>
        <v>0</v>
      </c>
      <c r="O586" s="114">
        <f t="shared" si="46"/>
        <v>0</v>
      </c>
      <c r="P586" s="94"/>
      <c r="Q586" s="116" t="str">
        <f t="shared" si="47"/>
        <v>SI</v>
      </c>
    </row>
    <row r="587" spans="3:17" hidden="1" x14ac:dyDescent="0.25">
      <c r="C587" s="106">
        <v>663</v>
      </c>
      <c r="D587" s="668" t="s">
        <v>745</v>
      </c>
      <c r="E587" s="669"/>
      <c r="F587" s="669"/>
      <c r="G587" s="670"/>
      <c r="H587" s="343" t="s">
        <v>40</v>
      </c>
      <c r="I587" s="238">
        <v>187000</v>
      </c>
      <c r="J587" s="107">
        <f>SUMIFS(APUS!Y:Y,APUS!M:M,INSUMOS!C587)</f>
        <v>0</v>
      </c>
      <c r="K587" s="209">
        <f t="shared" si="48"/>
        <v>0</v>
      </c>
      <c r="N587" s="123">
        <f>IFERROR(SUMIFS(APUS!$Z$140:$Z$182,APUS!$N$183:Q231,INSUMOS!D587),0)</f>
        <v>0</v>
      </c>
      <c r="O587" s="114">
        <f t="shared" si="46"/>
        <v>0</v>
      </c>
      <c r="P587" s="94"/>
      <c r="Q587" s="116" t="str">
        <f t="shared" si="47"/>
        <v>SI</v>
      </c>
    </row>
    <row r="588" spans="3:17" hidden="1" x14ac:dyDescent="0.25">
      <c r="C588" s="106">
        <v>664</v>
      </c>
      <c r="D588" s="668"/>
      <c r="E588" s="669"/>
      <c r="F588" s="669"/>
      <c r="G588" s="670"/>
      <c r="H588" s="343"/>
      <c r="I588" s="238"/>
      <c r="J588" s="107">
        <f>SUMIFS(APUS!Y:Y,APUS!M:M,INSUMOS!C588)</f>
        <v>0</v>
      </c>
      <c r="K588" s="209">
        <f t="shared" si="48"/>
        <v>0</v>
      </c>
      <c r="N588" s="123">
        <f>IFERROR(SUMIFS(APUS!$Z$140:$Z$182,APUS!$N$183:Q231,INSUMOS!D588),0)</f>
        <v>0</v>
      </c>
      <c r="O588" s="114">
        <f t="shared" si="46"/>
        <v>0</v>
      </c>
      <c r="P588" s="94"/>
      <c r="Q588" s="116" t="str">
        <f t="shared" si="47"/>
        <v>SI</v>
      </c>
    </row>
    <row r="589" spans="3:17" hidden="1" x14ac:dyDescent="0.25">
      <c r="C589" s="106">
        <v>665</v>
      </c>
      <c r="D589" s="668"/>
      <c r="E589" s="669"/>
      <c r="F589" s="669"/>
      <c r="G589" s="670"/>
      <c r="H589" s="343" t="s">
        <v>34</v>
      </c>
      <c r="I589" s="238">
        <v>1344000</v>
      </c>
      <c r="J589" s="107">
        <f>SUMIFS(APUS!Y:Y,APUS!M:M,INSUMOS!C589)</f>
        <v>0</v>
      </c>
      <c r="K589" s="209">
        <f t="shared" si="48"/>
        <v>0</v>
      </c>
      <c r="N589" s="123">
        <f>IFERROR(SUMIFS(APUS!$Z$140:$Z$182,APUS!$N$183:Q231,INSUMOS!D589),0)</f>
        <v>0</v>
      </c>
      <c r="O589" s="114">
        <f t="shared" si="46"/>
        <v>0</v>
      </c>
      <c r="P589" s="94"/>
      <c r="Q589" s="116" t="str">
        <f t="shared" si="47"/>
        <v>SI</v>
      </c>
    </row>
    <row r="590" spans="3:17" hidden="1" x14ac:dyDescent="0.25">
      <c r="C590" s="106">
        <v>666</v>
      </c>
      <c r="D590" s="668"/>
      <c r="E590" s="669"/>
      <c r="F590" s="669"/>
      <c r="G590" s="670"/>
      <c r="H590" s="343" t="s">
        <v>34</v>
      </c>
      <c r="I590" s="238">
        <v>720000</v>
      </c>
      <c r="J590" s="107">
        <f>SUMIFS(APUS!Y:Y,APUS!M:M,INSUMOS!C590)</f>
        <v>0</v>
      </c>
      <c r="K590" s="209">
        <f t="shared" si="48"/>
        <v>0</v>
      </c>
      <c r="N590" s="123">
        <f>IFERROR(SUMIFS(APUS!$Z$140:$Z$182,APUS!$N$183:Q231,INSUMOS!D590),0)</f>
        <v>0</v>
      </c>
      <c r="O590" s="114">
        <f t="shared" si="46"/>
        <v>0</v>
      </c>
      <c r="P590" s="94"/>
      <c r="Q590" s="116" t="str">
        <f t="shared" si="47"/>
        <v>SI</v>
      </c>
    </row>
    <row r="591" spans="3:17" hidden="1" x14ac:dyDescent="0.25">
      <c r="C591" s="106">
        <v>667</v>
      </c>
      <c r="D591" s="668"/>
      <c r="E591" s="669"/>
      <c r="F591" s="669"/>
      <c r="G591" s="670"/>
      <c r="H591" s="343" t="s">
        <v>34</v>
      </c>
      <c r="I591" s="238">
        <v>60000</v>
      </c>
      <c r="J591" s="107">
        <f>SUMIFS(APUS!Y:Y,APUS!M:M,INSUMOS!C591)</f>
        <v>0</v>
      </c>
      <c r="K591" s="209">
        <f t="shared" si="48"/>
        <v>0</v>
      </c>
      <c r="N591" s="123">
        <f>IFERROR(SUMIFS(APUS!$Z$140:$Z$182,APUS!$N$183:Q231,INSUMOS!D591),0)</f>
        <v>0</v>
      </c>
      <c r="O591" s="114">
        <f t="shared" si="46"/>
        <v>0</v>
      </c>
      <c r="P591" s="94"/>
      <c r="Q591" s="116" t="str">
        <f t="shared" si="47"/>
        <v>SI</v>
      </c>
    </row>
    <row r="592" spans="3:17" hidden="1" x14ac:dyDescent="0.25">
      <c r="C592" s="106">
        <v>668</v>
      </c>
      <c r="D592" s="668"/>
      <c r="E592" s="669"/>
      <c r="F592" s="669"/>
      <c r="G592" s="670"/>
      <c r="H592" s="343" t="s">
        <v>34</v>
      </c>
      <c r="I592" s="238">
        <v>600000</v>
      </c>
      <c r="J592" s="107">
        <f>SUMIFS(APUS!Y:Y,APUS!M:M,INSUMOS!C592)</f>
        <v>0</v>
      </c>
      <c r="K592" s="209">
        <f t="shared" si="48"/>
        <v>0</v>
      </c>
      <c r="N592" s="123">
        <f>IFERROR(SUMIFS(APUS!$Z$140:$Z$182,APUS!$N$183:Q231,INSUMOS!D592),0)</f>
        <v>0</v>
      </c>
      <c r="O592" s="114">
        <f t="shared" si="46"/>
        <v>0</v>
      </c>
      <c r="P592" s="94"/>
      <c r="Q592" s="116" t="str">
        <f t="shared" si="47"/>
        <v>SI</v>
      </c>
    </row>
    <row r="593" spans="3:17" hidden="1" x14ac:dyDescent="0.25">
      <c r="C593" s="106">
        <v>669</v>
      </c>
      <c r="D593" s="668"/>
      <c r="E593" s="669"/>
      <c r="F593" s="669"/>
      <c r="G593" s="670"/>
      <c r="H593" s="343" t="s">
        <v>34</v>
      </c>
      <c r="I593" s="238">
        <v>672000</v>
      </c>
      <c r="J593" s="107">
        <f>SUMIFS(APUS!Y:Y,APUS!M:M,INSUMOS!C593)</f>
        <v>0</v>
      </c>
      <c r="K593" s="209">
        <f t="shared" si="48"/>
        <v>0</v>
      </c>
      <c r="N593" s="123">
        <f>IFERROR(SUMIFS(APUS!$Z$140:$Z$182,APUS!$N$183:Q231,INSUMOS!D593),0)</f>
        <v>0</v>
      </c>
      <c r="O593" s="114">
        <f t="shared" si="46"/>
        <v>0</v>
      </c>
      <c r="P593" s="94"/>
      <c r="Q593" s="116" t="str">
        <f t="shared" si="47"/>
        <v>SI</v>
      </c>
    </row>
    <row r="594" spans="3:17" hidden="1" x14ac:dyDescent="0.25">
      <c r="C594" s="106">
        <v>670</v>
      </c>
      <c r="D594" s="668"/>
      <c r="E594" s="669"/>
      <c r="F594" s="669"/>
      <c r="G594" s="670"/>
      <c r="H594" s="343" t="s">
        <v>34</v>
      </c>
      <c r="I594" s="238">
        <v>655200</v>
      </c>
      <c r="J594" s="107">
        <f>SUMIFS(APUS!Y:Y,APUS!M:M,INSUMOS!C594)</f>
        <v>0</v>
      </c>
      <c r="K594" s="209">
        <f t="shared" si="48"/>
        <v>0</v>
      </c>
      <c r="N594" s="123">
        <f>IFERROR(SUMIFS(APUS!$Z$140:$Z$182,APUS!$N$183:Q231,INSUMOS!D594),0)</f>
        <v>0</v>
      </c>
      <c r="O594" s="114">
        <f t="shared" si="46"/>
        <v>0</v>
      </c>
      <c r="P594" s="94"/>
      <c r="Q594" s="116" t="str">
        <f t="shared" si="47"/>
        <v>SI</v>
      </c>
    </row>
    <row r="595" spans="3:17" hidden="1" x14ac:dyDescent="0.25">
      <c r="C595" s="106">
        <v>671</v>
      </c>
      <c r="D595" s="668"/>
      <c r="E595" s="669"/>
      <c r="F595" s="669"/>
      <c r="G595" s="670"/>
      <c r="H595" s="343" t="s">
        <v>34</v>
      </c>
      <c r="I595" s="238">
        <v>926400</v>
      </c>
      <c r="J595" s="107">
        <f>SUMIFS(APUS!Y:Y,APUS!M:M,INSUMOS!C595)</f>
        <v>0</v>
      </c>
      <c r="K595" s="209">
        <f t="shared" si="48"/>
        <v>0</v>
      </c>
      <c r="N595" s="123">
        <f>IFERROR(SUMIFS(APUS!$Z$140:$Z$182,APUS!$N$183:Q231,INSUMOS!D595),0)</f>
        <v>0</v>
      </c>
      <c r="O595" s="114">
        <f t="shared" si="46"/>
        <v>0</v>
      </c>
      <c r="P595" s="94"/>
      <c r="Q595" s="116" t="str">
        <f t="shared" si="47"/>
        <v>SI</v>
      </c>
    </row>
    <row r="596" spans="3:17" hidden="1" x14ac:dyDescent="0.25">
      <c r="C596" s="106">
        <v>672</v>
      </c>
      <c r="D596" s="668"/>
      <c r="E596" s="669"/>
      <c r="F596" s="669"/>
      <c r="G596" s="670"/>
      <c r="H596" s="343" t="s">
        <v>34</v>
      </c>
      <c r="I596" s="238">
        <v>432000</v>
      </c>
      <c r="J596" s="107">
        <f>SUMIFS(APUS!Y:Y,APUS!M:M,INSUMOS!C596)</f>
        <v>0</v>
      </c>
      <c r="K596" s="209">
        <f t="shared" si="48"/>
        <v>0</v>
      </c>
      <c r="N596" s="123">
        <f>IFERROR(SUMIFS(APUS!$Z$140:$Z$182,APUS!$N$183:Q231,INSUMOS!D596),0)</f>
        <v>0</v>
      </c>
      <c r="O596" s="114">
        <f t="shared" si="46"/>
        <v>0</v>
      </c>
      <c r="P596" s="94"/>
      <c r="Q596" s="116" t="str">
        <f t="shared" si="47"/>
        <v>SI</v>
      </c>
    </row>
    <row r="597" spans="3:17" hidden="1" x14ac:dyDescent="0.25">
      <c r="C597" s="106">
        <v>673</v>
      </c>
      <c r="D597" s="668"/>
      <c r="E597" s="669"/>
      <c r="F597" s="669"/>
      <c r="G597" s="670"/>
      <c r="H597" s="343" t="s">
        <v>34</v>
      </c>
      <c r="I597" s="238">
        <v>1440000</v>
      </c>
      <c r="J597" s="107">
        <f>SUMIFS(APUS!Y:Y,APUS!M:M,INSUMOS!C597)</f>
        <v>0</v>
      </c>
      <c r="K597" s="209">
        <f t="shared" si="48"/>
        <v>0</v>
      </c>
      <c r="N597" s="123">
        <f>IFERROR(SUMIFS(APUS!$Z$140:$Z$182,APUS!$N$183:Q231,INSUMOS!D597),0)</f>
        <v>0</v>
      </c>
      <c r="O597" s="114">
        <f t="shared" si="46"/>
        <v>0</v>
      </c>
      <c r="P597" s="94"/>
      <c r="Q597" s="116" t="str">
        <f t="shared" si="47"/>
        <v>SI</v>
      </c>
    </row>
    <row r="598" spans="3:17" ht="15" hidden="1" customHeight="1" x14ac:dyDescent="0.25">
      <c r="C598" s="106">
        <v>674</v>
      </c>
      <c r="D598" s="668" t="s">
        <v>746</v>
      </c>
      <c r="E598" s="669"/>
      <c r="F598" s="669"/>
      <c r="G598" s="670"/>
      <c r="H598" s="343"/>
      <c r="I598" s="238"/>
      <c r="J598" s="107">
        <f>SUMIFS(APUS!Y:Y,APUS!M:M,INSUMOS!C598)</f>
        <v>0</v>
      </c>
      <c r="K598" s="209">
        <f t="shared" si="48"/>
        <v>0</v>
      </c>
      <c r="N598" s="123">
        <f>IFERROR(SUMIFS(APUS!$Z$140:$Z$182,APUS!$N$183:Q231,INSUMOS!D598),0)</f>
        <v>0</v>
      </c>
      <c r="O598" s="114">
        <f t="shared" si="46"/>
        <v>0</v>
      </c>
      <c r="P598" s="94"/>
      <c r="Q598" s="116" t="str">
        <f t="shared" si="47"/>
        <v>SI</v>
      </c>
    </row>
    <row r="599" spans="3:17" ht="15.75" hidden="1" customHeight="1" thickBot="1" x14ac:dyDescent="0.3">
      <c r="C599" s="106">
        <v>675</v>
      </c>
      <c r="D599" s="668" t="s">
        <v>747</v>
      </c>
      <c r="E599" s="669"/>
      <c r="F599" s="669"/>
      <c r="G599" s="670"/>
      <c r="H599" s="343" t="s">
        <v>157</v>
      </c>
      <c r="I599" s="238">
        <v>145914</v>
      </c>
      <c r="J599" s="107">
        <f>SUMIFS(APUS!Y:Y,APUS!M:M,INSUMOS!C599)</f>
        <v>0</v>
      </c>
      <c r="K599" s="209">
        <f t="shared" si="48"/>
        <v>0</v>
      </c>
      <c r="N599" s="334">
        <f>IFERROR(SUMIFS(APUS!$Z$140:$Z$182,APUS!$N$183:Q231,INSUMOS!D599),0)</f>
        <v>0</v>
      </c>
      <c r="O599" s="125">
        <f t="shared" si="46"/>
        <v>0</v>
      </c>
      <c r="P599" s="94"/>
      <c r="Q599" s="336" t="str">
        <f t="shared" si="47"/>
        <v>SI</v>
      </c>
    </row>
    <row r="600" spans="3:17" hidden="1" x14ac:dyDescent="0.25">
      <c r="C600" s="106">
        <v>676</v>
      </c>
      <c r="D600" s="668" t="s">
        <v>748</v>
      </c>
      <c r="E600" s="669"/>
      <c r="F600" s="669"/>
      <c r="G600" s="670"/>
      <c r="H600" s="343" t="s">
        <v>33</v>
      </c>
      <c r="I600" s="238">
        <v>2961</v>
      </c>
      <c r="J600" s="107">
        <f>SUMIFS(APUS!Y:Y,APUS!M:M,INSUMOS!C600)</f>
        <v>0</v>
      </c>
      <c r="K600" s="209">
        <f t="shared" si="48"/>
        <v>0</v>
      </c>
      <c r="N600" s="332">
        <f>IFERROR(SUMIFS(APUS!$Z$140:$Z$182,APUS!$N$183:Q231,INSUMOS!D600),0)</f>
        <v>0</v>
      </c>
      <c r="O600" s="333">
        <f t="shared" si="46"/>
        <v>0</v>
      </c>
      <c r="P600" s="94"/>
      <c r="Q600" s="335" t="str">
        <f t="shared" si="47"/>
        <v>SI</v>
      </c>
    </row>
    <row r="601" spans="3:17" ht="15" hidden="1" customHeight="1" x14ac:dyDescent="0.25">
      <c r="C601" s="106">
        <v>677</v>
      </c>
      <c r="D601" s="668" t="s">
        <v>749</v>
      </c>
      <c r="E601" s="669"/>
      <c r="F601" s="669"/>
      <c r="G601" s="670"/>
      <c r="H601" s="343" t="s">
        <v>750</v>
      </c>
      <c r="I601" s="238">
        <v>5788</v>
      </c>
      <c r="J601" s="107">
        <f>SUMIFS(APUS!Y:Y,APUS!M:M,INSUMOS!C601)</f>
        <v>0</v>
      </c>
      <c r="K601" s="209">
        <f t="shared" si="48"/>
        <v>0</v>
      </c>
      <c r="N601" s="123">
        <f>IFERROR(SUMIFS(APUS!$Z$140:$Z$182,APUS!$N$183:Q231,INSUMOS!D601),0)</f>
        <v>0</v>
      </c>
      <c r="O601" s="114">
        <f t="shared" si="46"/>
        <v>0</v>
      </c>
      <c r="P601" s="94"/>
      <c r="Q601" s="116" t="str">
        <f t="shared" si="47"/>
        <v>SI</v>
      </c>
    </row>
    <row r="602" spans="3:17" ht="15" hidden="1" customHeight="1" x14ac:dyDescent="0.25">
      <c r="C602" s="106">
        <v>678</v>
      </c>
      <c r="D602" s="668" t="s">
        <v>751</v>
      </c>
      <c r="E602" s="669"/>
      <c r="F602" s="669"/>
      <c r="G602" s="670"/>
      <c r="H602" s="343" t="s">
        <v>34</v>
      </c>
      <c r="I602" s="238">
        <v>202</v>
      </c>
      <c r="J602" s="107">
        <f>SUMIFS(APUS!Y:Y,APUS!M:M,INSUMOS!C602)</f>
        <v>0</v>
      </c>
      <c r="K602" s="209">
        <f t="shared" si="48"/>
        <v>0</v>
      </c>
      <c r="N602" s="123">
        <f>IFERROR(SUMIFS(APUS!$Z$140:$Z$182,APUS!$N$183:Q231,INSUMOS!D602),0)</f>
        <v>0</v>
      </c>
      <c r="O602" s="114">
        <f t="shared" si="46"/>
        <v>0</v>
      </c>
      <c r="P602" s="94"/>
      <c r="Q602" s="116" t="str">
        <f t="shared" si="47"/>
        <v>SI</v>
      </c>
    </row>
    <row r="603" spans="3:17" hidden="1" x14ac:dyDescent="0.25">
      <c r="C603" s="106">
        <v>679</v>
      </c>
      <c r="D603" s="668" t="s">
        <v>752</v>
      </c>
      <c r="E603" s="669"/>
      <c r="F603" s="669"/>
      <c r="G603" s="670"/>
      <c r="H603" s="343" t="s">
        <v>34</v>
      </c>
      <c r="I603" s="238">
        <v>484</v>
      </c>
      <c r="J603" s="107">
        <f>SUMIFS(APUS!Y:Y,APUS!M:M,INSUMOS!C603)</f>
        <v>0</v>
      </c>
      <c r="K603" s="209">
        <f t="shared" si="48"/>
        <v>0</v>
      </c>
      <c r="N603" s="123">
        <f>IFERROR(SUMIFS(APUS!$Z$140:$Z$182,APUS!$N$183:Q231,INSUMOS!D603),0)</f>
        <v>0</v>
      </c>
      <c r="O603" s="114">
        <f t="shared" si="46"/>
        <v>0</v>
      </c>
      <c r="P603" s="94"/>
      <c r="Q603" s="116" t="str">
        <f t="shared" si="47"/>
        <v>SI</v>
      </c>
    </row>
    <row r="604" spans="3:17" ht="15" hidden="1" customHeight="1" x14ac:dyDescent="0.25">
      <c r="C604" s="106">
        <v>680</v>
      </c>
      <c r="D604" s="668" t="s">
        <v>753</v>
      </c>
      <c r="E604" s="669"/>
      <c r="F604" s="669"/>
      <c r="G604" s="670"/>
      <c r="H604" s="343" t="s">
        <v>34</v>
      </c>
      <c r="I604" s="238">
        <v>14515</v>
      </c>
      <c r="J604" s="107">
        <f>SUMIFS(APUS!Y:Y,APUS!M:M,INSUMOS!C604)</f>
        <v>0</v>
      </c>
      <c r="K604" s="209">
        <f t="shared" si="48"/>
        <v>0</v>
      </c>
      <c r="N604" s="123">
        <f>IFERROR(SUMIFS(APUS!$Z$140:$Z$182,APUS!$N$183:Q231,INSUMOS!D604),0)</f>
        <v>0</v>
      </c>
      <c r="O604" s="114">
        <f t="shared" si="46"/>
        <v>0</v>
      </c>
      <c r="P604" s="94"/>
      <c r="Q604" s="116" t="str">
        <f t="shared" si="47"/>
        <v>SI</v>
      </c>
    </row>
    <row r="605" spans="3:17" hidden="1" x14ac:dyDescent="0.25">
      <c r="C605" s="106">
        <v>681</v>
      </c>
      <c r="D605" s="668"/>
      <c r="E605" s="669"/>
      <c r="F605" s="669"/>
      <c r="G605" s="670"/>
      <c r="H605" s="343"/>
      <c r="I605" s="238"/>
      <c r="J605" s="107">
        <f>SUMIFS(APUS!Y:Y,APUS!M:M,INSUMOS!C605)</f>
        <v>0</v>
      </c>
      <c r="K605" s="209">
        <f t="shared" si="48"/>
        <v>0</v>
      </c>
      <c r="N605" s="123">
        <f>IFERROR(SUMIFS(APUS!$Z$140:$Z$182,APUS!$N$183:Q231,INSUMOS!D605),0)</f>
        <v>0</v>
      </c>
      <c r="O605" s="114">
        <f t="shared" si="46"/>
        <v>0</v>
      </c>
      <c r="P605" s="94"/>
      <c r="Q605" s="116" t="str">
        <f t="shared" si="47"/>
        <v>SI</v>
      </c>
    </row>
    <row r="606" spans="3:17" ht="15" customHeight="1" x14ac:dyDescent="0.25">
      <c r="C606" s="106">
        <v>682</v>
      </c>
      <c r="D606" s="668" t="s">
        <v>754</v>
      </c>
      <c r="E606" s="669"/>
      <c r="F606" s="669"/>
      <c r="G606" s="670"/>
      <c r="H606" s="343" t="s">
        <v>33</v>
      </c>
      <c r="I606" s="238">
        <v>5204.666666666667</v>
      </c>
      <c r="J606" s="107">
        <f>SUMIFS(APUS!Y:Y,APUS!M:M,INSUMOS!C606)</f>
        <v>50.010600000000004</v>
      </c>
      <c r="K606" s="209">
        <f t="shared" si="48"/>
        <v>260288.50280000005</v>
      </c>
      <c r="N606" s="123">
        <f>IFERROR(SUMIFS(APUS!$Z$140:$Z$182,APUS!$N$183:Q231,INSUMOS!D606),0)</f>
        <v>0</v>
      </c>
      <c r="O606" s="114">
        <f t="shared" si="46"/>
        <v>-260288.50280000005</v>
      </c>
      <c r="P606" s="94"/>
      <c r="Q606" s="116" t="str">
        <f t="shared" si="47"/>
        <v>NO</v>
      </c>
    </row>
    <row r="607" spans="3:17" ht="15" customHeight="1" x14ac:dyDescent="0.25">
      <c r="C607" s="106">
        <v>683</v>
      </c>
      <c r="D607" s="668" t="s">
        <v>755</v>
      </c>
      <c r="E607" s="669"/>
      <c r="F607" s="669"/>
      <c r="G607" s="670"/>
      <c r="H607" s="343" t="s">
        <v>33</v>
      </c>
      <c r="I607" s="238">
        <f>41579/6</f>
        <v>6929.833333333333</v>
      </c>
      <c r="J607" s="107">
        <f>SUMIFS(APUS!Y:Y,APUS!M:M,INSUMOS!C607)</f>
        <v>94.75800000000001</v>
      </c>
      <c r="K607" s="209">
        <f t="shared" si="48"/>
        <v>656657.147</v>
      </c>
      <c r="N607" s="123">
        <f>IFERROR(SUMIFS(APUS!$Z$140:$Z$182,APUS!$N$183:Q231,INSUMOS!D607),0)</f>
        <v>0</v>
      </c>
      <c r="O607" s="114">
        <f t="shared" si="46"/>
        <v>-656657.147</v>
      </c>
      <c r="P607" s="94"/>
      <c r="Q607" s="116" t="str">
        <f t="shared" si="47"/>
        <v>NO</v>
      </c>
    </row>
    <row r="608" spans="3:17" ht="15" customHeight="1" x14ac:dyDescent="0.25">
      <c r="C608" s="106">
        <v>684</v>
      </c>
      <c r="D608" s="668" t="s">
        <v>756</v>
      </c>
      <c r="E608" s="669"/>
      <c r="F608" s="669"/>
      <c r="G608" s="670"/>
      <c r="H608" s="343" t="s">
        <v>33</v>
      </c>
      <c r="I608" s="238">
        <f>56101/6</f>
        <v>9350.1666666666661</v>
      </c>
      <c r="J608" s="107">
        <f>SUMIFS(APUS!Y:Y,APUS!M:M,INSUMOS!C608)</f>
        <v>29.172000000000001</v>
      </c>
      <c r="K608" s="209">
        <f t="shared" si="48"/>
        <v>272763.06199999998</v>
      </c>
      <c r="N608" s="123">
        <f>IFERROR(SUMIFS(APUS!$Z$140:$Z$182,APUS!$N$183:Q231,INSUMOS!D608),0)</f>
        <v>0</v>
      </c>
      <c r="O608" s="114">
        <f t="shared" si="46"/>
        <v>-272763.06199999998</v>
      </c>
      <c r="P608" s="94"/>
      <c r="Q608" s="116" t="str">
        <f t="shared" si="47"/>
        <v>NO</v>
      </c>
    </row>
    <row r="609" spans="3:17" ht="15" customHeight="1" x14ac:dyDescent="0.25">
      <c r="C609" s="106">
        <v>685</v>
      </c>
      <c r="D609" s="668" t="s">
        <v>757</v>
      </c>
      <c r="E609" s="669"/>
      <c r="F609" s="669"/>
      <c r="G609" s="670"/>
      <c r="H609" s="343" t="s">
        <v>33</v>
      </c>
      <c r="I609" s="238">
        <f>69791/6</f>
        <v>11631.833333333334</v>
      </c>
      <c r="J609" s="107">
        <f>SUMIFS(APUS!Y:Y,APUS!M:M,INSUMOS!C609)</f>
        <v>59.823</v>
      </c>
      <c r="K609" s="209">
        <f t="shared" si="48"/>
        <v>695851.1655</v>
      </c>
      <c r="N609" s="123">
        <f>IFERROR(SUMIFS(APUS!$Z$140:$Z$182,APUS!$N$183:Q231,INSUMOS!D609),0)</f>
        <v>0</v>
      </c>
      <c r="O609" s="114">
        <f t="shared" si="46"/>
        <v>-695851.1655</v>
      </c>
      <c r="P609" s="94"/>
      <c r="Q609" s="116" t="str">
        <f t="shared" si="47"/>
        <v>NO</v>
      </c>
    </row>
    <row r="610" spans="3:17" ht="15" customHeight="1" x14ac:dyDescent="0.25">
      <c r="C610" s="106">
        <v>686</v>
      </c>
      <c r="D610" s="668" t="s">
        <v>758</v>
      </c>
      <c r="E610" s="669"/>
      <c r="F610" s="669"/>
      <c r="G610" s="670"/>
      <c r="H610" s="343" t="s">
        <v>33</v>
      </c>
      <c r="I610" s="238">
        <f>91127/6</f>
        <v>15187.833333333334</v>
      </c>
      <c r="J610" s="107">
        <f>SUMIFS(APUS!Y:Y,APUS!M:M,INSUMOS!C610)</f>
        <v>53.04</v>
      </c>
      <c r="K610" s="209">
        <f t="shared" si="48"/>
        <v>805562.68</v>
      </c>
      <c r="N610" s="123">
        <f>IFERROR(SUMIFS(APUS!$Z$140:$Z$182,APUS!$N$183:Q231,INSUMOS!D610),0)</f>
        <v>0</v>
      </c>
      <c r="O610" s="114">
        <f t="shared" si="46"/>
        <v>-805562.68</v>
      </c>
      <c r="P610" s="94"/>
      <c r="Q610" s="116" t="str">
        <f t="shared" si="47"/>
        <v>NO</v>
      </c>
    </row>
    <row r="611" spans="3:17" ht="15" customHeight="1" x14ac:dyDescent="0.25">
      <c r="C611" s="106">
        <v>687</v>
      </c>
      <c r="D611" s="668" t="s">
        <v>759</v>
      </c>
      <c r="E611" s="669"/>
      <c r="F611" s="669"/>
      <c r="G611" s="670"/>
      <c r="H611" s="343" t="s">
        <v>33</v>
      </c>
      <c r="I611" s="238">
        <f>139738/6</f>
        <v>23289.666666666668</v>
      </c>
      <c r="J611" s="107">
        <f>SUMIFS(APUS!Y:Y,APUS!M:M,INSUMOS!C611)</f>
        <v>10.71</v>
      </c>
      <c r="K611" s="209">
        <f t="shared" si="48"/>
        <v>249432.33000000005</v>
      </c>
      <c r="N611" s="123">
        <f>IFERROR(SUMIFS(APUS!$Z$140:$Z$182,APUS!$N$183:Q231,INSUMOS!D611),0)</f>
        <v>0</v>
      </c>
      <c r="O611" s="114">
        <f t="shared" si="46"/>
        <v>-249432.33000000005</v>
      </c>
      <c r="P611" s="94"/>
      <c r="Q611" s="116" t="str">
        <f t="shared" si="47"/>
        <v>NO</v>
      </c>
    </row>
    <row r="612" spans="3:17" ht="15" customHeight="1" x14ac:dyDescent="0.25">
      <c r="C612" s="106">
        <v>688</v>
      </c>
      <c r="D612" s="668" t="s">
        <v>760</v>
      </c>
      <c r="E612" s="669"/>
      <c r="F612" s="669"/>
      <c r="G612" s="670"/>
      <c r="H612" s="343" t="s">
        <v>33</v>
      </c>
      <c r="I612" s="238">
        <f>267648/6</f>
        <v>44608</v>
      </c>
      <c r="J612" s="107">
        <f>SUMIFS(APUS!Y:Y,APUS!M:M,INSUMOS!C612)</f>
        <v>7.1400000000000006</v>
      </c>
      <c r="K612" s="209">
        <f t="shared" si="48"/>
        <v>318501.12000000005</v>
      </c>
      <c r="N612" s="123">
        <f>IFERROR(SUMIFS(APUS!$Z$140:$Z$182,APUS!$N$183:Q231,INSUMOS!D612),0)</f>
        <v>0</v>
      </c>
      <c r="O612" s="114">
        <f t="shared" si="46"/>
        <v>-318501.12000000005</v>
      </c>
      <c r="P612" s="94"/>
      <c r="Q612" s="116" t="str">
        <f t="shared" si="47"/>
        <v>NO</v>
      </c>
    </row>
    <row r="613" spans="3:17" ht="15" customHeight="1" x14ac:dyDescent="0.25">
      <c r="C613" s="106">
        <v>689</v>
      </c>
      <c r="D613" s="668" t="s">
        <v>761</v>
      </c>
      <c r="E613" s="669"/>
      <c r="F613" s="669"/>
      <c r="G613" s="670"/>
      <c r="H613" s="343" t="s">
        <v>33</v>
      </c>
      <c r="I613" s="238">
        <f>314369/6</f>
        <v>52394.833333333336</v>
      </c>
      <c r="J613" s="107">
        <f>SUMIFS(APUS!Y:Y,APUS!M:M,INSUMOS!C613)</f>
        <v>5.3550000000000004</v>
      </c>
      <c r="K613" s="209">
        <f t="shared" si="48"/>
        <v>280574.33250000002</v>
      </c>
      <c r="N613" s="123">
        <f>IFERROR(SUMIFS(APUS!$Z$140:$Z$182,APUS!$N$183:Q231,INSUMOS!D613),0)</f>
        <v>0</v>
      </c>
      <c r="O613" s="114">
        <f t="shared" si="46"/>
        <v>-280574.33250000002</v>
      </c>
      <c r="P613" s="94"/>
      <c r="Q613" s="116" t="str">
        <f t="shared" si="47"/>
        <v>NO</v>
      </c>
    </row>
    <row r="614" spans="3:17" ht="15" hidden="1" customHeight="1" x14ac:dyDescent="0.25">
      <c r="C614" s="106">
        <v>690</v>
      </c>
      <c r="D614" s="668" t="s">
        <v>762</v>
      </c>
      <c r="E614" s="669"/>
      <c r="F614" s="669"/>
      <c r="G614" s="670"/>
      <c r="H614" s="343" t="s">
        <v>34</v>
      </c>
      <c r="I614" s="238">
        <v>1537440</v>
      </c>
      <c r="J614" s="107">
        <f>SUMIFS(APUS!Y:Y,APUS!M:M,INSUMOS!C614)</f>
        <v>0</v>
      </c>
      <c r="K614" s="209">
        <f t="shared" si="48"/>
        <v>0</v>
      </c>
      <c r="N614" s="123">
        <f>IFERROR(SUMIFS(APUS!$Z$140:$Z$182,APUS!$N$183:Q231,INSUMOS!D614),0)</f>
        <v>0</v>
      </c>
      <c r="O614" s="114">
        <f t="shared" si="46"/>
        <v>0</v>
      </c>
      <c r="P614" s="94"/>
      <c r="Q614" s="116" t="str">
        <f t="shared" si="47"/>
        <v>SI</v>
      </c>
    </row>
    <row r="615" spans="3:17" ht="15" hidden="1" customHeight="1" x14ac:dyDescent="0.25">
      <c r="C615" s="106">
        <v>691</v>
      </c>
      <c r="D615" s="668"/>
      <c r="E615" s="669"/>
      <c r="F615" s="669"/>
      <c r="G615" s="670"/>
      <c r="H615" s="343"/>
      <c r="I615" s="238"/>
      <c r="J615" s="107">
        <f>SUMIFS(APUS!Y:Y,APUS!M:M,INSUMOS!C615)</f>
        <v>0</v>
      </c>
      <c r="K615" s="209">
        <f t="shared" si="48"/>
        <v>0</v>
      </c>
      <c r="N615" s="123">
        <f>IFERROR(SUMIFS(APUS!$Z$140:$Z$182,APUS!$N$183:Q231,INSUMOS!D615),0)</f>
        <v>0</v>
      </c>
      <c r="O615" s="114">
        <f t="shared" si="46"/>
        <v>0</v>
      </c>
      <c r="P615" s="94"/>
      <c r="Q615" s="116" t="str">
        <f t="shared" si="47"/>
        <v>SI</v>
      </c>
    </row>
    <row r="616" spans="3:17" ht="15" hidden="1" customHeight="1" x14ac:dyDescent="0.25">
      <c r="C616" s="106">
        <v>692</v>
      </c>
      <c r="D616" s="668"/>
      <c r="E616" s="669"/>
      <c r="F616" s="669"/>
      <c r="G616" s="670"/>
      <c r="H616" s="343"/>
      <c r="I616" s="238"/>
      <c r="J616" s="107">
        <f>SUMIFS(APUS!Y:Y,APUS!M:M,INSUMOS!C616)</f>
        <v>0</v>
      </c>
      <c r="K616" s="209">
        <f t="shared" si="48"/>
        <v>0</v>
      </c>
      <c r="N616" s="123">
        <f>IFERROR(SUMIFS(APUS!$Z$140:$Z$182,APUS!$N$183:Q231,INSUMOS!D616),0)</f>
        <v>0</v>
      </c>
      <c r="O616" s="114">
        <f t="shared" si="46"/>
        <v>0</v>
      </c>
      <c r="P616" s="94"/>
      <c r="Q616" s="116" t="str">
        <f t="shared" si="47"/>
        <v>SI</v>
      </c>
    </row>
    <row r="617" spans="3:17" hidden="1" x14ac:dyDescent="0.25">
      <c r="C617" s="106">
        <v>693</v>
      </c>
      <c r="D617" s="668"/>
      <c r="E617" s="669"/>
      <c r="F617" s="669"/>
      <c r="G617" s="670"/>
      <c r="H617" s="343"/>
      <c r="I617" s="238"/>
      <c r="J617" s="107">
        <f>SUMIFS(APUS!Y:Y,APUS!M:M,INSUMOS!C617)</f>
        <v>0</v>
      </c>
      <c r="K617" s="209">
        <f t="shared" si="48"/>
        <v>0</v>
      </c>
      <c r="N617" s="123">
        <f>IFERROR(SUMIFS(APUS!$Z$140:$Z$182,APUS!$N$183:Q231,INSUMOS!D617),0)</f>
        <v>0</v>
      </c>
      <c r="O617" s="114">
        <f t="shared" si="46"/>
        <v>0</v>
      </c>
      <c r="P617" s="94"/>
      <c r="Q617" s="116" t="str">
        <f t="shared" si="47"/>
        <v>SI</v>
      </c>
    </row>
    <row r="618" spans="3:17" ht="15" hidden="1" customHeight="1" x14ac:dyDescent="0.25">
      <c r="C618" s="106">
        <v>694</v>
      </c>
      <c r="D618" s="668"/>
      <c r="E618" s="669"/>
      <c r="F618" s="669"/>
      <c r="G618" s="670"/>
      <c r="H618" s="343"/>
      <c r="I618" s="238"/>
      <c r="J618" s="107">
        <f>SUMIFS(APUS!Y:Y,APUS!M:M,INSUMOS!C618)</f>
        <v>0</v>
      </c>
      <c r="K618" s="209">
        <f t="shared" si="48"/>
        <v>0</v>
      </c>
      <c r="N618" s="123">
        <f>IFERROR(SUMIFS(APUS!$Z$140:$Z$182,APUS!$N$183:Q231,INSUMOS!D618),0)</f>
        <v>0</v>
      </c>
      <c r="O618" s="114">
        <f t="shared" si="46"/>
        <v>0</v>
      </c>
      <c r="P618" s="94"/>
      <c r="Q618" s="116" t="str">
        <f t="shared" si="47"/>
        <v>SI</v>
      </c>
    </row>
    <row r="619" spans="3:17" hidden="1" x14ac:dyDescent="0.25">
      <c r="C619" s="106">
        <v>695</v>
      </c>
      <c r="D619" s="668" t="s">
        <v>763</v>
      </c>
      <c r="E619" s="669"/>
      <c r="F619" s="669"/>
      <c r="G619" s="670"/>
      <c r="H619" s="343" t="s">
        <v>34</v>
      </c>
      <c r="I619" s="238">
        <v>1018</v>
      </c>
      <c r="J619" s="107">
        <f>SUMIFS(APUS!Y:Y,APUS!M:M,INSUMOS!C619)</f>
        <v>0</v>
      </c>
      <c r="K619" s="209">
        <f t="shared" si="48"/>
        <v>0</v>
      </c>
      <c r="N619" s="123">
        <f>IFERROR(SUMIFS(APUS!$Z$140:$Z$182,APUS!$N$183:Q231,INSUMOS!D619),0)</f>
        <v>0</v>
      </c>
      <c r="O619" s="114">
        <f t="shared" ref="O619:O682" si="49">+N619-K619</f>
        <v>0</v>
      </c>
      <c r="P619" s="94"/>
      <c r="Q619" s="116" t="str">
        <f t="shared" ref="Q619:Q682" si="50">+IF(K619=0,"SI","NO")</f>
        <v>SI</v>
      </c>
    </row>
    <row r="620" spans="3:17" ht="15" hidden="1" customHeight="1" x14ac:dyDescent="0.25">
      <c r="C620" s="106">
        <v>696</v>
      </c>
      <c r="D620" s="668" t="s">
        <v>764</v>
      </c>
      <c r="E620" s="669"/>
      <c r="F620" s="669"/>
      <c r="G620" s="670"/>
      <c r="H620" s="343" t="s">
        <v>34</v>
      </c>
      <c r="I620" s="238">
        <v>432</v>
      </c>
      <c r="J620" s="107">
        <f>SUMIFS(APUS!Y:Y,APUS!M:M,INSUMOS!C620)</f>
        <v>0</v>
      </c>
      <c r="K620" s="209">
        <f t="shared" si="48"/>
        <v>0</v>
      </c>
      <c r="N620" s="123">
        <f>IFERROR(SUMIFS(APUS!$Z$140:$Z$182,APUS!$N$183:Q231,INSUMOS!D620),0)</f>
        <v>0</v>
      </c>
      <c r="O620" s="114">
        <f t="shared" si="49"/>
        <v>0</v>
      </c>
      <c r="P620" s="94"/>
      <c r="Q620" s="116" t="str">
        <f t="shared" si="50"/>
        <v>SI</v>
      </c>
    </row>
    <row r="621" spans="3:17" ht="15" hidden="1" customHeight="1" x14ac:dyDescent="0.25">
      <c r="C621" s="106">
        <v>697</v>
      </c>
      <c r="D621" s="668" t="s">
        <v>765</v>
      </c>
      <c r="E621" s="669"/>
      <c r="F621" s="669"/>
      <c r="G621" s="670"/>
      <c r="H621" s="343" t="s">
        <v>34</v>
      </c>
      <c r="I621" s="238">
        <v>600</v>
      </c>
      <c r="J621" s="107">
        <f>SUMIFS(APUS!Y:Y,APUS!M:M,INSUMOS!C621)</f>
        <v>0</v>
      </c>
      <c r="K621" s="209">
        <f t="shared" si="48"/>
        <v>0</v>
      </c>
      <c r="N621" s="123">
        <f>IFERROR(SUMIFS(APUS!$Z$140:$Z$182,APUS!$N$183:Q231,INSUMOS!D621),0)</f>
        <v>0</v>
      </c>
      <c r="O621" s="114">
        <f t="shared" si="49"/>
        <v>0</v>
      </c>
      <c r="P621" s="94"/>
      <c r="Q621" s="116" t="str">
        <f t="shared" si="50"/>
        <v>SI</v>
      </c>
    </row>
    <row r="622" spans="3:17" ht="15" hidden="1" customHeight="1" x14ac:dyDescent="0.25">
      <c r="C622" s="106">
        <v>698</v>
      </c>
      <c r="D622" s="668" t="s">
        <v>766</v>
      </c>
      <c r="E622" s="669"/>
      <c r="F622" s="669"/>
      <c r="G622" s="670"/>
      <c r="H622" s="343" t="s">
        <v>34</v>
      </c>
      <c r="I622" s="238">
        <v>531</v>
      </c>
      <c r="J622" s="107">
        <f>SUMIFS(APUS!Y:Y,APUS!M:M,INSUMOS!C622)</f>
        <v>0</v>
      </c>
      <c r="K622" s="209">
        <f t="shared" si="48"/>
        <v>0</v>
      </c>
      <c r="N622" s="123">
        <f>IFERROR(SUMIFS(APUS!$Z$140:$Z$182,APUS!$N$183:Q231,INSUMOS!D622),0)</f>
        <v>0</v>
      </c>
      <c r="O622" s="114">
        <f t="shared" si="49"/>
        <v>0</v>
      </c>
      <c r="P622" s="94"/>
      <c r="Q622" s="116" t="str">
        <f t="shared" si="50"/>
        <v>SI</v>
      </c>
    </row>
    <row r="623" spans="3:17" ht="15" customHeight="1" x14ac:dyDescent="0.25">
      <c r="C623" s="106">
        <v>699</v>
      </c>
      <c r="D623" s="668" t="s">
        <v>767</v>
      </c>
      <c r="E623" s="669"/>
      <c r="F623" s="669"/>
      <c r="G623" s="670"/>
      <c r="H623" s="343" t="s">
        <v>34</v>
      </c>
      <c r="I623" s="238">
        <v>146569</v>
      </c>
      <c r="J623" s="107">
        <f>SUMIFS(APUS!Y:Y,APUS!M:M,INSUMOS!C623)</f>
        <v>40.344467999999971</v>
      </c>
      <c r="K623" s="209">
        <f t="shared" si="48"/>
        <v>5913248.3302919958</v>
      </c>
      <c r="N623" s="123">
        <f>IFERROR(SUMIFS(APUS!$Z$140:$Z$182,APUS!$N$183:Q231,INSUMOS!D623),0)</f>
        <v>0</v>
      </c>
      <c r="O623" s="114">
        <f t="shared" si="49"/>
        <v>-5913248.3302919958</v>
      </c>
      <c r="P623" s="94"/>
      <c r="Q623" s="116" t="str">
        <f t="shared" si="50"/>
        <v>NO</v>
      </c>
    </row>
    <row r="624" spans="3:17" x14ac:dyDescent="0.25">
      <c r="C624" s="106">
        <v>700</v>
      </c>
      <c r="D624" s="668" t="s">
        <v>768</v>
      </c>
      <c r="E624" s="669"/>
      <c r="F624" s="669"/>
      <c r="G624" s="670"/>
      <c r="H624" s="343" t="s">
        <v>34</v>
      </c>
      <c r="I624" s="238">
        <v>65913</v>
      </c>
      <c r="J624" s="107">
        <f>SUMIFS(APUS!Y:Y,APUS!M:M,INSUMOS!C624)</f>
        <v>40.538267999999974</v>
      </c>
      <c r="K624" s="209">
        <f t="shared" si="48"/>
        <v>2671998.8586839982</v>
      </c>
      <c r="N624" s="123">
        <f>IFERROR(SUMIFS(APUS!$Z$140:$Z$182,APUS!$N$183:Q231,INSUMOS!D624),0)</f>
        <v>0</v>
      </c>
      <c r="O624" s="114">
        <f t="shared" si="49"/>
        <v>-2671998.8586839982</v>
      </c>
      <c r="P624" s="94"/>
      <c r="Q624" s="116" t="str">
        <f t="shared" si="50"/>
        <v>NO</v>
      </c>
    </row>
    <row r="625" spans="3:17" ht="15" customHeight="1" x14ac:dyDescent="0.25">
      <c r="C625" s="106">
        <v>701</v>
      </c>
      <c r="D625" s="668" t="s">
        <v>769</v>
      </c>
      <c r="E625" s="669"/>
      <c r="F625" s="669"/>
      <c r="G625" s="670"/>
      <c r="H625" s="343" t="s">
        <v>34</v>
      </c>
      <c r="I625" s="238">
        <v>863</v>
      </c>
      <c r="J625" s="107">
        <f>SUMIFS(APUS!Y:Y,APUS!M:M,INSUMOS!C625)</f>
        <v>50</v>
      </c>
      <c r="K625" s="209">
        <f t="shared" si="48"/>
        <v>43150</v>
      </c>
      <c r="N625" s="123">
        <f>IFERROR(SUMIFS(APUS!$Z$140:$Z$182,APUS!$N$183:Q231,INSUMOS!D625),0)</f>
        <v>0</v>
      </c>
      <c r="O625" s="114">
        <f t="shared" si="49"/>
        <v>-43150</v>
      </c>
      <c r="P625" s="94"/>
      <c r="Q625" s="116" t="str">
        <f t="shared" si="50"/>
        <v>NO</v>
      </c>
    </row>
    <row r="626" spans="3:17" ht="15" customHeight="1" x14ac:dyDescent="0.25">
      <c r="C626" s="106">
        <v>702</v>
      </c>
      <c r="D626" s="668" t="s">
        <v>770</v>
      </c>
      <c r="E626" s="669"/>
      <c r="F626" s="669"/>
      <c r="G626" s="670"/>
      <c r="H626" s="343" t="s">
        <v>34</v>
      </c>
      <c r="I626" s="238">
        <v>1381</v>
      </c>
      <c r="J626" s="107">
        <f>SUMIFS(APUS!Y:Y,APUS!M:M,INSUMOS!C626)</f>
        <v>29</v>
      </c>
      <c r="K626" s="209">
        <f t="shared" si="48"/>
        <v>40049</v>
      </c>
      <c r="N626" s="123">
        <f>IFERROR(SUMIFS(APUS!$Z$140:$Z$182,APUS!$N$183:Q231,INSUMOS!D626),0)</f>
        <v>0</v>
      </c>
      <c r="O626" s="114">
        <f t="shared" si="49"/>
        <v>-40049</v>
      </c>
      <c r="P626" s="94"/>
      <c r="Q626" s="116" t="str">
        <f t="shared" si="50"/>
        <v>NO</v>
      </c>
    </row>
    <row r="627" spans="3:17" ht="15" customHeight="1" x14ac:dyDescent="0.25">
      <c r="C627" s="106">
        <v>703</v>
      </c>
      <c r="D627" s="668" t="s">
        <v>771</v>
      </c>
      <c r="E627" s="669"/>
      <c r="F627" s="669"/>
      <c r="G627" s="670"/>
      <c r="H627" s="343" t="s">
        <v>34</v>
      </c>
      <c r="I627" s="238">
        <v>2699</v>
      </c>
      <c r="J627" s="107">
        <f>SUMIFS(APUS!Y:Y,APUS!M:M,INSUMOS!C627)</f>
        <v>27</v>
      </c>
      <c r="K627" s="209">
        <f t="shared" ref="K627:K690" si="51">+J627*I627</f>
        <v>72873</v>
      </c>
      <c r="N627" s="123">
        <f>IFERROR(SUMIFS(APUS!$Z$140:$Z$182,APUS!$N$183:Q231,INSUMOS!D627),0)</f>
        <v>0</v>
      </c>
      <c r="O627" s="114">
        <f t="shared" si="49"/>
        <v>-72873</v>
      </c>
      <c r="P627" s="94"/>
      <c r="Q627" s="116" t="str">
        <f t="shared" si="50"/>
        <v>NO</v>
      </c>
    </row>
    <row r="628" spans="3:17" ht="15" customHeight="1" x14ac:dyDescent="0.25">
      <c r="C628" s="106">
        <v>704</v>
      </c>
      <c r="D628" s="668" t="s">
        <v>772</v>
      </c>
      <c r="E628" s="669"/>
      <c r="F628" s="669"/>
      <c r="G628" s="670"/>
      <c r="H628" s="343" t="s">
        <v>34</v>
      </c>
      <c r="I628" s="238">
        <v>5184</v>
      </c>
      <c r="J628" s="107">
        <f>SUMIFS(APUS!Y:Y,APUS!M:M,INSUMOS!C628)</f>
        <v>35</v>
      </c>
      <c r="K628" s="209">
        <f t="shared" si="51"/>
        <v>181440</v>
      </c>
      <c r="N628" s="123">
        <f>IFERROR(SUMIFS(APUS!$Z$140:$Z$182,APUS!$N$183:Q231,INSUMOS!D628),0)</f>
        <v>0</v>
      </c>
      <c r="O628" s="114">
        <f t="shared" si="49"/>
        <v>-181440</v>
      </c>
      <c r="P628" s="94"/>
      <c r="Q628" s="116" t="str">
        <f t="shared" si="50"/>
        <v>NO</v>
      </c>
    </row>
    <row r="629" spans="3:17" ht="15" customHeight="1" x14ac:dyDescent="0.25">
      <c r="C629" s="106">
        <v>705</v>
      </c>
      <c r="D629" s="668" t="s">
        <v>773</v>
      </c>
      <c r="E629" s="669"/>
      <c r="F629" s="669"/>
      <c r="G629" s="670"/>
      <c r="H629" s="343" t="s">
        <v>34</v>
      </c>
      <c r="I629" s="238">
        <v>9679</v>
      </c>
      <c r="J629" s="107">
        <f>SUMIFS(APUS!Y:Y,APUS!M:M,INSUMOS!C629)</f>
        <v>36</v>
      </c>
      <c r="K629" s="209">
        <f t="shared" si="51"/>
        <v>348444</v>
      </c>
      <c r="N629" s="123">
        <f>IFERROR(SUMIFS(APUS!$Z$140:$Z$182,APUS!$N$183:Q231,INSUMOS!D629),0)</f>
        <v>0</v>
      </c>
      <c r="O629" s="114">
        <f t="shared" si="49"/>
        <v>-348444</v>
      </c>
      <c r="P629" s="94"/>
      <c r="Q629" s="116" t="str">
        <f t="shared" si="50"/>
        <v>NO</v>
      </c>
    </row>
    <row r="630" spans="3:17" ht="22.5" hidden="1" customHeight="1" x14ac:dyDescent="0.25">
      <c r="C630" s="106">
        <v>706</v>
      </c>
      <c r="D630" s="668" t="s">
        <v>774</v>
      </c>
      <c r="E630" s="669"/>
      <c r="F630" s="669"/>
      <c r="G630" s="670"/>
      <c r="H630" s="343" t="s">
        <v>34</v>
      </c>
      <c r="I630" s="238">
        <v>12722</v>
      </c>
      <c r="J630" s="107">
        <f>SUMIFS(APUS!Y:Y,APUS!M:M,INSUMOS!C630)</f>
        <v>0</v>
      </c>
      <c r="K630" s="209">
        <f t="shared" si="51"/>
        <v>0</v>
      </c>
      <c r="N630" s="123">
        <f>IFERROR(SUMIFS(APUS!$Z$140:$Z$182,APUS!$N$183:Q231,INSUMOS!D630),0)</f>
        <v>0</v>
      </c>
      <c r="O630" s="114">
        <f t="shared" si="49"/>
        <v>0</v>
      </c>
      <c r="P630" s="94"/>
      <c r="Q630" s="116" t="str">
        <f t="shared" si="50"/>
        <v>SI</v>
      </c>
    </row>
    <row r="631" spans="3:17" ht="15" customHeight="1" x14ac:dyDescent="0.25">
      <c r="C631" s="106">
        <v>707</v>
      </c>
      <c r="D631" s="668" t="s">
        <v>775</v>
      </c>
      <c r="E631" s="669"/>
      <c r="F631" s="669"/>
      <c r="G631" s="670"/>
      <c r="H631" s="343" t="s">
        <v>34</v>
      </c>
      <c r="I631" s="238">
        <v>45680</v>
      </c>
      <c r="J631" s="107">
        <f>SUMIFS(APUS!Y:Y,APUS!M:M,INSUMOS!C631)</f>
        <v>2</v>
      </c>
      <c r="K631" s="209">
        <f t="shared" si="51"/>
        <v>91360</v>
      </c>
      <c r="N631" s="123">
        <f>IFERROR(SUMIFS(APUS!$Z$140:$Z$182,APUS!$N$183:Q231,INSUMOS!D631),0)</f>
        <v>0</v>
      </c>
      <c r="O631" s="114">
        <f t="shared" si="49"/>
        <v>-91360</v>
      </c>
      <c r="P631" s="94"/>
      <c r="Q631" s="116" t="str">
        <f t="shared" si="50"/>
        <v>NO</v>
      </c>
    </row>
    <row r="632" spans="3:17" ht="15" hidden="1" customHeight="1" x14ac:dyDescent="0.25">
      <c r="C632" s="106">
        <v>708</v>
      </c>
      <c r="D632" s="668" t="s">
        <v>776</v>
      </c>
      <c r="E632" s="669"/>
      <c r="F632" s="669"/>
      <c r="G632" s="670"/>
      <c r="H632" s="343" t="s">
        <v>34</v>
      </c>
      <c r="I632" s="238">
        <v>53742</v>
      </c>
      <c r="J632" s="107">
        <f>SUMIFS(APUS!Y:Y,APUS!M:M,INSUMOS!C632)</f>
        <v>0</v>
      </c>
      <c r="K632" s="209">
        <f t="shared" si="51"/>
        <v>0</v>
      </c>
      <c r="N632" s="123">
        <f>IFERROR(SUMIFS(APUS!$Z$140:$Z$182,APUS!$N$183:Q231,INSUMOS!D632),0)</f>
        <v>0</v>
      </c>
      <c r="O632" s="114">
        <f t="shared" si="49"/>
        <v>0</v>
      </c>
      <c r="P632" s="94"/>
      <c r="Q632" s="116" t="str">
        <f t="shared" si="50"/>
        <v>SI</v>
      </c>
    </row>
    <row r="633" spans="3:17" ht="15" hidden="1" customHeight="1" x14ac:dyDescent="0.25">
      <c r="C633" s="106">
        <v>709</v>
      </c>
      <c r="D633" s="668" t="s">
        <v>777</v>
      </c>
      <c r="E633" s="669"/>
      <c r="F633" s="669"/>
      <c r="G633" s="670"/>
      <c r="H633" s="343" t="s">
        <v>34</v>
      </c>
      <c r="I633" s="238">
        <v>1018</v>
      </c>
      <c r="J633" s="107">
        <f>SUMIFS(APUS!Y:Y,APUS!M:M,INSUMOS!C633)</f>
        <v>0</v>
      </c>
      <c r="K633" s="209">
        <f t="shared" si="51"/>
        <v>0</v>
      </c>
      <c r="N633" s="123">
        <f>IFERROR(SUMIFS(APUS!$Z$140:$Z$182,APUS!$N$183:Q231,INSUMOS!D633),0)</f>
        <v>0</v>
      </c>
      <c r="O633" s="114">
        <f t="shared" si="49"/>
        <v>0</v>
      </c>
      <c r="P633" s="94"/>
      <c r="Q633" s="116" t="str">
        <f t="shared" si="50"/>
        <v>SI</v>
      </c>
    </row>
    <row r="634" spans="3:17" ht="15" customHeight="1" x14ac:dyDescent="0.25">
      <c r="C634" s="106">
        <v>710</v>
      </c>
      <c r="D634" s="668" t="s">
        <v>778</v>
      </c>
      <c r="E634" s="669"/>
      <c r="F634" s="669"/>
      <c r="G634" s="670"/>
      <c r="H634" s="343" t="s">
        <v>34</v>
      </c>
      <c r="I634" s="238">
        <v>1922</v>
      </c>
      <c r="J634" s="107">
        <f>SUMIFS(APUS!Y:Y,APUS!M:M,INSUMOS!C634)</f>
        <v>24</v>
      </c>
      <c r="K634" s="209">
        <f t="shared" si="51"/>
        <v>46128</v>
      </c>
      <c r="N634" s="123">
        <f>IFERROR(SUMIFS(APUS!$Z$140:$Z$182,APUS!$N$183:Q231,INSUMOS!D634),0)</f>
        <v>0</v>
      </c>
      <c r="O634" s="114">
        <f t="shared" si="49"/>
        <v>-46128</v>
      </c>
      <c r="P634" s="94"/>
      <c r="Q634" s="116" t="str">
        <f t="shared" si="50"/>
        <v>NO</v>
      </c>
    </row>
    <row r="635" spans="3:17" hidden="1" x14ac:dyDescent="0.25">
      <c r="C635" s="106">
        <v>711</v>
      </c>
      <c r="D635" s="668" t="s">
        <v>779</v>
      </c>
      <c r="E635" s="669"/>
      <c r="F635" s="669"/>
      <c r="G635" s="670"/>
      <c r="H635" s="343" t="s">
        <v>34</v>
      </c>
      <c r="I635" s="238">
        <v>3754</v>
      </c>
      <c r="J635" s="107">
        <f>SUMIFS(APUS!Y:Y,APUS!M:M,INSUMOS!C635)</f>
        <v>0</v>
      </c>
      <c r="K635" s="209">
        <f t="shared" si="51"/>
        <v>0</v>
      </c>
      <c r="N635" s="123">
        <f>IFERROR(SUMIFS(APUS!$Z$140:$Z$182,APUS!$N$183:Q231,INSUMOS!D635),0)</f>
        <v>0</v>
      </c>
      <c r="O635" s="114">
        <f t="shared" si="49"/>
        <v>0</v>
      </c>
      <c r="P635" s="94"/>
      <c r="Q635" s="116" t="str">
        <f t="shared" si="50"/>
        <v>SI</v>
      </c>
    </row>
    <row r="636" spans="3:17" ht="15" hidden="1" customHeight="1" x14ac:dyDescent="0.25">
      <c r="C636" s="106">
        <v>712</v>
      </c>
      <c r="D636" s="668" t="s">
        <v>780</v>
      </c>
      <c r="E636" s="669"/>
      <c r="F636" s="669"/>
      <c r="G636" s="670"/>
      <c r="H636" s="343" t="s">
        <v>34</v>
      </c>
      <c r="I636" s="238">
        <v>8814</v>
      </c>
      <c r="J636" s="107">
        <f>SUMIFS(APUS!Y:Y,APUS!M:M,INSUMOS!C636)</f>
        <v>0</v>
      </c>
      <c r="K636" s="209">
        <f t="shared" si="51"/>
        <v>0</v>
      </c>
      <c r="N636" s="123">
        <f>IFERROR(SUMIFS(APUS!$Z$140:$Z$182,APUS!$N$183:Q231,INSUMOS!D636),0)</f>
        <v>0</v>
      </c>
      <c r="O636" s="114">
        <f t="shared" si="49"/>
        <v>0</v>
      </c>
      <c r="P636" s="94"/>
      <c r="Q636" s="116" t="str">
        <f t="shared" si="50"/>
        <v>SI</v>
      </c>
    </row>
    <row r="637" spans="3:17" ht="15" customHeight="1" x14ac:dyDescent="0.25">
      <c r="C637" s="106">
        <v>713</v>
      </c>
      <c r="D637" s="668" t="s">
        <v>781</v>
      </c>
      <c r="E637" s="669"/>
      <c r="F637" s="669"/>
      <c r="G637" s="670"/>
      <c r="H637" s="343" t="s">
        <v>34</v>
      </c>
      <c r="I637" s="238">
        <v>12727</v>
      </c>
      <c r="J637" s="107">
        <f>SUMIFS(APUS!Y:Y,APUS!M:M,INSUMOS!C637)</f>
        <v>32</v>
      </c>
      <c r="K637" s="209">
        <f t="shared" si="51"/>
        <v>407264</v>
      </c>
      <c r="N637" s="123">
        <f>IFERROR(SUMIFS(APUS!$Z$140:$Z$182,APUS!$N$183:Q231,INSUMOS!D637),0)</f>
        <v>0</v>
      </c>
      <c r="O637" s="114">
        <f t="shared" si="49"/>
        <v>-407264</v>
      </c>
      <c r="P637" s="94"/>
      <c r="Q637" s="116" t="str">
        <f t="shared" si="50"/>
        <v>NO</v>
      </c>
    </row>
    <row r="638" spans="3:17" x14ac:dyDescent="0.25">
      <c r="C638" s="106">
        <v>714</v>
      </c>
      <c r="D638" s="668" t="s">
        <v>782</v>
      </c>
      <c r="E638" s="669"/>
      <c r="F638" s="669"/>
      <c r="G638" s="670"/>
      <c r="H638" s="343" t="s">
        <v>34</v>
      </c>
      <c r="I638" s="238">
        <v>20267</v>
      </c>
      <c r="J638" s="107">
        <f>SUMIFS(APUS!Y:Y,APUS!M:M,INSUMOS!C638)</f>
        <v>3</v>
      </c>
      <c r="K638" s="209">
        <f t="shared" si="51"/>
        <v>60801</v>
      </c>
      <c r="N638" s="123">
        <f>IFERROR(SUMIFS(APUS!$Z$140:$Z$182,APUS!$N$183:Q231,INSUMOS!D638),0)</f>
        <v>0</v>
      </c>
      <c r="O638" s="114">
        <f t="shared" si="49"/>
        <v>-60801</v>
      </c>
      <c r="P638" s="94"/>
      <c r="Q638" s="116" t="str">
        <f t="shared" si="50"/>
        <v>NO</v>
      </c>
    </row>
    <row r="639" spans="3:17" ht="15" customHeight="1" x14ac:dyDescent="0.25">
      <c r="C639" s="106">
        <v>715</v>
      </c>
      <c r="D639" s="668" t="s">
        <v>783</v>
      </c>
      <c r="E639" s="669"/>
      <c r="F639" s="669"/>
      <c r="G639" s="670"/>
      <c r="H639" s="343" t="s">
        <v>34</v>
      </c>
      <c r="I639" s="238">
        <v>48072</v>
      </c>
      <c r="J639" s="107">
        <f>SUMIFS(APUS!Y:Y,APUS!M:M,INSUMOS!C639)</f>
        <v>10</v>
      </c>
      <c r="K639" s="209">
        <f t="shared" si="51"/>
        <v>480720</v>
      </c>
      <c r="N639" s="123">
        <f>IFERROR(SUMIFS(APUS!$Z$140:$Z$182,APUS!$N$183:Q231,INSUMOS!D639),0)</f>
        <v>0</v>
      </c>
      <c r="O639" s="114">
        <f t="shared" si="49"/>
        <v>-480720</v>
      </c>
      <c r="P639" s="94"/>
      <c r="Q639" s="116" t="str">
        <f t="shared" si="50"/>
        <v>NO</v>
      </c>
    </row>
    <row r="640" spans="3:17" hidden="1" x14ac:dyDescent="0.25">
      <c r="C640" s="106">
        <v>716</v>
      </c>
      <c r="D640" s="668" t="s">
        <v>784</v>
      </c>
      <c r="E640" s="669"/>
      <c r="F640" s="669"/>
      <c r="G640" s="670"/>
      <c r="H640" s="343" t="s">
        <v>34</v>
      </c>
      <c r="I640" s="238">
        <v>69517</v>
      </c>
      <c r="J640" s="107">
        <f>SUMIFS(APUS!Y:Y,APUS!M:M,INSUMOS!C640)</f>
        <v>0</v>
      </c>
      <c r="K640" s="209">
        <f t="shared" si="51"/>
        <v>0</v>
      </c>
      <c r="N640" s="123">
        <f>IFERROR(SUMIFS(APUS!$Z$140:$Z$182,APUS!$N$183:Q231,INSUMOS!D640),0)</f>
        <v>0</v>
      </c>
      <c r="O640" s="114">
        <f t="shared" si="49"/>
        <v>0</v>
      </c>
      <c r="P640" s="94"/>
      <c r="Q640" s="116" t="str">
        <f t="shared" si="50"/>
        <v>SI</v>
      </c>
    </row>
    <row r="641" spans="3:35" ht="15" hidden="1" customHeight="1" x14ac:dyDescent="0.25">
      <c r="C641" s="106">
        <v>717</v>
      </c>
      <c r="D641" s="668" t="s">
        <v>785</v>
      </c>
      <c r="E641" s="669"/>
      <c r="F641" s="669"/>
      <c r="G641" s="670"/>
      <c r="H641" s="343" t="s">
        <v>34</v>
      </c>
      <c r="I641" s="238">
        <v>24670</v>
      </c>
      <c r="J641" s="107">
        <f>SUMIFS(APUS!Y:Y,APUS!M:M,INSUMOS!C641)</f>
        <v>0</v>
      </c>
      <c r="K641" s="209">
        <f t="shared" si="51"/>
        <v>0</v>
      </c>
      <c r="N641" s="123">
        <f>IFERROR(SUMIFS(APUS!$Z$140:$Z$182,APUS!$N$183:Q231,INSUMOS!D641),0)</f>
        <v>0</v>
      </c>
      <c r="O641" s="114">
        <f t="shared" si="49"/>
        <v>0</v>
      </c>
      <c r="P641" s="94"/>
      <c r="Q641" s="116" t="str">
        <f t="shared" si="50"/>
        <v>SI</v>
      </c>
    </row>
    <row r="642" spans="3:35" ht="15" customHeight="1" x14ac:dyDescent="0.25">
      <c r="C642" s="106">
        <v>718</v>
      </c>
      <c r="D642" s="668" t="s">
        <v>786</v>
      </c>
      <c r="E642" s="669"/>
      <c r="F642" s="669"/>
      <c r="G642" s="670"/>
      <c r="H642" s="343" t="s">
        <v>34</v>
      </c>
      <c r="I642" s="238">
        <v>7535</v>
      </c>
      <c r="J642" s="107">
        <f>SUMIFS(APUS!Y:Y,APUS!M:M,INSUMOS!C642)</f>
        <v>3</v>
      </c>
      <c r="K642" s="209">
        <f t="shared" si="51"/>
        <v>22605</v>
      </c>
      <c r="N642" s="123">
        <f>IFERROR(SUMIFS(APUS!$Z$140:$Z$182,APUS!$N$183:Q231,INSUMOS!D642),0)</f>
        <v>0</v>
      </c>
      <c r="O642" s="114">
        <f t="shared" si="49"/>
        <v>-22605</v>
      </c>
      <c r="P642" s="94"/>
      <c r="Q642" s="116" t="str">
        <f t="shared" si="50"/>
        <v>NO</v>
      </c>
    </row>
    <row r="643" spans="3:35" ht="15" hidden="1" customHeight="1" x14ac:dyDescent="0.25">
      <c r="C643" s="106">
        <v>719</v>
      </c>
      <c r="D643" s="668" t="s">
        <v>787</v>
      </c>
      <c r="E643" s="669"/>
      <c r="F643" s="669"/>
      <c r="G643" s="670"/>
      <c r="H643" s="343" t="s">
        <v>34</v>
      </c>
      <c r="I643" s="238">
        <v>4928</v>
      </c>
      <c r="J643" s="107">
        <f>SUMIFS(APUS!Y:Y,APUS!M:M,INSUMOS!C643)</f>
        <v>0</v>
      </c>
      <c r="K643" s="209">
        <f t="shared" si="51"/>
        <v>0</v>
      </c>
      <c r="N643" s="123">
        <f>IFERROR(SUMIFS(APUS!$Z$140:$Z$182,APUS!$N$183:Q231,INSUMOS!D643),0)</f>
        <v>0</v>
      </c>
      <c r="O643" s="114">
        <f t="shared" si="49"/>
        <v>0</v>
      </c>
      <c r="P643" s="94"/>
      <c r="Q643" s="116" t="str">
        <f t="shared" si="50"/>
        <v>SI</v>
      </c>
    </row>
    <row r="644" spans="3:35" ht="15" customHeight="1" x14ac:dyDescent="0.25">
      <c r="C644" s="106">
        <v>720</v>
      </c>
      <c r="D644" s="668" t="s">
        <v>788</v>
      </c>
      <c r="E644" s="669"/>
      <c r="F644" s="669"/>
      <c r="G644" s="670"/>
      <c r="H644" s="343" t="s">
        <v>34</v>
      </c>
      <c r="I644" s="238">
        <v>4928</v>
      </c>
      <c r="J644" s="107">
        <f>SUMIFS(APUS!Y:Y,APUS!M:M,INSUMOS!C644)</f>
        <v>24</v>
      </c>
      <c r="K644" s="209">
        <f t="shared" si="51"/>
        <v>118272</v>
      </c>
      <c r="N644" s="123">
        <f>IFERROR(SUMIFS(APUS!$Z$140:$Z$182,APUS!$N$183:Q231,INSUMOS!D644),0)</f>
        <v>0</v>
      </c>
      <c r="O644" s="114">
        <f t="shared" si="49"/>
        <v>-118272</v>
      </c>
      <c r="P644" s="94"/>
      <c r="Q644" s="116" t="str">
        <f t="shared" si="50"/>
        <v>NO</v>
      </c>
    </row>
    <row r="645" spans="3:35" ht="15" hidden="1" customHeight="1" x14ac:dyDescent="0.25">
      <c r="C645" s="106">
        <v>721</v>
      </c>
      <c r="D645" s="668" t="s">
        <v>789</v>
      </c>
      <c r="E645" s="669"/>
      <c r="F645" s="669"/>
      <c r="G645" s="670"/>
      <c r="H645" s="343" t="s">
        <v>34</v>
      </c>
      <c r="I645" s="238">
        <v>1511</v>
      </c>
      <c r="J645" s="107">
        <f>SUMIFS(APUS!Y:Y,APUS!M:M,INSUMOS!C645)</f>
        <v>0</v>
      </c>
      <c r="K645" s="209">
        <f t="shared" si="51"/>
        <v>0</v>
      </c>
      <c r="N645" s="123">
        <f>IFERROR(SUMIFS(APUS!$Z$140:$Z$182,APUS!$N$183:Q231,INSUMOS!D645),0)</f>
        <v>0</v>
      </c>
      <c r="O645" s="114">
        <f t="shared" si="49"/>
        <v>0</v>
      </c>
      <c r="P645" s="94"/>
      <c r="Q645" s="116" t="str">
        <f t="shared" si="50"/>
        <v>SI</v>
      </c>
    </row>
    <row r="646" spans="3:35" ht="15" hidden="1" customHeight="1" x14ac:dyDescent="0.25">
      <c r="C646" s="106">
        <v>722</v>
      </c>
      <c r="D646" s="668" t="s">
        <v>790</v>
      </c>
      <c r="E646" s="669"/>
      <c r="F646" s="669"/>
      <c r="G646" s="670"/>
      <c r="H646" s="343" t="s">
        <v>34</v>
      </c>
      <c r="I646" s="238">
        <v>1662</v>
      </c>
      <c r="J646" s="107">
        <f>SUMIFS(APUS!Y:Y,APUS!M:M,INSUMOS!C646)</f>
        <v>0</v>
      </c>
      <c r="K646" s="209">
        <f t="shared" si="51"/>
        <v>0</v>
      </c>
      <c r="N646" s="123">
        <f>IFERROR(SUMIFS(APUS!$Z$140:$Z$182,APUS!$N$183:Q231,INSUMOS!D646),0)</f>
        <v>0</v>
      </c>
      <c r="O646" s="114">
        <f t="shared" si="49"/>
        <v>0</v>
      </c>
      <c r="P646" s="94"/>
      <c r="Q646" s="116" t="str">
        <f t="shared" si="50"/>
        <v>SI</v>
      </c>
    </row>
    <row r="647" spans="3:35" ht="15" customHeight="1" x14ac:dyDescent="0.25">
      <c r="C647" s="106">
        <v>723</v>
      </c>
      <c r="D647" s="668" t="s">
        <v>791</v>
      </c>
      <c r="E647" s="669"/>
      <c r="F647" s="669"/>
      <c r="G647" s="670"/>
      <c r="H647" s="343" t="s">
        <v>34</v>
      </c>
      <c r="I647" s="238">
        <v>835</v>
      </c>
      <c r="J647" s="107">
        <f>SUMIFS(APUS!Y:Y,APUS!M:M,INSUMOS!C647)</f>
        <v>35</v>
      </c>
      <c r="K647" s="209">
        <f t="shared" si="51"/>
        <v>29225</v>
      </c>
      <c r="N647" s="123">
        <f>IFERROR(SUMIFS(APUS!$Z$140:$Z$182,APUS!$N$183:Q231,INSUMOS!D647),0)</f>
        <v>0</v>
      </c>
      <c r="O647" s="114">
        <f t="shared" si="49"/>
        <v>-29225</v>
      </c>
      <c r="P647" s="94"/>
      <c r="Q647" s="116" t="str">
        <f t="shared" si="50"/>
        <v>NO</v>
      </c>
    </row>
    <row r="648" spans="3:35" ht="15.75" customHeight="1" thickBot="1" x14ac:dyDescent="0.3">
      <c r="C648" s="106">
        <v>724</v>
      </c>
      <c r="D648" s="668" t="s">
        <v>542</v>
      </c>
      <c r="E648" s="669"/>
      <c r="F648" s="669"/>
      <c r="G648" s="670"/>
      <c r="H648" s="343" t="s">
        <v>34</v>
      </c>
      <c r="I648" s="238">
        <v>18236</v>
      </c>
      <c r="J648" s="107">
        <f>SUMIFS(APUS!Y:Y,APUS!M:M,INSUMOS!C648)</f>
        <v>4</v>
      </c>
      <c r="K648" s="209">
        <f t="shared" si="51"/>
        <v>72944</v>
      </c>
      <c r="N648" s="123">
        <f>IFERROR(SUMIFS(APUS!$Z$140:$Z$182,APUS!$N$183:Q231,INSUMOS!D648),0)</f>
        <v>0</v>
      </c>
      <c r="O648" s="114">
        <f t="shared" si="49"/>
        <v>-72944</v>
      </c>
      <c r="P648" s="94"/>
      <c r="Q648" s="116" t="str">
        <f t="shared" si="50"/>
        <v>NO</v>
      </c>
    </row>
    <row r="649" spans="3:35" ht="15.75" hidden="1" customHeight="1" thickBot="1" x14ac:dyDescent="0.3">
      <c r="C649" s="106">
        <v>725</v>
      </c>
      <c r="D649" s="668" t="s">
        <v>569</v>
      </c>
      <c r="E649" s="669"/>
      <c r="F649" s="669"/>
      <c r="G649" s="670"/>
      <c r="H649" s="343" t="s">
        <v>34</v>
      </c>
      <c r="I649" s="238">
        <v>25056</v>
      </c>
      <c r="J649" s="107">
        <f>SUMIFS(APUS!Y:Y,APUS!M:M,INSUMOS!C649)</f>
        <v>0</v>
      </c>
      <c r="K649" s="209">
        <f t="shared" si="51"/>
        <v>0</v>
      </c>
      <c r="N649" s="123">
        <f>IFERROR(SUMIFS(APUS!$Z$140:$Z$182,APUS!$N$183:Q231,INSUMOS!D649),0)</f>
        <v>0</v>
      </c>
      <c r="O649" s="114">
        <f t="shared" si="49"/>
        <v>0</v>
      </c>
      <c r="P649" s="94"/>
      <c r="Q649" s="116" t="str">
        <f t="shared" si="50"/>
        <v>SI</v>
      </c>
      <c r="U649" s="254"/>
      <c r="V649" s="257"/>
      <c r="Y649" s="254"/>
      <c r="Z649" s="257"/>
      <c r="AA649" s="254"/>
      <c r="AC649" s="254"/>
      <c r="AD649" s="257"/>
      <c r="AE649" s="254"/>
      <c r="AG649" s="254"/>
      <c r="AI649" s="254"/>
    </row>
    <row r="650" spans="3:35" ht="15.75" customHeight="1" x14ac:dyDescent="0.25">
      <c r="C650" s="106">
        <v>726</v>
      </c>
      <c r="D650" s="668" t="s">
        <v>792</v>
      </c>
      <c r="E650" s="669"/>
      <c r="F650" s="669"/>
      <c r="G650" s="670"/>
      <c r="H650" s="343" t="s">
        <v>34</v>
      </c>
      <c r="I650" s="238">
        <v>44083</v>
      </c>
      <c r="J650" s="107">
        <f>SUMIFS(APUS!Y:Y,APUS!M:M,INSUMOS!C650)</f>
        <v>8</v>
      </c>
      <c r="K650" s="209">
        <f t="shared" si="51"/>
        <v>352664</v>
      </c>
      <c r="N650" s="123">
        <f>IFERROR(SUMIFS(APUS!$Z$140:$Z$182,APUS!$N$183:Q231,INSUMOS!D650),0)</f>
        <v>0</v>
      </c>
      <c r="O650" s="114">
        <f t="shared" si="49"/>
        <v>-352664</v>
      </c>
      <c r="P650" s="94"/>
      <c r="Q650" s="116" t="str">
        <f t="shared" si="50"/>
        <v>NO</v>
      </c>
      <c r="U650" s="255"/>
      <c r="W650" s="254"/>
      <c r="Y650" s="255"/>
      <c r="AA650" s="255"/>
      <c r="AC650" s="255"/>
      <c r="AE650" s="255"/>
      <c r="AG650" s="255"/>
      <c r="AI650" s="255"/>
    </row>
    <row r="651" spans="3:35" ht="15.75" hidden="1" customHeight="1" thickBot="1" x14ac:dyDescent="0.3">
      <c r="C651" s="106">
        <v>727</v>
      </c>
      <c r="D651" s="668" t="s">
        <v>541</v>
      </c>
      <c r="E651" s="669"/>
      <c r="F651" s="669"/>
      <c r="G651" s="670"/>
      <c r="H651" s="343" t="s">
        <v>34</v>
      </c>
      <c r="I651" s="238">
        <v>19286</v>
      </c>
      <c r="J651" s="107">
        <f>SUMIFS(APUS!Y:Y,APUS!M:M,INSUMOS!C651)</f>
        <v>0</v>
      </c>
      <c r="K651" s="209">
        <f t="shared" si="51"/>
        <v>0</v>
      </c>
      <c r="N651" s="123">
        <f>IFERROR(SUMIFS(APUS!$Z$140:$Z$182,APUS!$N$183:Q231,INSUMOS!D651),0)</f>
        <v>0</v>
      </c>
      <c r="O651" s="114">
        <f t="shared" si="49"/>
        <v>0</v>
      </c>
      <c r="P651" s="94"/>
      <c r="Q651" s="116" t="str">
        <f t="shared" si="50"/>
        <v>SI</v>
      </c>
      <c r="U651" s="255"/>
      <c r="W651" s="255"/>
      <c r="Y651" s="255"/>
      <c r="AA651" s="255"/>
      <c r="AC651" s="255"/>
      <c r="AE651" s="255"/>
      <c r="AG651" s="256"/>
      <c r="AH651" s="257"/>
      <c r="AI651" s="255"/>
    </row>
    <row r="652" spans="3:35" ht="15.75" hidden="1" customHeight="1" thickBot="1" x14ac:dyDescent="0.3">
      <c r="C652" s="106">
        <v>728</v>
      </c>
      <c r="D652" s="668" t="s">
        <v>793</v>
      </c>
      <c r="E652" s="669"/>
      <c r="F652" s="669"/>
      <c r="G652" s="670"/>
      <c r="H652" s="343" t="s">
        <v>34</v>
      </c>
      <c r="I652" s="238">
        <v>15900</v>
      </c>
      <c r="J652" s="107">
        <f>SUMIFS(APUS!Y:Y,APUS!M:M,INSUMOS!C652)</f>
        <v>0</v>
      </c>
      <c r="K652" s="209">
        <f t="shared" si="51"/>
        <v>0</v>
      </c>
      <c r="N652" s="123">
        <f>IFERROR(SUMIFS(APUS!$Z$140:$Z$182,APUS!$N$183:Q231,INSUMOS!D652),0)</f>
        <v>0</v>
      </c>
      <c r="O652" s="114">
        <f t="shared" si="49"/>
        <v>0</v>
      </c>
      <c r="P652" s="94"/>
      <c r="Q652" s="116" t="str">
        <f t="shared" si="50"/>
        <v>SI</v>
      </c>
      <c r="U652" s="255"/>
      <c r="W652" s="255"/>
      <c r="Y652" s="255"/>
      <c r="Z652" s="257"/>
      <c r="AA652" s="255"/>
      <c r="AC652" s="255"/>
      <c r="AE652" s="255"/>
      <c r="AI652" s="255"/>
    </row>
    <row r="653" spans="3:35" ht="15" hidden="1" customHeight="1" x14ac:dyDescent="0.25">
      <c r="C653" s="106">
        <v>729</v>
      </c>
      <c r="D653" s="668" t="s">
        <v>794</v>
      </c>
      <c r="E653" s="669"/>
      <c r="F653" s="669"/>
      <c r="G653" s="670"/>
      <c r="H653" s="343" t="s">
        <v>34</v>
      </c>
      <c r="I653" s="238">
        <v>6800</v>
      </c>
      <c r="J653" s="107">
        <f>SUMIFS(APUS!Y:Y,APUS!M:M,INSUMOS!C653)</f>
        <v>0</v>
      </c>
      <c r="K653" s="209">
        <f t="shared" si="51"/>
        <v>0</v>
      </c>
      <c r="N653" s="123">
        <f>IFERROR(SUMIFS(APUS!$Z$140:$Z$182,APUS!$N$183:Q231,INSUMOS!D653),0)</f>
        <v>0</v>
      </c>
      <c r="O653" s="114">
        <f t="shared" si="49"/>
        <v>0</v>
      </c>
      <c r="P653" s="94"/>
      <c r="Q653" s="116" t="str">
        <f t="shared" si="50"/>
        <v>SI</v>
      </c>
      <c r="U653" s="255"/>
      <c r="W653" s="255"/>
      <c r="Y653" s="255"/>
      <c r="AA653" s="255"/>
      <c r="AC653" s="255"/>
      <c r="AE653" s="255"/>
      <c r="AI653" s="255"/>
    </row>
    <row r="654" spans="3:35" ht="15" customHeight="1" x14ac:dyDescent="0.25">
      <c r="C654" s="106">
        <v>730</v>
      </c>
      <c r="D654" s="668" t="s">
        <v>851</v>
      </c>
      <c r="E654" s="669"/>
      <c r="F654" s="669"/>
      <c r="G654" s="670"/>
      <c r="H654" s="343" t="s">
        <v>34</v>
      </c>
      <c r="I654" s="238">
        <f>4287000*1.19</f>
        <v>5101530</v>
      </c>
      <c r="J654" s="107">
        <f>SUMIFS(APUS!Y:Y,APUS!M:M,INSUMOS!C654)</f>
        <v>2</v>
      </c>
      <c r="K654" s="209">
        <f t="shared" si="51"/>
        <v>10203060</v>
      </c>
      <c r="N654" s="123">
        <f>IFERROR(SUMIFS(APUS!$Z$140:$Z$182,APUS!$N$183:Q231,INSUMOS!D654),0)</f>
        <v>0</v>
      </c>
      <c r="O654" s="114">
        <f t="shared" si="49"/>
        <v>-10203060</v>
      </c>
      <c r="P654" s="94"/>
      <c r="Q654" s="116" t="str">
        <f t="shared" si="50"/>
        <v>NO</v>
      </c>
      <c r="U654" s="255"/>
      <c r="W654" s="255"/>
      <c r="Y654" s="255"/>
      <c r="AA654" s="255"/>
      <c r="AC654" s="255"/>
      <c r="AE654" s="255"/>
      <c r="AI654" s="255"/>
    </row>
    <row r="655" spans="3:35" ht="15.75" hidden="1" customHeight="1" thickBot="1" x14ac:dyDescent="0.3">
      <c r="C655" s="106">
        <v>731</v>
      </c>
      <c r="D655" s="668" t="s">
        <v>795</v>
      </c>
      <c r="E655" s="669"/>
      <c r="F655" s="669"/>
      <c r="G655" s="670"/>
      <c r="H655" s="343" t="s">
        <v>34</v>
      </c>
      <c r="I655" s="238">
        <v>2775000</v>
      </c>
      <c r="J655" s="107">
        <f>SUMIFS(APUS!Y:Y,APUS!M:M,INSUMOS!C655)</f>
        <v>0</v>
      </c>
      <c r="K655" s="209">
        <f t="shared" si="51"/>
        <v>0</v>
      </c>
      <c r="N655" s="123">
        <f>IFERROR(SUMIFS(APUS!$Z$140:$Z$182,APUS!$N$183:Q231,INSUMOS!D655),0)</f>
        <v>0</v>
      </c>
      <c r="O655" s="114">
        <f t="shared" si="49"/>
        <v>0</v>
      </c>
      <c r="P655" s="94"/>
      <c r="Q655" s="116" t="str">
        <f t="shared" si="50"/>
        <v>SI</v>
      </c>
      <c r="U655" s="255"/>
      <c r="W655" s="256"/>
      <c r="Y655" s="255"/>
      <c r="AA655" s="255"/>
      <c r="AC655" s="255"/>
      <c r="AE655" s="255"/>
      <c r="AI655" s="255"/>
    </row>
    <row r="656" spans="3:35" ht="15.75" hidden="1" customHeight="1" thickBot="1" x14ac:dyDescent="0.3">
      <c r="C656" s="106">
        <v>732</v>
      </c>
      <c r="D656" s="668" t="s">
        <v>796</v>
      </c>
      <c r="E656" s="669"/>
      <c r="F656" s="669"/>
      <c r="G656" s="670"/>
      <c r="H656" s="343" t="s">
        <v>34</v>
      </c>
      <c r="I656" s="238">
        <v>2585000</v>
      </c>
      <c r="J656" s="107">
        <f>SUMIFS(APUS!Y:Y,APUS!M:M,INSUMOS!C656)</f>
        <v>0</v>
      </c>
      <c r="K656" s="209">
        <f t="shared" si="51"/>
        <v>0</v>
      </c>
      <c r="N656" s="123">
        <f>IFERROR(SUMIFS(APUS!$Z$140:$Z$182,APUS!$N$183:Q231,INSUMOS!D656),0)</f>
        <v>0</v>
      </c>
      <c r="O656" s="114">
        <f t="shared" si="49"/>
        <v>0</v>
      </c>
      <c r="P656" s="94"/>
      <c r="Q656" s="116" t="str">
        <f t="shared" si="50"/>
        <v>SI</v>
      </c>
      <c r="U656" s="256"/>
      <c r="V656" s="257"/>
      <c r="Y656" s="256"/>
      <c r="AA656" s="256"/>
      <c r="AC656" s="256"/>
      <c r="AE656" s="256"/>
      <c r="AG656" s="258"/>
      <c r="AH656" s="259"/>
      <c r="AI656" s="256"/>
    </row>
    <row r="657" spans="3:17" ht="15" hidden="1" customHeight="1" x14ac:dyDescent="0.25">
      <c r="C657" s="106">
        <v>733</v>
      </c>
      <c r="D657" s="668" t="s">
        <v>797</v>
      </c>
      <c r="E657" s="669"/>
      <c r="F657" s="669"/>
      <c r="G657" s="670"/>
      <c r="H657" s="343" t="s">
        <v>34</v>
      </c>
      <c r="I657" s="238">
        <v>3060000</v>
      </c>
      <c r="J657" s="107">
        <f>SUMIFS(APUS!Y:Y,APUS!M:M,INSUMOS!C657)</f>
        <v>0</v>
      </c>
      <c r="K657" s="209">
        <f t="shared" si="51"/>
        <v>0</v>
      </c>
      <c r="N657" s="123">
        <f>IFERROR(SUMIFS(APUS!$Z$140:$Z$182,APUS!$N$183:Q231,INSUMOS!D657),0)</f>
        <v>0</v>
      </c>
      <c r="O657" s="114">
        <f t="shared" si="49"/>
        <v>0</v>
      </c>
      <c r="P657" s="94"/>
      <c r="Q657" s="116" t="str">
        <f t="shared" si="50"/>
        <v>SI</v>
      </c>
    </row>
    <row r="658" spans="3:17" ht="15" customHeight="1" x14ac:dyDescent="0.25">
      <c r="C658" s="106">
        <v>734</v>
      </c>
      <c r="D658" s="668" t="s">
        <v>541</v>
      </c>
      <c r="E658" s="669"/>
      <c r="F658" s="669"/>
      <c r="G658" s="670"/>
      <c r="H658" s="343" t="s">
        <v>34</v>
      </c>
      <c r="I658" s="238">
        <v>13571</v>
      </c>
      <c r="J658" s="107">
        <f>SUMIFS(APUS!Y:Y,APUS!M:M,INSUMOS!C658)</f>
        <v>3</v>
      </c>
      <c r="K658" s="209">
        <f t="shared" si="51"/>
        <v>40713</v>
      </c>
      <c r="N658" s="123">
        <f>IFERROR(SUMIFS(APUS!$Z$140:$Z$182,APUS!$N$183:Q231,INSUMOS!D658),0)</f>
        <v>0</v>
      </c>
      <c r="O658" s="114">
        <f t="shared" si="49"/>
        <v>-40713</v>
      </c>
      <c r="P658" s="94"/>
      <c r="Q658" s="116" t="str">
        <f t="shared" si="50"/>
        <v>NO</v>
      </c>
    </row>
    <row r="659" spans="3:17" ht="15" hidden="1" customHeight="1" x14ac:dyDescent="0.25">
      <c r="C659" s="106">
        <v>735</v>
      </c>
      <c r="D659" s="668" t="s">
        <v>798</v>
      </c>
      <c r="E659" s="669"/>
      <c r="F659" s="669"/>
      <c r="G659" s="670"/>
      <c r="H659" s="343" t="s">
        <v>33</v>
      </c>
      <c r="I659" s="238">
        <f>858697/6</f>
        <v>143116.16666666666</v>
      </c>
      <c r="J659" s="107">
        <f>SUMIFS(APUS!Y:Y,APUS!M:M,INSUMOS!C659)</f>
        <v>0</v>
      </c>
      <c r="K659" s="209">
        <f t="shared" si="51"/>
        <v>0</v>
      </c>
      <c r="N659" s="123">
        <f>IFERROR(SUMIFS(APUS!$Z$140:$Z$182,APUS!$N$183:Q231,INSUMOS!D659),0)</f>
        <v>0</v>
      </c>
      <c r="O659" s="114">
        <f t="shared" si="49"/>
        <v>0</v>
      </c>
      <c r="P659" s="94"/>
      <c r="Q659" s="116" t="str">
        <f t="shared" si="50"/>
        <v>SI</v>
      </c>
    </row>
    <row r="660" spans="3:17" ht="15" hidden="1" customHeight="1" x14ac:dyDescent="0.25">
      <c r="C660" s="106">
        <v>736</v>
      </c>
      <c r="D660" s="668" t="s">
        <v>799</v>
      </c>
      <c r="E660" s="669"/>
      <c r="F660" s="669"/>
      <c r="G660" s="670"/>
      <c r="H660" s="343" t="s">
        <v>33</v>
      </c>
      <c r="I660" s="238">
        <v>221680</v>
      </c>
      <c r="J660" s="107">
        <f>SUMIFS(APUS!Y:Y,APUS!M:M,INSUMOS!C660)</f>
        <v>0</v>
      </c>
      <c r="K660" s="209">
        <f t="shared" si="51"/>
        <v>0</v>
      </c>
      <c r="N660" s="123">
        <f>IFERROR(SUMIFS(APUS!$Z$140:$Z$182,APUS!$N$183:Q231,INSUMOS!D660),0)</f>
        <v>0</v>
      </c>
      <c r="O660" s="114">
        <f t="shared" si="49"/>
        <v>0</v>
      </c>
      <c r="P660" s="94"/>
      <c r="Q660" s="116" t="str">
        <f t="shared" si="50"/>
        <v>SI</v>
      </c>
    </row>
    <row r="661" spans="3:17" ht="15" customHeight="1" x14ac:dyDescent="0.25">
      <c r="C661" s="106">
        <v>737</v>
      </c>
      <c r="D661" s="668" t="s">
        <v>866</v>
      </c>
      <c r="E661" s="669"/>
      <c r="F661" s="669"/>
      <c r="G661" s="670"/>
      <c r="H661" s="343" t="s">
        <v>34</v>
      </c>
      <c r="I661" s="238">
        <v>21605</v>
      </c>
      <c r="J661" s="107">
        <f>SUMIFS(APUS!Y:Y,APUS!M:M,INSUMOS!C661)</f>
        <v>24</v>
      </c>
      <c r="K661" s="209">
        <f t="shared" si="51"/>
        <v>518520</v>
      </c>
      <c r="N661" s="123">
        <f>IFERROR(SUMIFS(APUS!$Z$140:$Z$182,APUS!$N$183:Q231,INSUMOS!D661),0)</f>
        <v>0</v>
      </c>
      <c r="O661" s="114">
        <f t="shared" si="49"/>
        <v>-518520</v>
      </c>
      <c r="P661" s="94"/>
      <c r="Q661" s="116" t="str">
        <f t="shared" si="50"/>
        <v>NO</v>
      </c>
    </row>
    <row r="662" spans="3:17" ht="15" customHeight="1" x14ac:dyDescent="0.25">
      <c r="C662" s="106">
        <v>738</v>
      </c>
      <c r="D662" s="668" t="s">
        <v>863</v>
      </c>
      <c r="E662" s="669"/>
      <c r="F662" s="669"/>
      <c r="G662" s="670"/>
      <c r="H662" s="343" t="s">
        <v>34</v>
      </c>
      <c r="I662" s="238">
        <v>137359</v>
      </c>
      <c r="J662" s="107">
        <f>SUMIFS(APUS!Y:Y,APUS!M:M,INSUMOS!C662)</f>
        <v>12</v>
      </c>
      <c r="K662" s="209">
        <f t="shared" si="51"/>
        <v>1648308</v>
      </c>
      <c r="N662" s="123">
        <f>IFERROR(SUMIFS(APUS!$Z$140:$Z$182,APUS!$N$183:Q231,INSUMOS!D662),0)</f>
        <v>0</v>
      </c>
      <c r="O662" s="114">
        <f t="shared" si="49"/>
        <v>-1648308</v>
      </c>
      <c r="P662" s="94"/>
      <c r="Q662" s="116" t="str">
        <f t="shared" si="50"/>
        <v>NO</v>
      </c>
    </row>
    <row r="663" spans="3:17" ht="15" customHeight="1" x14ac:dyDescent="0.25">
      <c r="C663" s="106">
        <v>739</v>
      </c>
      <c r="D663" s="668" t="s">
        <v>867</v>
      </c>
      <c r="E663" s="669"/>
      <c r="F663" s="669"/>
      <c r="G663" s="670"/>
      <c r="H663" s="343" t="s">
        <v>34</v>
      </c>
      <c r="I663" s="238">
        <v>25476</v>
      </c>
      <c r="J663" s="107">
        <f>SUMIFS(APUS!Y:Y,APUS!M:M,INSUMOS!C663)</f>
        <v>14</v>
      </c>
      <c r="K663" s="209">
        <f t="shared" si="51"/>
        <v>356664</v>
      </c>
      <c r="N663" s="123">
        <f>IFERROR(SUMIFS(APUS!$Z$140:$Z$182,APUS!$N$183:Q231,INSUMOS!D663),0)</f>
        <v>0</v>
      </c>
      <c r="O663" s="114">
        <f t="shared" si="49"/>
        <v>-356664</v>
      </c>
      <c r="P663" s="94"/>
      <c r="Q663" s="116" t="str">
        <f t="shared" si="50"/>
        <v>NO</v>
      </c>
    </row>
    <row r="664" spans="3:17" ht="15" customHeight="1" x14ac:dyDescent="0.25">
      <c r="C664" s="106">
        <v>740</v>
      </c>
      <c r="D664" s="668" t="s">
        <v>864</v>
      </c>
      <c r="E664" s="669"/>
      <c r="F664" s="669"/>
      <c r="G664" s="670"/>
      <c r="H664" s="343" t="s">
        <v>34</v>
      </c>
      <c r="I664" s="238">
        <v>589017</v>
      </c>
      <c r="J664" s="107">
        <f>SUMIFS(APUS!Y:Y,APUS!M:M,INSUMOS!C664)</f>
        <v>37</v>
      </c>
      <c r="K664" s="209">
        <f t="shared" si="51"/>
        <v>21793629</v>
      </c>
      <c r="N664" s="123">
        <f>IFERROR(SUMIFS(APUS!$Z$140:$Z$182,APUS!$N$183:Q231,INSUMOS!D664),0)</f>
        <v>0</v>
      </c>
      <c r="O664" s="114">
        <f t="shared" si="49"/>
        <v>-21793629</v>
      </c>
      <c r="P664" s="94"/>
      <c r="Q664" s="116" t="str">
        <f t="shared" si="50"/>
        <v>NO</v>
      </c>
    </row>
    <row r="665" spans="3:17" ht="15" customHeight="1" x14ac:dyDescent="0.25">
      <c r="C665" s="106">
        <v>741</v>
      </c>
      <c r="D665" s="668" t="s">
        <v>868</v>
      </c>
      <c r="E665" s="669"/>
      <c r="F665" s="669"/>
      <c r="G665" s="670"/>
      <c r="H665" s="343" t="s">
        <v>34</v>
      </c>
      <c r="I665" s="238">
        <v>22000</v>
      </c>
      <c r="J665" s="107">
        <f>SUMIFS(APUS!Y:Y,APUS!M:M,INSUMOS!C665)</f>
        <v>28</v>
      </c>
      <c r="K665" s="209">
        <f t="shared" si="51"/>
        <v>616000</v>
      </c>
      <c r="N665" s="123">
        <f>IFERROR(SUMIFS(APUS!$Z$140:$Z$182,APUS!$N$183:Q231,INSUMOS!D665),0)</f>
        <v>0</v>
      </c>
      <c r="O665" s="114">
        <f t="shared" si="49"/>
        <v>-616000</v>
      </c>
      <c r="P665" s="94"/>
      <c r="Q665" s="116" t="str">
        <f t="shared" si="50"/>
        <v>NO</v>
      </c>
    </row>
    <row r="666" spans="3:17" ht="15" hidden="1" customHeight="1" x14ac:dyDescent="0.25">
      <c r="C666" s="106">
        <v>742</v>
      </c>
      <c r="D666" s="668" t="s">
        <v>800</v>
      </c>
      <c r="E666" s="669"/>
      <c r="F666" s="669"/>
      <c r="G666" s="670"/>
      <c r="H666" s="343" t="s">
        <v>34</v>
      </c>
      <c r="I666" s="238">
        <v>7419</v>
      </c>
      <c r="J666" s="107">
        <f>SUMIFS(APUS!Y:Y,APUS!M:M,INSUMOS!C666)</f>
        <v>0</v>
      </c>
      <c r="K666" s="209">
        <f t="shared" si="51"/>
        <v>0</v>
      </c>
      <c r="N666" s="123">
        <f>IFERROR(SUMIFS(APUS!$Z$140:$Z$182,APUS!$N$183:Q231,INSUMOS!D666),0)</f>
        <v>0</v>
      </c>
      <c r="O666" s="114">
        <f t="shared" si="49"/>
        <v>0</v>
      </c>
      <c r="P666" s="94"/>
      <c r="Q666" s="116" t="str">
        <f t="shared" si="50"/>
        <v>SI</v>
      </c>
    </row>
    <row r="667" spans="3:17" ht="15" hidden="1" customHeight="1" x14ac:dyDescent="0.25">
      <c r="C667" s="106">
        <v>743</v>
      </c>
      <c r="D667" s="668" t="s">
        <v>801</v>
      </c>
      <c r="E667" s="669"/>
      <c r="F667" s="669"/>
      <c r="G667" s="670"/>
      <c r="H667" s="343" t="s">
        <v>34</v>
      </c>
      <c r="I667" s="238">
        <v>5865</v>
      </c>
      <c r="J667" s="107">
        <f>SUMIFS(APUS!Y:Y,APUS!M:M,INSUMOS!C667)</f>
        <v>0</v>
      </c>
      <c r="K667" s="209">
        <f t="shared" si="51"/>
        <v>0</v>
      </c>
      <c r="N667" s="123">
        <f>IFERROR(SUMIFS(APUS!$Z$140:$Z$182,APUS!$N$183:Q231,INSUMOS!D667),0)</f>
        <v>0</v>
      </c>
      <c r="O667" s="114">
        <f t="shared" si="49"/>
        <v>0</v>
      </c>
      <c r="P667" s="94"/>
      <c r="Q667" s="116" t="str">
        <f t="shared" si="50"/>
        <v>SI</v>
      </c>
    </row>
    <row r="668" spans="3:17" x14ac:dyDescent="0.25">
      <c r="C668" s="106">
        <v>744</v>
      </c>
      <c r="D668" s="668" t="s">
        <v>802</v>
      </c>
      <c r="E668" s="669"/>
      <c r="F668" s="669"/>
      <c r="G668" s="670"/>
      <c r="H668" s="343" t="s">
        <v>34</v>
      </c>
      <c r="I668" s="238">
        <v>10100</v>
      </c>
      <c r="J668" s="107">
        <f>SUMIFS(APUS!Y:Y,APUS!M:M,INSUMOS!C668)</f>
        <v>126</v>
      </c>
      <c r="K668" s="209">
        <f t="shared" si="51"/>
        <v>1272600</v>
      </c>
      <c r="N668" s="123">
        <f>IFERROR(SUMIFS(APUS!$Z$140:$Z$182,APUS!$N$183:Q231,INSUMOS!D668),0)</f>
        <v>0</v>
      </c>
      <c r="O668" s="114">
        <f t="shared" si="49"/>
        <v>-1272600</v>
      </c>
      <c r="P668" s="94"/>
      <c r="Q668" s="116" t="str">
        <f t="shared" si="50"/>
        <v>NO</v>
      </c>
    </row>
    <row r="669" spans="3:17" ht="15" customHeight="1" x14ac:dyDescent="0.25">
      <c r="C669" s="106">
        <v>745</v>
      </c>
      <c r="D669" s="668" t="s">
        <v>869</v>
      </c>
      <c r="E669" s="669"/>
      <c r="F669" s="669"/>
      <c r="G669" s="670"/>
      <c r="H669" s="343" t="s">
        <v>34</v>
      </c>
      <c r="I669" s="238">
        <v>36000</v>
      </c>
      <c r="J669" s="107">
        <f>SUMIFS(APUS!Y:Y,APUS!M:M,INSUMOS!C669)</f>
        <v>186</v>
      </c>
      <c r="K669" s="209">
        <f t="shared" si="51"/>
        <v>6696000</v>
      </c>
      <c r="N669" s="123">
        <f>IFERROR(SUMIFS(APUS!$Z$140:$Z$182,APUS!$N$183:Q231,INSUMOS!D669),0)</f>
        <v>0</v>
      </c>
      <c r="O669" s="114">
        <f t="shared" si="49"/>
        <v>-6696000</v>
      </c>
      <c r="P669" s="94"/>
      <c r="Q669" s="116" t="str">
        <f t="shared" si="50"/>
        <v>NO</v>
      </c>
    </row>
    <row r="670" spans="3:17" ht="15" customHeight="1" x14ac:dyDescent="0.25">
      <c r="C670" s="106">
        <v>746</v>
      </c>
      <c r="D670" s="668" t="s">
        <v>804</v>
      </c>
      <c r="E670" s="669"/>
      <c r="F670" s="669"/>
      <c r="G670" s="670"/>
      <c r="H670" s="343" t="s">
        <v>34</v>
      </c>
      <c r="I670" s="238">
        <v>14400</v>
      </c>
      <c r="J670" s="107">
        <f>SUMIFS(APUS!Y:Y,APUS!M:M,INSUMOS!C670)</f>
        <v>40</v>
      </c>
      <c r="K670" s="209">
        <f t="shared" si="51"/>
        <v>576000</v>
      </c>
      <c r="N670" s="123">
        <f>IFERROR(SUMIFS(APUS!$Z$140:$Z$182,APUS!$N$183:Q231,INSUMOS!D670),0)</f>
        <v>0</v>
      </c>
      <c r="O670" s="114">
        <f t="shared" si="49"/>
        <v>-576000</v>
      </c>
      <c r="P670" s="94"/>
      <c r="Q670" s="116" t="str">
        <f t="shared" si="50"/>
        <v>NO</v>
      </c>
    </row>
    <row r="671" spans="3:17" ht="15" hidden="1" customHeight="1" x14ac:dyDescent="0.25">
      <c r="C671" s="106">
        <v>747</v>
      </c>
      <c r="D671" s="668" t="s">
        <v>372</v>
      </c>
      <c r="E671" s="669"/>
      <c r="F671" s="669"/>
      <c r="G671" s="670"/>
      <c r="H671" s="343" t="s">
        <v>34</v>
      </c>
      <c r="I671" s="238">
        <v>24079.000000000004</v>
      </c>
      <c r="J671" s="107">
        <f>SUMIFS(APUS!Y:Y,APUS!M:M,INSUMOS!C671)</f>
        <v>0</v>
      </c>
      <c r="K671" s="209">
        <f t="shared" si="51"/>
        <v>0</v>
      </c>
      <c r="N671" s="123">
        <f>IFERROR(SUMIFS(APUS!$Z$140:$Z$182,APUS!$N$183:Q231,INSUMOS!D671),0)</f>
        <v>0</v>
      </c>
      <c r="O671" s="114">
        <f t="shared" si="49"/>
        <v>0</v>
      </c>
      <c r="P671" s="94"/>
      <c r="Q671" s="116" t="str">
        <f t="shared" si="50"/>
        <v>SI</v>
      </c>
    </row>
    <row r="672" spans="3:17" ht="15" hidden="1" customHeight="1" x14ac:dyDescent="0.25">
      <c r="C672" s="106">
        <v>748</v>
      </c>
      <c r="D672" s="668" t="s">
        <v>803</v>
      </c>
      <c r="E672" s="669"/>
      <c r="F672" s="669"/>
      <c r="G672" s="670"/>
      <c r="H672" s="343" t="s">
        <v>34</v>
      </c>
      <c r="I672" s="238">
        <v>9580</v>
      </c>
      <c r="J672" s="107">
        <f>SUMIFS(APUS!Y:Y,APUS!M:M,INSUMOS!C672)</f>
        <v>0</v>
      </c>
      <c r="K672" s="209">
        <f t="shared" si="51"/>
        <v>0</v>
      </c>
      <c r="N672" s="123">
        <f>IFERROR(SUMIFS(APUS!$Z$140:$Z$182,APUS!$N$183:Q231,INSUMOS!D672),0)</f>
        <v>0</v>
      </c>
      <c r="O672" s="114">
        <f t="shared" si="49"/>
        <v>0</v>
      </c>
      <c r="P672" s="94"/>
      <c r="Q672" s="116" t="str">
        <f t="shared" si="50"/>
        <v>SI</v>
      </c>
    </row>
    <row r="673" spans="3:17" ht="15" hidden="1" customHeight="1" x14ac:dyDescent="0.25">
      <c r="C673" s="106">
        <v>749</v>
      </c>
      <c r="D673" s="668" t="s">
        <v>371</v>
      </c>
      <c r="E673" s="669"/>
      <c r="F673" s="669"/>
      <c r="G673" s="670"/>
      <c r="H673" s="343" t="s">
        <v>34</v>
      </c>
      <c r="I673" s="238">
        <v>21659</v>
      </c>
      <c r="J673" s="107">
        <f>SUMIFS(APUS!Y:Y,APUS!M:M,INSUMOS!C673)</f>
        <v>0</v>
      </c>
      <c r="K673" s="209">
        <f t="shared" si="51"/>
        <v>0</v>
      </c>
      <c r="N673" s="123">
        <f>IFERROR(SUMIFS(APUS!$Z$140:$Z$182,APUS!$N$183:Q231,INSUMOS!D673),0)</f>
        <v>0</v>
      </c>
      <c r="O673" s="114">
        <f t="shared" si="49"/>
        <v>0</v>
      </c>
      <c r="P673" s="94"/>
      <c r="Q673" s="116" t="str">
        <f t="shared" si="50"/>
        <v>SI</v>
      </c>
    </row>
    <row r="674" spans="3:17" hidden="1" x14ac:dyDescent="0.25">
      <c r="C674" s="106">
        <v>750</v>
      </c>
      <c r="D674" s="668" t="s">
        <v>804</v>
      </c>
      <c r="E674" s="669"/>
      <c r="F674" s="669"/>
      <c r="G674" s="670"/>
      <c r="H674" s="343" t="s">
        <v>34</v>
      </c>
      <c r="I674" s="238">
        <v>8950</v>
      </c>
      <c r="J674" s="107">
        <f>SUMIFS(APUS!Y:Y,APUS!M:M,INSUMOS!C674)</f>
        <v>0</v>
      </c>
      <c r="K674" s="209">
        <f t="shared" si="51"/>
        <v>0</v>
      </c>
      <c r="N674" s="123">
        <f>IFERROR(SUMIFS(APUS!$Z$140:$Z$182,APUS!$N$183:Q231,INSUMOS!D674),0)</f>
        <v>0</v>
      </c>
      <c r="O674" s="114">
        <f t="shared" si="49"/>
        <v>0</v>
      </c>
      <c r="P674" s="94"/>
      <c r="Q674" s="116" t="str">
        <f t="shared" si="50"/>
        <v>SI</v>
      </c>
    </row>
    <row r="675" spans="3:17" ht="15" hidden="1" customHeight="1" x14ac:dyDescent="0.25">
      <c r="C675" s="106">
        <v>751</v>
      </c>
      <c r="D675" s="668" t="s">
        <v>424</v>
      </c>
      <c r="E675" s="669"/>
      <c r="F675" s="669"/>
      <c r="G675" s="670"/>
      <c r="H675" s="343" t="s">
        <v>34</v>
      </c>
      <c r="I675" s="238">
        <v>106480.00000000003</v>
      </c>
      <c r="J675" s="107">
        <f>SUMIFS(APUS!Y:Y,APUS!M:M,INSUMOS!C675)</f>
        <v>0</v>
      </c>
      <c r="K675" s="209">
        <f t="shared" si="51"/>
        <v>0</v>
      </c>
      <c r="N675" s="123">
        <f>IFERROR(SUMIFS(APUS!$Z$140:$Z$182,APUS!$N$183:Q231,INSUMOS!D675),0)</f>
        <v>0</v>
      </c>
      <c r="O675" s="114">
        <f t="shared" si="49"/>
        <v>0</v>
      </c>
      <c r="P675" s="94"/>
      <c r="Q675" s="116" t="str">
        <f t="shared" si="50"/>
        <v>SI</v>
      </c>
    </row>
    <row r="676" spans="3:17" ht="15" customHeight="1" x14ac:dyDescent="0.25">
      <c r="C676" s="106">
        <v>752</v>
      </c>
      <c r="D676" s="668" t="s">
        <v>653</v>
      </c>
      <c r="E676" s="669"/>
      <c r="F676" s="669"/>
      <c r="G676" s="670"/>
      <c r="H676" s="343" t="s">
        <v>34</v>
      </c>
      <c r="I676" s="238">
        <v>33601</v>
      </c>
      <c r="J676" s="107">
        <f>SUMIFS(APUS!Y:Y,APUS!M:M,INSUMOS!C676)</f>
        <v>7</v>
      </c>
      <c r="K676" s="209">
        <f t="shared" si="51"/>
        <v>235207</v>
      </c>
      <c r="N676" s="123">
        <f>IFERROR(SUMIFS(APUS!$Z$140:$Z$182,APUS!$N$183:Q231,INSUMOS!D676),0)</f>
        <v>0</v>
      </c>
      <c r="O676" s="114">
        <f t="shared" si="49"/>
        <v>-235207</v>
      </c>
      <c r="P676" s="94"/>
      <c r="Q676" s="116" t="str">
        <f t="shared" si="50"/>
        <v>NO</v>
      </c>
    </row>
    <row r="677" spans="3:17" ht="15" customHeight="1" x14ac:dyDescent="0.25">
      <c r="C677" s="106">
        <v>753</v>
      </c>
      <c r="D677" s="668" t="s">
        <v>845</v>
      </c>
      <c r="E677" s="669"/>
      <c r="F677" s="669"/>
      <c r="G677" s="670"/>
      <c r="H677" s="343" t="s">
        <v>34</v>
      </c>
      <c r="I677" s="238">
        <v>17749</v>
      </c>
      <c r="J677" s="107">
        <f>SUMIFS(APUS!Y:Y,APUS!M:M,INSUMOS!C677)</f>
        <v>1</v>
      </c>
      <c r="K677" s="209">
        <f t="shared" si="51"/>
        <v>17749</v>
      </c>
      <c r="N677" s="123">
        <f>IFERROR(SUMIFS(APUS!$Z$140:$Z$182,APUS!$N$183:Q231,INSUMOS!D677),0)</f>
        <v>0</v>
      </c>
      <c r="O677" s="114">
        <f t="shared" si="49"/>
        <v>-17749</v>
      </c>
      <c r="P677" s="94"/>
      <c r="Q677" s="116" t="str">
        <f t="shared" si="50"/>
        <v>NO</v>
      </c>
    </row>
    <row r="678" spans="3:17" ht="15" customHeight="1" x14ac:dyDescent="0.25">
      <c r="C678" s="106">
        <v>754</v>
      </c>
      <c r="D678" s="668" t="s">
        <v>846</v>
      </c>
      <c r="E678" s="669"/>
      <c r="F678" s="669"/>
      <c r="G678" s="670"/>
      <c r="H678" s="343" t="s">
        <v>34</v>
      </c>
      <c r="I678" s="238">
        <v>18898</v>
      </c>
      <c r="J678" s="107">
        <f>SUMIFS(APUS!Y:Y,APUS!M:M,INSUMOS!C678)</f>
        <v>10</v>
      </c>
      <c r="K678" s="209">
        <f t="shared" si="51"/>
        <v>188980</v>
      </c>
      <c r="N678" s="123">
        <f>IFERROR(SUMIFS(APUS!$Z$140:$Z$182,APUS!$N$183:Q231,INSUMOS!D678),0)</f>
        <v>0</v>
      </c>
      <c r="O678" s="114">
        <f t="shared" si="49"/>
        <v>-188980</v>
      </c>
      <c r="P678" s="94"/>
      <c r="Q678" s="116" t="str">
        <f t="shared" si="50"/>
        <v>NO</v>
      </c>
    </row>
    <row r="679" spans="3:17" ht="15" hidden="1" customHeight="1" x14ac:dyDescent="0.25">
      <c r="C679" s="106">
        <v>755</v>
      </c>
      <c r="D679" s="668" t="s">
        <v>373</v>
      </c>
      <c r="E679" s="669"/>
      <c r="F679" s="669"/>
      <c r="G679" s="670"/>
      <c r="H679" s="343" t="s">
        <v>34</v>
      </c>
      <c r="I679" s="238">
        <v>18997</v>
      </c>
      <c r="J679" s="107">
        <f>SUMIFS(APUS!Y:Y,APUS!M:M,INSUMOS!C679)</f>
        <v>0</v>
      </c>
      <c r="K679" s="209">
        <f t="shared" si="51"/>
        <v>0</v>
      </c>
      <c r="N679" s="123">
        <f>IFERROR(SUMIFS(APUS!$Z$140:$Z$182,APUS!$N$183:Q231,INSUMOS!D679),0)</f>
        <v>0</v>
      </c>
      <c r="O679" s="114">
        <f t="shared" si="49"/>
        <v>0</v>
      </c>
      <c r="P679" s="94"/>
      <c r="Q679" s="116" t="str">
        <f t="shared" si="50"/>
        <v>SI</v>
      </c>
    </row>
    <row r="680" spans="3:17" ht="15" customHeight="1" x14ac:dyDescent="0.25">
      <c r="C680" s="106">
        <v>756</v>
      </c>
      <c r="D680" s="668" t="s">
        <v>847</v>
      </c>
      <c r="E680" s="669"/>
      <c r="F680" s="669"/>
      <c r="G680" s="670"/>
      <c r="H680" s="343" t="s">
        <v>34</v>
      </c>
      <c r="I680" s="238">
        <v>4928</v>
      </c>
      <c r="J680" s="107">
        <f>SUMIFS(APUS!Y:Y,APUS!M:M,INSUMOS!C680)</f>
        <v>7</v>
      </c>
      <c r="K680" s="209">
        <f t="shared" si="51"/>
        <v>34496</v>
      </c>
      <c r="N680" s="123">
        <f>IFERROR(SUMIFS(APUS!$Z$140:$Z$182,APUS!$N$183:Q231,INSUMOS!D680),0)</f>
        <v>0</v>
      </c>
      <c r="O680" s="114">
        <f t="shared" si="49"/>
        <v>-34496</v>
      </c>
      <c r="P680" s="94"/>
      <c r="Q680" s="116" t="str">
        <f t="shared" si="50"/>
        <v>NO</v>
      </c>
    </row>
    <row r="681" spans="3:17" ht="30" hidden="1" customHeight="1" x14ac:dyDescent="0.25">
      <c r="C681" s="106">
        <v>757</v>
      </c>
      <c r="D681" s="668" t="s">
        <v>527</v>
      </c>
      <c r="E681" s="669"/>
      <c r="F681" s="669"/>
      <c r="G681" s="670"/>
      <c r="H681" s="343" t="s">
        <v>33</v>
      </c>
      <c r="I681" s="238">
        <v>90750.000000000015</v>
      </c>
      <c r="J681" s="107">
        <f>SUMIFS(APUS!Y:Y,APUS!M:M,INSUMOS!C681)</f>
        <v>0</v>
      </c>
      <c r="K681" s="209">
        <f t="shared" si="51"/>
        <v>0</v>
      </c>
      <c r="N681" s="123">
        <f>IFERROR(SUMIFS(APUS!$Z$140:$Z$182,APUS!$N$183:Q231,INSUMOS!D681),0)</f>
        <v>0</v>
      </c>
      <c r="O681" s="114">
        <f t="shared" si="49"/>
        <v>0</v>
      </c>
      <c r="P681" s="94"/>
      <c r="Q681" s="116" t="str">
        <f t="shared" si="50"/>
        <v>SI</v>
      </c>
    </row>
    <row r="682" spans="3:17" ht="15" hidden="1" customHeight="1" x14ac:dyDescent="0.25">
      <c r="C682" s="106">
        <v>758</v>
      </c>
      <c r="D682" s="668" t="s">
        <v>478</v>
      </c>
      <c r="E682" s="669"/>
      <c r="F682" s="669"/>
      <c r="G682" s="670"/>
      <c r="H682" s="343" t="s">
        <v>34</v>
      </c>
      <c r="I682" s="238">
        <v>23473.806400000001</v>
      </c>
      <c r="J682" s="107">
        <f>SUMIFS(APUS!Y:Y,APUS!M:M,INSUMOS!C682)</f>
        <v>0</v>
      </c>
      <c r="K682" s="209">
        <f t="shared" si="51"/>
        <v>0</v>
      </c>
      <c r="N682" s="123">
        <f>IFERROR(SUMIFS(APUS!$Z$140:$Z$182,APUS!$N$183:Q231,INSUMOS!D682),0)</f>
        <v>0</v>
      </c>
      <c r="O682" s="114">
        <f t="shared" si="49"/>
        <v>0</v>
      </c>
      <c r="P682" s="94"/>
      <c r="Q682" s="116" t="str">
        <f t="shared" si="50"/>
        <v>SI</v>
      </c>
    </row>
    <row r="683" spans="3:17" ht="15" hidden="1" customHeight="1" x14ac:dyDescent="0.25">
      <c r="C683" s="106">
        <v>759</v>
      </c>
      <c r="D683" s="668" t="s">
        <v>479</v>
      </c>
      <c r="E683" s="669"/>
      <c r="F683" s="669"/>
      <c r="G683" s="670"/>
      <c r="H683" s="343" t="s">
        <v>34</v>
      </c>
      <c r="I683" s="238">
        <v>14156.709600000002</v>
      </c>
      <c r="J683" s="107">
        <f>SUMIFS(APUS!Y:Y,APUS!M:M,INSUMOS!C683)</f>
        <v>0</v>
      </c>
      <c r="K683" s="209">
        <f t="shared" si="51"/>
        <v>0</v>
      </c>
      <c r="N683" s="123">
        <f>IFERROR(SUMIFS(APUS!$Z$140:$Z$182,APUS!$N$183:Q231,INSUMOS!D683),0)</f>
        <v>0</v>
      </c>
      <c r="O683" s="114">
        <f>+N683-K683</f>
        <v>0</v>
      </c>
      <c r="P683" s="94"/>
      <c r="Q683" s="116" t="str">
        <f>+IF(K683=0,"SI","NO")</f>
        <v>SI</v>
      </c>
    </row>
    <row r="684" spans="3:17" ht="15" hidden="1" customHeight="1" x14ac:dyDescent="0.25">
      <c r="C684" s="106">
        <v>760</v>
      </c>
      <c r="D684" s="668" t="s">
        <v>480</v>
      </c>
      <c r="E684" s="669"/>
      <c r="F684" s="669"/>
      <c r="G684" s="670"/>
      <c r="H684" s="343" t="s">
        <v>34</v>
      </c>
      <c r="I684" s="238">
        <v>3025.0000000000005</v>
      </c>
      <c r="J684" s="107">
        <f>SUMIFS(APUS!Y:Y,APUS!M:M,INSUMOS!C684)</f>
        <v>0</v>
      </c>
      <c r="K684" s="209">
        <f t="shared" si="51"/>
        <v>0</v>
      </c>
      <c r="N684" s="123">
        <f>IFERROR(SUMIFS(APUS!$Z$140:$Z$182,APUS!$N$183:Q231,INSUMOS!D684),0)</f>
        <v>0</v>
      </c>
      <c r="O684" s="114">
        <f>+N684-K684</f>
        <v>0</v>
      </c>
      <c r="P684" s="94"/>
      <c r="Q684" s="116" t="str">
        <f>+IF(K684=0,"SI","NO")</f>
        <v>SI</v>
      </c>
    </row>
    <row r="685" spans="3:17" ht="15" hidden="1" customHeight="1" x14ac:dyDescent="0.25">
      <c r="C685" s="106">
        <v>761</v>
      </c>
      <c r="D685" s="668" t="s">
        <v>481</v>
      </c>
      <c r="E685" s="669"/>
      <c r="F685" s="669"/>
      <c r="G685" s="670"/>
      <c r="H685" s="343" t="s">
        <v>34</v>
      </c>
      <c r="I685" s="238">
        <v>22022</v>
      </c>
      <c r="J685" s="107">
        <f>SUMIFS(APUS!Y:Y,APUS!M:M,INSUMOS!C685)</f>
        <v>0</v>
      </c>
      <c r="K685" s="209">
        <f t="shared" si="51"/>
        <v>0</v>
      </c>
      <c r="N685" s="123">
        <f>IFERROR(SUMIFS(APUS!$Z$140:$Z$182,APUS!$N$183:Q231,INSUMOS!D685),0)</f>
        <v>0</v>
      </c>
      <c r="O685" s="114">
        <f>+N685-K685</f>
        <v>0</v>
      </c>
      <c r="P685" s="94"/>
      <c r="Q685" s="116" t="str">
        <f>+IF(K685=0,"SI","NO")</f>
        <v>SI</v>
      </c>
    </row>
    <row r="686" spans="3:17" ht="30" hidden="1" customHeight="1" x14ac:dyDescent="0.25">
      <c r="C686" s="106">
        <v>762</v>
      </c>
      <c r="D686" s="668" t="s">
        <v>489</v>
      </c>
      <c r="E686" s="669"/>
      <c r="F686" s="669"/>
      <c r="G686" s="670"/>
      <c r="H686" s="343" t="s">
        <v>40</v>
      </c>
      <c r="I686" s="238">
        <v>234694</v>
      </c>
      <c r="J686" s="107">
        <f>SUMIFS(APUS!Y:Y,APUS!M:M,INSUMOS!C686)</f>
        <v>0</v>
      </c>
      <c r="K686" s="209">
        <f t="shared" si="51"/>
        <v>0</v>
      </c>
      <c r="N686" s="123">
        <f>IFERROR(SUMIFS(APUS!$Z$140:$Z$182,APUS!$N$183:Q231,INSUMOS!D686),0)</f>
        <v>0</v>
      </c>
      <c r="O686" s="114">
        <f>+N686-K686</f>
        <v>0</v>
      </c>
      <c r="P686" s="94"/>
      <c r="Q686" s="116" t="str">
        <f>+IF(K686=0,"SI","NO")</f>
        <v>SI</v>
      </c>
    </row>
    <row r="687" spans="3:17" ht="15" hidden="1" customHeight="1" x14ac:dyDescent="0.25">
      <c r="C687" s="106">
        <v>763</v>
      </c>
      <c r="D687" s="668" t="s">
        <v>906</v>
      </c>
      <c r="E687" s="669"/>
      <c r="F687" s="669"/>
      <c r="G687" s="670"/>
      <c r="H687" s="343" t="s">
        <v>477</v>
      </c>
      <c r="I687" s="238">
        <v>23595.000000000004</v>
      </c>
      <c r="J687" s="107">
        <f>SUMIFS(APUS!Y:Y,APUS!M:M,INSUMOS!C687)</f>
        <v>0</v>
      </c>
      <c r="K687" s="209">
        <f t="shared" si="51"/>
        <v>0</v>
      </c>
      <c r="N687" s="123">
        <f>IFERROR(SUMIFS(APUS!$Z$140:$Z$182,APUS!$N$183:Q231,INSUMOS!D687),0)</f>
        <v>0</v>
      </c>
      <c r="O687" s="114">
        <f>+N687-K687</f>
        <v>0</v>
      </c>
      <c r="P687" s="94"/>
      <c r="Q687" s="116" t="str">
        <f>+IF(K687=0,"SI","NO")</f>
        <v>SI</v>
      </c>
    </row>
    <row r="688" spans="3:17" ht="15" hidden="1" customHeight="1" x14ac:dyDescent="0.25">
      <c r="C688" s="106">
        <v>764</v>
      </c>
      <c r="D688" s="668" t="s">
        <v>532</v>
      </c>
      <c r="E688" s="669"/>
      <c r="F688" s="669"/>
      <c r="G688" s="670"/>
      <c r="H688" s="343" t="s">
        <v>34</v>
      </c>
      <c r="I688" s="238">
        <v>490250</v>
      </c>
      <c r="J688" s="107">
        <f>SUMIFS(APUS!Y:Y,APUS!M:M,INSUMOS!C688)</f>
        <v>0</v>
      </c>
      <c r="K688" s="209">
        <f t="shared" si="51"/>
        <v>0</v>
      </c>
      <c r="N688" s="123">
        <f>IFERROR(SUMIFS(APUS!$Z$140:$Z$182,APUS!$N$183:Q231,INSUMOS!D688),0)</f>
        <v>0</v>
      </c>
      <c r="O688" s="114">
        <f t="shared" ref="O688:O751" si="52">+N688-K688</f>
        <v>0</v>
      </c>
      <c r="P688" s="94"/>
      <c r="Q688" s="116" t="str">
        <f t="shared" ref="Q688:Q751" si="53">+IF(K688=0,"SI","NO")</f>
        <v>SI</v>
      </c>
    </row>
    <row r="689" spans="3:17" ht="15" hidden="1" customHeight="1" x14ac:dyDescent="0.25">
      <c r="C689" s="106">
        <v>765</v>
      </c>
      <c r="D689" s="668" t="s">
        <v>531</v>
      </c>
      <c r="E689" s="669"/>
      <c r="F689" s="669"/>
      <c r="G689" s="670"/>
      <c r="H689" s="343" t="s">
        <v>34</v>
      </c>
      <c r="I689" s="238">
        <v>574500</v>
      </c>
      <c r="J689" s="107">
        <f>SUMIFS(APUS!Y:Y,APUS!M:M,INSUMOS!C689)</f>
        <v>0</v>
      </c>
      <c r="K689" s="209">
        <f t="shared" si="51"/>
        <v>0</v>
      </c>
      <c r="N689" s="123">
        <f>IFERROR(SUMIFS(APUS!$Z$140:$Z$182,APUS!$N$183:Q231,INSUMOS!D689),0)</f>
        <v>0</v>
      </c>
      <c r="O689" s="114">
        <f t="shared" si="52"/>
        <v>0</v>
      </c>
      <c r="P689" s="94"/>
      <c r="Q689" s="116" t="str">
        <f t="shared" si="53"/>
        <v>SI</v>
      </c>
    </row>
    <row r="690" spans="3:17" ht="15" hidden="1" customHeight="1" x14ac:dyDescent="0.25">
      <c r="C690" s="106">
        <v>766</v>
      </c>
      <c r="D690" s="668" t="s">
        <v>529</v>
      </c>
      <c r="E690" s="669"/>
      <c r="F690" s="669"/>
      <c r="G690" s="670"/>
      <c r="H690" s="343" t="s">
        <v>34</v>
      </c>
      <c r="I690" s="238">
        <v>480250</v>
      </c>
      <c r="J690" s="107">
        <f>SUMIFS(APUS!Y:Y,APUS!M:M,INSUMOS!C690)</f>
        <v>0</v>
      </c>
      <c r="K690" s="209">
        <f t="shared" si="51"/>
        <v>0</v>
      </c>
      <c r="N690" s="123">
        <f>IFERROR(SUMIFS(APUS!$Z$140:$Z$182,APUS!$N$183:Q231,INSUMOS!D690),0)</f>
        <v>0</v>
      </c>
      <c r="O690" s="114">
        <f t="shared" si="52"/>
        <v>0</v>
      </c>
      <c r="P690" s="94"/>
      <c r="Q690" s="116" t="str">
        <f t="shared" si="53"/>
        <v>SI</v>
      </c>
    </row>
    <row r="691" spans="3:17" ht="15" hidden="1" customHeight="1" x14ac:dyDescent="0.25">
      <c r="C691" s="106">
        <v>767</v>
      </c>
      <c r="D691" s="668" t="s">
        <v>530</v>
      </c>
      <c r="E691" s="669"/>
      <c r="F691" s="669"/>
      <c r="G691" s="670"/>
      <c r="H691" s="343" t="s">
        <v>34</v>
      </c>
      <c r="I691" s="238">
        <v>514250.00000000012</v>
      </c>
      <c r="J691" s="107">
        <f>SUMIFS(APUS!Y:Y,APUS!M:M,INSUMOS!C691)</f>
        <v>0</v>
      </c>
      <c r="K691" s="209">
        <f t="shared" ref="K691:K754" si="54">+J691*I691</f>
        <v>0</v>
      </c>
      <c r="N691" s="123">
        <f>IFERROR(SUMIFS(APUS!$Z$140:$Z$182,APUS!$N$183:Q231,INSUMOS!D691),0)</f>
        <v>0</v>
      </c>
      <c r="O691" s="114">
        <f t="shared" si="52"/>
        <v>0</v>
      </c>
      <c r="P691" s="94"/>
      <c r="Q691" s="116" t="str">
        <f t="shared" si="53"/>
        <v>SI</v>
      </c>
    </row>
    <row r="692" spans="3:17" ht="15" hidden="1" customHeight="1" x14ac:dyDescent="0.25">
      <c r="C692" s="106">
        <v>768</v>
      </c>
      <c r="D692" s="668" t="s">
        <v>255</v>
      </c>
      <c r="E692" s="669"/>
      <c r="F692" s="669"/>
      <c r="G692" s="670"/>
      <c r="H692" s="343" t="s">
        <v>34</v>
      </c>
      <c r="I692" s="238">
        <v>211750.00000000006</v>
      </c>
      <c r="J692" s="107">
        <f>SUMIFS(APUS!Y:Y,APUS!M:M,INSUMOS!C692)</f>
        <v>0</v>
      </c>
      <c r="K692" s="209">
        <f t="shared" si="54"/>
        <v>0</v>
      </c>
      <c r="N692" s="123">
        <f>IFERROR(SUMIFS(APUS!$Z$140:$Z$182,APUS!$N$183:Q231,INSUMOS!D692),0)</f>
        <v>0</v>
      </c>
      <c r="O692" s="114">
        <f t="shared" si="52"/>
        <v>0</v>
      </c>
      <c r="P692" s="94"/>
      <c r="Q692" s="116" t="str">
        <f t="shared" si="53"/>
        <v>SI</v>
      </c>
    </row>
    <row r="693" spans="3:17" ht="15" hidden="1" customHeight="1" x14ac:dyDescent="0.25">
      <c r="C693" s="106">
        <v>769</v>
      </c>
      <c r="D693" s="668" t="s">
        <v>256</v>
      </c>
      <c r="E693" s="669"/>
      <c r="F693" s="669"/>
      <c r="G693" s="670"/>
      <c r="H693" s="343" t="s">
        <v>34</v>
      </c>
      <c r="I693" s="238">
        <v>135399.00000000003</v>
      </c>
      <c r="J693" s="107">
        <f>SUMIFS(APUS!Y:Y,APUS!M:M,INSUMOS!C693)</f>
        <v>0</v>
      </c>
      <c r="K693" s="209">
        <f t="shared" si="54"/>
        <v>0</v>
      </c>
      <c r="N693" s="123">
        <f>IFERROR(SUMIFS(APUS!$Z$140:$Z$182,APUS!$N$183:Q231,INSUMOS!D693),0)</f>
        <v>0</v>
      </c>
      <c r="O693" s="114">
        <f t="shared" si="52"/>
        <v>0</v>
      </c>
      <c r="P693" s="94"/>
      <c r="Q693" s="116" t="str">
        <f t="shared" si="53"/>
        <v>SI</v>
      </c>
    </row>
    <row r="694" spans="3:17" ht="15" hidden="1" customHeight="1" x14ac:dyDescent="0.25">
      <c r="C694" s="106">
        <v>770</v>
      </c>
      <c r="D694" s="668" t="s">
        <v>415</v>
      </c>
      <c r="E694" s="669"/>
      <c r="F694" s="669"/>
      <c r="G694" s="670"/>
      <c r="H694" s="344" t="s">
        <v>34</v>
      </c>
      <c r="I694" s="238">
        <v>96195.000000000015</v>
      </c>
      <c r="J694" s="107">
        <f>SUMIFS(APUS!Y:Y,APUS!M:M,INSUMOS!C694)</f>
        <v>0</v>
      </c>
      <c r="K694" s="209">
        <f t="shared" si="54"/>
        <v>0</v>
      </c>
      <c r="N694" s="123">
        <f>IFERROR(SUMIFS(APUS!$Z$140:$Z$182,APUS!$N$183:Q231,INSUMOS!D694),0)</f>
        <v>0</v>
      </c>
      <c r="O694" s="114">
        <f t="shared" si="52"/>
        <v>0</v>
      </c>
      <c r="P694" s="94"/>
      <c r="Q694" s="116" t="str">
        <f t="shared" si="53"/>
        <v>SI</v>
      </c>
    </row>
    <row r="695" spans="3:17" ht="15" hidden="1" customHeight="1" x14ac:dyDescent="0.25">
      <c r="C695" s="106">
        <v>771</v>
      </c>
      <c r="D695" s="668" t="s">
        <v>257</v>
      </c>
      <c r="E695" s="669"/>
      <c r="F695" s="669"/>
      <c r="G695" s="670"/>
      <c r="H695" s="344" t="s">
        <v>34</v>
      </c>
      <c r="I695" s="238">
        <v>211750.00000000006</v>
      </c>
      <c r="J695" s="107">
        <f>SUMIFS(APUS!Y:Y,APUS!M:M,INSUMOS!C695)</f>
        <v>0</v>
      </c>
      <c r="K695" s="209">
        <f t="shared" si="54"/>
        <v>0</v>
      </c>
      <c r="N695" s="123">
        <f>IFERROR(SUMIFS(APUS!$Z$140:$Z$182,APUS!$N$183:Q231,INSUMOS!D695),0)</f>
        <v>0</v>
      </c>
      <c r="O695" s="114">
        <f t="shared" si="52"/>
        <v>0</v>
      </c>
      <c r="P695" s="94"/>
      <c r="Q695" s="116" t="str">
        <f t="shared" si="53"/>
        <v>SI</v>
      </c>
    </row>
    <row r="696" spans="3:17" ht="15" hidden="1" customHeight="1" x14ac:dyDescent="0.25">
      <c r="C696" s="106">
        <v>772</v>
      </c>
      <c r="D696" s="668" t="s">
        <v>276</v>
      </c>
      <c r="E696" s="669"/>
      <c r="F696" s="669"/>
      <c r="G696" s="670"/>
      <c r="H696" s="345" t="s">
        <v>34</v>
      </c>
      <c r="I696" s="238">
        <v>356950</v>
      </c>
      <c r="J696" s="107">
        <f>SUMIFS(APUS!Y:Y,APUS!M:M,INSUMOS!C696)</f>
        <v>0</v>
      </c>
      <c r="K696" s="209">
        <f t="shared" si="54"/>
        <v>0</v>
      </c>
      <c r="N696" s="123">
        <f>IFERROR(SUMIFS(APUS!$Z$140:$Z$182,APUS!$N$183:Q231,INSUMOS!#REF!),0)</f>
        <v>0</v>
      </c>
      <c r="O696" s="114">
        <f t="shared" si="52"/>
        <v>0</v>
      </c>
      <c r="P696" s="94"/>
      <c r="Q696" s="116" t="str">
        <f t="shared" si="53"/>
        <v>SI</v>
      </c>
    </row>
    <row r="697" spans="3:17" ht="15" hidden="1" customHeight="1" x14ac:dyDescent="0.25">
      <c r="C697" s="106">
        <v>773</v>
      </c>
      <c r="D697" s="668" t="s">
        <v>277</v>
      </c>
      <c r="E697" s="669"/>
      <c r="F697" s="669"/>
      <c r="G697" s="670"/>
      <c r="H697" s="345" t="s">
        <v>34</v>
      </c>
      <c r="I697" s="238">
        <v>716320</v>
      </c>
      <c r="J697" s="107">
        <f>SUMIFS(APUS!Y:Y,APUS!M:M,INSUMOS!C697)</f>
        <v>0</v>
      </c>
      <c r="K697" s="209">
        <f t="shared" si="54"/>
        <v>0</v>
      </c>
      <c r="N697" s="123">
        <f>IFERROR(SUMIFS(APUS!$Z$140:$Z$182,APUS!$N$183:Q231,INSUMOS!#REF!),0)</f>
        <v>0</v>
      </c>
      <c r="O697" s="114">
        <f t="shared" si="52"/>
        <v>0</v>
      </c>
      <c r="P697" s="94"/>
      <c r="Q697" s="116" t="str">
        <f t="shared" si="53"/>
        <v>SI</v>
      </c>
    </row>
    <row r="698" spans="3:17" ht="15" hidden="1" customHeight="1" x14ac:dyDescent="0.25">
      <c r="C698" s="106">
        <v>774</v>
      </c>
      <c r="D698" s="668" t="s">
        <v>525</v>
      </c>
      <c r="E698" s="669"/>
      <c r="F698" s="669"/>
      <c r="G698" s="670"/>
      <c r="H698" s="343" t="s">
        <v>40</v>
      </c>
      <c r="I698" s="238">
        <v>79981</v>
      </c>
      <c r="J698" s="107">
        <f>SUMIFS(APUS!Y:Y,APUS!M:M,INSUMOS!C698)</f>
        <v>0</v>
      </c>
      <c r="K698" s="209">
        <f t="shared" si="54"/>
        <v>0</v>
      </c>
      <c r="N698" s="123">
        <f>IFERROR(SUMIFS(APUS!$Z$140:$Z$182,APUS!$N$183:Q231,INSUMOS!D698),0)</f>
        <v>0</v>
      </c>
      <c r="O698" s="114">
        <f t="shared" si="52"/>
        <v>0</v>
      </c>
      <c r="P698" s="94"/>
      <c r="Q698" s="116" t="str">
        <f t="shared" si="53"/>
        <v>SI</v>
      </c>
    </row>
    <row r="699" spans="3:17" ht="15" hidden="1" customHeight="1" x14ac:dyDescent="0.25">
      <c r="C699" s="106">
        <v>775</v>
      </c>
      <c r="D699" s="668" t="s">
        <v>490</v>
      </c>
      <c r="E699" s="669"/>
      <c r="F699" s="669"/>
      <c r="G699" s="670"/>
      <c r="H699" s="343" t="s">
        <v>40</v>
      </c>
      <c r="I699" s="238">
        <v>69981</v>
      </c>
      <c r="J699" s="107">
        <f>SUMIFS(APUS!Y:Y,APUS!M:M,INSUMOS!C699)</f>
        <v>0</v>
      </c>
      <c r="K699" s="209">
        <f t="shared" si="54"/>
        <v>0</v>
      </c>
      <c r="N699" s="123">
        <f>IFERROR(SUMIFS(APUS!$Z$140:$Z$182,APUS!$N$183:Q231,INSUMOS!D699),0)</f>
        <v>0</v>
      </c>
      <c r="O699" s="114">
        <f t="shared" si="52"/>
        <v>0</v>
      </c>
      <c r="P699" s="94"/>
      <c r="Q699" s="116" t="str">
        <f t="shared" si="53"/>
        <v>SI</v>
      </c>
    </row>
    <row r="700" spans="3:17" ht="15" hidden="1" customHeight="1" x14ac:dyDescent="0.25">
      <c r="C700" s="106">
        <v>776</v>
      </c>
      <c r="D700" s="668" t="s">
        <v>526</v>
      </c>
      <c r="E700" s="669"/>
      <c r="F700" s="669"/>
      <c r="G700" s="670"/>
      <c r="H700" s="345" t="s">
        <v>34</v>
      </c>
      <c r="I700" s="238">
        <v>1500</v>
      </c>
      <c r="J700" s="107">
        <f>SUMIFS(APUS!Y:Y,APUS!M:M,INSUMOS!C700)</f>
        <v>0</v>
      </c>
      <c r="K700" s="209">
        <f t="shared" si="54"/>
        <v>0</v>
      </c>
      <c r="N700" s="123">
        <f>IFERROR(SUMIFS(APUS!$Z$140:$Z$182,APUS!$N$183:Q231,INSUMOS!D700),0)</f>
        <v>0</v>
      </c>
      <c r="O700" s="114">
        <f t="shared" si="52"/>
        <v>0</v>
      </c>
      <c r="P700" s="94"/>
      <c r="Q700" s="116" t="str">
        <f t="shared" si="53"/>
        <v>SI</v>
      </c>
    </row>
    <row r="701" spans="3:17" ht="15" hidden="1" customHeight="1" x14ac:dyDescent="0.25">
      <c r="C701" s="106">
        <v>777</v>
      </c>
      <c r="D701" s="668" t="s">
        <v>533</v>
      </c>
      <c r="E701" s="669"/>
      <c r="F701" s="669"/>
      <c r="G701" s="670"/>
      <c r="H701" s="343" t="s">
        <v>34</v>
      </c>
      <c r="I701" s="238">
        <v>1265333</v>
      </c>
      <c r="J701" s="107">
        <f>SUMIFS(APUS!Y:Y,APUS!M:M,INSUMOS!C701)</f>
        <v>0</v>
      </c>
      <c r="K701" s="209">
        <f t="shared" si="54"/>
        <v>0</v>
      </c>
      <c r="N701" s="123">
        <f>IFERROR(SUMIFS(APUS!$Z$140:$Z$182,APUS!$N$183:Q231,INSUMOS!D701),0)</f>
        <v>0</v>
      </c>
      <c r="O701" s="114">
        <f t="shared" si="52"/>
        <v>0</v>
      </c>
      <c r="P701" s="94"/>
      <c r="Q701" s="116" t="str">
        <f t="shared" si="53"/>
        <v>SI</v>
      </c>
    </row>
    <row r="702" spans="3:17" ht="15" hidden="1" customHeight="1" x14ac:dyDescent="0.25">
      <c r="C702" s="106">
        <v>778</v>
      </c>
      <c r="D702" s="668" t="s">
        <v>534</v>
      </c>
      <c r="E702" s="669"/>
      <c r="F702" s="669"/>
      <c r="G702" s="670"/>
      <c r="H702" s="343" t="s">
        <v>34</v>
      </c>
      <c r="I702" s="238">
        <v>2011555</v>
      </c>
      <c r="J702" s="107">
        <f>SUMIFS(APUS!Y:Y,APUS!M:M,INSUMOS!C702)</f>
        <v>0</v>
      </c>
      <c r="K702" s="209">
        <f t="shared" si="54"/>
        <v>0</v>
      </c>
      <c r="N702" s="123">
        <f>IFERROR(SUMIFS(APUS!$Z$140:$Z$182,APUS!$N$183:Q231,INSUMOS!D702),0)</f>
        <v>0</v>
      </c>
      <c r="O702" s="114">
        <f t="shared" si="52"/>
        <v>0</v>
      </c>
      <c r="P702" s="94"/>
      <c r="Q702" s="116" t="str">
        <f t="shared" si="53"/>
        <v>SI</v>
      </c>
    </row>
    <row r="703" spans="3:17" ht="15" hidden="1" customHeight="1" x14ac:dyDescent="0.25">
      <c r="C703" s="106">
        <v>779</v>
      </c>
      <c r="D703" s="668" t="s">
        <v>535</v>
      </c>
      <c r="E703" s="669"/>
      <c r="F703" s="669"/>
      <c r="G703" s="670"/>
      <c r="H703" s="343" t="s">
        <v>34</v>
      </c>
      <c r="I703" s="238">
        <v>1622222</v>
      </c>
      <c r="J703" s="107">
        <f>SUMIFS(APUS!Y:Y,APUS!M:M,INSUMOS!C703)</f>
        <v>0</v>
      </c>
      <c r="K703" s="209">
        <f t="shared" si="54"/>
        <v>0</v>
      </c>
      <c r="N703" s="123">
        <f>IFERROR(SUMIFS(APUS!$Z$140:$Z$182,APUS!$N$183:Q231,INSUMOS!D703),0)</f>
        <v>0</v>
      </c>
      <c r="O703" s="114">
        <f t="shared" si="52"/>
        <v>0</v>
      </c>
      <c r="P703" s="94"/>
      <c r="Q703" s="116" t="str">
        <f t="shared" si="53"/>
        <v>SI</v>
      </c>
    </row>
    <row r="704" spans="3:17" ht="15" hidden="1" customHeight="1" x14ac:dyDescent="0.25">
      <c r="C704" s="106">
        <v>780</v>
      </c>
      <c r="D704" s="668" t="s">
        <v>536</v>
      </c>
      <c r="E704" s="669"/>
      <c r="F704" s="669"/>
      <c r="G704" s="670"/>
      <c r="H704" s="343" t="s">
        <v>34</v>
      </c>
      <c r="I704" s="238">
        <v>811111</v>
      </c>
      <c r="J704" s="107">
        <f>SUMIFS(APUS!Y:Y,APUS!M:M,INSUMOS!C704)</f>
        <v>0</v>
      </c>
      <c r="K704" s="209">
        <f t="shared" si="54"/>
        <v>0</v>
      </c>
      <c r="N704" s="123">
        <f>IFERROR(SUMIFS(APUS!$Z$140:$Z$182,APUS!$N$183:Q231,INSUMOS!D704),0)</f>
        <v>0</v>
      </c>
      <c r="O704" s="114">
        <f t="shared" si="52"/>
        <v>0</v>
      </c>
      <c r="P704" s="94"/>
      <c r="Q704" s="116" t="str">
        <f t="shared" si="53"/>
        <v>SI</v>
      </c>
    </row>
    <row r="705" spans="3:17" ht="15" hidden="1" customHeight="1" x14ac:dyDescent="0.25">
      <c r="C705" s="106">
        <v>781</v>
      </c>
      <c r="D705" s="668" t="s">
        <v>537</v>
      </c>
      <c r="E705" s="669"/>
      <c r="F705" s="669"/>
      <c r="G705" s="670"/>
      <c r="H705" s="343" t="s">
        <v>34</v>
      </c>
      <c r="I705" s="238">
        <v>1630000</v>
      </c>
      <c r="J705" s="107">
        <f>SUMIFS(APUS!Y:Y,APUS!M:M,INSUMOS!C705)</f>
        <v>0</v>
      </c>
      <c r="K705" s="209">
        <f t="shared" si="54"/>
        <v>0</v>
      </c>
      <c r="N705" s="123">
        <f>IFERROR(SUMIFS(APUS!$Z$140:$Z$182,APUS!$N$183:Q231,INSUMOS!D705),0)</f>
        <v>0</v>
      </c>
      <c r="O705" s="114">
        <f t="shared" si="52"/>
        <v>0</v>
      </c>
      <c r="P705" s="94"/>
      <c r="Q705" s="116" t="str">
        <f t="shared" si="53"/>
        <v>SI</v>
      </c>
    </row>
    <row r="706" spans="3:17" ht="15" hidden="1" customHeight="1" x14ac:dyDescent="0.25">
      <c r="C706" s="106">
        <v>782</v>
      </c>
      <c r="D706" s="668" t="s">
        <v>538</v>
      </c>
      <c r="E706" s="669"/>
      <c r="F706" s="669"/>
      <c r="G706" s="670"/>
      <c r="H706" s="343" t="s">
        <v>34</v>
      </c>
      <c r="I706" s="238">
        <v>835000</v>
      </c>
      <c r="J706" s="107">
        <f>SUMIFS(APUS!Y:Y,APUS!M:M,INSUMOS!C706)</f>
        <v>0</v>
      </c>
      <c r="K706" s="209">
        <f t="shared" si="54"/>
        <v>0</v>
      </c>
      <c r="N706" s="123">
        <f>IFERROR(SUMIFS(APUS!$Z$140:$Z$182,APUS!$N$183:Q231,INSUMOS!D706),0)</f>
        <v>0</v>
      </c>
      <c r="O706" s="114">
        <f t="shared" si="52"/>
        <v>0</v>
      </c>
      <c r="P706" s="94"/>
      <c r="Q706" s="116" t="str">
        <f t="shared" si="53"/>
        <v>SI</v>
      </c>
    </row>
    <row r="707" spans="3:17" ht="15" hidden="1" customHeight="1" x14ac:dyDescent="0.25">
      <c r="C707" s="106">
        <v>783</v>
      </c>
      <c r="D707" s="668" t="s">
        <v>539</v>
      </c>
      <c r="E707" s="669"/>
      <c r="F707" s="669"/>
      <c r="G707" s="670"/>
      <c r="H707" s="343" t="s">
        <v>34</v>
      </c>
      <c r="I707" s="238">
        <v>1523200</v>
      </c>
      <c r="J707" s="107">
        <f>SUMIFS(APUS!Y:Y,APUS!M:M,INSUMOS!C707)</f>
        <v>0</v>
      </c>
      <c r="K707" s="209">
        <f t="shared" si="54"/>
        <v>0</v>
      </c>
      <c r="N707" s="123">
        <f>IFERROR(SUMIFS(APUS!$Z$140:$Z$182,APUS!$N$183:Q231,INSUMOS!D707),0)</f>
        <v>0</v>
      </c>
      <c r="O707" s="114">
        <f t="shared" si="52"/>
        <v>0</v>
      </c>
      <c r="P707" s="94"/>
      <c r="Q707" s="116" t="str">
        <f t="shared" si="53"/>
        <v>SI</v>
      </c>
    </row>
    <row r="708" spans="3:17" ht="15" hidden="1" customHeight="1" x14ac:dyDescent="0.25">
      <c r="C708" s="106">
        <v>784</v>
      </c>
      <c r="D708" s="668" t="s">
        <v>805</v>
      </c>
      <c r="E708" s="669"/>
      <c r="F708" s="669"/>
      <c r="G708" s="670"/>
      <c r="H708" s="343" t="s">
        <v>34</v>
      </c>
      <c r="I708" s="238">
        <v>27900</v>
      </c>
      <c r="J708" s="107">
        <f>SUMIFS(APUS!Y:Y,APUS!M:M,INSUMOS!C708)</f>
        <v>0</v>
      </c>
      <c r="K708" s="209">
        <f t="shared" si="54"/>
        <v>0</v>
      </c>
      <c r="N708" s="123">
        <f>IFERROR(SUMIFS(APUS!$Z$140:$Z$182,APUS!$N$183:Q231,INSUMOS!D708),0)</f>
        <v>0</v>
      </c>
      <c r="O708" s="114">
        <f t="shared" si="52"/>
        <v>0</v>
      </c>
      <c r="P708" s="94"/>
      <c r="Q708" s="116" t="str">
        <f t="shared" si="53"/>
        <v>SI</v>
      </c>
    </row>
    <row r="709" spans="3:17" x14ac:dyDescent="0.25">
      <c r="C709" s="106">
        <v>785</v>
      </c>
      <c r="D709" s="668" t="s">
        <v>848</v>
      </c>
      <c r="E709" s="669"/>
      <c r="F709" s="669"/>
      <c r="G709" s="670"/>
      <c r="H709" s="343" t="s">
        <v>34</v>
      </c>
      <c r="I709" s="238">
        <v>4928</v>
      </c>
      <c r="J709" s="107">
        <f>SUMIFS(APUS!Y:Y,APUS!M:M,INSUMOS!C709)</f>
        <v>12</v>
      </c>
      <c r="K709" s="209">
        <f t="shared" si="54"/>
        <v>59136</v>
      </c>
      <c r="N709" s="123">
        <f>IFERROR(SUMIFS(APUS!$Z$140:$Z$182,APUS!$N$183:Q231,INSUMOS!D709),0)</f>
        <v>0</v>
      </c>
      <c r="O709" s="114">
        <f t="shared" si="52"/>
        <v>-59136</v>
      </c>
      <c r="P709" s="94"/>
      <c r="Q709" s="116" t="str">
        <f t="shared" si="53"/>
        <v>NO</v>
      </c>
    </row>
    <row r="710" spans="3:17" ht="15" hidden="1" customHeight="1" x14ac:dyDescent="0.25">
      <c r="C710" s="106">
        <v>786</v>
      </c>
      <c r="D710" s="668" t="s">
        <v>261</v>
      </c>
      <c r="E710" s="669"/>
      <c r="F710" s="669"/>
      <c r="G710" s="670"/>
      <c r="H710" s="345" t="s">
        <v>34</v>
      </c>
      <c r="I710" s="238">
        <v>4235000.0000000009</v>
      </c>
      <c r="J710" s="107">
        <f>SUMIFS(APUS!Y:Y,APUS!M:M,INSUMOS!C710)</f>
        <v>0</v>
      </c>
      <c r="K710" s="209">
        <f t="shared" si="54"/>
        <v>0</v>
      </c>
      <c r="N710" s="123">
        <f>IFERROR(SUMIFS(APUS!$Z$140:$Z$182,APUS!$N$183:Q231,INSUMOS!D710),0)</f>
        <v>0</v>
      </c>
      <c r="O710" s="114">
        <f t="shared" si="52"/>
        <v>0</v>
      </c>
      <c r="P710" s="94"/>
      <c r="Q710" s="116" t="str">
        <f t="shared" si="53"/>
        <v>SI</v>
      </c>
    </row>
    <row r="711" spans="3:17" ht="15" hidden="1" customHeight="1" x14ac:dyDescent="0.25">
      <c r="C711" s="106">
        <v>787</v>
      </c>
      <c r="D711" s="668" t="s">
        <v>351</v>
      </c>
      <c r="E711" s="669"/>
      <c r="F711" s="669"/>
      <c r="G711" s="670"/>
      <c r="H711" s="345" t="s">
        <v>34</v>
      </c>
      <c r="I711" s="238">
        <v>3569500.0000000009</v>
      </c>
      <c r="J711" s="107">
        <f>SUMIFS(APUS!Y:Y,APUS!M:M,INSUMOS!C711)</f>
        <v>0</v>
      </c>
      <c r="K711" s="209">
        <f t="shared" si="54"/>
        <v>0</v>
      </c>
      <c r="N711" s="123">
        <f>IFERROR(SUMIFS(APUS!$Z$140:$Z$182,APUS!$N$183:Q231,INSUMOS!D711),0)</f>
        <v>0</v>
      </c>
      <c r="O711" s="114">
        <f t="shared" si="52"/>
        <v>0</v>
      </c>
      <c r="P711" s="94"/>
      <c r="Q711" s="116" t="str">
        <f t="shared" si="53"/>
        <v>SI</v>
      </c>
    </row>
    <row r="712" spans="3:17" ht="15" customHeight="1" x14ac:dyDescent="0.25">
      <c r="C712" s="106">
        <v>788</v>
      </c>
      <c r="D712" s="668" t="s">
        <v>352</v>
      </c>
      <c r="E712" s="669"/>
      <c r="F712" s="669"/>
      <c r="G712" s="670"/>
      <c r="H712" s="345" t="s">
        <v>34</v>
      </c>
      <c r="I712" s="238">
        <f>1158000*1.19</f>
        <v>1378020</v>
      </c>
      <c r="J712" s="107">
        <f>SUMIFS(APUS!Y:Y,APUS!M:M,INSUMOS!C712)</f>
        <v>2</v>
      </c>
      <c r="K712" s="209">
        <f t="shared" si="54"/>
        <v>2756040</v>
      </c>
      <c r="N712" s="123">
        <f>IFERROR(SUMIFS(APUS!$Z$140:$Z$182,APUS!$N$183:Q231,INSUMOS!D712),0)</f>
        <v>0</v>
      </c>
      <c r="O712" s="114">
        <f t="shared" si="52"/>
        <v>-2756040</v>
      </c>
      <c r="P712" s="94"/>
      <c r="Q712" s="116" t="str">
        <f t="shared" si="53"/>
        <v>NO</v>
      </c>
    </row>
    <row r="713" spans="3:17" ht="15" customHeight="1" x14ac:dyDescent="0.25">
      <c r="C713" s="106">
        <v>789</v>
      </c>
      <c r="D713" s="668" t="s">
        <v>262</v>
      </c>
      <c r="E713" s="669"/>
      <c r="F713" s="669"/>
      <c r="G713" s="670"/>
      <c r="H713" s="345" t="s">
        <v>34</v>
      </c>
      <c r="I713" s="238">
        <f>886000*1.19</f>
        <v>1054340</v>
      </c>
      <c r="J713" s="107">
        <f>SUMIFS(APUS!Y:Y,APUS!M:M,INSUMOS!C713)</f>
        <v>8</v>
      </c>
      <c r="K713" s="209">
        <f t="shared" si="54"/>
        <v>8434720</v>
      </c>
      <c r="N713" s="123">
        <f>IFERROR(SUMIFS(APUS!$Z$140:$Z$182,APUS!$N$183:Q231,INSUMOS!D713),0)</f>
        <v>0</v>
      </c>
      <c r="O713" s="114">
        <f t="shared" si="52"/>
        <v>-8434720</v>
      </c>
      <c r="P713" s="94"/>
      <c r="Q713" s="116" t="str">
        <f t="shared" si="53"/>
        <v>NO</v>
      </c>
    </row>
    <row r="714" spans="3:17" ht="15" hidden="1" customHeight="1" x14ac:dyDescent="0.25">
      <c r="C714" s="106">
        <v>790</v>
      </c>
      <c r="D714" s="668" t="s">
        <v>354</v>
      </c>
      <c r="E714" s="669"/>
      <c r="F714" s="669"/>
      <c r="G714" s="670"/>
      <c r="H714" s="345" t="s">
        <v>34</v>
      </c>
      <c r="I714" s="238">
        <v>926134.00000000023</v>
      </c>
      <c r="J714" s="107">
        <f>SUMIFS(APUS!Y:Y,APUS!M:M,INSUMOS!C714)</f>
        <v>0</v>
      </c>
      <c r="K714" s="209">
        <f t="shared" si="54"/>
        <v>0</v>
      </c>
      <c r="N714" s="123">
        <f>IFERROR(SUMIFS(APUS!$Z$140:$Z$182,APUS!$N$183:Q231,INSUMOS!D714),0)</f>
        <v>0</v>
      </c>
      <c r="O714" s="114">
        <f t="shared" si="52"/>
        <v>0</v>
      </c>
      <c r="P714" s="94"/>
      <c r="Q714" s="116" t="str">
        <f t="shared" si="53"/>
        <v>SI</v>
      </c>
    </row>
    <row r="715" spans="3:17" ht="15" hidden="1" customHeight="1" x14ac:dyDescent="0.25">
      <c r="C715" s="106">
        <v>791</v>
      </c>
      <c r="D715" s="668" t="s">
        <v>483</v>
      </c>
      <c r="E715" s="669"/>
      <c r="F715" s="669"/>
      <c r="G715" s="670"/>
      <c r="H715" s="345" t="s">
        <v>33</v>
      </c>
      <c r="I715" s="238">
        <v>1815.0000000000005</v>
      </c>
      <c r="J715" s="107">
        <f>SUMIFS(APUS!Y:Y,APUS!M:M,INSUMOS!C715)</f>
        <v>0</v>
      </c>
      <c r="K715" s="209">
        <f t="shared" si="54"/>
        <v>0</v>
      </c>
      <c r="N715" s="123">
        <f>IFERROR(SUMIFS(APUS!$Z$140:$Z$182,APUS!$N$183:Q231,INSUMOS!D794),0)</f>
        <v>0</v>
      </c>
      <c r="O715" s="114">
        <f t="shared" si="52"/>
        <v>0</v>
      </c>
      <c r="P715" s="94"/>
      <c r="Q715" s="116" t="str">
        <f t="shared" si="53"/>
        <v>SI</v>
      </c>
    </row>
    <row r="716" spans="3:17" ht="15" hidden="1" customHeight="1" x14ac:dyDescent="0.25">
      <c r="C716" s="106">
        <v>792</v>
      </c>
      <c r="D716" s="668" t="s">
        <v>265</v>
      </c>
      <c r="E716" s="669"/>
      <c r="F716" s="669"/>
      <c r="G716" s="670"/>
      <c r="H716" s="345" t="s">
        <v>34</v>
      </c>
      <c r="I716" s="238">
        <v>356950</v>
      </c>
      <c r="J716" s="107">
        <f>SUMIFS(APUS!Y:Y,APUS!M:M,INSUMOS!C716)</f>
        <v>0</v>
      </c>
      <c r="K716" s="209">
        <f t="shared" si="54"/>
        <v>0</v>
      </c>
      <c r="N716" s="123">
        <f>IFERROR(SUMIFS(APUS!$Z$140:$Z$182,APUS!$N$183:Q231,INSUMOS!D716),0)</f>
        <v>0</v>
      </c>
      <c r="O716" s="114">
        <f t="shared" si="52"/>
        <v>0</v>
      </c>
      <c r="P716" s="94"/>
      <c r="Q716" s="116" t="str">
        <f t="shared" si="53"/>
        <v>SI</v>
      </c>
    </row>
    <row r="717" spans="3:17" ht="15" hidden="1" customHeight="1" x14ac:dyDescent="0.25">
      <c r="C717" s="106">
        <v>793</v>
      </c>
      <c r="D717" s="668" t="s">
        <v>266</v>
      </c>
      <c r="E717" s="669"/>
      <c r="F717" s="669"/>
      <c r="G717" s="670"/>
      <c r="H717" s="345" t="s">
        <v>34</v>
      </c>
      <c r="I717" s="238">
        <v>308550</v>
      </c>
      <c r="J717" s="107">
        <f>SUMIFS(APUS!Y:Y,APUS!M:M,INSUMOS!C717)</f>
        <v>0</v>
      </c>
      <c r="K717" s="209">
        <f t="shared" si="54"/>
        <v>0</v>
      </c>
      <c r="N717" s="123">
        <f>IFERROR(SUMIFS(APUS!$Z$140:$Z$182,APUS!$N$183:Q231,INSUMOS!D717),0)</f>
        <v>0</v>
      </c>
      <c r="O717" s="114">
        <f t="shared" si="52"/>
        <v>0</v>
      </c>
      <c r="P717" s="94"/>
      <c r="Q717" s="116" t="str">
        <f t="shared" si="53"/>
        <v>SI</v>
      </c>
    </row>
    <row r="718" spans="3:17" ht="15" hidden="1" customHeight="1" x14ac:dyDescent="0.25">
      <c r="C718" s="106">
        <v>794</v>
      </c>
      <c r="D718" s="668" t="s">
        <v>267</v>
      </c>
      <c r="E718" s="669"/>
      <c r="F718" s="669"/>
      <c r="G718" s="670"/>
      <c r="H718" s="345" t="s">
        <v>34</v>
      </c>
      <c r="I718" s="238">
        <v>332750</v>
      </c>
      <c r="J718" s="107">
        <f>SUMIFS(APUS!Y:Y,APUS!M:M,INSUMOS!C718)</f>
        <v>0</v>
      </c>
      <c r="K718" s="209">
        <f t="shared" si="54"/>
        <v>0</v>
      </c>
      <c r="N718" s="123">
        <f>IFERROR(SUMIFS(APUS!$Z$140:$Z$182,APUS!$N$183:Q231,INSUMOS!D718),0)</f>
        <v>0</v>
      </c>
      <c r="O718" s="114">
        <f t="shared" si="52"/>
        <v>0</v>
      </c>
      <c r="P718" s="94"/>
      <c r="Q718" s="116" t="str">
        <f t="shared" si="53"/>
        <v>SI</v>
      </c>
    </row>
    <row r="719" spans="3:17" ht="15" hidden="1" customHeight="1" x14ac:dyDescent="0.25">
      <c r="C719" s="106">
        <v>795</v>
      </c>
      <c r="D719" s="668" t="s">
        <v>268</v>
      </c>
      <c r="E719" s="669"/>
      <c r="F719" s="669"/>
      <c r="G719" s="670"/>
      <c r="H719" s="345" t="s">
        <v>34</v>
      </c>
      <c r="I719" s="238">
        <v>647350</v>
      </c>
      <c r="J719" s="107">
        <f>SUMIFS(APUS!Y:Y,APUS!M:M,INSUMOS!C719)</f>
        <v>0</v>
      </c>
      <c r="K719" s="209">
        <f t="shared" si="54"/>
        <v>0</v>
      </c>
      <c r="N719" s="123">
        <f>IFERROR(SUMIFS(APUS!$Z$140:$Z$182,APUS!$N$183:Q231,INSUMOS!D719),0)</f>
        <v>0</v>
      </c>
      <c r="O719" s="114">
        <f t="shared" si="52"/>
        <v>0</v>
      </c>
      <c r="P719" s="94"/>
      <c r="Q719" s="116" t="str">
        <f t="shared" si="53"/>
        <v>SI</v>
      </c>
    </row>
    <row r="720" spans="3:17" ht="15" hidden="1" customHeight="1" x14ac:dyDescent="0.25">
      <c r="C720" s="106">
        <v>796</v>
      </c>
      <c r="D720" s="668" t="s">
        <v>444</v>
      </c>
      <c r="E720" s="669"/>
      <c r="F720" s="669"/>
      <c r="G720" s="670"/>
      <c r="H720" s="345" t="s">
        <v>34</v>
      </c>
      <c r="I720" s="238">
        <v>264385.00000000006</v>
      </c>
      <c r="J720" s="107">
        <f>SUMIFS(APUS!Y:Y,APUS!M:M,INSUMOS!C720)</f>
        <v>0</v>
      </c>
      <c r="K720" s="209">
        <f t="shared" si="54"/>
        <v>0</v>
      </c>
      <c r="N720" s="123">
        <f>IFERROR(SUMIFS(APUS!$Z$140:$Z$182,APUS!$N$183:Q231,INSUMOS!D720),0)</f>
        <v>0</v>
      </c>
      <c r="O720" s="114">
        <f t="shared" si="52"/>
        <v>0</v>
      </c>
      <c r="P720" s="94"/>
      <c r="Q720" s="116" t="str">
        <f t="shared" si="53"/>
        <v>SI</v>
      </c>
    </row>
    <row r="721" spans="3:17" ht="15" hidden="1" customHeight="1" x14ac:dyDescent="0.25">
      <c r="C721" s="106">
        <v>797</v>
      </c>
      <c r="D721" s="668" t="s">
        <v>443</v>
      </c>
      <c r="E721" s="669"/>
      <c r="F721" s="669"/>
      <c r="G721" s="670"/>
      <c r="H721" s="345" t="s">
        <v>34</v>
      </c>
      <c r="I721" s="238">
        <v>471295.00000000012</v>
      </c>
      <c r="J721" s="107">
        <f>SUMIFS(APUS!Y:Y,APUS!M:M,INSUMOS!C721)</f>
        <v>0</v>
      </c>
      <c r="K721" s="209">
        <f t="shared" si="54"/>
        <v>0</v>
      </c>
      <c r="N721" s="123">
        <f>IFERROR(SUMIFS(APUS!$Z$140:$Z$182,APUS!$N$183:Q231,INSUMOS!D721),0)</f>
        <v>0</v>
      </c>
      <c r="O721" s="114">
        <f t="shared" si="52"/>
        <v>0</v>
      </c>
      <c r="P721" s="94"/>
      <c r="Q721" s="116" t="str">
        <f t="shared" si="53"/>
        <v>SI</v>
      </c>
    </row>
    <row r="722" spans="3:17" ht="15" customHeight="1" x14ac:dyDescent="0.25">
      <c r="C722" s="106">
        <v>798</v>
      </c>
      <c r="D722" s="668" t="s">
        <v>849</v>
      </c>
      <c r="E722" s="669"/>
      <c r="F722" s="669"/>
      <c r="G722" s="670"/>
      <c r="H722" s="343" t="s">
        <v>34</v>
      </c>
      <c r="I722" s="238">
        <v>3193</v>
      </c>
      <c r="J722" s="107">
        <f>SUMIFS(APUS!Y:Y,APUS!M:M,INSUMOS!C722)</f>
        <v>7</v>
      </c>
      <c r="K722" s="209">
        <f t="shared" si="54"/>
        <v>22351</v>
      </c>
      <c r="N722" s="123">
        <f>IFERROR(SUMIFS(APUS!$Z$140:$Z$182,APUS!$N$183:Q231,INSUMOS!D814),0)</f>
        <v>0</v>
      </c>
      <c r="O722" s="114">
        <f t="shared" si="52"/>
        <v>-22351</v>
      </c>
      <c r="P722" s="94"/>
      <c r="Q722" s="116" t="str">
        <f t="shared" si="53"/>
        <v>NO</v>
      </c>
    </row>
    <row r="723" spans="3:17" ht="15" hidden="1" customHeight="1" x14ac:dyDescent="0.25">
      <c r="C723" s="106">
        <v>799</v>
      </c>
      <c r="D723" s="668" t="s">
        <v>369</v>
      </c>
      <c r="E723" s="669"/>
      <c r="F723" s="669"/>
      <c r="G723" s="670"/>
      <c r="H723" s="345" t="s">
        <v>34</v>
      </c>
      <c r="I723" s="238">
        <v>30250.000000000007</v>
      </c>
      <c r="J723" s="107">
        <f>SUMIFS(APUS!Y:Y,APUS!M:M,INSUMOS!C723)</f>
        <v>0</v>
      </c>
      <c r="K723" s="209">
        <f t="shared" si="54"/>
        <v>0</v>
      </c>
      <c r="N723" s="123">
        <f>IFERROR(SUMIFS(APUS!$Z$140:$Z$182,APUS!$N$183:Q231,INSUMOS!D723),0)</f>
        <v>0</v>
      </c>
      <c r="O723" s="114">
        <f t="shared" si="52"/>
        <v>0</v>
      </c>
      <c r="P723" s="94"/>
      <c r="Q723" s="116" t="str">
        <f t="shared" si="53"/>
        <v>SI</v>
      </c>
    </row>
    <row r="724" spans="3:17" ht="15" hidden="1" customHeight="1" x14ac:dyDescent="0.25">
      <c r="C724" s="106">
        <v>800</v>
      </c>
      <c r="D724" s="668" t="s">
        <v>370</v>
      </c>
      <c r="E724" s="669"/>
      <c r="F724" s="669"/>
      <c r="G724" s="670"/>
      <c r="H724" s="345" t="s">
        <v>34</v>
      </c>
      <c r="I724" s="238">
        <v>71390.000000000015</v>
      </c>
      <c r="J724" s="107">
        <f>SUMIFS(APUS!Y:Y,APUS!M:M,INSUMOS!C724)</f>
        <v>0</v>
      </c>
      <c r="K724" s="209">
        <f t="shared" si="54"/>
        <v>0</v>
      </c>
      <c r="N724" s="123">
        <f>IFERROR(SUMIFS(APUS!$Z$140:$Z$182,APUS!$N$183:Q231,INSUMOS!D724),0)</f>
        <v>0</v>
      </c>
      <c r="O724" s="114">
        <f t="shared" si="52"/>
        <v>0</v>
      </c>
      <c r="P724" s="94"/>
      <c r="Q724" s="116" t="str">
        <f t="shared" si="53"/>
        <v>SI</v>
      </c>
    </row>
    <row r="725" spans="3:17" ht="15" hidden="1" customHeight="1" x14ac:dyDescent="0.25">
      <c r="C725" s="106">
        <v>801</v>
      </c>
      <c r="D725" s="668" t="s">
        <v>273</v>
      </c>
      <c r="E725" s="669"/>
      <c r="F725" s="669"/>
      <c r="G725" s="670"/>
      <c r="H725" s="345" t="s">
        <v>34</v>
      </c>
      <c r="I725" s="238">
        <v>115192.00000000003</v>
      </c>
      <c r="J725" s="107">
        <f>SUMIFS(APUS!Y:Y,APUS!M:M,INSUMOS!C725)</f>
        <v>0</v>
      </c>
      <c r="K725" s="209">
        <f t="shared" si="54"/>
        <v>0</v>
      </c>
      <c r="N725" s="123">
        <f>IFERROR(SUMIFS(APUS!$Z$140:$Z$182,APUS!$N$183:Q231,INSUMOS!D725),0)</f>
        <v>0</v>
      </c>
      <c r="O725" s="114">
        <f t="shared" si="52"/>
        <v>0</v>
      </c>
      <c r="P725" s="94"/>
      <c r="Q725" s="116" t="str">
        <f t="shared" si="53"/>
        <v>SI</v>
      </c>
    </row>
    <row r="726" spans="3:17" ht="15" hidden="1" customHeight="1" x14ac:dyDescent="0.25">
      <c r="C726" s="106">
        <v>802</v>
      </c>
      <c r="D726" s="668" t="s">
        <v>274</v>
      </c>
      <c r="E726" s="669"/>
      <c r="F726" s="669"/>
      <c r="G726" s="670"/>
      <c r="H726" s="345" t="s">
        <v>34</v>
      </c>
      <c r="I726" s="238">
        <v>907500.00000000023</v>
      </c>
      <c r="J726" s="107">
        <f>SUMIFS(APUS!Y:Y,APUS!M:M,INSUMOS!C726)</f>
        <v>0</v>
      </c>
      <c r="K726" s="209">
        <f t="shared" si="54"/>
        <v>0</v>
      </c>
      <c r="N726" s="123">
        <f>IFERROR(SUMIFS(APUS!$Z$140:$Z$182,APUS!$N$183:Q231,INSUMOS!D726),0)</f>
        <v>0</v>
      </c>
      <c r="O726" s="114">
        <f t="shared" si="52"/>
        <v>0</v>
      </c>
      <c r="P726" s="94"/>
      <c r="Q726" s="116" t="str">
        <f t="shared" si="53"/>
        <v>SI</v>
      </c>
    </row>
    <row r="727" spans="3:17" ht="15" hidden="1" customHeight="1" x14ac:dyDescent="0.25">
      <c r="C727" s="106">
        <v>803</v>
      </c>
      <c r="D727" s="668" t="s">
        <v>275</v>
      </c>
      <c r="E727" s="669"/>
      <c r="F727" s="669"/>
      <c r="G727" s="670"/>
      <c r="H727" s="345" t="s">
        <v>34</v>
      </c>
      <c r="I727" s="238">
        <v>514250.00000000012</v>
      </c>
      <c r="J727" s="107">
        <f>SUMIFS(APUS!Y:Y,APUS!M:M,INSUMOS!C727)</f>
        <v>0</v>
      </c>
      <c r="K727" s="209">
        <f t="shared" si="54"/>
        <v>0</v>
      </c>
      <c r="N727" s="123">
        <f>IFERROR(SUMIFS(APUS!$Z$140:$Z$182,APUS!$N$183:Q231,INSUMOS!D727),0)</f>
        <v>0</v>
      </c>
      <c r="O727" s="114">
        <f t="shared" si="52"/>
        <v>0</v>
      </c>
      <c r="P727" s="94"/>
      <c r="Q727" s="116" t="str">
        <f t="shared" si="53"/>
        <v>SI</v>
      </c>
    </row>
    <row r="728" spans="3:17" ht="15" hidden="1" customHeight="1" x14ac:dyDescent="0.25">
      <c r="C728" s="106">
        <v>804</v>
      </c>
      <c r="D728" s="668" t="s">
        <v>363</v>
      </c>
      <c r="E728" s="669"/>
      <c r="F728" s="669"/>
      <c r="G728" s="670"/>
      <c r="H728" s="345" t="s">
        <v>34</v>
      </c>
      <c r="I728" s="238">
        <v>303710</v>
      </c>
      <c r="J728" s="107">
        <f>SUMIFS(APUS!Y:Y,APUS!M:M,INSUMOS!C728)</f>
        <v>0</v>
      </c>
      <c r="K728" s="209">
        <f t="shared" si="54"/>
        <v>0</v>
      </c>
      <c r="N728" s="123">
        <f>IFERROR(SUMIFS(APUS!$Z$140:$Z$182,APUS!$N$183:Q231,INSUMOS!D728),0)</f>
        <v>0</v>
      </c>
      <c r="O728" s="114">
        <f t="shared" si="52"/>
        <v>0</v>
      </c>
      <c r="P728" s="94"/>
      <c r="Q728" s="116" t="str">
        <f t="shared" si="53"/>
        <v>SI</v>
      </c>
    </row>
    <row r="729" spans="3:17" ht="15" hidden="1" customHeight="1" x14ac:dyDescent="0.25">
      <c r="C729" s="106">
        <v>805</v>
      </c>
      <c r="D729" s="668" t="s">
        <v>364</v>
      </c>
      <c r="E729" s="669"/>
      <c r="F729" s="669"/>
      <c r="G729" s="670"/>
      <c r="H729" s="345" t="s">
        <v>34</v>
      </c>
      <c r="I729" s="238">
        <v>303710</v>
      </c>
      <c r="J729" s="107">
        <f>SUMIFS(APUS!Y:Y,APUS!M:M,INSUMOS!C729)</f>
        <v>0</v>
      </c>
      <c r="K729" s="209">
        <f t="shared" si="54"/>
        <v>0</v>
      </c>
      <c r="N729" s="123">
        <f>IFERROR(SUMIFS(APUS!$Z$140:$Z$182,APUS!$N$183:Q231,INSUMOS!D696),0)</f>
        <v>0</v>
      </c>
      <c r="O729" s="114">
        <f t="shared" si="52"/>
        <v>0</v>
      </c>
      <c r="P729" s="94"/>
      <c r="Q729" s="116" t="str">
        <f t="shared" si="53"/>
        <v>SI</v>
      </c>
    </row>
    <row r="730" spans="3:17" ht="15" hidden="1" customHeight="1" x14ac:dyDescent="0.25">
      <c r="C730" s="106">
        <v>806</v>
      </c>
      <c r="D730" s="668" t="s">
        <v>517</v>
      </c>
      <c r="E730" s="669"/>
      <c r="F730" s="669"/>
      <c r="G730" s="670"/>
      <c r="H730" s="228" t="s">
        <v>251</v>
      </c>
      <c r="I730" s="238">
        <v>21396</v>
      </c>
      <c r="J730" s="107">
        <f>SUMIFS(APUS!Y:Y,APUS!M:M,INSUMOS!C730)</f>
        <v>0</v>
      </c>
      <c r="K730" s="209">
        <f t="shared" si="54"/>
        <v>0</v>
      </c>
      <c r="N730" s="123">
        <f>IFERROR(SUMIFS(APUS!$Z$140:$Z$182,APUS!$N$183:Q231,INSUMOS!D697),0)</f>
        <v>0</v>
      </c>
      <c r="O730" s="114">
        <f t="shared" si="52"/>
        <v>0</v>
      </c>
      <c r="P730" s="94"/>
      <c r="Q730" s="116" t="str">
        <f t="shared" si="53"/>
        <v>SI</v>
      </c>
    </row>
    <row r="731" spans="3:17" ht="15" hidden="1" customHeight="1" x14ac:dyDescent="0.25">
      <c r="C731" s="106">
        <v>807</v>
      </c>
      <c r="D731" s="668" t="s">
        <v>278</v>
      </c>
      <c r="E731" s="669"/>
      <c r="F731" s="669"/>
      <c r="G731" s="670"/>
      <c r="H731" s="345" t="s">
        <v>34</v>
      </c>
      <c r="I731" s="238">
        <v>862730.00000000023</v>
      </c>
      <c r="J731" s="107">
        <f>SUMIFS(APUS!Y:Y,APUS!M:M,INSUMOS!C731)</f>
        <v>0</v>
      </c>
      <c r="K731" s="209">
        <f t="shared" si="54"/>
        <v>0</v>
      </c>
      <c r="N731" s="123">
        <f>IFERROR(SUMIFS(APUS!$Z$140:$Z$182,APUS!$N$183:Q231,INSUMOS!D731),0)</f>
        <v>0</v>
      </c>
      <c r="O731" s="114">
        <f t="shared" si="52"/>
        <v>0</v>
      </c>
      <c r="P731" s="94"/>
      <c r="Q731" s="116" t="str">
        <f t="shared" si="53"/>
        <v>SI</v>
      </c>
    </row>
    <row r="732" spans="3:17" ht="15" hidden="1" customHeight="1" x14ac:dyDescent="0.25">
      <c r="C732" s="106">
        <v>808</v>
      </c>
      <c r="D732" s="668" t="s">
        <v>515</v>
      </c>
      <c r="E732" s="669"/>
      <c r="F732" s="669"/>
      <c r="G732" s="670"/>
      <c r="H732" s="345" t="s">
        <v>33</v>
      </c>
      <c r="I732" s="238">
        <v>26437.040000000001</v>
      </c>
      <c r="J732" s="107">
        <f>SUMIFS(APUS!Y:Y,APUS!M:M,INSUMOS!C732)</f>
        <v>0</v>
      </c>
      <c r="K732" s="209">
        <f t="shared" si="54"/>
        <v>0</v>
      </c>
      <c r="N732" s="123">
        <f>IFERROR(SUMIFS(APUS!$Z$140:$Z$182,APUS!$N$183:Q231,INSUMOS!D732),0)</f>
        <v>0</v>
      </c>
      <c r="O732" s="114">
        <f t="shared" si="52"/>
        <v>0</v>
      </c>
      <c r="P732" s="94"/>
      <c r="Q732" s="116" t="str">
        <f t="shared" si="53"/>
        <v>SI</v>
      </c>
    </row>
    <row r="733" spans="3:17" ht="15" hidden="1" customHeight="1" x14ac:dyDescent="0.25">
      <c r="C733" s="106">
        <v>809</v>
      </c>
      <c r="D733" s="668" t="s">
        <v>516</v>
      </c>
      <c r="E733" s="669"/>
      <c r="F733" s="669"/>
      <c r="G733" s="670"/>
      <c r="H733" s="345" t="s">
        <v>40</v>
      </c>
      <c r="I733" s="238">
        <v>24321.22</v>
      </c>
      <c r="J733" s="107">
        <f>SUMIFS(APUS!Y:Y,APUS!M:M,INSUMOS!C733)</f>
        <v>0</v>
      </c>
      <c r="K733" s="209">
        <f t="shared" si="54"/>
        <v>0</v>
      </c>
      <c r="N733" s="123">
        <f>IFERROR(SUMIFS(APUS!$Z$140:$Z$182,APUS!$N$183:Q231,INSUMOS!D733),0)</f>
        <v>0</v>
      </c>
      <c r="O733" s="114">
        <f t="shared" si="52"/>
        <v>0</v>
      </c>
      <c r="P733" s="94"/>
      <c r="Q733" s="116" t="str">
        <f t="shared" si="53"/>
        <v>SI</v>
      </c>
    </row>
    <row r="734" spans="3:17" x14ac:dyDescent="0.25">
      <c r="C734" s="106">
        <v>810</v>
      </c>
      <c r="D734" s="668" t="s">
        <v>850</v>
      </c>
      <c r="E734" s="669"/>
      <c r="F734" s="669"/>
      <c r="G734" s="670"/>
      <c r="H734" s="343" t="s">
        <v>34</v>
      </c>
      <c r="I734" s="238">
        <v>3193</v>
      </c>
      <c r="J734" s="107">
        <f>SUMIFS(APUS!Y:Y,APUS!M:M,INSUMOS!C734)</f>
        <v>7</v>
      </c>
      <c r="K734" s="209">
        <f t="shared" si="54"/>
        <v>22351</v>
      </c>
      <c r="N734" s="123">
        <f>IFERROR(SUMIFS(APUS!$Z$140:$Z$182,APUS!$N$183:Q231,INSUMOS!D734),0)</f>
        <v>0</v>
      </c>
      <c r="O734" s="114">
        <f t="shared" si="52"/>
        <v>-22351</v>
      </c>
      <c r="P734" s="94"/>
      <c r="Q734" s="116" t="str">
        <f t="shared" si="53"/>
        <v>NO</v>
      </c>
    </row>
    <row r="735" spans="3:17" x14ac:dyDescent="0.25">
      <c r="C735" s="106">
        <v>811</v>
      </c>
      <c r="D735" s="668" t="s">
        <v>880</v>
      </c>
      <c r="E735" s="669"/>
      <c r="F735" s="669"/>
      <c r="G735" s="670"/>
      <c r="H735" s="343" t="s">
        <v>34</v>
      </c>
      <c r="I735" s="238">
        <f>6075000*1.19</f>
        <v>7229250</v>
      </c>
      <c r="J735" s="107">
        <f>SUMIFS(APUS!Y:Y,APUS!M:M,INSUMOS!C735)</f>
        <v>2</v>
      </c>
      <c r="K735" s="209">
        <f t="shared" si="54"/>
        <v>14458500</v>
      </c>
      <c r="N735" s="123">
        <f>IFERROR(SUMIFS(APUS!$Z$140:$Z$182,APUS!$N$183:Q231,INSUMOS!D735),0)</f>
        <v>0</v>
      </c>
      <c r="O735" s="114">
        <f t="shared" si="52"/>
        <v>-14458500</v>
      </c>
      <c r="P735" s="94"/>
      <c r="Q735" s="116" t="str">
        <f t="shared" si="53"/>
        <v>NO</v>
      </c>
    </row>
    <row r="736" spans="3:17" ht="15" customHeight="1" x14ac:dyDescent="0.25">
      <c r="C736" s="106">
        <v>812</v>
      </c>
      <c r="D736" s="668" t="s">
        <v>884</v>
      </c>
      <c r="E736" s="669"/>
      <c r="F736" s="669"/>
      <c r="G736" s="670"/>
      <c r="H736" s="343" t="s">
        <v>34</v>
      </c>
      <c r="I736" s="238">
        <f>6325000*1.19</f>
        <v>7526750</v>
      </c>
      <c r="J736" s="107">
        <f>SUMIFS(APUS!Y:Y,APUS!M:M,INSUMOS!C736)</f>
        <v>1</v>
      </c>
      <c r="K736" s="209">
        <f t="shared" si="54"/>
        <v>7526750</v>
      </c>
      <c r="N736" s="123">
        <f>IFERROR(SUMIFS(APUS!$Z$140:$Z$182,APUS!$N$183:Q231,INSUMOS!D736),0)</f>
        <v>0</v>
      </c>
      <c r="O736" s="114">
        <f t="shared" si="52"/>
        <v>-7526750</v>
      </c>
      <c r="P736" s="94"/>
      <c r="Q736" s="116" t="str">
        <f t="shared" si="53"/>
        <v>NO</v>
      </c>
    </row>
    <row r="737" spans="3:17" ht="15" customHeight="1" x14ac:dyDescent="0.25">
      <c r="C737" s="106">
        <v>813</v>
      </c>
      <c r="D737" s="671" t="s">
        <v>892</v>
      </c>
      <c r="E737" s="672"/>
      <c r="F737" s="672"/>
      <c r="G737" s="673"/>
      <c r="H737" s="345" t="s">
        <v>34</v>
      </c>
      <c r="I737" s="238">
        <f>482000*1.19</f>
        <v>573580</v>
      </c>
      <c r="J737" s="107">
        <f>SUMIFS(APUS!Y:Y,APUS!M:M,INSUMOS!C737)</f>
        <v>2</v>
      </c>
      <c r="K737" s="209">
        <f t="shared" si="54"/>
        <v>1147160</v>
      </c>
      <c r="N737" s="123">
        <f>IFERROR(SUMIFS(APUS!$Z$140:$Z$182,APUS!$N$183:Q231,INSUMOS!D737),0)</f>
        <v>0</v>
      </c>
      <c r="O737" s="114">
        <f t="shared" si="52"/>
        <v>-1147160</v>
      </c>
      <c r="P737" s="94"/>
      <c r="Q737" s="116" t="str">
        <f t="shared" si="53"/>
        <v>NO</v>
      </c>
    </row>
    <row r="738" spans="3:17" ht="15" hidden="1" customHeight="1" x14ac:dyDescent="0.25">
      <c r="C738" s="106">
        <v>814</v>
      </c>
      <c r="D738" s="668" t="s">
        <v>279</v>
      </c>
      <c r="E738" s="669"/>
      <c r="F738" s="669"/>
      <c r="G738" s="670"/>
      <c r="H738" s="345" t="s">
        <v>34</v>
      </c>
      <c r="I738" s="238">
        <v>13915000.000000004</v>
      </c>
      <c r="J738" s="107">
        <f>SUMIFS(APUS!Y:Y,APUS!M:M,INSUMOS!C738)</f>
        <v>0</v>
      </c>
      <c r="K738" s="209">
        <f t="shared" si="54"/>
        <v>0</v>
      </c>
      <c r="N738" s="123">
        <f>IFERROR(SUMIFS(APUS!$Z$140:$Z$182,APUS!$N$183:Q231,INSUMOS!D738),0)</f>
        <v>0</v>
      </c>
      <c r="O738" s="114">
        <f t="shared" si="52"/>
        <v>0</v>
      </c>
      <c r="P738" s="94"/>
      <c r="Q738" s="116" t="str">
        <f t="shared" si="53"/>
        <v>SI</v>
      </c>
    </row>
    <row r="739" spans="3:17" ht="15" customHeight="1" x14ac:dyDescent="0.25">
      <c r="C739" s="106">
        <v>815</v>
      </c>
      <c r="D739" s="668" t="s">
        <v>887</v>
      </c>
      <c r="E739" s="669"/>
      <c r="F739" s="669"/>
      <c r="G739" s="670"/>
      <c r="H739" s="343" t="s">
        <v>34</v>
      </c>
      <c r="I739" s="238">
        <f>15076000*1.19</f>
        <v>17940440</v>
      </c>
      <c r="J739" s="107">
        <f>SUMIFS(APUS!Y:Y,APUS!M:M,INSUMOS!C739)</f>
        <v>2</v>
      </c>
      <c r="K739" s="209">
        <f t="shared" si="54"/>
        <v>35880880</v>
      </c>
      <c r="N739" s="123">
        <f>IFERROR(SUMIFS(APUS!$Z$140:$Z$182,APUS!$N$183:Q231,INSUMOS!D739),0)</f>
        <v>0</v>
      </c>
      <c r="O739" s="114">
        <f t="shared" si="52"/>
        <v>-35880880</v>
      </c>
      <c r="P739" s="94"/>
      <c r="Q739" s="116" t="str">
        <f t="shared" si="53"/>
        <v>NO</v>
      </c>
    </row>
    <row r="740" spans="3:17" ht="15" customHeight="1" x14ac:dyDescent="0.25">
      <c r="C740" s="106">
        <v>816</v>
      </c>
      <c r="D740" s="668" t="s">
        <v>351</v>
      </c>
      <c r="E740" s="669"/>
      <c r="F740" s="669"/>
      <c r="G740" s="670"/>
      <c r="H740" s="345" t="s">
        <v>34</v>
      </c>
      <c r="I740" s="238">
        <f>1956000*1.19</f>
        <v>2327640</v>
      </c>
      <c r="J740" s="107">
        <f>SUMIFS(APUS!Y:Y,APUS!M:M,INSUMOS!C740)</f>
        <v>1</v>
      </c>
      <c r="K740" s="209">
        <f t="shared" si="54"/>
        <v>2327640</v>
      </c>
      <c r="N740" s="123">
        <f>IFERROR(SUMIFS(APUS!$Z$140:$Z$182,APUS!$N$183:Q231,INSUMOS!D740),0)</f>
        <v>0</v>
      </c>
      <c r="O740" s="114">
        <f t="shared" si="52"/>
        <v>-2327640</v>
      </c>
      <c r="P740" s="94"/>
      <c r="Q740" s="116" t="str">
        <f t="shared" si="53"/>
        <v>NO</v>
      </c>
    </row>
    <row r="741" spans="3:17" ht="15" customHeight="1" x14ac:dyDescent="0.25">
      <c r="C741" s="106">
        <v>817</v>
      </c>
      <c r="D741" s="671" t="s">
        <v>891</v>
      </c>
      <c r="E741" s="672"/>
      <c r="F741" s="672"/>
      <c r="G741" s="673"/>
      <c r="H741" s="345" t="s">
        <v>34</v>
      </c>
      <c r="I741" s="238">
        <v>1342000</v>
      </c>
      <c r="J741" s="107">
        <f>SUMIFS(APUS!Y:Y,APUS!M:M,INSUMOS!C741)</f>
        <v>1</v>
      </c>
      <c r="K741" s="209">
        <f t="shared" si="54"/>
        <v>1342000</v>
      </c>
      <c r="N741" s="123">
        <f>IFERROR(SUMIFS(APUS!$Z$140:$Z$182,APUS!$N$183:Q231,INSUMOS!D741),0)</f>
        <v>0</v>
      </c>
      <c r="O741" s="114">
        <f t="shared" si="52"/>
        <v>-1342000</v>
      </c>
      <c r="P741" s="94"/>
      <c r="Q741" s="116" t="str">
        <f t="shared" si="53"/>
        <v>NO</v>
      </c>
    </row>
    <row r="742" spans="3:17" ht="15" customHeight="1" x14ac:dyDescent="0.25">
      <c r="C742" s="106">
        <v>818</v>
      </c>
      <c r="D742" s="668" t="s">
        <v>890</v>
      </c>
      <c r="E742" s="669"/>
      <c r="F742" s="669"/>
      <c r="G742" s="670"/>
      <c r="H742" s="345" t="s">
        <v>34</v>
      </c>
      <c r="I742" s="238">
        <f>1029000*1.19</f>
        <v>1224510</v>
      </c>
      <c r="J742" s="107">
        <f>SUMIFS(APUS!Y:Y,APUS!M:M,INSUMOS!C742)</f>
        <v>1</v>
      </c>
      <c r="K742" s="209">
        <f t="shared" si="54"/>
        <v>1224510</v>
      </c>
      <c r="N742" s="123">
        <f>IFERROR(SUMIFS(APUS!$Z$140:$Z$182,APUS!$N$183:Q231,INSUMOS!D742),0)</f>
        <v>0</v>
      </c>
      <c r="O742" s="114">
        <f t="shared" si="52"/>
        <v>-1224510</v>
      </c>
      <c r="P742" s="94"/>
      <c r="Q742" s="116" t="str">
        <f t="shared" si="53"/>
        <v>NO</v>
      </c>
    </row>
    <row r="743" spans="3:17" ht="15" customHeight="1" x14ac:dyDescent="0.25">
      <c r="C743" s="106">
        <v>819</v>
      </c>
      <c r="D743" s="668" t="s">
        <v>889</v>
      </c>
      <c r="E743" s="669"/>
      <c r="F743" s="669"/>
      <c r="G743" s="670"/>
      <c r="H743" s="345" t="s">
        <v>34</v>
      </c>
      <c r="I743" s="238">
        <f>691000*1.19</f>
        <v>822290</v>
      </c>
      <c r="J743" s="107">
        <f>SUMIFS(APUS!Y:Y,APUS!M:M,INSUMOS!C743)</f>
        <v>1</v>
      </c>
      <c r="K743" s="209">
        <f t="shared" si="54"/>
        <v>822290</v>
      </c>
      <c r="N743" s="123">
        <f>IFERROR(SUMIFS(APUS!$Z$140:$Z$182,APUS!$N$183:Q231,INSUMOS!D743),0)</f>
        <v>0</v>
      </c>
      <c r="O743" s="114">
        <f t="shared" si="52"/>
        <v>-822290</v>
      </c>
      <c r="P743" s="94"/>
      <c r="Q743" s="116" t="str">
        <f t="shared" si="53"/>
        <v>NO</v>
      </c>
    </row>
    <row r="744" spans="3:17" ht="15" hidden="1" customHeight="1" x14ac:dyDescent="0.25">
      <c r="C744" s="106">
        <v>820</v>
      </c>
      <c r="D744" s="668" t="s">
        <v>852</v>
      </c>
      <c r="E744" s="669"/>
      <c r="F744" s="669"/>
      <c r="G744" s="670"/>
      <c r="H744" s="345" t="s">
        <v>34</v>
      </c>
      <c r="I744" s="238">
        <f>726000/10</f>
        <v>72600</v>
      </c>
      <c r="J744" s="107">
        <f>SUMIFS(APUS!Y:Y,APUS!M:M,INSUMOS!C744)</f>
        <v>0</v>
      </c>
      <c r="K744" s="209">
        <f t="shared" si="54"/>
        <v>0</v>
      </c>
      <c r="N744" s="123">
        <f>IFERROR(SUMIFS(APUS!$Z$140:$Z$182,APUS!$N$183:Q231,INSUMOS!D744),0)</f>
        <v>0</v>
      </c>
      <c r="O744" s="114">
        <f t="shared" si="52"/>
        <v>0</v>
      </c>
      <c r="P744" s="94"/>
      <c r="Q744" s="116" t="str">
        <f t="shared" si="53"/>
        <v>SI</v>
      </c>
    </row>
    <row r="745" spans="3:17" ht="15" hidden="1" customHeight="1" x14ac:dyDescent="0.25">
      <c r="C745" s="106">
        <v>821</v>
      </c>
      <c r="D745" s="668" t="s">
        <v>271</v>
      </c>
      <c r="E745" s="669"/>
      <c r="F745" s="669"/>
      <c r="G745" s="670"/>
      <c r="H745" s="345" t="s">
        <v>34</v>
      </c>
      <c r="I745" s="238">
        <v>726000.00000000012</v>
      </c>
      <c r="J745" s="107">
        <f>SUMIFS(APUS!Y:Y,APUS!M:M,INSUMOS!C745)</f>
        <v>0</v>
      </c>
      <c r="K745" s="209">
        <f t="shared" si="54"/>
        <v>0</v>
      </c>
      <c r="N745" s="123">
        <f>IFERROR(SUMIFS(APUS!$Z$140:$Z$182,APUS!$N$183:Q231,INSUMOS!D745),0)</f>
        <v>0</v>
      </c>
      <c r="O745" s="114">
        <f t="shared" si="52"/>
        <v>0</v>
      </c>
      <c r="P745" s="94"/>
      <c r="Q745" s="116" t="str">
        <f t="shared" si="53"/>
        <v>SI</v>
      </c>
    </row>
    <row r="746" spans="3:17" ht="15" customHeight="1" x14ac:dyDescent="0.25">
      <c r="C746" s="106">
        <v>822</v>
      </c>
      <c r="D746" s="668" t="s">
        <v>888</v>
      </c>
      <c r="E746" s="669"/>
      <c r="F746" s="669"/>
      <c r="G746" s="670"/>
      <c r="H746" s="345" t="s">
        <v>34</v>
      </c>
      <c r="I746" s="238">
        <f>275000*1.19</f>
        <v>327250</v>
      </c>
      <c r="J746" s="107">
        <f>SUMIFS(APUS!Y:Y,APUS!M:M,INSUMOS!C746)</f>
        <v>4</v>
      </c>
      <c r="K746" s="209">
        <f t="shared" si="54"/>
        <v>1309000</v>
      </c>
      <c r="N746" s="123">
        <f>IFERROR(SUMIFS(APUS!$Z$140:$Z$182,APUS!$N$183:Q231,INSUMOS!D746),0)</f>
        <v>0</v>
      </c>
      <c r="O746" s="114">
        <f t="shared" si="52"/>
        <v>-1309000</v>
      </c>
      <c r="P746" s="94"/>
      <c r="Q746" s="116" t="str">
        <f t="shared" si="53"/>
        <v>NO</v>
      </c>
    </row>
    <row r="747" spans="3:17" ht="15" hidden="1" customHeight="1" x14ac:dyDescent="0.25">
      <c r="C747" s="106">
        <v>823</v>
      </c>
      <c r="D747" s="668" t="s">
        <v>353</v>
      </c>
      <c r="E747" s="669"/>
      <c r="F747" s="669"/>
      <c r="G747" s="670"/>
      <c r="H747" s="345" t="s">
        <v>34</v>
      </c>
      <c r="I747" s="238">
        <v>301895</v>
      </c>
      <c r="J747" s="107">
        <f>SUMIFS(APUS!Y:Y,APUS!M:M,INSUMOS!C747)</f>
        <v>0</v>
      </c>
      <c r="K747" s="209">
        <f t="shared" si="54"/>
        <v>0</v>
      </c>
      <c r="N747" s="123">
        <f>IFERROR(SUMIFS(APUS!$Z$140:$Z$182,APUS!$N$183:Q231,INSUMOS!D747),0)</f>
        <v>0</v>
      </c>
      <c r="O747" s="114">
        <f t="shared" si="52"/>
        <v>0</v>
      </c>
      <c r="P747" s="94"/>
      <c r="Q747" s="116" t="str">
        <f t="shared" si="53"/>
        <v>SI</v>
      </c>
    </row>
    <row r="748" spans="3:17" ht="15" hidden="1" customHeight="1" x14ac:dyDescent="0.25">
      <c r="C748" s="106">
        <v>824</v>
      </c>
      <c r="D748" s="668" t="s">
        <v>272</v>
      </c>
      <c r="E748" s="669"/>
      <c r="F748" s="669"/>
      <c r="G748" s="670"/>
      <c r="H748" s="345" t="s">
        <v>34</v>
      </c>
      <c r="I748" s="238">
        <v>190575.00000000003</v>
      </c>
      <c r="J748" s="107">
        <f>SUMIFS(APUS!Y:Y,APUS!M:M,INSUMOS!C748)</f>
        <v>0</v>
      </c>
      <c r="K748" s="209">
        <f t="shared" si="54"/>
        <v>0</v>
      </c>
      <c r="N748" s="123">
        <f>IFERROR(SUMIFS(APUS!$Z$140:$Z$182,APUS!$N$183:Q231,INSUMOS!D748),0)</f>
        <v>0</v>
      </c>
      <c r="O748" s="114">
        <f t="shared" si="52"/>
        <v>0</v>
      </c>
      <c r="P748" s="94"/>
      <c r="Q748" s="116" t="str">
        <f t="shared" si="53"/>
        <v>SI</v>
      </c>
    </row>
    <row r="749" spans="3:17" ht="15" customHeight="1" x14ac:dyDescent="0.25">
      <c r="C749" s="106">
        <v>825</v>
      </c>
      <c r="D749" s="668" t="s">
        <v>355</v>
      </c>
      <c r="E749" s="669"/>
      <c r="F749" s="669"/>
      <c r="G749" s="670"/>
      <c r="H749" s="345" t="s">
        <v>34</v>
      </c>
      <c r="I749" s="238">
        <f>122000*1.19</f>
        <v>145180</v>
      </c>
      <c r="J749" s="107">
        <f>SUMIFS(APUS!Y:Y,APUS!M:M,INSUMOS!C749)</f>
        <v>4</v>
      </c>
      <c r="K749" s="209">
        <f t="shared" si="54"/>
        <v>580720</v>
      </c>
      <c r="N749" s="123">
        <f>IFERROR(SUMIFS(APUS!$Z$140:$Z$182,APUS!$N$183:Q231,INSUMOS!D749),0)</f>
        <v>0</v>
      </c>
      <c r="O749" s="114">
        <f t="shared" si="52"/>
        <v>-580720</v>
      </c>
      <c r="P749" s="94"/>
      <c r="Q749" s="116" t="str">
        <f t="shared" si="53"/>
        <v>NO</v>
      </c>
    </row>
    <row r="750" spans="3:17" x14ac:dyDescent="0.25">
      <c r="C750" s="106">
        <v>826</v>
      </c>
      <c r="D750" s="668" t="s">
        <v>837</v>
      </c>
      <c r="E750" s="669"/>
      <c r="F750" s="669"/>
      <c r="G750" s="670"/>
      <c r="H750" s="345" t="s">
        <v>34</v>
      </c>
      <c r="I750" s="238">
        <v>517317</v>
      </c>
      <c r="J750" s="107">
        <f>SUMIFS(APUS!Y:Y,APUS!M:M,INSUMOS!C750)</f>
        <v>12</v>
      </c>
      <c r="K750" s="209">
        <f t="shared" si="54"/>
        <v>6207804</v>
      </c>
      <c r="N750" s="123">
        <f>IFERROR(SUMIFS(APUS!$Z$140:$Z$182,APUS!$N$183:Q231,INSUMOS!D750),0)</f>
        <v>0</v>
      </c>
      <c r="O750" s="114">
        <f t="shared" si="52"/>
        <v>-6207804</v>
      </c>
      <c r="P750" s="94"/>
      <c r="Q750" s="116" t="str">
        <f t="shared" si="53"/>
        <v>NO</v>
      </c>
    </row>
    <row r="751" spans="3:17" x14ac:dyDescent="0.25">
      <c r="C751" s="106">
        <v>827</v>
      </c>
      <c r="D751" s="668" t="s">
        <v>838</v>
      </c>
      <c r="E751" s="669"/>
      <c r="F751" s="669"/>
      <c r="G751" s="670"/>
      <c r="H751" s="345" t="s">
        <v>34</v>
      </c>
      <c r="I751" s="238">
        <v>756497</v>
      </c>
      <c r="J751" s="107">
        <f>SUMIFS(APUS!Y:Y,APUS!M:M,INSUMOS!C751)</f>
        <v>7</v>
      </c>
      <c r="K751" s="209">
        <f t="shared" si="54"/>
        <v>5295479</v>
      </c>
      <c r="N751" s="123">
        <f>IFERROR(SUMIFS(APUS!$Z$140:$Z$182,APUS!$N$183:Q231,INSUMOS!D751),0)</f>
        <v>0</v>
      </c>
      <c r="O751" s="114">
        <f t="shared" si="52"/>
        <v>-5295479</v>
      </c>
      <c r="P751" s="94"/>
      <c r="Q751" s="116" t="str">
        <f t="shared" si="53"/>
        <v>NO</v>
      </c>
    </row>
    <row r="752" spans="3:17" x14ac:dyDescent="0.25">
      <c r="C752" s="106">
        <v>828</v>
      </c>
      <c r="D752" s="668" t="s">
        <v>839</v>
      </c>
      <c r="E752" s="669"/>
      <c r="F752" s="669"/>
      <c r="G752" s="670"/>
      <c r="H752" s="345" t="s">
        <v>34</v>
      </c>
      <c r="I752" s="238">
        <v>1926639</v>
      </c>
      <c r="J752" s="107">
        <f>SUMIFS(APUS!Y:Y,APUS!M:M,INSUMOS!C752)</f>
        <v>8</v>
      </c>
      <c r="K752" s="209">
        <f t="shared" si="54"/>
        <v>15413112</v>
      </c>
      <c r="N752" s="123">
        <f>IFERROR(SUMIFS(APUS!$Z$140:$Z$182,APUS!$N$183:Q231,INSUMOS!D752),0)</f>
        <v>0</v>
      </c>
      <c r="O752" s="114">
        <f t="shared" ref="O752:O815" si="55">+N752-K752</f>
        <v>-15413112</v>
      </c>
      <c r="P752" s="94"/>
      <c r="Q752" s="116" t="str">
        <f t="shared" ref="Q752:Q815" si="56">+IF(K752=0,"SI","NO")</f>
        <v>NO</v>
      </c>
    </row>
    <row r="753" spans="3:17" ht="15" hidden="1" customHeight="1" x14ac:dyDescent="0.25">
      <c r="C753" s="106">
        <v>829</v>
      </c>
      <c r="D753" s="668"/>
      <c r="E753" s="669"/>
      <c r="F753" s="669"/>
      <c r="G753" s="670"/>
      <c r="H753" s="345"/>
      <c r="I753" s="238"/>
      <c r="J753" s="107">
        <f>SUMIFS(APUS!Y:Y,APUS!M:M,INSUMOS!C753)</f>
        <v>0</v>
      </c>
      <c r="K753" s="209">
        <f t="shared" si="54"/>
        <v>0</v>
      </c>
      <c r="N753" s="123">
        <f>IFERROR(SUMIFS(APUS!$Z$140:$Z$182,APUS!$N$183:Q231,INSUMOS!D753),0)</f>
        <v>0</v>
      </c>
      <c r="O753" s="114">
        <f t="shared" si="55"/>
        <v>0</v>
      </c>
      <c r="P753" s="94"/>
      <c r="Q753" s="116" t="str">
        <f t="shared" si="56"/>
        <v>SI</v>
      </c>
    </row>
    <row r="754" spans="3:17" ht="15" hidden="1" customHeight="1" x14ac:dyDescent="0.25">
      <c r="C754" s="106">
        <v>830</v>
      </c>
      <c r="D754" s="668" t="s">
        <v>263</v>
      </c>
      <c r="E754" s="669"/>
      <c r="F754" s="669"/>
      <c r="G754" s="670"/>
      <c r="H754" s="345" t="s">
        <v>34</v>
      </c>
      <c r="I754" s="238">
        <v>1376375</v>
      </c>
      <c r="J754" s="107">
        <f>SUMIFS(APUS!Y:Y,APUS!M:M,INSUMOS!C754)</f>
        <v>0</v>
      </c>
      <c r="K754" s="209">
        <f t="shared" si="54"/>
        <v>0</v>
      </c>
      <c r="N754" s="123">
        <f>IFERROR(SUMIFS(APUS!$Z$140:$Z$182,APUS!$N$183:Q231,INSUMOS!D754),0)</f>
        <v>0</v>
      </c>
      <c r="O754" s="114">
        <f t="shared" si="55"/>
        <v>0</v>
      </c>
      <c r="P754" s="94"/>
      <c r="Q754" s="116" t="str">
        <f t="shared" si="56"/>
        <v>SI</v>
      </c>
    </row>
    <row r="755" spans="3:17" ht="15" hidden="1" customHeight="1" x14ac:dyDescent="0.25">
      <c r="C755" s="106">
        <v>831</v>
      </c>
      <c r="D755" s="668"/>
      <c r="E755" s="669"/>
      <c r="F755" s="669"/>
      <c r="G755" s="670"/>
      <c r="H755" s="345"/>
      <c r="I755" s="238"/>
      <c r="J755" s="107">
        <f>SUMIFS(APUS!Y:Y,APUS!M:M,INSUMOS!C755)</f>
        <v>0</v>
      </c>
      <c r="K755" s="209">
        <f t="shared" ref="K755:K818" si="57">+J755*I755</f>
        <v>0</v>
      </c>
      <c r="N755" s="123">
        <f>IFERROR(SUMIFS(APUS!$Z$140:$Z$182,APUS!$N$183:Q231,INSUMOS!D755),0)</f>
        <v>0</v>
      </c>
      <c r="O755" s="114">
        <f t="shared" si="55"/>
        <v>0</v>
      </c>
      <c r="P755" s="94"/>
      <c r="Q755" s="116" t="str">
        <f t="shared" si="56"/>
        <v>SI</v>
      </c>
    </row>
    <row r="756" spans="3:17" ht="15" hidden="1" customHeight="1" x14ac:dyDescent="0.25">
      <c r="C756" s="106">
        <v>832</v>
      </c>
      <c r="D756" s="668"/>
      <c r="E756" s="669"/>
      <c r="F756" s="669"/>
      <c r="G756" s="670"/>
      <c r="H756" s="345"/>
      <c r="I756" s="238"/>
      <c r="J756" s="107">
        <f>SUMIFS(APUS!Y:Y,APUS!M:M,INSUMOS!C756)</f>
        <v>0</v>
      </c>
      <c r="K756" s="209">
        <f t="shared" si="57"/>
        <v>0</v>
      </c>
      <c r="N756" s="123">
        <f>IFERROR(SUMIFS(APUS!$Z$140:$Z$182,APUS!$N$183:Q231,INSUMOS!D756),0)</f>
        <v>0</v>
      </c>
      <c r="O756" s="114">
        <f t="shared" si="55"/>
        <v>0</v>
      </c>
      <c r="P756" s="94"/>
      <c r="Q756" s="116" t="str">
        <f t="shared" si="56"/>
        <v>SI</v>
      </c>
    </row>
    <row r="757" spans="3:17" ht="15" hidden="1" customHeight="1" x14ac:dyDescent="0.25">
      <c r="C757" s="106">
        <v>833</v>
      </c>
      <c r="D757" s="668" t="s">
        <v>368</v>
      </c>
      <c r="E757" s="669"/>
      <c r="F757" s="669"/>
      <c r="G757" s="670"/>
      <c r="H757" s="345" t="s">
        <v>34</v>
      </c>
      <c r="I757" s="238">
        <v>592295</v>
      </c>
      <c r="J757" s="107">
        <f>SUMIFS(APUS!Y:Y,APUS!M:M,INSUMOS!C757)</f>
        <v>0</v>
      </c>
      <c r="K757" s="209">
        <f t="shared" si="57"/>
        <v>0</v>
      </c>
      <c r="N757" s="123">
        <f>IFERROR(SUMIFS(APUS!$Z$140:$Z$182,APUS!$N$183:Q231,INSUMOS!D757),0)</f>
        <v>0</v>
      </c>
      <c r="O757" s="114">
        <f t="shared" si="55"/>
        <v>0</v>
      </c>
      <c r="P757" s="94"/>
      <c r="Q757" s="116" t="str">
        <f t="shared" si="56"/>
        <v>SI</v>
      </c>
    </row>
    <row r="758" spans="3:17" x14ac:dyDescent="0.25">
      <c r="C758" s="106">
        <v>834</v>
      </c>
      <c r="D758" s="668" t="s">
        <v>836</v>
      </c>
      <c r="E758" s="669"/>
      <c r="F758" s="669"/>
      <c r="G758" s="670"/>
      <c r="H758" s="345" t="s">
        <v>34</v>
      </c>
      <c r="I758" s="238">
        <v>139000</v>
      </c>
      <c r="J758" s="107">
        <f>SUMIFS(APUS!Y:Y,APUS!M:M,INSUMOS!C758)</f>
        <v>2</v>
      </c>
      <c r="K758" s="209">
        <f t="shared" si="57"/>
        <v>278000</v>
      </c>
      <c r="N758" s="123">
        <f>IFERROR(SUMIFS(APUS!$Z$140:$Z$182,APUS!$N$183:Q231,INSUMOS!D758),0)</f>
        <v>0</v>
      </c>
      <c r="O758" s="114">
        <f t="shared" si="55"/>
        <v>-278000</v>
      </c>
      <c r="P758" s="94"/>
      <c r="Q758" s="116" t="str">
        <f t="shared" si="56"/>
        <v>NO</v>
      </c>
    </row>
    <row r="759" spans="3:17" x14ac:dyDescent="0.25">
      <c r="C759" s="106">
        <v>835</v>
      </c>
      <c r="D759" s="668" t="s">
        <v>393</v>
      </c>
      <c r="E759" s="669"/>
      <c r="F759" s="669"/>
      <c r="G759" s="670"/>
      <c r="H759" s="345" t="s">
        <v>34</v>
      </c>
      <c r="I759" s="238">
        <v>95000</v>
      </c>
      <c r="J759" s="107">
        <f>SUMIFS(APUS!Y:Y,APUS!M:M,INSUMOS!C759)</f>
        <v>3</v>
      </c>
      <c r="K759" s="209">
        <f t="shared" si="57"/>
        <v>285000</v>
      </c>
      <c r="N759" s="123">
        <f>IFERROR(SUMIFS(APUS!$Z$140:$Z$182,APUS!$N$183:Q231,INSUMOS!D759),0)</f>
        <v>0</v>
      </c>
      <c r="O759" s="114">
        <f t="shared" si="55"/>
        <v>-285000</v>
      </c>
      <c r="P759" s="94"/>
      <c r="Q759" s="116" t="str">
        <f t="shared" si="56"/>
        <v>NO</v>
      </c>
    </row>
    <row r="760" spans="3:17" ht="15" hidden="1" customHeight="1" x14ac:dyDescent="0.25">
      <c r="C760" s="106">
        <v>836</v>
      </c>
      <c r="D760" s="668" t="s">
        <v>806</v>
      </c>
      <c r="E760" s="669"/>
      <c r="F760" s="669"/>
      <c r="G760" s="670"/>
      <c r="H760" s="345" t="s">
        <v>34</v>
      </c>
      <c r="I760" s="238">
        <v>67905</v>
      </c>
      <c r="J760" s="107">
        <f>SUMIFS(APUS!Y:Y,APUS!M:M,INSUMOS!C760)</f>
        <v>0</v>
      </c>
      <c r="K760" s="209">
        <f t="shared" si="57"/>
        <v>0</v>
      </c>
      <c r="N760" s="123">
        <f>IFERROR(SUMIFS(APUS!$Z$140:$Z$182,APUS!$N$183:Q231,INSUMOS!D760),0)</f>
        <v>0</v>
      </c>
      <c r="O760" s="114">
        <f t="shared" si="55"/>
        <v>0</v>
      </c>
      <c r="P760" s="94"/>
      <c r="Q760" s="116" t="str">
        <f t="shared" si="56"/>
        <v>SI</v>
      </c>
    </row>
    <row r="761" spans="3:17" ht="15" customHeight="1" x14ac:dyDescent="0.25">
      <c r="C761" s="106">
        <v>837</v>
      </c>
      <c r="D761" s="668" t="s">
        <v>854</v>
      </c>
      <c r="E761" s="669"/>
      <c r="F761" s="669"/>
      <c r="G761" s="670"/>
      <c r="H761" s="345" t="s">
        <v>34</v>
      </c>
      <c r="I761" s="238">
        <f>145000*1.19</f>
        <v>172550</v>
      </c>
      <c r="J761" s="107">
        <f>SUMIFS(APUS!Y:Y,APUS!M:M,INSUMOS!C761)</f>
        <v>17</v>
      </c>
      <c r="K761" s="209">
        <f t="shared" si="57"/>
        <v>2933350</v>
      </c>
      <c r="N761" s="123">
        <f>IFERROR(SUMIFS(APUS!$Z$140:$Z$182,APUS!$N$183:Q231,INSUMOS!D761),0)</f>
        <v>0</v>
      </c>
      <c r="O761" s="114">
        <f t="shared" si="55"/>
        <v>-2933350</v>
      </c>
      <c r="P761" s="94"/>
      <c r="Q761" s="116" t="str">
        <f t="shared" si="56"/>
        <v>NO</v>
      </c>
    </row>
    <row r="762" spans="3:17" ht="15" hidden="1" customHeight="1" x14ac:dyDescent="0.25">
      <c r="C762" s="106">
        <v>838</v>
      </c>
      <c r="D762" s="668" t="s">
        <v>807</v>
      </c>
      <c r="E762" s="669"/>
      <c r="F762" s="669"/>
      <c r="G762" s="670"/>
      <c r="H762" s="345" t="s">
        <v>34</v>
      </c>
      <c r="I762" s="238">
        <v>53900</v>
      </c>
      <c r="J762" s="107">
        <f>SUMIFS(APUS!Y:Y,APUS!M:M,INSUMOS!C762)</f>
        <v>0</v>
      </c>
      <c r="K762" s="209">
        <f t="shared" si="57"/>
        <v>0</v>
      </c>
      <c r="N762" s="123">
        <f>IFERROR(SUMIFS(APUS!$Z$140:$Z$182,APUS!$N$183:Q231,INSUMOS!D762),0)</f>
        <v>0</v>
      </c>
      <c r="O762" s="114">
        <f t="shared" si="55"/>
        <v>0</v>
      </c>
      <c r="P762" s="94"/>
      <c r="Q762" s="116" t="str">
        <f t="shared" si="56"/>
        <v>SI</v>
      </c>
    </row>
    <row r="763" spans="3:17" ht="15" hidden="1" customHeight="1" x14ac:dyDescent="0.25">
      <c r="C763" s="106">
        <v>839</v>
      </c>
      <c r="D763" s="668" t="s">
        <v>394</v>
      </c>
      <c r="E763" s="669"/>
      <c r="F763" s="669"/>
      <c r="G763" s="670"/>
      <c r="H763" s="345" t="s">
        <v>34</v>
      </c>
      <c r="I763" s="238">
        <v>10693.980000000001</v>
      </c>
      <c r="J763" s="107">
        <f>SUMIFS(APUS!Y:Y,APUS!M:M,INSUMOS!C763)</f>
        <v>0</v>
      </c>
      <c r="K763" s="209">
        <f t="shared" si="57"/>
        <v>0</v>
      </c>
      <c r="N763" s="123">
        <f>IFERROR(SUMIFS(APUS!$Z$140:$Z$182,APUS!$N$183:Q231,INSUMOS!D763),0)</f>
        <v>0</v>
      </c>
      <c r="O763" s="114">
        <f t="shared" si="55"/>
        <v>0</v>
      </c>
      <c r="P763" s="94"/>
      <c r="Q763" s="116" t="str">
        <f t="shared" si="56"/>
        <v>SI</v>
      </c>
    </row>
    <row r="764" spans="3:17" ht="15" customHeight="1" x14ac:dyDescent="0.25">
      <c r="C764" s="106">
        <v>840</v>
      </c>
      <c r="D764" s="668" t="s">
        <v>855</v>
      </c>
      <c r="E764" s="669"/>
      <c r="F764" s="669"/>
      <c r="G764" s="670"/>
      <c r="H764" s="345" t="s">
        <v>34</v>
      </c>
      <c r="I764" s="238">
        <f>322000*1.19</f>
        <v>383180</v>
      </c>
      <c r="J764" s="107">
        <f>SUMIFS(APUS!Y:Y,APUS!M:M,INSUMOS!C764)</f>
        <v>7</v>
      </c>
      <c r="K764" s="209">
        <f t="shared" si="57"/>
        <v>2682260</v>
      </c>
      <c r="N764" s="123">
        <f>IFERROR(SUMIFS(APUS!$Z$140:$Z$182,APUS!$N$183:Q231,INSUMOS!D764),0)</f>
        <v>0</v>
      </c>
      <c r="O764" s="114">
        <f t="shared" si="55"/>
        <v>-2682260</v>
      </c>
      <c r="P764" s="94"/>
      <c r="Q764" s="116" t="str">
        <f t="shared" si="56"/>
        <v>NO</v>
      </c>
    </row>
    <row r="765" spans="3:17" ht="15" customHeight="1" x14ac:dyDescent="0.25">
      <c r="C765" s="106">
        <v>841</v>
      </c>
      <c r="D765" s="668" t="s">
        <v>853</v>
      </c>
      <c r="E765" s="669"/>
      <c r="F765" s="669"/>
      <c r="G765" s="670"/>
      <c r="H765" s="345" t="s">
        <v>34</v>
      </c>
      <c r="I765" s="238">
        <f>115000*1.19</f>
        <v>136850</v>
      </c>
      <c r="J765" s="107">
        <f>SUMIFS(APUS!Y:Y,APUS!M:M,INSUMOS!C765)</f>
        <v>2</v>
      </c>
      <c r="K765" s="209">
        <f t="shared" si="57"/>
        <v>273700</v>
      </c>
      <c r="N765" s="123">
        <f>IFERROR(SUMIFS(APUS!$Z$140:$Z$182,APUS!$N$183:Q231,INSUMOS!D765),0)</f>
        <v>0</v>
      </c>
      <c r="O765" s="114">
        <f t="shared" si="55"/>
        <v>-273700</v>
      </c>
      <c r="P765" s="94"/>
      <c r="Q765" s="116" t="str">
        <f t="shared" si="56"/>
        <v>NO</v>
      </c>
    </row>
    <row r="766" spans="3:17" ht="15" customHeight="1" x14ac:dyDescent="0.25">
      <c r="C766" s="106">
        <v>842</v>
      </c>
      <c r="D766" s="668" t="s">
        <v>280</v>
      </c>
      <c r="E766" s="669"/>
      <c r="F766" s="669"/>
      <c r="G766" s="670"/>
      <c r="H766" s="345" t="s">
        <v>34</v>
      </c>
      <c r="I766" s="238">
        <v>53900</v>
      </c>
      <c r="J766" s="107">
        <f>SUMIFS(APUS!Y:Y,APUS!M:M,INSUMOS!C766)</f>
        <v>0.88980000000000004</v>
      </c>
      <c r="K766" s="209">
        <f t="shared" si="57"/>
        <v>47960.22</v>
      </c>
      <c r="N766" s="123">
        <f>IFERROR(SUMIFS(APUS!$Z$140:$Z$182,APUS!$N$183:Q231,INSUMOS!D766),0)</f>
        <v>0</v>
      </c>
      <c r="O766" s="114">
        <f t="shared" si="55"/>
        <v>-47960.22</v>
      </c>
      <c r="P766" s="94"/>
      <c r="Q766" s="116" t="str">
        <f t="shared" si="56"/>
        <v>NO</v>
      </c>
    </row>
    <row r="767" spans="3:17" ht="15" hidden="1" customHeight="1" x14ac:dyDescent="0.25">
      <c r="C767" s="106">
        <v>843</v>
      </c>
      <c r="D767" s="668" t="s">
        <v>281</v>
      </c>
      <c r="E767" s="669"/>
      <c r="F767" s="669"/>
      <c r="G767" s="670"/>
      <c r="H767" s="343" t="s">
        <v>33</v>
      </c>
      <c r="I767" s="238">
        <v>31339.000000000007</v>
      </c>
      <c r="J767" s="107">
        <f>SUMIFS(APUS!Y:Y,APUS!M:M,INSUMOS!C767)</f>
        <v>0</v>
      </c>
      <c r="K767" s="209">
        <f t="shared" si="57"/>
        <v>0</v>
      </c>
      <c r="N767" s="123">
        <f>IFERROR(SUMIFS(APUS!$Z$140:$Z$182,APUS!$N$183:Q231,INSUMOS!D767),0)</f>
        <v>0</v>
      </c>
      <c r="O767" s="114">
        <f t="shared" si="55"/>
        <v>0</v>
      </c>
      <c r="P767" s="94"/>
      <c r="Q767" s="116" t="str">
        <f t="shared" si="56"/>
        <v>SI</v>
      </c>
    </row>
    <row r="768" spans="3:17" ht="15" hidden="1" customHeight="1" x14ac:dyDescent="0.25">
      <c r="C768" s="106">
        <v>844</v>
      </c>
      <c r="D768" s="668" t="s">
        <v>282</v>
      </c>
      <c r="E768" s="669"/>
      <c r="F768" s="669"/>
      <c r="G768" s="670"/>
      <c r="H768" s="343" t="s">
        <v>251</v>
      </c>
      <c r="I768" s="238">
        <v>4307.6000000000013</v>
      </c>
      <c r="J768" s="107">
        <f>SUMIFS(APUS!Y:Y,APUS!M:M,INSUMOS!C768)</f>
        <v>0</v>
      </c>
      <c r="K768" s="209">
        <f t="shared" si="57"/>
        <v>0</v>
      </c>
      <c r="N768" s="123">
        <f>IFERROR(SUMIFS(APUS!$Z$140:$Z$182,APUS!$N$183:Q231,INSUMOS!D768),0)</f>
        <v>0</v>
      </c>
      <c r="O768" s="114">
        <f t="shared" si="55"/>
        <v>0</v>
      </c>
      <c r="P768" s="94"/>
      <c r="Q768" s="116" t="str">
        <f t="shared" si="56"/>
        <v>SI</v>
      </c>
    </row>
    <row r="769" spans="3:17" ht="15" hidden="1" customHeight="1" x14ac:dyDescent="0.25">
      <c r="C769" s="106">
        <v>845</v>
      </c>
      <c r="D769" s="668" t="s">
        <v>283</v>
      </c>
      <c r="E769" s="669"/>
      <c r="F769" s="669"/>
      <c r="G769" s="670"/>
      <c r="H769" s="343" t="s">
        <v>251</v>
      </c>
      <c r="I769" s="238">
        <v>12221.000000000002</v>
      </c>
      <c r="J769" s="107">
        <f>SUMIFS(APUS!Y:Y,APUS!M:M,INSUMOS!C769)</f>
        <v>0</v>
      </c>
      <c r="K769" s="209">
        <f t="shared" si="57"/>
        <v>0</v>
      </c>
      <c r="N769" s="123">
        <f>IFERROR(SUMIFS(APUS!$Z$140:$Z$182,APUS!$N$183:Q231,INSUMOS!D769),0)</f>
        <v>0</v>
      </c>
      <c r="O769" s="114">
        <f t="shared" si="55"/>
        <v>0</v>
      </c>
      <c r="P769" s="94"/>
      <c r="Q769" s="116" t="str">
        <f t="shared" si="56"/>
        <v>SI</v>
      </c>
    </row>
    <row r="770" spans="3:17" ht="15" hidden="1" customHeight="1" x14ac:dyDescent="0.25">
      <c r="C770" s="106">
        <v>846</v>
      </c>
      <c r="D770" s="668" t="s">
        <v>284</v>
      </c>
      <c r="E770" s="669"/>
      <c r="F770" s="669"/>
      <c r="G770" s="670"/>
      <c r="H770" s="343" t="s">
        <v>251</v>
      </c>
      <c r="I770" s="238">
        <v>37304.300000000003</v>
      </c>
      <c r="J770" s="107">
        <f>SUMIFS(APUS!Y:Y,APUS!M:M,INSUMOS!C770)</f>
        <v>0</v>
      </c>
      <c r="K770" s="209">
        <f t="shared" si="57"/>
        <v>0</v>
      </c>
      <c r="N770" s="123">
        <f>IFERROR(SUMIFS(APUS!$Z$140:$Z$182,APUS!$N$183:Q231,INSUMOS!D770),0)</f>
        <v>0</v>
      </c>
      <c r="O770" s="114">
        <f t="shared" si="55"/>
        <v>0</v>
      </c>
      <c r="P770" s="94"/>
      <c r="Q770" s="116" t="str">
        <f t="shared" si="56"/>
        <v>SI</v>
      </c>
    </row>
    <row r="771" spans="3:17" ht="15" customHeight="1" x14ac:dyDescent="0.25">
      <c r="C771" s="106">
        <v>847</v>
      </c>
      <c r="D771" s="668" t="s">
        <v>285</v>
      </c>
      <c r="E771" s="669"/>
      <c r="F771" s="669"/>
      <c r="G771" s="670"/>
      <c r="H771" s="343" t="s">
        <v>251</v>
      </c>
      <c r="I771" s="238">
        <v>21945</v>
      </c>
      <c r="J771" s="107">
        <f>SUMIFS(APUS!Y:Y,APUS!M:M,INSUMOS!C771)</f>
        <v>17.796000000000003</v>
      </c>
      <c r="K771" s="209">
        <f t="shared" si="57"/>
        <v>390533.22000000009</v>
      </c>
      <c r="N771" s="123">
        <f>IFERROR(SUMIFS(APUS!$Z$140:$Z$182,APUS!$N$183:Q231,INSUMOS!D771),0)</f>
        <v>0</v>
      </c>
      <c r="O771" s="114">
        <f t="shared" si="55"/>
        <v>-390533.22000000009</v>
      </c>
      <c r="P771" s="94"/>
      <c r="Q771" s="116" t="str">
        <f t="shared" si="56"/>
        <v>NO</v>
      </c>
    </row>
    <row r="772" spans="3:17" ht="15" customHeight="1" x14ac:dyDescent="0.25">
      <c r="C772" s="106">
        <v>848</v>
      </c>
      <c r="D772" s="668" t="s">
        <v>286</v>
      </c>
      <c r="E772" s="669"/>
      <c r="F772" s="669"/>
      <c r="G772" s="670"/>
      <c r="H772" s="344" t="s">
        <v>260</v>
      </c>
      <c r="I772" s="238">
        <v>214900</v>
      </c>
      <c r="J772" s="107">
        <f>SUMIFS(APUS!Y:Y,APUS!M:M,INSUMOS!C772)</f>
        <v>2.4990000000000001</v>
      </c>
      <c r="K772" s="209">
        <f t="shared" si="57"/>
        <v>537035.1</v>
      </c>
      <c r="N772" s="123">
        <f>IFERROR(SUMIFS(APUS!$Z$140:$Z$182,APUS!$N$183:Q231,INSUMOS!D772),0)</f>
        <v>0</v>
      </c>
      <c r="O772" s="114">
        <f t="shared" si="55"/>
        <v>-537035.1</v>
      </c>
      <c r="P772" s="94"/>
      <c r="Q772" s="116" t="str">
        <f t="shared" si="56"/>
        <v>NO</v>
      </c>
    </row>
    <row r="773" spans="3:17" ht="15" hidden="1" customHeight="1" x14ac:dyDescent="0.25">
      <c r="C773" s="106">
        <v>849</v>
      </c>
      <c r="D773" s="668" t="s">
        <v>361</v>
      </c>
      <c r="E773" s="669"/>
      <c r="F773" s="669"/>
      <c r="G773" s="670"/>
      <c r="H773" s="344" t="s">
        <v>260</v>
      </c>
      <c r="I773" s="238">
        <v>75020</v>
      </c>
      <c r="J773" s="107">
        <f>SUMIFS(APUS!Y:Y,APUS!M:M,INSUMOS!C773)</f>
        <v>0</v>
      </c>
      <c r="K773" s="209">
        <f t="shared" si="57"/>
        <v>0</v>
      </c>
      <c r="N773" s="123">
        <f>IFERROR(SUMIFS(APUS!$Z$140:$Z$182,APUS!$N$183:Q231,INSUMOS!D773),0)</f>
        <v>0</v>
      </c>
      <c r="O773" s="114">
        <f t="shared" si="55"/>
        <v>0</v>
      </c>
      <c r="P773" s="94"/>
      <c r="Q773" s="116" t="str">
        <f t="shared" si="56"/>
        <v>SI</v>
      </c>
    </row>
    <row r="774" spans="3:17" ht="15" hidden="1" customHeight="1" x14ac:dyDescent="0.25">
      <c r="C774" s="106">
        <v>850</v>
      </c>
      <c r="D774" s="668" t="s">
        <v>466</v>
      </c>
      <c r="E774" s="669"/>
      <c r="F774" s="669"/>
      <c r="G774" s="670"/>
      <c r="H774" s="344" t="s">
        <v>260</v>
      </c>
      <c r="I774" s="238">
        <v>47190.000000000007</v>
      </c>
      <c r="J774" s="107">
        <f>SUMIFS(APUS!Y:Y,APUS!M:M,INSUMOS!C774)</f>
        <v>0</v>
      </c>
      <c r="K774" s="209">
        <f t="shared" si="57"/>
        <v>0</v>
      </c>
      <c r="N774" s="123">
        <f>IFERROR(SUMIFS(APUS!$Z$140:$Z$182,APUS!$N$183:Q231,INSUMOS!D774),0)</f>
        <v>0</v>
      </c>
      <c r="O774" s="114">
        <f t="shared" si="55"/>
        <v>0</v>
      </c>
      <c r="P774" s="94"/>
      <c r="Q774" s="116" t="str">
        <f t="shared" si="56"/>
        <v>SI</v>
      </c>
    </row>
    <row r="775" spans="3:17" ht="15" hidden="1" customHeight="1" x14ac:dyDescent="0.25">
      <c r="C775" s="106">
        <v>851</v>
      </c>
      <c r="D775" s="668" t="s">
        <v>467</v>
      </c>
      <c r="E775" s="669"/>
      <c r="F775" s="669"/>
      <c r="G775" s="670"/>
      <c r="H775" s="344" t="s">
        <v>260</v>
      </c>
      <c r="I775" s="238">
        <v>21780</v>
      </c>
      <c r="J775" s="107">
        <f>SUMIFS(APUS!Y:Y,APUS!M:M,INSUMOS!C775)</f>
        <v>0</v>
      </c>
      <c r="K775" s="209">
        <f t="shared" si="57"/>
        <v>0</v>
      </c>
      <c r="N775" s="123">
        <f>IFERROR(SUMIFS(APUS!$Z$140:$Z$182,APUS!$N$183:Q231,INSUMOS!D775),0)</f>
        <v>0</v>
      </c>
      <c r="O775" s="114">
        <f t="shared" si="55"/>
        <v>0</v>
      </c>
      <c r="P775" s="94"/>
      <c r="Q775" s="116" t="str">
        <f t="shared" si="56"/>
        <v>SI</v>
      </c>
    </row>
    <row r="776" spans="3:17" ht="15" hidden="1" customHeight="1" x14ac:dyDescent="0.25">
      <c r="C776" s="106">
        <v>852</v>
      </c>
      <c r="D776" s="668" t="s">
        <v>485</v>
      </c>
      <c r="E776" s="669"/>
      <c r="F776" s="669"/>
      <c r="G776" s="670"/>
      <c r="H776" s="345" t="s">
        <v>34</v>
      </c>
      <c r="I776" s="238">
        <v>7865.0000000000018</v>
      </c>
      <c r="J776" s="107">
        <f>SUMIFS(APUS!Y:Y,APUS!M:M,INSUMOS!C776)</f>
        <v>0</v>
      </c>
      <c r="K776" s="209">
        <f t="shared" si="57"/>
        <v>0</v>
      </c>
      <c r="N776" s="123">
        <f>IFERROR(SUMIFS(APUS!$Z$140:$Z$182,APUS!$N$183:Q231,INSUMOS!D776),0)</f>
        <v>0</v>
      </c>
      <c r="O776" s="114">
        <f t="shared" si="55"/>
        <v>0</v>
      </c>
      <c r="P776" s="94"/>
      <c r="Q776" s="116" t="str">
        <f t="shared" si="56"/>
        <v>SI</v>
      </c>
    </row>
    <row r="777" spans="3:17" ht="15" hidden="1" customHeight="1" x14ac:dyDescent="0.25">
      <c r="C777" s="106">
        <v>853</v>
      </c>
      <c r="D777" s="668" t="s">
        <v>486</v>
      </c>
      <c r="E777" s="669"/>
      <c r="F777" s="669"/>
      <c r="G777" s="670"/>
      <c r="H777" s="345" t="s">
        <v>34</v>
      </c>
      <c r="I777" s="238">
        <v>1210</v>
      </c>
      <c r="J777" s="107">
        <f>SUMIFS(APUS!Y:Y,APUS!M:M,INSUMOS!C777)</f>
        <v>0</v>
      </c>
      <c r="K777" s="209">
        <f t="shared" si="57"/>
        <v>0</v>
      </c>
      <c r="N777" s="123">
        <f>IFERROR(SUMIFS(APUS!$Z$140:$Z$182,APUS!$N$183:Q231,INSUMOS!D777),0)</f>
        <v>0</v>
      </c>
      <c r="O777" s="114">
        <f t="shared" si="55"/>
        <v>0</v>
      </c>
      <c r="P777" s="94"/>
      <c r="Q777" s="116" t="str">
        <f t="shared" si="56"/>
        <v>SI</v>
      </c>
    </row>
    <row r="778" spans="3:17" ht="15" customHeight="1" x14ac:dyDescent="0.25">
      <c r="C778" s="106">
        <v>854</v>
      </c>
      <c r="D778" s="668" t="s">
        <v>877</v>
      </c>
      <c r="E778" s="669"/>
      <c r="F778" s="669"/>
      <c r="G778" s="670"/>
      <c r="H778" s="345" t="s">
        <v>34</v>
      </c>
      <c r="I778" s="238">
        <f>161000*1.19</f>
        <v>191590</v>
      </c>
      <c r="J778" s="107">
        <f>SUMIFS(APUS!Y:Y,APUS!M:M,INSUMOS!C778)</f>
        <v>2</v>
      </c>
      <c r="K778" s="209">
        <f t="shared" si="57"/>
        <v>383180</v>
      </c>
      <c r="N778" s="123">
        <f>IFERROR(SUMIFS(APUS!$Z$140:$Z$182,APUS!$N$183:Q231,INSUMOS!D778),0)</f>
        <v>0</v>
      </c>
      <c r="O778" s="114">
        <f t="shared" si="55"/>
        <v>-383180</v>
      </c>
      <c r="P778" s="94"/>
      <c r="Q778" s="116" t="str">
        <f t="shared" si="56"/>
        <v>NO</v>
      </c>
    </row>
    <row r="779" spans="3:17" ht="15" customHeight="1" x14ac:dyDescent="0.25">
      <c r="C779" s="106">
        <v>855</v>
      </c>
      <c r="D779" s="668" t="s">
        <v>878</v>
      </c>
      <c r="E779" s="669"/>
      <c r="F779" s="669"/>
      <c r="G779" s="670"/>
      <c r="H779" s="345" t="s">
        <v>34</v>
      </c>
      <c r="I779" s="238">
        <f>419000*1.19</f>
        <v>498610</v>
      </c>
      <c r="J779" s="107">
        <f>SUMIFS(APUS!Y:Y,APUS!M:M,INSUMOS!C779)</f>
        <v>4</v>
      </c>
      <c r="K779" s="209">
        <f t="shared" si="57"/>
        <v>1994440</v>
      </c>
      <c r="N779" s="123">
        <f>IFERROR(SUMIFS(APUS!$Z$140:$Z$182,APUS!$N$183:Q231,INSUMOS!D779),0)</f>
        <v>0</v>
      </c>
      <c r="O779" s="114">
        <f t="shared" si="55"/>
        <v>-1994440</v>
      </c>
      <c r="P779" s="94"/>
      <c r="Q779" s="116" t="str">
        <f t="shared" si="56"/>
        <v>NO</v>
      </c>
    </row>
    <row r="780" spans="3:17" ht="15" customHeight="1" x14ac:dyDescent="0.25">
      <c r="C780" s="106">
        <v>856</v>
      </c>
      <c r="D780" s="668" t="s">
        <v>882</v>
      </c>
      <c r="E780" s="669"/>
      <c r="F780" s="669"/>
      <c r="G780" s="670"/>
      <c r="H780" s="345" t="s">
        <v>34</v>
      </c>
      <c r="I780" s="238">
        <v>5584000</v>
      </c>
      <c r="J780" s="107">
        <f>SUMIFS(APUS!Y:Y,APUS!M:M,INSUMOS!C780)</f>
        <v>1</v>
      </c>
      <c r="K780" s="209">
        <f t="shared" si="57"/>
        <v>5584000</v>
      </c>
      <c r="N780" s="123">
        <f>IFERROR(SUMIFS(APUS!$Z$140:$Z$182,APUS!$N$183:Q231,INSUMOS!D780),0)</f>
        <v>0</v>
      </c>
      <c r="O780" s="114">
        <f t="shared" si="55"/>
        <v>-5584000</v>
      </c>
      <c r="P780" s="94"/>
      <c r="Q780" s="116" t="str">
        <f t="shared" si="56"/>
        <v>NO</v>
      </c>
    </row>
    <row r="781" spans="3:17" ht="15" hidden="1" customHeight="1" x14ac:dyDescent="0.25">
      <c r="C781" s="106">
        <v>857</v>
      </c>
      <c r="D781" s="668" t="s">
        <v>808</v>
      </c>
      <c r="E781" s="669"/>
      <c r="F781" s="669"/>
      <c r="G781" s="670"/>
      <c r="H781" s="345" t="s">
        <v>34</v>
      </c>
      <c r="I781" s="238">
        <v>38553</v>
      </c>
      <c r="J781" s="107">
        <f>SUMIFS(APUS!Y:Y,APUS!M:M,INSUMOS!C781)</f>
        <v>0</v>
      </c>
      <c r="K781" s="209">
        <f t="shared" si="57"/>
        <v>0</v>
      </c>
      <c r="N781" s="123">
        <f>IFERROR(SUMIFS(APUS!$Z$140:$Z$182,APUS!$N$183:Q231,INSUMOS!D781),0)</f>
        <v>0</v>
      </c>
      <c r="O781" s="114">
        <f t="shared" si="55"/>
        <v>0</v>
      </c>
      <c r="P781" s="94"/>
      <c r="Q781" s="116" t="str">
        <f t="shared" si="56"/>
        <v>SI</v>
      </c>
    </row>
    <row r="782" spans="3:17" x14ac:dyDescent="0.25">
      <c r="C782" s="106">
        <v>858</v>
      </c>
      <c r="D782" s="668" t="s">
        <v>859</v>
      </c>
      <c r="E782" s="669"/>
      <c r="F782" s="669"/>
      <c r="G782" s="670"/>
      <c r="H782" s="345" t="s">
        <v>34</v>
      </c>
      <c r="I782" s="238">
        <f>419000*1.19</f>
        <v>498610</v>
      </c>
      <c r="J782" s="107">
        <f>SUMIFS(APUS!Y:Y,APUS!M:M,INSUMOS!C782)</f>
        <v>5</v>
      </c>
      <c r="K782" s="209">
        <f t="shared" si="57"/>
        <v>2493050</v>
      </c>
      <c r="N782" s="123">
        <f>IFERROR(SUMIFS(APUS!$Z$140:$Z$182,APUS!$N$183:Q231,INSUMOS!D782),0)</f>
        <v>0</v>
      </c>
      <c r="O782" s="114">
        <f t="shared" si="55"/>
        <v>-2493050</v>
      </c>
      <c r="P782" s="94"/>
      <c r="Q782" s="116" t="str">
        <f t="shared" si="56"/>
        <v>NO</v>
      </c>
    </row>
    <row r="783" spans="3:17" ht="15" hidden="1" customHeight="1" x14ac:dyDescent="0.25">
      <c r="C783" s="106">
        <v>859</v>
      </c>
      <c r="D783" s="668"/>
      <c r="E783" s="669"/>
      <c r="F783" s="669"/>
      <c r="G783" s="670"/>
      <c r="H783" s="345"/>
      <c r="I783" s="238"/>
      <c r="J783" s="107">
        <f>SUMIFS(APUS!Y:Y,APUS!M:M,INSUMOS!C783)</f>
        <v>0</v>
      </c>
      <c r="K783" s="209">
        <f t="shared" si="57"/>
        <v>0</v>
      </c>
      <c r="N783" s="123">
        <f>IFERROR(SUMIFS(APUS!$Z$140:$Z$182,APUS!$N$183:Q231,INSUMOS!D783),0)</f>
        <v>0</v>
      </c>
      <c r="O783" s="114">
        <f t="shared" si="55"/>
        <v>0</v>
      </c>
      <c r="P783" s="94"/>
      <c r="Q783" s="116" t="str">
        <f t="shared" si="56"/>
        <v>SI</v>
      </c>
    </row>
    <row r="784" spans="3:17" ht="15" hidden="1" customHeight="1" x14ac:dyDescent="0.25">
      <c r="C784" s="106">
        <v>860</v>
      </c>
      <c r="D784" s="668" t="s">
        <v>269</v>
      </c>
      <c r="E784" s="669"/>
      <c r="F784" s="669"/>
      <c r="G784" s="670"/>
      <c r="H784" s="345" t="s">
        <v>34</v>
      </c>
      <c r="I784" s="238">
        <v>2583350</v>
      </c>
      <c r="J784" s="107">
        <f>SUMIFS(APUS!Y:Y,APUS!M:M,INSUMOS!C784)</f>
        <v>0</v>
      </c>
      <c r="K784" s="209">
        <f t="shared" si="57"/>
        <v>0</v>
      </c>
      <c r="N784" s="123">
        <f>IFERROR(SUMIFS(APUS!$Z$140:$Z$182,APUS!$N$183:Q231,INSUMOS!D784),0)</f>
        <v>0</v>
      </c>
      <c r="O784" s="114">
        <f t="shared" si="55"/>
        <v>0</v>
      </c>
      <c r="P784" s="94"/>
      <c r="Q784" s="116" t="str">
        <f t="shared" si="56"/>
        <v>SI</v>
      </c>
    </row>
    <row r="785" spans="3:17" ht="15" hidden="1" customHeight="1" x14ac:dyDescent="0.25">
      <c r="C785" s="106">
        <v>861</v>
      </c>
      <c r="D785" s="668"/>
      <c r="E785" s="669"/>
      <c r="F785" s="669"/>
      <c r="G785" s="670"/>
      <c r="H785" s="345"/>
      <c r="I785" s="238"/>
      <c r="J785" s="107">
        <f>SUMIFS(APUS!Y:Y,APUS!M:M,INSUMOS!C785)</f>
        <v>0</v>
      </c>
      <c r="K785" s="209">
        <f t="shared" si="57"/>
        <v>0</v>
      </c>
      <c r="N785" s="123">
        <f>IFERROR(SUMIFS(APUS!$Z$140:$Z$182,APUS!$N$183:Q231,INSUMOS!D785),0)</f>
        <v>0</v>
      </c>
      <c r="O785" s="114">
        <f t="shared" si="55"/>
        <v>0</v>
      </c>
      <c r="P785" s="94"/>
      <c r="Q785" s="116" t="str">
        <f t="shared" si="56"/>
        <v>SI</v>
      </c>
    </row>
    <row r="786" spans="3:17" ht="15" hidden="1" customHeight="1" x14ac:dyDescent="0.25">
      <c r="C786" s="106">
        <v>862</v>
      </c>
      <c r="D786" s="668" t="s">
        <v>356</v>
      </c>
      <c r="E786" s="669"/>
      <c r="F786" s="669"/>
      <c r="G786" s="670"/>
      <c r="H786" s="345" t="s">
        <v>34</v>
      </c>
      <c r="I786" s="238"/>
      <c r="J786" s="107">
        <f>SUMIFS(APUS!Y:Y,APUS!M:M,INSUMOS!C786)</f>
        <v>0</v>
      </c>
      <c r="K786" s="209">
        <f t="shared" si="57"/>
        <v>0</v>
      </c>
      <c r="N786" s="123">
        <f>IFERROR(SUMIFS(APUS!$Z$140:$Z$182,APUS!$N$183:Q231,INSUMOS!D786),0)</f>
        <v>0</v>
      </c>
      <c r="O786" s="114">
        <f t="shared" si="55"/>
        <v>0</v>
      </c>
      <c r="P786" s="94"/>
      <c r="Q786" s="116" t="str">
        <f t="shared" si="56"/>
        <v>SI</v>
      </c>
    </row>
    <row r="787" spans="3:17" ht="15" hidden="1" customHeight="1" x14ac:dyDescent="0.25">
      <c r="C787" s="106">
        <v>863</v>
      </c>
      <c r="D787" s="668" t="s">
        <v>809</v>
      </c>
      <c r="E787" s="669"/>
      <c r="F787" s="669"/>
      <c r="G787" s="670"/>
      <c r="H787" s="345" t="s">
        <v>34</v>
      </c>
      <c r="I787" s="238">
        <v>1754500.0000000005</v>
      </c>
      <c r="J787" s="107">
        <f>SUMIFS(APUS!Y:Y,APUS!M:M,INSUMOS!C787)</f>
        <v>0</v>
      </c>
      <c r="K787" s="209">
        <f t="shared" si="57"/>
        <v>0</v>
      </c>
      <c r="N787" s="123">
        <f>IFERROR(SUMIFS(APUS!$Z$140:$Z$182,APUS!$N$183:Q231,INSUMOS!D787),0)</f>
        <v>0</v>
      </c>
      <c r="O787" s="114">
        <f t="shared" si="55"/>
        <v>0</v>
      </c>
      <c r="P787" s="94"/>
      <c r="Q787" s="116" t="str">
        <f t="shared" si="56"/>
        <v>SI</v>
      </c>
    </row>
    <row r="788" spans="3:17" x14ac:dyDescent="0.25">
      <c r="C788" s="106">
        <v>864</v>
      </c>
      <c r="D788" s="668" t="s">
        <v>879</v>
      </c>
      <c r="E788" s="669"/>
      <c r="F788" s="669"/>
      <c r="G788" s="670"/>
      <c r="H788" s="345" t="s">
        <v>34</v>
      </c>
      <c r="I788" s="238">
        <v>1170000</v>
      </c>
      <c r="J788" s="107">
        <f>SUMIFS(APUS!Y:Y,APUS!M:M,INSUMOS!C788)</f>
        <v>31</v>
      </c>
      <c r="K788" s="209">
        <f t="shared" si="57"/>
        <v>36270000</v>
      </c>
      <c r="N788" s="123">
        <f>IFERROR(SUMIFS(APUS!$Z$140:$Z$182,APUS!$N$183:Q231,INSUMOS!D788),0)</f>
        <v>0</v>
      </c>
      <c r="O788" s="114">
        <f t="shared" si="55"/>
        <v>-36270000</v>
      </c>
      <c r="P788" s="94"/>
      <c r="Q788" s="116" t="str">
        <f t="shared" si="56"/>
        <v>NO</v>
      </c>
    </row>
    <row r="789" spans="3:17" hidden="1" x14ac:dyDescent="0.25">
      <c r="C789" s="106">
        <v>865</v>
      </c>
      <c r="D789" s="671"/>
      <c r="E789" s="672"/>
      <c r="F789" s="672"/>
      <c r="G789" s="673"/>
      <c r="H789" s="345"/>
      <c r="I789" s="238"/>
      <c r="J789" s="107">
        <f>SUMIFS(APUS!Y:Y,APUS!M:M,INSUMOS!C789)</f>
        <v>0</v>
      </c>
      <c r="K789" s="209">
        <f t="shared" si="57"/>
        <v>0</v>
      </c>
      <c r="N789" s="123">
        <f>IFERROR(SUMIFS(APUS!$Z$140:$Z$182,APUS!$N$183:Q231,INSUMOS!D789),0)</f>
        <v>0</v>
      </c>
      <c r="O789" s="114">
        <f t="shared" si="55"/>
        <v>0</v>
      </c>
      <c r="P789" s="94"/>
      <c r="Q789" s="116" t="str">
        <f t="shared" si="56"/>
        <v>SI</v>
      </c>
    </row>
    <row r="790" spans="3:17" hidden="1" x14ac:dyDescent="0.25">
      <c r="C790" s="106">
        <v>866</v>
      </c>
      <c r="D790" s="671"/>
      <c r="E790" s="672"/>
      <c r="F790" s="672"/>
      <c r="G790" s="673"/>
      <c r="H790" s="345"/>
      <c r="I790" s="238"/>
      <c r="J790" s="107">
        <f>SUMIFS(APUS!Y:Y,APUS!M:M,INSUMOS!C790)</f>
        <v>0</v>
      </c>
      <c r="K790" s="209">
        <f t="shared" si="57"/>
        <v>0</v>
      </c>
      <c r="N790" s="123">
        <f>IFERROR(SUMIFS(APUS!$Z$140:$Z$182,APUS!$N$183:Q231,INSUMOS!D790),0)</f>
        <v>0</v>
      </c>
      <c r="O790" s="114">
        <f t="shared" si="55"/>
        <v>0</v>
      </c>
      <c r="P790" s="94"/>
      <c r="Q790" s="116" t="str">
        <f t="shared" si="56"/>
        <v>SI</v>
      </c>
    </row>
    <row r="791" spans="3:17" ht="15" customHeight="1" x14ac:dyDescent="0.25">
      <c r="C791" s="106">
        <v>867</v>
      </c>
      <c r="D791" s="671" t="s">
        <v>875</v>
      </c>
      <c r="E791" s="672"/>
      <c r="F791" s="672"/>
      <c r="G791" s="673"/>
      <c r="H791" s="345" t="s">
        <v>34</v>
      </c>
      <c r="I791" s="238">
        <f>285000*1.19</f>
        <v>339150</v>
      </c>
      <c r="J791" s="107">
        <f>SUMIFS(APUS!Y:Y,APUS!M:M,INSUMOS!C791)</f>
        <v>4</v>
      </c>
      <c r="K791" s="209">
        <f t="shared" si="57"/>
        <v>1356600</v>
      </c>
      <c r="N791" s="123">
        <f>IFERROR(SUMIFS(APUS!$Z$140:$Z$182,APUS!$N$183:Q231,INSUMOS!D791),0)</f>
        <v>0</v>
      </c>
      <c r="O791" s="114">
        <f t="shared" si="55"/>
        <v>-1356600</v>
      </c>
      <c r="P791" s="94"/>
      <c r="Q791" s="116" t="str">
        <f t="shared" si="56"/>
        <v>NO</v>
      </c>
    </row>
    <row r="792" spans="3:17" ht="15" hidden="1" customHeight="1" x14ac:dyDescent="0.25">
      <c r="C792" s="106">
        <v>868</v>
      </c>
      <c r="D792" s="671" t="s">
        <v>810</v>
      </c>
      <c r="E792" s="672"/>
      <c r="F792" s="672"/>
      <c r="G792" s="673"/>
      <c r="H792" s="345" t="s">
        <v>34</v>
      </c>
      <c r="I792" s="238">
        <v>3463020.0000000009</v>
      </c>
      <c r="J792" s="107">
        <f>SUMIFS(APUS!Y:Y,APUS!M:M,INSUMOS!C792)</f>
        <v>0</v>
      </c>
      <c r="K792" s="209">
        <f t="shared" si="57"/>
        <v>0</v>
      </c>
      <c r="N792" s="123">
        <f>IFERROR(SUMIFS(APUS!$Z$140:$Z$182,APUS!$N$183:Q231,INSUMOS!D792),0)</f>
        <v>0</v>
      </c>
      <c r="O792" s="114">
        <f t="shared" si="55"/>
        <v>0</v>
      </c>
      <c r="P792" s="94"/>
      <c r="Q792" s="116" t="str">
        <f t="shared" si="56"/>
        <v>SI</v>
      </c>
    </row>
    <row r="793" spans="3:17" ht="15" hidden="1" customHeight="1" x14ac:dyDescent="0.25">
      <c r="C793" s="106">
        <v>869</v>
      </c>
      <c r="D793" s="671" t="s">
        <v>359</v>
      </c>
      <c r="E793" s="672"/>
      <c r="F793" s="672"/>
      <c r="G793" s="673"/>
      <c r="H793" s="345" t="s">
        <v>34</v>
      </c>
      <c r="I793" s="238">
        <v>3463020.0000000009</v>
      </c>
      <c r="J793" s="107">
        <f>SUMIFS(APUS!Y:Y,APUS!M:M,INSUMOS!C793)</f>
        <v>0</v>
      </c>
      <c r="K793" s="209">
        <f t="shared" si="57"/>
        <v>0</v>
      </c>
      <c r="N793" s="123">
        <f>IFERROR(SUMIFS(APUS!$Z$140:$Z$182,APUS!$N$183:Q231,INSUMOS!D793),0)</f>
        <v>0</v>
      </c>
      <c r="O793" s="114">
        <f t="shared" si="55"/>
        <v>0</v>
      </c>
      <c r="P793" s="94"/>
      <c r="Q793" s="116" t="str">
        <f t="shared" si="56"/>
        <v>SI</v>
      </c>
    </row>
    <row r="794" spans="3:17" ht="15" hidden="1" customHeight="1" x14ac:dyDescent="0.25">
      <c r="C794" s="106">
        <v>870</v>
      </c>
      <c r="D794" s="671" t="s">
        <v>264</v>
      </c>
      <c r="E794" s="672"/>
      <c r="F794" s="672"/>
      <c r="G794" s="673"/>
      <c r="H794" s="345" t="s">
        <v>34</v>
      </c>
      <c r="I794" s="238">
        <v>4598000.0000000009</v>
      </c>
      <c r="J794" s="107">
        <f>SUMIFS(APUS!Y:Y,APUS!M:M,INSUMOS!C794)</f>
        <v>0</v>
      </c>
      <c r="K794" s="209">
        <f t="shared" si="57"/>
        <v>0</v>
      </c>
      <c r="N794" s="123">
        <f>IFERROR(SUMIFS(APUS!$Z$140:$Z$182,APUS!$N$183:Q231,INSUMOS!#REF!),0)</f>
        <v>0</v>
      </c>
      <c r="O794" s="114">
        <f t="shared" si="55"/>
        <v>0</v>
      </c>
      <c r="P794" s="94"/>
      <c r="Q794" s="116" t="str">
        <f t="shared" si="56"/>
        <v>SI</v>
      </c>
    </row>
    <row r="795" spans="3:17" ht="15" hidden="1" customHeight="1" x14ac:dyDescent="0.25">
      <c r="C795" s="106">
        <v>871</v>
      </c>
      <c r="D795" s="671" t="s">
        <v>278</v>
      </c>
      <c r="E795" s="672"/>
      <c r="F795" s="672"/>
      <c r="G795" s="673"/>
      <c r="H795" s="345" t="s">
        <v>34</v>
      </c>
      <c r="I795" s="238">
        <v>862730.00000000023</v>
      </c>
      <c r="J795" s="107">
        <f>SUMIFS(APUS!Y:Y,APUS!M:M,INSUMOS!C795)</f>
        <v>0</v>
      </c>
      <c r="K795" s="209">
        <f t="shared" si="57"/>
        <v>0</v>
      </c>
      <c r="N795" s="123">
        <f>IFERROR(SUMIFS(APUS!$Z$140:$Z$182,APUS!$N$183:Q231,INSUMOS!D795),0)</f>
        <v>0</v>
      </c>
      <c r="O795" s="114">
        <f t="shared" si="55"/>
        <v>0</v>
      </c>
      <c r="P795" s="94"/>
      <c r="Q795" s="116" t="str">
        <f t="shared" si="56"/>
        <v>SI</v>
      </c>
    </row>
    <row r="796" spans="3:17" ht="15" hidden="1" customHeight="1" x14ac:dyDescent="0.25">
      <c r="C796" s="106">
        <v>872</v>
      </c>
      <c r="D796" s="671" t="s">
        <v>357</v>
      </c>
      <c r="E796" s="672"/>
      <c r="F796" s="672"/>
      <c r="G796" s="673"/>
      <c r="H796" s="345" t="s">
        <v>34</v>
      </c>
      <c r="I796" s="238">
        <v>744755.00000000012</v>
      </c>
      <c r="J796" s="107">
        <f>SUMIFS(APUS!Y:Y,APUS!M:M,INSUMOS!C796)</f>
        <v>0</v>
      </c>
      <c r="K796" s="209">
        <f t="shared" si="57"/>
        <v>0</v>
      </c>
      <c r="N796" s="123">
        <f>IFERROR(SUMIFS(APUS!$Z$140:$Z$182,APUS!$N$183:Q231,INSUMOS!D796),0)</f>
        <v>0</v>
      </c>
      <c r="O796" s="114">
        <f t="shared" si="55"/>
        <v>0</v>
      </c>
      <c r="P796" s="94"/>
      <c r="Q796" s="116" t="str">
        <f t="shared" si="56"/>
        <v>SI</v>
      </c>
    </row>
    <row r="797" spans="3:17" ht="15" hidden="1" customHeight="1" x14ac:dyDescent="0.25">
      <c r="C797" s="106">
        <v>873</v>
      </c>
      <c r="D797" s="671" t="s">
        <v>358</v>
      </c>
      <c r="E797" s="672"/>
      <c r="F797" s="672"/>
      <c r="G797" s="673"/>
      <c r="H797" s="345" t="s">
        <v>34</v>
      </c>
      <c r="I797" s="238">
        <v>626780</v>
      </c>
      <c r="J797" s="107">
        <f>SUMIFS(APUS!Y:Y,APUS!M:M,INSUMOS!C797)</f>
        <v>0</v>
      </c>
      <c r="K797" s="209">
        <f t="shared" si="57"/>
        <v>0</v>
      </c>
      <c r="N797" s="123">
        <f>IFERROR(SUMIFS(APUS!$Z$140:$Z$182,APUS!$N$183:Q231,INSUMOS!D797),0)</f>
        <v>0</v>
      </c>
      <c r="O797" s="114">
        <f t="shared" si="55"/>
        <v>0</v>
      </c>
      <c r="P797" s="94"/>
      <c r="Q797" s="116" t="str">
        <f t="shared" si="56"/>
        <v>SI</v>
      </c>
    </row>
    <row r="798" spans="3:17" ht="15" hidden="1" customHeight="1" x14ac:dyDescent="0.25">
      <c r="C798" s="106">
        <v>874</v>
      </c>
      <c r="D798" s="671" t="s">
        <v>811</v>
      </c>
      <c r="E798" s="672"/>
      <c r="F798" s="672"/>
      <c r="G798" s="673"/>
      <c r="H798" s="345" t="s">
        <v>34</v>
      </c>
      <c r="I798" s="238">
        <v>427735.00000000012</v>
      </c>
      <c r="J798" s="107">
        <f>SUMIFS(APUS!Y:Y,APUS!M:M,INSUMOS!C798)</f>
        <v>0</v>
      </c>
      <c r="K798" s="209">
        <f t="shared" si="57"/>
        <v>0</v>
      </c>
      <c r="N798" s="123">
        <f>IFERROR(SUMIFS(APUS!$Z$140:$Z$182,APUS!$N$183:Q231,INSUMOS!D798),0)</f>
        <v>0</v>
      </c>
      <c r="O798" s="114">
        <f t="shared" si="55"/>
        <v>0</v>
      </c>
      <c r="P798" s="94"/>
      <c r="Q798" s="116" t="str">
        <f t="shared" si="56"/>
        <v>SI</v>
      </c>
    </row>
    <row r="799" spans="3:17" ht="15" customHeight="1" x14ac:dyDescent="0.25">
      <c r="C799" s="106">
        <v>875</v>
      </c>
      <c r="D799" s="671" t="s">
        <v>865</v>
      </c>
      <c r="E799" s="672"/>
      <c r="F799" s="672"/>
      <c r="G799" s="673"/>
      <c r="H799" s="345" t="s">
        <v>34</v>
      </c>
      <c r="I799" s="238">
        <f>159096*1</f>
        <v>159096</v>
      </c>
      <c r="J799" s="107">
        <f>SUMIFS(APUS!Y:Y,APUS!M:M,INSUMOS!C799)</f>
        <v>24</v>
      </c>
      <c r="K799" s="209">
        <f t="shared" si="57"/>
        <v>3818304</v>
      </c>
      <c r="N799" s="123">
        <f>IFERROR(SUMIFS(APUS!$Z$140:$Z$182,APUS!$N$183:Q231,INSUMOS!D799),0)</f>
        <v>0</v>
      </c>
      <c r="O799" s="114">
        <f t="shared" si="55"/>
        <v>-3818304</v>
      </c>
      <c r="P799" s="94"/>
      <c r="Q799" s="116" t="str">
        <f t="shared" si="56"/>
        <v>NO</v>
      </c>
    </row>
    <row r="800" spans="3:17" ht="15" customHeight="1" x14ac:dyDescent="0.25">
      <c r="C800" s="106">
        <v>876</v>
      </c>
      <c r="D800" s="671" t="s">
        <v>907</v>
      </c>
      <c r="E800" s="672"/>
      <c r="F800" s="672"/>
      <c r="G800" s="673"/>
      <c r="H800" s="345" t="s">
        <v>34</v>
      </c>
      <c r="I800" s="238">
        <v>15200</v>
      </c>
      <c r="J800" s="107">
        <f>SUMIFS(APUS!Y:Y,APUS!M:M,INSUMOS!C800)</f>
        <v>6</v>
      </c>
      <c r="K800" s="209">
        <f t="shared" si="57"/>
        <v>91200</v>
      </c>
      <c r="N800" s="123">
        <f>IFERROR(SUMIFS(APUS!$Z$140:$Z$182,APUS!$N$183:Q231,INSUMOS!D800),0)</f>
        <v>0</v>
      </c>
      <c r="O800" s="114">
        <f t="shared" si="55"/>
        <v>-91200</v>
      </c>
      <c r="P800" s="94"/>
      <c r="Q800" s="116" t="str">
        <f t="shared" si="56"/>
        <v>NO</v>
      </c>
    </row>
    <row r="801" spans="3:17" ht="15" hidden="1" customHeight="1" x14ac:dyDescent="0.25">
      <c r="C801" s="106">
        <v>877</v>
      </c>
      <c r="D801" s="671" t="s">
        <v>812</v>
      </c>
      <c r="E801" s="672"/>
      <c r="F801" s="672"/>
      <c r="G801" s="673"/>
      <c r="H801" s="345" t="s">
        <v>34</v>
      </c>
      <c r="I801" s="238">
        <v>11600</v>
      </c>
      <c r="J801" s="107">
        <f>SUMIFS(APUS!Y:Y,APUS!M:M,INSUMOS!C801)</f>
        <v>0</v>
      </c>
      <c r="K801" s="209">
        <f t="shared" si="57"/>
        <v>0</v>
      </c>
      <c r="N801" s="123">
        <f>IFERROR(SUMIFS(APUS!$Z$140:$Z$182,APUS!$N$183:Q231,INSUMOS!D801),0)</f>
        <v>0</v>
      </c>
      <c r="O801" s="114">
        <f t="shared" si="55"/>
        <v>0</v>
      </c>
      <c r="P801" s="94"/>
      <c r="Q801" s="116" t="str">
        <f t="shared" si="56"/>
        <v>SI</v>
      </c>
    </row>
    <row r="802" spans="3:17" ht="15" hidden="1" customHeight="1" x14ac:dyDescent="0.25">
      <c r="C802" s="106">
        <v>878</v>
      </c>
      <c r="D802" s="671" t="s">
        <v>813</v>
      </c>
      <c r="E802" s="672"/>
      <c r="F802" s="672"/>
      <c r="G802" s="673"/>
      <c r="H802" s="345" t="s">
        <v>34</v>
      </c>
      <c r="I802" s="238">
        <v>7500</v>
      </c>
      <c r="J802" s="107">
        <f>SUMIFS(APUS!Y:Y,APUS!M:M,INSUMOS!C802)</f>
        <v>0</v>
      </c>
      <c r="K802" s="209">
        <f t="shared" si="57"/>
        <v>0</v>
      </c>
      <c r="N802" s="123">
        <f>IFERROR(SUMIFS(APUS!$Z$140:$Z$182,APUS!$N$183:Q231,INSUMOS!D802),0)</f>
        <v>0</v>
      </c>
      <c r="O802" s="114">
        <f t="shared" si="55"/>
        <v>0</v>
      </c>
      <c r="P802" s="94"/>
      <c r="Q802" s="116" t="str">
        <f t="shared" si="56"/>
        <v>SI</v>
      </c>
    </row>
    <row r="803" spans="3:17" ht="15" hidden="1" customHeight="1" x14ac:dyDescent="0.25">
      <c r="C803" s="106">
        <v>879</v>
      </c>
      <c r="D803" s="671" t="s">
        <v>814</v>
      </c>
      <c r="E803" s="672"/>
      <c r="F803" s="672"/>
      <c r="G803" s="673"/>
      <c r="H803" s="345" t="s">
        <v>34</v>
      </c>
      <c r="I803" s="238">
        <v>6800</v>
      </c>
      <c r="J803" s="107">
        <f>SUMIFS(APUS!Y:Y,APUS!M:M,INSUMOS!C803)</f>
        <v>0</v>
      </c>
      <c r="K803" s="209">
        <f t="shared" si="57"/>
        <v>0</v>
      </c>
      <c r="N803" s="123">
        <f>IFERROR(SUMIFS(APUS!$Z$140:$Z$182,APUS!$N$183:Q231,INSUMOS!D803),0)</f>
        <v>0</v>
      </c>
      <c r="O803" s="114">
        <f t="shared" si="55"/>
        <v>0</v>
      </c>
      <c r="P803" s="94"/>
      <c r="Q803" s="116" t="str">
        <f t="shared" si="56"/>
        <v>SI</v>
      </c>
    </row>
    <row r="804" spans="3:17" ht="15" hidden="1" customHeight="1" x14ac:dyDescent="0.25">
      <c r="C804" s="106">
        <v>880</v>
      </c>
      <c r="D804" s="671" t="s">
        <v>815</v>
      </c>
      <c r="E804" s="672"/>
      <c r="F804" s="672"/>
      <c r="G804" s="673"/>
      <c r="H804" s="345" t="s">
        <v>34</v>
      </c>
      <c r="I804" s="238">
        <v>4596</v>
      </c>
      <c r="J804" s="107">
        <f>SUMIFS(APUS!Y:Y,APUS!M:M,INSUMOS!C804)</f>
        <v>0</v>
      </c>
      <c r="K804" s="209">
        <f t="shared" si="57"/>
        <v>0</v>
      </c>
      <c r="N804" s="123">
        <f>IFERROR(SUMIFS(APUS!$Z$140:$Z$182,APUS!$N$183:Q231,INSUMOS!D804),0)</f>
        <v>0</v>
      </c>
      <c r="O804" s="114">
        <f t="shared" si="55"/>
        <v>0</v>
      </c>
      <c r="P804" s="94"/>
      <c r="Q804" s="116" t="str">
        <f t="shared" si="56"/>
        <v>SI</v>
      </c>
    </row>
    <row r="805" spans="3:17" ht="15" hidden="1" customHeight="1" x14ac:dyDescent="0.25">
      <c r="C805" s="106">
        <v>881</v>
      </c>
      <c r="D805" s="671" t="s">
        <v>816</v>
      </c>
      <c r="E805" s="672"/>
      <c r="F805" s="672"/>
      <c r="G805" s="673"/>
      <c r="H805" s="345" t="s">
        <v>34</v>
      </c>
      <c r="I805" s="238">
        <v>4221</v>
      </c>
      <c r="J805" s="107">
        <f>SUMIFS(APUS!Y:Y,APUS!M:M,INSUMOS!C805)</f>
        <v>0</v>
      </c>
      <c r="K805" s="209">
        <f t="shared" si="57"/>
        <v>0</v>
      </c>
      <c r="N805" s="123">
        <f>IFERROR(SUMIFS(APUS!$Z$140:$Z$182,APUS!$N$183:Q231,INSUMOS!D805),0)</f>
        <v>0</v>
      </c>
      <c r="O805" s="114">
        <f t="shared" si="55"/>
        <v>0</v>
      </c>
      <c r="P805" s="94"/>
      <c r="Q805" s="116" t="str">
        <f t="shared" si="56"/>
        <v>SI</v>
      </c>
    </row>
    <row r="806" spans="3:17" ht="15" hidden="1" customHeight="1" x14ac:dyDescent="0.25">
      <c r="C806" s="106">
        <v>882</v>
      </c>
      <c r="D806" s="671" t="s">
        <v>817</v>
      </c>
      <c r="E806" s="672"/>
      <c r="F806" s="672"/>
      <c r="G806" s="673"/>
      <c r="H806" s="345" t="s">
        <v>34</v>
      </c>
      <c r="I806" s="238">
        <v>204036</v>
      </c>
      <c r="J806" s="107">
        <f>SUMIFS(APUS!Y:Y,APUS!M:M,INSUMOS!C806)</f>
        <v>0</v>
      </c>
      <c r="K806" s="209">
        <f t="shared" si="57"/>
        <v>0</v>
      </c>
      <c r="N806" s="123">
        <f>IFERROR(SUMIFS(APUS!$Z$140:$Z$182,APUS!$N$183:Q231,INSUMOS!D806),0)</f>
        <v>0</v>
      </c>
      <c r="O806" s="114">
        <f t="shared" si="55"/>
        <v>0</v>
      </c>
      <c r="P806" s="94"/>
      <c r="Q806" s="116" t="str">
        <f t="shared" si="56"/>
        <v>SI</v>
      </c>
    </row>
    <row r="807" spans="3:17" ht="15" customHeight="1" x14ac:dyDescent="0.25">
      <c r="C807" s="106">
        <v>883</v>
      </c>
      <c r="D807" s="671" t="s">
        <v>818</v>
      </c>
      <c r="E807" s="672"/>
      <c r="F807" s="672"/>
      <c r="G807" s="673"/>
      <c r="H807" s="345" t="s">
        <v>34</v>
      </c>
      <c r="I807" s="238">
        <v>38556</v>
      </c>
      <c r="J807" s="107">
        <f>SUMIFS(APUS!Y:Y,APUS!M:M,INSUMOS!C807)</f>
        <v>272</v>
      </c>
      <c r="K807" s="209">
        <f t="shared" si="57"/>
        <v>10487232</v>
      </c>
      <c r="N807" s="123">
        <f>IFERROR(SUMIFS(APUS!$Z$140:$Z$182,APUS!$N$183:Q231,INSUMOS!D807),0)</f>
        <v>0</v>
      </c>
      <c r="O807" s="114">
        <f t="shared" si="55"/>
        <v>-10487232</v>
      </c>
      <c r="P807" s="94"/>
      <c r="Q807" s="116" t="str">
        <f t="shared" si="56"/>
        <v>NO</v>
      </c>
    </row>
    <row r="808" spans="3:17" ht="15" customHeight="1" x14ac:dyDescent="0.25">
      <c r="C808" s="106">
        <v>884</v>
      </c>
      <c r="D808" s="671" t="s">
        <v>898</v>
      </c>
      <c r="E808" s="672"/>
      <c r="F808" s="672"/>
      <c r="G808" s="673"/>
      <c r="H808" s="343" t="s">
        <v>33</v>
      </c>
      <c r="I808" s="238">
        <f>184048/6</f>
        <v>30674.666666666668</v>
      </c>
      <c r="J808" s="107">
        <f>SUMIFS(APUS!Y:Y,APUS!M:M,INSUMOS!C808)</f>
        <v>54.400000000000006</v>
      </c>
      <c r="K808" s="209">
        <f t="shared" si="57"/>
        <v>1668701.8666666669</v>
      </c>
      <c r="N808" s="123">
        <f>IFERROR(SUMIFS(APUS!$Z$140:$Z$182,APUS!$N$183:Q231,INSUMOS!D808),0)</f>
        <v>0</v>
      </c>
      <c r="O808" s="114">
        <f t="shared" si="55"/>
        <v>-1668701.8666666669</v>
      </c>
      <c r="P808" s="94"/>
      <c r="Q808" s="116" t="str">
        <f t="shared" si="56"/>
        <v>NO</v>
      </c>
    </row>
    <row r="809" spans="3:17" ht="15" customHeight="1" x14ac:dyDescent="0.25">
      <c r="C809" s="106">
        <v>885</v>
      </c>
      <c r="D809" s="671" t="s">
        <v>899</v>
      </c>
      <c r="E809" s="672"/>
      <c r="F809" s="672"/>
      <c r="G809" s="673"/>
      <c r="H809" s="345" t="s">
        <v>34</v>
      </c>
      <c r="I809" s="238">
        <v>7735</v>
      </c>
      <c r="J809" s="107">
        <f>SUMIFS(APUS!Y:Y,APUS!M:M,INSUMOS!C809)</f>
        <v>272</v>
      </c>
      <c r="K809" s="209">
        <f t="shared" si="57"/>
        <v>2103920</v>
      </c>
      <c r="N809" s="123">
        <f>IFERROR(SUMIFS(APUS!$Z$140:$Z$182,APUS!$N$183:Q231,INSUMOS!D809),0)</f>
        <v>0</v>
      </c>
      <c r="O809" s="114">
        <f t="shared" si="55"/>
        <v>-2103920</v>
      </c>
      <c r="P809" s="94"/>
      <c r="Q809" s="116" t="str">
        <f t="shared" si="56"/>
        <v>NO</v>
      </c>
    </row>
    <row r="810" spans="3:17" ht="15" customHeight="1" x14ac:dyDescent="0.25">
      <c r="C810" s="106">
        <v>886</v>
      </c>
      <c r="D810" s="671" t="s">
        <v>900</v>
      </c>
      <c r="E810" s="672"/>
      <c r="F810" s="672"/>
      <c r="G810" s="673"/>
      <c r="H810" s="345" t="s">
        <v>34</v>
      </c>
      <c r="I810" s="238">
        <v>6068</v>
      </c>
      <c r="J810" s="107">
        <f>SUMIFS(APUS!Y:Y,APUS!M:M,INSUMOS!C810)</f>
        <v>272</v>
      </c>
      <c r="K810" s="209">
        <f t="shared" si="57"/>
        <v>1650496</v>
      </c>
      <c r="N810" s="123">
        <f>IFERROR(SUMIFS(APUS!$Z$140:$Z$182,APUS!$N$183:Q231,INSUMOS!D810),0)</f>
        <v>0</v>
      </c>
      <c r="O810" s="114">
        <f t="shared" si="55"/>
        <v>-1650496</v>
      </c>
      <c r="P810" s="94"/>
      <c r="Q810" s="116" t="str">
        <f t="shared" si="56"/>
        <v>NO</v>
      </c>
    </row>
    <row r="811" spans="3:17" ht="15" customHeight="1" x14ac:dyDescent="0.25">
      <c r="C811" s="106">
        <v>887</v>
      </c>
      <c r="D811" s="671" t="s">
        <v>883</v>
      </c>
      <c r="E811" s="672"/>
      <c r="F811" s="672"/>
      <c r="G811" s="673"/>
      <c r="H811" s="345" t="s">
        <v>34</v>
      </c>
      <c r="I811" s="238">
        <f>526700*1.19+325365*1.19*2</f>
        <v>1401141.7</v>
      </c>
      <c r="J811" s="107">
        <f>SUMIFS(APUS!Y:Y,APUS!M:M,INSUMOS!C811)</f>
        <v>1</v>
      </c>
      <c r="K811" s="209">
        <f t="shared" si="57"/>
        <v>1401141.7</v>
      </c>
      <c r="N811" s="123">
        <f>IFERROR(SUMIFS(APUS!$Z$140:$Z$182,APUS!$N$183:Q231,INSUMOS!D811),0)</f>
        <v>0</v>
      </c>
      <c r="O811" s="114">
        <f t="shared" si="55"/>
        <v>-1401141.7</v>
      </c>
      <c r="P811" s="94"/>
      <c r="Q811" s="116" t="str">
        <f t="shared" si="56"/>
        <v>NO</v>
      </c>
    </row>
    <row r="812" spans="3:17" ht="30" hidden="1" customHeight="1" x14ac:dyDescent="0.25">
      <c r="C812" s="106">
        <v>888</v>
      </c>
      <c r="D812" s="671" t="s">
        <v>819</v>
      </c>
      <c r="E812" s="672"/>
      <c r="F812" s="672"/>
      <c r="G812" s="673"/>
      <c r="H812" s="345" t="s">
        <v>34</v>
      </c>
      <c r="I812" s="238">
        <v>575000</v>
      </c>
      <c r="J812" s="107">
        <f>SUMIFS(APUS!Y:Y,APUS!M:M,INSUMOS!C812)</f>
        <v>0</v>
      </c>
      <c r="K812" s="209">
        <f t="shared" si="57"/>
        <v>0</v>
      </c>
      <c r="N812" s="123">
        <f>IFERROR(SUMIFS(APUS!$Z$140:$Z$182,APUS!$N$183:Q231,INSUMOS!D812),0)</f>
        <v>0</v>
      </c>
      <c r="O812" s="114">
        <f t="shared" si="55"/>
        <v>0</v>
      </c>
      <c r="P812" s="94"/>
      <c r="Q812" s="116" t="str">
        <f t="shared" si="56"/>
        <v>SI</v>
      </c>
    </row>
    <row r="813" spans="3:17" x14ac:dyDescent="0.25">
      <c r="C813" s="106">
        <v>889</v>
      </c>
      <c r="D813" s="671" t="s">
        <v>820</v>
      </c>
      <c r="E813" s="672"/>
      <c r="F813" s="672"/>
      <c r="G813" s="673"/>
      <c r="H813" s="345" t="s">
        <v>34</v>
      </c>
      <c r="I813" s="238">
        <v>1550000</v>
      </c>
      <c r="J813" s="107">
        <f>SUMIFS(APUS!Y:Y,APUS!M:M,INSUMOS!C813)</f>
        <v>5</v>
      </c>
      <c r="K813" s="209">
        <f t="shared" si="57"/>
        <v>7750000</v>
      </c>
      <c r="N813" s="123">
        <f>IFERROR(SUMIFS(APUS!$Z$140:$Z$182,APUS!$N$183:Q231,INSUMOS!D813),0)</f>
        <v>0</v>
      </c>
      <c r="O813" s="114">
        <f t="shared" si="55"/>
        <v>-7750000</v>
      </c>
      <c r="P813" s="94"/>
      <c r="Q813" s="116" t="str">
        <f t="shared" si="56"/>
        <v>NO</v>
      </c>
    </row>
    <row r="814" spans="3:17" ht="15" customHeight="1" x14ac:dyDescent="0.25">
      <c r="C814" s="106">
        <v>890</v>
      </c>
      <c r="D814" s="671" t="s">
        <v>270</v>
      </c>
      <c r="E814" s="672"/>
      <c r="F814" s="672"/>
      <c r="G814" s="673"/>
      <c r="H814" s="345" t="s">
        <v>34</v>
      </c>
      <c r="I814" s="238">
        <f>193000*1.19</f>
        <v>229670</v>
      </c>
      <c r="J814" s="107">
        <f>SUMIFS(APUS!Y:Y,APUS!M:M,INSUMOS!C814)</f>
        <v>2</v>
      </c>
      <c r="K814" s="209">
        <f t="shared" si="57"/>
        <v>459340</v>
      </c>
      <c r="N814" s="123">
        <f>IFERROR(SUMIFS(APUS!$Z$140:$Z$182,APUS!$N$183:Q231,INSUMOS!#REF!),0)</f>
        <v>0</v>
      </c>
      <c r="O814" s="114">
        <f t="shared" si="55"/>
        <v>-459340</v>
      </c>
      <c r="P814" s="94"/>
      <c r="Q814" s="116" t="str">
        <f t="shared" si="56"/>
        <v>NO</v>
      </c>
    </row>
    <row r="815" spans="3:17" ht="15" customHeight="1" x14ac:dyDescent="0.25">
      <c r="C815" s="106">
        <v>891</v>
      </c>
      <c r="D815" s="671" t="s">
        <v>821</v>
      </c>
      <c r="E815" s="672"/>
      <c r="F815" s="672"/>
      <c r="G815" s="673"/>
      <c r="H815" s="345" t="s">
        <v>822</v>
      </c>
      <c r="I815" s="238">
        <f>438.194444444444*1.19</f>
        <v>521.45138888888835</v>
      </c>
      <c r="J815" s="107">
        <f>SUMIFS(APUS!Y:Y,APUS!M:M,INSUMOS!C815)</f>
        <v>544</v>
      </c>
      <c r="K815" s="209">
        <f t="shared" si="57"/>
        <v>283669.55555555527</v>
      </c>
      <c r="N815" s="123">
        <f>IFERROR(SUMIFS(APUS!$Z$140:$Z$182,APUS!$N$183:Q231,INSUMOS!D815),0)</f>
        <v>0</v>
      </c>
      <c r="O815" s="114">
        <f t="shared" si="55"/>
        <v>-283669.55555555527</v>
      </c>
      <c r="P815" s="94"/>
      <c r="Q815" s="116" t="str">
        <f t="shared" si="56"/>
        <v>NO</v>
      </c>
    </row>
    <row r="816" spans="3:17" ht="27.75" hidden="1" customHeight="1" x14ac:dyDescent="0.25">
      <c r="C816" s="106">
        <v>892</v>
      </c>
      <c r="D816" s="671" t="s">
        <v>823</v>
      </c>
      <c r="E816" s="672"/>
      <c r="F816" s="672"/>
      <c r="G816" s="673"/>
      <c r="H816" s="345" t="s">
        <v>34</v>
      </c>
      <c r="I816" s="238">
        <v>69604</v>
      </c>
      <c r="J816" s="107">
        <f>SUMIFS(APUS!Y:Y,APUS!M:M,INSUMOS!C816)</f>
        <v>0</v>
      </c>
      <c r="K816" s="209">
        <f t="shared" si="57"/>
        <v>0</v>
      </c>
      <c r="N816" s="123">
        <f>IFERROR(SUMIFS(APUS!$Z$140:$Z$182,APUS!$N$183:Q231,INSUMOS!D816),0)</f>
        <v>0</v>
      </c>
      <c r="O816" s="114">
        <f t="shared" ref="O816:O879" si="58">+N816-K816</f>
        <v>0</v>
      </c>
      <c r="P816" s="94"/>
      <c r="Q816" s="116" t="str">
        <f t="shared" ref="Q816:Q879" si="59">+IF(K816=0,"SI","NO")</f>
        <v>SI</v>
      </c>
    </row>
    <row r="817" spans="3:17" ht="15" hidden="1" customHeight="1" x14ac:dyDescent="0.25">
      <c r="C817" s="106">
        <v>893</v>
      </c>
      <c r="D817" s="671" t="s">
        <v>824</v>
      </c>
      <c r="E817" s="672"/>
      <c r="F817" s="672"/>
      <c r="G817" s="673"/>
      <c r="H817" s="345" t="s">
        <v>34</v>
      </c>
      <c r="I817" s="238">
        <v>39610</v>
      </c>
      <c r="J817" s="107">
        <f>SUMIFS(APUS!Y:Y,APUS!M:M,INSUMOS!C817)</f>
        <v>0</v>
      </c>
      <c r="K817" s="209">
        <f t="shared" si="57"/>
        <v>0</v>
      </c>
      <c r="N817" s="123">
        <f>IFERROR(SUMIFS(APUS!$Z$140:$Z$182,APUS!$N$183:Q231,INSUMOS!D817),0)</f>
        <v>0</v>
      </c>
      <c r="O817" s="114">
        <f t="shared" si="58"/>
        <v>0</v>
      </c>
      <c r="P817" s="94"/>
      <c r="Q817" s="116" t="str">
        <f t="shared" si="59"/>
        <v>SI</v>
      </c>
    </row>
    <row r="818" spans="3:17" ht="15" hidden="1" customHeight="1" x14ac:dyDescent="0.25">
      <c r="C818" s="106">
        <v>894</v>
      </c>
      <c r="D818" s="671" t="s">
        <v>825</v>
      </c>
      <c r="E818" s="672"/>
      <c r="F818" s="672"/>
      <c r="G818" s="673"/>
      <c r="H818" s="345" t="s">
        <v>34</v>
      </c>
      <c r="I818" s="238">
        <v>477866</v>
      </c>
      <c r="J818" s="107">
        <f>SUMIFS(APUS!Y:Y,APUS!M:M,INSUMOS!C818)</f>
        <v>0</v>
      </c>
      <c r="K818" s="209">
        <f t="shared" si="57"/>
        <v>0</v>
      </c>
      <c r="N818" s="123">
        <f>IFERROR(SUMIFS(APUS!$Z$140:$Z$182,APUS!$N$183:Q231,INSUMOS!D818),0)</f>
        <v>0</v>
      </c>
      <c r="O818" s="114">
        <f t="shared" si="58"/>
        <v>0</v>
      </c>
      <c r="P818" s="94"/>
      <c r="Q818" s="116" t="str">
        <f t="shared" si="59"/>
        <v>SI</v>
      </c>
    </row>
    <row r="819" spans="3:17" ht="15" customHeight="1" x14ac:dyDescent="0.25">
      <c r="C819" s="106">
        <v>895</v>
      </c>
      <c r="D819" s="671" t="s">
        <v>858</v>
      </c>
      <c r="E819" s="672"/>
      <c r="F819" s="672"/>
      <c r="G819" s="673"/>
      <c r="H819" s="345" t="s">
        <v>34</v>
      </c>
      <c r="I819" s="238">
        <v>1200234</v>
      </c>
      <c r="J819" s="107">
        <f>SUMIFS(APUS!Y:Y,APUS!M:M,INSUMOS!C819)</f>
        <v>6</v>
      </c>
      <c r="K819" s="209">
        <f t="shared" ref="K819:K851" si="60">+J819*I819</f>
        <v>7201404</v>
      </c>
      <c r="N819" s="123">
        <f>IFERROR(SUMIFS(APUS!$Z$140:$Z$182,APUS!$N$183:Q231,INSUMOS!D819),0)</f>
        <v>0</v>
      </c>
      <c r="O819" s="114">
        <f t="shared" si="58"/>
        <v>-7201404</v>
      </c>
      <c r="P819" s="94"/>
      <c r="Q819" s="116" t="str">
        <f t="shared" si="59"/>
        <v>NO</v>
      </c>
    </row>
    <row r="820" spans="3:17" ht="15" hidden="1" customHeight="1" x14ac:dyDescent="0.25">
      <c r="C820" s="106">
        <v>896</v>
      </c>
      <c r="D820" s="671" t="s">
        <v>826</v>
      </c>
      <c r="E820" s="672"/>
      <c r="F820" s="672"/>
      <c r="G820" s="673"/>
      <c r="H820" s="345" t="s">
        <v>34</v>
      </c>
      <c r="I820" s="238">
        <v>256300</v>
      </c>
      <c r="J820" s="107">
        <f>SUMIFS(APUS!Y:Y,APUS!M:M,INSUMOS!C820)</f>
        <v>0</v>
      </c>
      <c r="K820" s="209">
        <f t="shared" si="60"/>
        <v>0</v>
      </c>
      <c r="N820" s="123">
        <f>IFERROR(SUMIFS(APUS!$Z$140:$Z$182,APUS!$N$183:Q231,INSUMOS!D820),0)</f>
        <v>0</v>
      </c>
      <c r="O820" s="114">
        <f t="shared" si="58"/>
        <v>0</v>
      </c>
      <c r="P820" s="94"/>
      <c r="Q820" s="116" t="str">
        <f t="shared" si="59"/>
        <v>SI</v>
      </c>
    </row>
    <row r="821" spans="3:17" ht="15" customHeight="1" x14ac:dyDescent="0.25">
      <c r="C821" s="106">
        <v>897</v>
      </c>
      <c r="D821" s="671" t="s">
        <v>870</v>
      </c>
      <c r="E821" s="672"/>
      <c r="F821" s="672"/>
      <c r="G821" s="673"/>
      <c r="H821" s="345" t="s">
        <v>34</v>
      </c>
      <c r="I821" s="238">
        <v>15200</v>
      </c>
      <c r="J821" s="107">
        <f>SUMIFS(APUS!Y:Y,APUS!M:M,INSUMOS!C821)</f>
        <v>120</v>
      </c>
      <c r="K821" s="209">
        <f t="shared" si="60"/>
        <v>1824000</v>
      </c>
      <c r="N821" s="123">
        <f>IFERROR(SUMIFS(APUS!$Z$140:$Z$182,APUS!$N$183:Q231,INSUMOS!D821),0)</f>
        <v>0</v>
      </c>
      <c r="O821" s="114">
        <f t="shared" si="58"/>
        <v>-1824000</v>
      </c>
      <c r="P821" s="94"/>
      <c r="Q821" s="116" t="str">
        <f t="shared" si="59"/>
        <v>NO</v>
      </c>
    </row>
    <row r="822" spans="3:17" ht="15" hidden="1" customHeight="1" x14ac:dyDescent="0.25">
      <c r="C822" s="106">
        <v>898</v>
      </c>
      <c r="D822" s="671" t="s">
        <v>827</v>
      </c>
      <c r="E822" s="672"/>
      <c r="F822" s="672"/>
      <c r="G822" s="673"/>
      <c r="H822" s="345" t="s">
        <v>34</v>
      </c>
      <c r="I822" s="238">
        <v>11300</v>
      </c>
      <c r="J822" s="107">
        <f>SUMIFS(APUS!Y:Y,APUS!M:M,INSUMOS!C822)</f>
        <v>0</v>
      </c>
      <c r="K822" s="209">
        <f t="shared" si="60"/>
        <v>0</v>
      </c>
      <c r="N822" s="123">
        <f>IFERROR(SUMIFS(APUS!$Z$140:$Z$182,APUS!$N$183:Q231,INSUMOS!D822),0)</f>
        <v>0</v>
      </c>
      <c r="O822" s="114">
        <f t="shared" si="58"/>
        <v>0</v>
      </c>
      <c r="P822" s="94"/>
      <c r="Q822" s="116" t="str">
        <f t="shared" si="59"/>
        <v>SI</v>
      </c>
    </row>
    <row r="823" spans="3:17" ht="15" customHeight="1" x14ac:dyDescent="0.25">
      <c r="C823" s="106">
        <v>899</v>
      </c>
      <c r="D823" s="671" t="s">
        <v>828</v>
      </c>
      <c r="E823" s="672"/>
      <c r="F823" s="672"/>
      <c r="G823" s="673"/>
      <c r="H823" s="345" t="s">
        <v>34</v>
      </c>
      <c r="I823" s="238">
        <v>19600</v>
      </c>
      <c r="J823" s="107">
        <f>SUMIFS(APUS!Y:Y,APUS!M:M,INSUMOS!C823)</f>
        <v>272</v>
      </c>
      <c r="K823" s="209">
        <f t="shared" si="60"/>
        <v>5331200</v>
      </c>
      <c r="N823" s="123">
        <f>IFERROR(SUMIFS(APUS!$Z$140:$Z$182,APUS!$N$183:Q231,INSUMOS!D823),0)</f>
        <v>0</v>
      </c>
      <c r="O823" s="114">
        <f t="shared" si="58"/>
        <v>-5331200</v>
      </c>
      <c r="P823" s="94"/>
      <c r="Q823" s="116" t="str">
        <f t="shared" si="59"/>
        <v>NO</v>
      </c>
    </row>
    <row r="824" spans="3:17" ht="15.75" hidden="1" customHeight="1" x14ac:dyDescent="0.25">
      <c r="C824" s="106">
        <v>900</v>
      </c>
      <c r="D824" s="677" t="s">
        <v>829</v>
      </c>
      <c r="E824" s="678"/>
      <c r="F824" s="678"/>
      <c r="G824" s="679"/>
      <c r="H824" s="345" t="s">
        <v>34</v>
      </c>
      <c r="I824" s="238">
        <v>195000</v>
      </c>
      <c r="J824" s="107">
        <f>SUMIFS(APUS!Y:Y,APUS!M:M,INSUMOS!C824)</f>
        <v>0</v>
      </c>
      <c r="K824" s="209">
        <f t="shared" si="60"/>
        <v>0</v>
      </c>
      <c r="N824" s="123">
        <f>IFERROR(SUMIFS(APUS!$Z$140:$Z$182,APUS!$N$183:Q231,INSUMOS!D824),0)</f>
        <v>0</v>
      </c>
      <c r="O824" s="114">
        <f t="shared" si="58"/>
        <v>0</v>
      </c>
      <c r="P824" s="94"/>
      <c r="Q824" s="116" t="str">
        <f t="shared" si="59"/>
        <v>SI</v>
      </c>
    </row>
    <row r="825" spans="3:17" ht="30" hidden="1" customHeight="1" x14ac:dyDescent="0.25">
      <c r="C825" s="106">
        <v>901</v>
      </c>
      <c r="D825" s="677" t="s">
        <v>830</v>
      </c>
      <c r="E825" s="678"/>
      <c r="F825" s="678"/>
      <c r="G825" s="679"/>
      <c r="H825" s="345" t="s">
        <v>34</v>
      </c>
      <c r="I825" s="238">
        <v>115000</v>
      </c>
      <c r="J825" s="107">
        <f>SUMIFS(APUS!Y:Y,APUS!M:M,INSUMOS!C825)</f>
        <v>0</v>
      </c>
      <c r="K825" s="209">
        <f t="shared" si="60"/>
        <v>0</v>
      </c>
      <c r="N825" s="123">
        <f>IFERROR(SUMIFS(APUS!$Z$140:$Z$182,APUS!$N$183:Q231,INSUMOS!D825),0)</f>
        <v>0</v>
      </c>
      <c r="O825" s="114">
        <f t="shared" si="58"/>
        <v>0</v>
      </c>
      <c r="P825" s="94"/>
      <c r="Q825" s="116" t="str">
        <f t="shared" si="59"/>
        <v>SI</v>
      </c>
    </row>
    <row r="826" spans="3:17" ht="15" hidden="1" customHeight="1" x14ac:dyDescent="0.25">
      <c r="C826" s="106">
        <v>902</v>
      </c>
      <c r="D826" s="677" t="s">
        <v>831</v>
      </c>
      <c r="E826" s="678"/>
      <c r="F826" s="678"/>
      <c r="G826" s="679"/>
      <c r="H826" s="345" t="s">
        <v>34</v>
      </c>
      <c r="I826" s="238">
        <v>28000</v>
      </c>
      <c r="J826" s="107">
        <f>SUMIFS(APUS!Y:Y,APUS!M:M,INSUMOS!C826)</f>
        <v>0</v>
      </c>
      <c r="K826" s="209">
        <f t="shared" si="60"/>
        <v>0</v>
      </c>
      <c r="N826" s="123">
        <f>IFERROR(SUMIFS(APUS!$Z$140:$Z$182,APUS!$N$183:Q231,INSUMOS!D826),0)</f>
        <v>0</v>
      </c>
      <c r="O826" s="114">
        <f t="shared" si="58"/>
        <v>0</v>
      </c>
      <c r="P826" s="94"/>
      <c r="Q826" s="116" t="str">
        <f t="shared" si="59"/>
        <v>SI</v>
      </c>
    </row>
    <row r="827" spans="3:17" ht="15.75" hidden="1" customHeight="1" x14ac:dyDescent="0.25">
      <c r="C827" s="106">
        <v>903</v>
      </c>
      <c r="D827" s="677" t="s">
        <v>502</v>
      </c>
      <c r="E827" s="678"/>
      <c r="F827" s="678"/>
      <c r="G827" s="679"/>
      <c r="H827" s="345" t="s">
        <v>34</v>
      </c>
      <c r="I827" s="238">
        <v>13310.000000000004</v>
      </c>
      <c r="J827" s="107">
        <f>SUMIFS(APUS!Y:Y,APUS!M:M,INSUMOS!C827)</f>
        <v>0</v>
      </c>
      <c r="K827" s="209">
        <f t="shared" si="60"/>
        <v>0</v>
      </c>
      <c r="N827" s="123">
        <f>IFERROR(SUMIFS(APUS!$Z$140:$Z$182,APUS!$N$183:Q231,INSUMOS!D827),0)</f>
        <v>0</v>
      </c>
      <c r="O827" s="114">
        <f t="shared" si="58"/>
        <v>0</v>
      </c>
      <c r="P827" s="94"/>
      <c r="Q827" s="116" t="str">
        <f t="shared" si="59"/>
        <v>SI</v>
      </c>
    </row>
    <row r="828" spans="3:17" ht="15.75" hidden="1" customHeight="1" x14ac:dyDescent="0.25">
      <c r="C828" s="106">
        <v>904</v>
      </c>
      <c r="D828" s="677" t="s">
        <v>504</v>
      </c>
      <c r="E828" s="678"/>
      <c r="F828" s="678"/>
      <c r="G828" s="679"/>
      <c r="H828" s="345" t="s">
        <v>34</v>
      </c>
      <c r="I828" s="238">
        <v>20763.600000000002</v>
      </c>
      <c r="J828" s="107">
        <f>SUMIFS(APUS!Y:Y,APUS!M:M,INSUMOS!C828)</f>
        <v>0</v>
      </c>
      <c r="K828" s="209">
        <f t="shared" si="60"/>
        <v>0</v>
      </c>
      <c r="N828" s="123">
        <f>IFERROR(SUMIFS(APUS!$Z$140:$Z$182,APUS!$N$183:Q231,INSUMOS!D828),0)</f>
        <v>0</v>
      </c>
      <c r="O828" s="114">
        <f t="shared" si="58"/>
        <v>0</v>
      </c>
      <c r="P828" s="94"/>
      <c r="Q828" s="116" t="str">
        <f t="shared" si="59"/>
        <v>SI</v>
      </c>
    </row>
    <row r="829" spans="3:17" hidden="1" x14ac:dyDescent="0.25">
      <c r="C829" s="106">
        <v>905</v>
      </c>
      <c r="D829" s="677" t="s">
        <v>508</v>
      </c>
      <c r="E829" s="678"/>
      <c r="F829" s="678"/>
      <c r="G829" s="679"/>
      <c r="H829" s="345" t="s">
        <v>34</v>
      </c>
      <c r="I829" s="238">
        <v>11034.716000000002</v>
      </c>
      <c r="J829" s="107">
        <f>SUMIFS(APUS!Y:Y,APUS!M:M,INSUMOS!C829)</f>
        <v>0</v>
      </c>
      <c r="K829" s="209">
        <f t="shared" si="60"/>
        <v>0</v>
      </c>
      <c r="N829" s="123">
        <f>IFERROR(SUMIFS(APUS!$Z$140:$Z$182,APUS!$N$183:Q231,INSUMOS!D829),0)</f>
        <v>0</v>
      </c>
      <c r="O829" s="114">
        <f t="shared" si="58"/>
        <v>0</v>
      </c>
      <c r="P829" s="94"/>
      <c r="Q829" s="116" t="str">
        <f t="shared" si="59"/>
        <v>SI</v>
      </c>
    </row>
    <row r="830" spans="3:17" hidden="1" x14ac:dyDescent="0.25">
      <c r="C830" s="106">
        <v>906</v>
      </c>
      <c r="D830" s="677" t="s">
        <v>498</v>
      </c>
      <c r="E830" s="678"/>
      <c r="F830" s="678"/>
      <c r="G830" s="679"/>
      <c r="H830" s="345" t="s">
        <v>33</v>
      </c>
      <c r="I830" s="238">
        <v>1815.0000000000005</v>
      </c>
      <c r="J830" s="107">
        <f>SUMIFS(APUS!Y:Y,APUS!M:M,INSUMOS!C830)</f>
        <v>0</v>
      </c>
      <c r="K830" s="209">
        <f t="shared" si="60"/>
        <v>0</v>
      </c>
      <c r="N830" s="123">
        <f>IFERROR(SUMIFS(APUS!$Z$140:$Z$182,APUS!$N$183:Q231,INSUMOS!D830),0)</f>
        <v>0</v>
      </c>
      <c r="O830" s="114">
        <f t="shared" si="58"/>
        <v>0</v>
      </c>
      <c r="P830" s="94"/>
      <c r="Q830" s="116" t="str">
        <f t="shared" si="59"/>
        <v>SI</v>
      </c>
    </row>
    <row r="831" spans="3:17" hidden="1" x14ac:dyDescent="0.25">
      <c r="C831" s="106">
        <v>907</v>
      </c>
      <c r="D831" s="677" t="s">
        <v>503</v>
      </c>
      <c r="E831" s="678"/>
      <c r="F831" s="678"/>
      <c r="G831" s="679"/>
      <c r="H831" s="345" t="s">
        <v>33</v>
      </c>
      <c r="I831" s="238">
        <v>4259.2000000000007</v>
      </c>
      <c r="J831" s="107">
        <f>SUMIFS(APUS!Y:Y,APUS!M:M,INSUMOS!C831)</f>
        <v>0</v>
      </c>
      <c r="K831" s="209">
        <f t="shared" si="60"/>
        <v>0</v>
      </c>
      <c r="N831" s="123">
        <f>IFERROR(SUMIFS(APUS!$Z$140:$Z$182,APUS!$N$183:Q231,INSUMOS!D831),0)</f>
        <v>0</v>
      </c>
      <c r="O831" s="114">
        <f t="shared" si="58"/>
        <v>0</v>
      </c>
      <c r="P831" s="94"/>
      <c r="Q831" s="116" t="str">
        <f t="shared" si="59"/>
        <v>SI</v>
      </c>
    </row>
    <row r="832" spans="3:17" ht="15.75" hidden="1" customHeight="1" x14ac:dyDescent="0.25">
      <c r="C832" s="106">
        <v>908</v>
      </c>
      <c r="D832" s="677" t="s">
        <v>492</v>
      </c>
      <c r="E832" s="678"/>
      <c r="F832" s="678"/>
      <c r="G832" s="679"/>
      <c r="H832" s="346" t="s">
        <v>33</v>
      </c>
      <c r="I832" s="238">
        <v>10587.5</v>
      </c>
      <c r="J832" s="107">
        <f>SUMIFS(APUS!Y:Y,APUS!M:M,INSUMOS!C832)</f>
        <v>0</v>
      </c>
      <c r="K832" s="209">
        <f t="shared" si="60"/>
        <v>0</v>
      </c>
      <c r="N832" s="123">
        <f>IFERROR(SUMIFS(APUS!$Z$140:$Z$182,APUS!$N$183:Q231,INSUMOS!D832),0)</f>
        <v>0</v>
      </c>
      <c r="O832" s="114">
        <f t="shared" si="58"/>
        <v>0</v>
      </c>
      <c r="P832" s="94"/>
      <c r="Q832" s="116" t="str">
        <f t="shared" si="59"/>
        <v>SI</v>
      </c>
    </row>
    <row r="833" spans="3:17" ht="15.75" hidden="1" customHeight="1" x14ac:dyDescent="0.25">
      <c r="C833" s="106">
        <v>909</v>
      </c>
      <c r="D833" s="677" t="s">
        <v>832</v>
      </c>
      <c r="E833" s="678"/>
      <c r="F833" s="678"/>
      <c r="G833" s="679"/>
      <c r="H833" s="346" t="s">
        <v>34</v>
      </c>
      <c r="I833" s="238">
        <v>147000</v>
      </c>
      <c r="J833" s="107">
        <f>SUMIFS(APUS!Y:Y,APUS!M:M,INSUMOS!C833)</f>
        <v>0</v>
      </c>
      <c r="K833" s="209">
        <f t="shared" si="60"/>
        <v>0</v>
      </c>
      <c r="N833" s="123">
        <f>IFERROR(SUMIFS(APUS!$Z$140:$Z$182,APUS!$N$183:Q231,INSUMOS!D833),0)</f>
        <v>0</v>
      </c>
      <c r="O833" s="114">
        <f t="shared" si="58"/>
        <v>0</v>
      </c>
      <c r="P833" s="94"/>
      <c r="Q833" s="116" t="str">
        <f t="shared" si="59"/>
        <v>SI</v>
      </c>
    </row>
    <row r="834" spans="3:17" ht="15.75" hidden="1" customHeight="1" x14ac:dyDescent="0.25">
      <c r="C834" s="106">
        <v>910</v>
      </c>
      <c r="D834" s="677"/>
      <c r="E834" s="678"/>
      <c r="F834" s="678"/>
      <c r="G834" s="679"/>
      <c r="H834" s="346"/>
      <c r="I834" s="238"/>
      <c r="J834" s="107">
        <f>SUMIFS(APUS!Y:Y,APUS!M:M,INSUMOS!C834)</f>
        <v>0</v>
      </c>
      <c r="K834" s="209">
        <f t="shared" si="60"/>
        <v>0</v>
      </c>
      <c r="N834" s="123">
        <f>IFERROR(SUMIFS(APUS!$Z$140:$Z$182,APUS!$N$183:Q231,INSUMOS!D834),0)</f>
        <v>0</v>
      </c>
      <c r="O834" s="114">
        <f t="shared" si="58"/>
        <v>0</v>
      </c>
      <c r="P834" s="94"/>
      <c r="Q834" s="116" t="str">
        <f t="shared" si="59"/>
        <v>SI</v>
      </c>
    </row>
    <row r="835" spans="3:17" ht="15.75" hidden="1" customHeight="1" x14ac:dyDescent="0.25">
      <c r="C835" s="106">
        <v>911</v>
      </c>
      <c r="D835" s="677" t="s">
        <v>493</v>
      </c>
      <c r="E835" s="678"/>
      <c r="F835" s="678"/>
      <c r="G835" s="679"/>
      <c r="H835" s="346" t="s">
        <v>34</v>
      </c>
      <c r="I835" s="238">
        <v>353000</v>
      </c>
      <c r="J835" s="107">
        <f>SUMIFS(APUS!Y:Y,APUS!M:M,INSUMOS!C835)</f>
        <v>0</v>
      </c>
      <c r="K835" s="209">
        <f t="shared" si="60"/>
        <v>0</v>
      </c>
      <c r="N835" s="123">
        <f>IFERROR(SUMIFS(APUS!$Z$140:$Z$182,APUS!$N$183:Q231,INSUMOS!D835),0)</f>
        <v>0</v>
      </c>
      <c r="O835" s="114">
        <f t="shared" si="58"/>
        <v>0</v>
      </c>
      <c r="P835" s="94"/>
      <c r="Q835" s="116" t="str">
        <f t="shared" si="59"/>
        <v>SI</v>
      </c>
    </row>
    <row r="836" spans="3:17" ht="15.75" hidden="1" customHeight="1" x14ac:dyDescent="0.25">
      <c r="C836" s="106">
        <v>912</v>
      </c>
      <c r="D836" s="677" t="s">
        <v>495</v>
      </c>
      <c r="E836" s="678"/>
      <c r="F836" s="678"/>
      <c r="G836" s="679"/>
      <c r="H836" s="346" t="s">
        <v>34</v>
      </c>
      <c r="I836" s="238">
        <v>484080</v>
      </c>
      <c r="J836" s="107">
        <f>SUMIFS(APUS!Y:Y,APUS!M:M,INSUMOS!C836)</f>
        <v>0</v>
      </c>
      <c r="K836" s="209">
        <f t="shared" si="60"/>
        <v>0</v>
      </c>
      <c r="N836" s="123">
        <f>IFERROR(SUMIFS(APUS!$Z$140:$Z$182,APUS!$N$183:Q231,INSUMOS!D836),0)</f>
        <v>0</v>
      </c>
      <c r="O836" s="114">
        <f t="shared" si="58"/>
        <v>0</v>
      </c>
      <c r="P836" s="94"/>
      <c r="Q836" s="116" t="str">
        <f t="shared" si="59"/>
        <v>SI</v>
      </c>
    </row>
    <row r="837" spans="3:17" ht="15.75" hidden="1" customHeight="1" x14ac:dyDescent="0.25">
      <c r="C837" s="106">
        <v>913</v>
      </c>
      <c r="D837" s="677" t="s">
        <v>491</v>
      </c>
      <c r="E837" s="678"/>
      <c r="F837" s="678"/>
      <c r="G837" s="679"/>
      <c r="H837" s="346" t="s">
        <v>34</v>
      </c>
      <c r="I837" s="238">
        <v>3509000.0000000009</v>
      </c>
      <c r="J837" s="107">
        <f>SUMIFS(APUS!Y:Y,APUS!M:M,INSUMOS!C837)</f>
        <v>0</v>
      </c>
      <c r="K837" s="209">
        <f t="shared" si="60"/>
        <v>0</v>
      </c>
      <c r="N837" s="123">
        <f>IFERROR(SUMIFS(APUS!$Z$140:$Z$182,APUS!$N$183:Q231,INSUMOS!D837),0)</f>
        <v>0</v>
      </c>
      <c r="O837" s="114">
        <f t="shared" si="58"/>
        <v>0</v>
      </c>
      <c r="P837" s="94"/>
      <c r="Q837" s="116" t="str">
        <f t="shared" si="59"/>
        <v>SI</v>
      </c>
    </row>
    <row r="838" spans="3:17" ht="15.75" hidden="1" customHeight="1" x14ac:dyDescent="0.25">
      <c r="C838" s="106">
        <v>914</v>
      </c>
      <c r="D838" s="677" t="s">
        <v>507</v>
      </c>
      <c r="E838" s="678"/>
      <c r="F838" s="678"/>
      <c r="G838" s="679"/>
      <c r="H838" s="346" t="s">
        <v>34</v>
      </c>
      <c r="I838" s="238">
        <v>13821.104000000003</v>
      </c>
      <c r="J838" s="107">
        <f>SUMIFS(APUS!Y:Y,APUS!M:M,INSUMOS!C838)</f>
        <v>0</v>
      </c>
      <c r="K838" s="209">
        <f t="shared" si="60"/>
        <v>0</v>
      </c>
      <c r="N838" s="123">
        <f>IFERROR(SUMIFS(APUS!$Z$140:$Z$182,APUS!$N$183:Q231,INSUMOS!D838),0)</f>
        <v>0</v>
      </c>
      <c r="O838" s="114">
        <f t="shared" si="58"/>
        <v>0</v>
      </c>
      <c r="P838" s="94"/>
      <c r="Q838" s="116" t="str">
        <f t="shared" si="59"/>
        <v>SI</v>
      </c>
    </row>
    <row r="839" spans="3:17" ht="30" hidden="1" customHeight="1" x14ac:dyDescent="0.25">
      <c r="C839" s="106">
        <v>915</v>
      </c>
      <c r="D839" s="677" t="s">
        <v>494</v>
      </c>
      <c r="E839" s="678"/>
      <c r="F839" s="678"/>
      <c r="G839" s="679"/>
      <c r="H839" s="346" t="s">
        <v>34</v>
      </c>
      <c r="I839" s="238">
        <v>229900.00000000006</v>
      </c>
      <c r="J839" s="107">
        <f>SUMIFS(APUS!Y:Y,APUS!M:M,INSUMOS!C839)</f>
        <v>0</v>
      </c>
      <c r="K839" s="209">
        <f t="shared" si="60"/>
        <v>0</v>
      </c>
      <c r="N839" s="123">
        <f>IFERROR(SUMIFS(APUS!$Z$140:$Z$182,APUS!$N$183:Q231,INSUMOS!D839),0)</f>
        <v>0</v>
      </c>
      <c r="O839" s="114">
        <f t="shared" si="58"/>
        <v>0</v>
      </c>
      <c r="P839" s="94"/>
      <c r="Q839" s="116" t="str">
        <f t="shared" si="59"/>
        <v>SI</v>
      </c>
    </row>
    <row r="840" spans="3:17" ht="15.75" hidden="1" customHeight="1" x14ac:dyDescent="0.25">
      <c r="C840" s="106">
        <v>916</v>
      </c>
      <c r="D840" s="677" t="s">
        <v>496</v>
      </c>
      <c r="E840" s="678"/>
      <c r="F840" s="678"/>
      <c r="G840" s="679"/>
      <c r="H840" s="346" t="s">
        <v>34</v>
      </c>
      <c r="I840" s="238">
        <v>60500.000000000015</v>
      </c>
      <c r="J840" s="107">
        <f>SUMIFS(APUS!Y:Y,APUS!M:M,INSUMOS!C840)</f>
        <v>0</v>
      </c>
      <c r="K840" s="209">
        <f t="shared" si="60"/>
        <v>0</v>
      </c>
      <c r="N840" s="123">
        <f>IFERROR(SUMIFS(APUS!$Z$140:$Z$182,APUS!$N$183:Q231,INSUMOS!D840),0)</f>
        <v>0</v>
      </c>
      <c r="O840" s="114">
        <f t="shared" si="58"/>
        <v>0</v>
      </c>
      <c r="P840" s="94"/>
      <c r="Q840" s="116" t="str">
        <f t="shared" si="59"/>
        <v>SI</v>
      </c>
    </row>
    <row r="841" spans="3:17" ht="15.75" hidden="1" customHeight="1" x14ac:dyDescent="0.25">
      <c r="C841" s="106">
        <v>917</v>
      </c>
      <c r="D841" s="677" t="s">
        <v>497</v>
      </c>
      <c r="E841" s="678"/>
      <c r="F841" s="678"/>
      <c r="G841" s="679"/>
      <c r="H841" s="346" t="s">
        <v>34</v>
      </c>
      <c r="I841" s="238">
        <v>30250.000000000007</v>
      </c>
      <c r="J841" s="107">
        <f>SUMIFS(APUS!Y:Y,APUS!M:M,INSUMOS!C841)</f>
        <v>0</v>
      </c>
      <c r="K841" s="209">
        <f t="shared" si="60"/>
        <v>0</v>
      </c>
      <c r="N841" s="123">
        <f>IFERROR(SUMIFS(APUS!$Z$140:$Z$182,APUS!$N$183:Q231,INSUMOS!D841),0)</f>
        <v>0</v>
      </c>
      <c r="O841" s="114">
        <f t="shared" si="58"/>
        <v>0</v>
      </c>
      <c r="P841" s="94"/>
      <c r="Q841" s="116" t="str">
        <f t="shared" si="59"/>
        <v>SI</v>
      </c>
    </row>
    <row r="842" spans="3:17" ht="15.75" hidden="1" customHeight="1" x14ac:dyDescent="0.25">
      <c r="C842" s="106">
        <v>918</v>
      </c>
      <c r="D842" s="677" t="s">
        <v>499</v>
      </c>
      <c r="E842" s="678"/>
      <c r="F842" s="678"/>
      <c r="G842" s="679"/>
      <c r="H842" s="346" t="s">
        <v>34</v>
      </c>
      <c r="I842" s="238">
        <v>3025.0000000000005</v>
      </c>
      <c r="J842" s="107">
        <f>SUMIFS(APUS!Y:Y,APUS!M:M,INSUMOS!C842)</f>
        <v>0</v>
      </c>
      <c r="K842" s="209">
        <f t="shared" si="60"/>
        <v>0</v>
      </c>
      <c r="N842" s="123">
        <f>IFERROR(SUMIFS(APUS!$Z$140:$Z$182,APUS!$N$183:Q231,INSUMOS!D842),0)</f>
        <v>0</v>
      </c>
      <c r="O842" s="114">
        <f t="shared" si="58"/>
        <v>0</v>
      </c>
      <c r="P842" s="94"/>
      <c r="Q842" s="116" t="str">
        <f t="shared" si="59"/>
        <v>SI</v>
      </c>
    </row>
    <row r="843" spans="3:17" ht="15.75" hidden="1" customHeight="1" x14ac:dyDescent="0.25">
      <c r="C843" s="106">
        <v>919</v>
      </c>
      <c r="D843" s="677" t="s">
        <v>500</v>
      </c>
      <c r="E843" s="678"/>
      <c r="F843" s="678"/>
      <c r="G843" s="679"/>
      <c r="H843" s="346" t="s">
        <v>34</v>
      </c>
      <c r="I843" s="238">
        <v>2395.8000000000002</v>
      </c>
      <c r="J843" s="107">
        <f>SUMIFS(APUS!Y:Y,APUS!M:M,INSUMOS!C843)</f>
        <v>0</v>
      </c>
      <c r="K843" s="209">
        <f t="shared" si="60"/>
        <v>0</v>
      </c>
      <c r="N843" s="123"/>
      <c r="O843" s="114"/>
      <c r="P843" s="94"/>
      <c r="Q843" s="116"/>
    </row>
    <row r="844" spans="3:17" ht="15" hidden="1" customHeight="1" x14ac:dyDescent="0.25">
      <c r="C844" s="106">
        <v>920</v>
      </c>
      <c r="D844" s="677" t="s">
        <v>505</v>
      </c>
      <c r="E844" s="678"/>
      <c r="F844" s="678"/>
      <c r="G844" s="679"/>
      <c r="H844" s="346" t="s">
        <v>34</v>
      </c>
      <c r="I844" s="238">
        <v>5989.5000000000009</v>
      </c>
      <c r="J844" s="107">
        <f>SUMIFS(APUS!Y:Y,APUS!M:M,INSUMOS!C844)</f>
        <v>0</v>
      </c>
      <c r="K844" s="209">
        <f t="shared" si="60"/>
        <v>0</v>
      </c>
      <c r="N844" s="123">
        <f>IFERROR(SUMIFS(APUS!$Z$140:$Z$182,APUS!$N$183:Q231,INSUMOS!D844),0)</f>
        <v>0</v>
      </c>
      <c r="O844" s="114">
        <f t="shared" si="58"/>
        <v>0</v>
      </c>
      <c r="P844" s="94"/>
      <c r="Q844" s="116" t="str">
        <f t="shared" si="59"/>
        <v>SI</v>
      </c>
    </row>
    <row r="845" spans="3:17" ht="15" hidden="1" customHeight="1" x14ac:dyDescent="0.25">
      <c r="C845" s="106">
        <v>921</v>
      </c>
      <c r="D845" s="677" t="s">
        <v>501</v>
      </c>
      <c r="E845" s="678"/>
      <c r="F845" s="678"/>
      <c r="G845" s="679"/>
      <c r="H845" s="346" t="s">
        <v>34</v>
      </c>
      <c r="I845" s="238">
        <v>505.78000000000003</v>
      </c>
      <c r="J845" s="107">
        <f>SUMIFS(APUS!Y:Y,APUS!M:M,INSUMOS!C845)</f>
        <v>0</v>
      </c>
      <c r="K845" s="209">
        <f t="shared" si="60"/>
        <v>0</v>
      </c>
      <c r="N845" s="123">
        <f>IFERROR(SUMIFS(APUS!$Z$140:$Z$182,APUS!$N$183:Q231,INSUMOS!D845),0)</f>
        <v>0</v>
      </c>
      <c r="O845" s="114">
        <f t="shared" si="58"/>
        <v>0</v>
      </c>
      <c r="P845" s="94"/>
      <c r="Q845" s="116" t="str">
        <f t="shared" si="59"/>
        <v>SI</v>
      </c>
    </row>
    <row r="846" spans="3:17" ht="15" hidden="1" customHeight="1" x14ac:dyDescent="0.25">
      <c r="C846" s="106">
        <v>922</v>
      </c>
      <c r="D846" s="677" t="s">
        <v>506</v>
      </c>
      <c r="E846" s="678"/>
      <c r="F846" s="678"/>
      <c r="G846" s="679"/>
      <c r="H846" s="346" t="s">
        <v>34</v>
      </c>
      <c r="I846" s="238">
        <v>27551.700000000008</v>
      </c>
      <c r="J846" s="107">
        <f>SUMIFS(APUS!Y:Y,APUS!M:M,INSUMOS!C846)</f>
        <v>0</v>
      </c>
      <c r="K846" s="209">
        <f t="shared" si="60"/>
        <v>0</v>
      </c>
      <c r="N846" s="123">
        <f>IFERROR(SUMIFS(APUS!$Z$140:$Z$182,APUS!$N$183:Q231,INSUMOS!D846),0)</f>
        <v>0</v>
      </c>
      <c r="O846" s="114">
        <f t="shared" si="58"/>
        <v>0</v>
      </c>
      <c r="P846" s="94"/>
      <c r="Q846" s="116" t="str">
        <f t="shared" si="59"/>
        <v>SI</v>
      </c>
    </row>
    <row r="847" spans="3:17" ht="15" hidden="1" customHeight="1" x14ac:dyDescent="0.25">
      <c r="C847" s="106">
        <v>923</v>
      </c>
      <c r="D847" s="677"/>
      <c r="E847" s="678"/>
      <c r="F847" s="678"/>
      <c r="G847" s="679"/>
      <c r="H847" s="345"/>
      <c r="I847" s="238"/>
      <c r="J847" s="107">
        <f>SUMIFS(APUS!Y:Y,APUS!M:M,INSUMOS!C847)</f>
        <v>0</v>
      </c>
      <c r="K847" s="209">
        <f t="shared" si="60"/>
        <v>0</v>
      </c>
      <c r="N847" s="123">
        <f>IFERROR(SUMIFS(APUS!$Z$140:$Z$182,APUS!$N$183:Q231,INSUMOS!D847),0)</f>
        <v>0</v>
      </c>
      <c r="O847" s="114">
        <f t="shared" si="58"/>
        <v>0</v>
      </c>
      <c r="P847" s="94"/>
      <c r="Q847" s="116" t="str">
        <f t="shared" si="59"/>
        <v>SI</v>
      </c>
    </row>
    <row r="848" spans="3:17" ht="30" hidden="1" customHeight="1" x14ac:dyDescent="0.25">
      <c r="C848" s="106">
        <v>924</v>
      </c>
      <c r="D848" s="677" t="s">
        <v>552</v>
      </c>
      <c r="E848" s="678"/>
      <c r="F848" s="678"/>
      <c r="G848" s="679"/>
      <c r="H848" s="346" t="s">
        <v>34</v>
      </c>
      <c r="I848" s="238">
        <v>949850.00000000023</v>
      </c>
      <c r="J848" s="107">
        <f>SUMIFS(APUS!Y:Y,APUS!M:M,INSUMOS!C848)</f>
        <v>0</v>
      </c>
      <c r="K848" s="209">
        <f t="shared" si="60"/>
        <v>0</v>
      </c>
      <c r="N848" s="123">
        <f>IFERROR(SUMIFS(APUS!$Z$140:$Z$182,APUS!$N$183:Q231,INSUMOS!D848),0)</f>
        <v>0</v>
      </c>
      <c r="O848" s="114">
        <f t="shared" si="58"/>
        <v>0</v>
      </c>
      <c r="P848" s="94"/>
      <c r="Q848" s="116" t="str">
        <f t="shared" si="59"/>
        <v>SI</v>
      </c>
    </row>
    <row r="849" spans="3:17" ht="15" hidden="1" customHeight="1" x14ac:dyDescent="0.25">
      <c r="C849" s="106">
        <v>925</v>
      </c>
      <c r="D849" s="677" t="s">
        <v>509</v>
      </c>
      <c r="E849" s="678"/>
      <c r="F849" s="678"/>
      <c r="G849" s="679"/>
      <c r="H849" s="346" t="s">
        <v>34</v>
      </c>
      <c r="I849" s="238">
        <v>707850</v>
      </c>
      <c r="J849" s="107">
        <f>SUMIFS(APUS!Y:Y,APUS!M:M,INSUMOS!C849)</f>
        <v>0</v>
      </c>
      <c r="K849" s="209">
        <f t="shared" si="60"/>
        <v>0</v>
      </c>
      <c r="N849" s="123">
        <f>IFERROR(SUMIFS(APUS!$Z$140:$Z$182,APUS!$N$183:Q231,INSUMOS!D849),0)</f>
        <v>0</v>
      </c>
      <c r="O849" s="114">
        <f t="shared" si="58"/>
        <v>0</v>
      </c>
      <c r="P849" s="94"/>
      <c r="Q849" s="116" t="str">
        <f t="shared" si="59"/>
        <v>SI</v>
      </c>
    </row>
    <row r="850" spans="3:17" ht="15" hidden="1" customHeight="1" x14ac:dyDescent="0.25">
      <c r="C850" s="106">
        <v>926</v>
      </c>
      <c r="D850" s="677" t="s">
        <v>510</v>
      </c>
      <c r="E850" s="678"/>
      <c r="F850" s="678"/>
      <c r="G850" s="679"/>
      <c r="H850" s="346" t="s">
        <v>34</v>
      </c>
      <c r="I850" s="238">
        <v>636460</v>
      </c>
      <c r="J850" s="107">
        <f>SUMIFS(APUS!Y:Y,APUS!M:M,INSUMOS!C850)</f>
        <v>0</v>
      </c>
      <c r="K850" s="209">
        <f t="shared" si="60"/>
        <v>0</v>
      </c>
      <c r="N850" s="123">
        <f>IFERROR(SUMIFS(APUS!$Z$140:$Z$182,APUS!$N$183:Q231,INSUMOS!D850),0)</f>
        <v>0</v>
      </c>
      <c r="O850" s="114">
        <f t="shared" si="58"/>
        <v>0</v>
      </c>
      <c r="P850" s="94"/>
      <c r="Q850" s="116" t="str">
        <f t="shared" si="59"/>
        <v>SI</v>
      </c>
    </row>
    <row r="851" spans="3:17" ht="13.5" hidden="1" customHeight="1" x14ac:dyDescent="0.25">
      <c r="C851" s="106">
        <v>927</v>
      </c>
      <c r="D851" s="677" t="s">
        <v>511</v>
      </c>
      <c r="E851" s="678"/>
      <c r="F851" s="678"/>
      <c r="G851" s="679"/>
      <c r="H851" s="346" t="s">
        <v>34</v>
      </c>
      <c r="I851" s="238">
        <v>21271.800000000003</v>
      </c>
      <c r="J851" s="107">
        <f>SUMIFS(APUS!Y:Y,APUS!M:M,INSUMOS!C851)</f>
        <v>0</v>
      </c>
      <c r="K851" s="209">
        <f t="shared" si="60"/>
        <v>0</v>
      </c>
      <c r="N851" s="123">
        <f>IFERROR(SUMIFS(APUS!$Z$140:$Z$182,APUS!$N$183:Q231,INSUMOS!D851),0)</f>
        <v>0</v>
      </c>
      <c r="O851" s="114">
        <f t="shared" si="58"/>
        <v>0</v>
      </c>
      <c r="P851" s="94"/>
      <c r="Q851" s="116" t="str">
        <f t="shared" si="59"/>
        <v>SI</v>
      </c>
    </row>
    <row r="852" spans="3:17" ht="15" hidden="1" customHeight="1" x14ac:dyDescent="0.25">
      <c r="C852" s="106">
        <v>928</v>
      </c>
      <c r="D852" s="671" t="s">
        <v>514</v>
      </c>
      <c r="E852" s="672"/>
      <c r="F852" s="672"/>
      <c r="G852" s="673"/>
      <c r="H852" s="344" t="s">
        <v>260</v>
      </c>
      <c r="I852" s="238">
        <v>193850</v>
      </c>
      <c r="J852" s="107">
        <f>SUMIFS(APUS!Y:Y,APUS!M:M,INSUMOS!C852)</f>
        <v>0</v>
      </c>
      <c r="K852" s="209">
        <f>+J852*I852</f>
        <v>0</v>
      </c>
      <c r="N852" s="123">
        <f>IFERROR(SUMIFS(APUS!$Z$140:$Z$182,APUS!$N$183:Q231,INSUMOS!D852),0)</f>
        <v>0</v>
      </c>
      <c r="O852" s="114">
        <f t="shared" si="58"/>
        <v>0</v>
      </c>
      <c r="P852" s="94"/>
      <c r="Q852" s="116" t="str">
        <f t="shared" si="59"/>
        <v>SI</v>
      </c>
    </row>
    <row r="853" spans="3:17" ht="15" customHeight="1" x14ac:dyDescent="0.25">
      <c r="C853" s="106">
        <v>929</v>
      </c>
      <c r="D853" s="677" t="s">
        <v>871</v>
      </c>
      <c r="E853" s="678"/>
      <c r="F853" s="678"/>
      <c r="G853" s="679"/>
      <c r="H853" s="345" t="s">
        <v>34</v>
      </c>
      <c r="I853" s="238">
        <v>1120000</v>
      </c>
      <c r="J853" s="107">
        <f>SUMIFS(APUS!Y:Y,APUS!M:M,INSUMOS!C853)</f>
        <v>1</v>
      </c>
      <c r="K853" s="209">
        <f t="shared" ref="K853:K915" si="61">+J853*I853</f>
        <v>1120000</v>
      </c>
      <c r="N853" s="123">
        <f>IFERROR(SUMIFS(APUS!$Z$140:$Z$182,APUS!$N$183:Q231,INSUMOS!D853),0)</f>
        <v>0</v>
      </c>
      <c r="O853" s="114">
        <f t="shared" si="58"/>
        <v>-1120000</v>
      </c>
      <c r="P853" s="94"/>
      <c r="Q853" s="116" t="str">
        <f t="shared" si="59"/>
        <v>NO</v>
      </c>
    </row>
    <row r="854" spans="3:17" ht="15" customHeight="1" x14ac:dyDescent="0.25">
      <c r="C854" s="106">
        <v>930</v>
      </c>
      <c r="D854" s="671" t="s">
        <v>862</v>
      </c>
      <c r="E854" s="672"/>
      <c r="F854" s="672"/>
      <c r="G854" s="673"/>
      <c r="H854" s="343" t="s">
        <v>33</v>
      </c>
      <c r="I854" s="238">
        <f>1068000/6*1.19</f>
        <v>211820</v>
      </c>
      <c r="J854" s="107">
        <f>SUMIFS(APUS!Y:Y,APUS!M:M,INSUMOS!C854)</f>
        <v>411.42</v>
      </c>
      <c r="K854" s="209">
        <f t="shared" si="61"/>
        <v>87146984.400000006</v>
      </c>
      <c r="N854" s="123">
        <f>IFERROR(SUMIFS(APUS!$Z$140:$Z$182,APUS!$N$183:Q231,INSUMOS!D854),0)</f>
        <v>0</v>
      </c>
      <c r="O854" s="114">
        <f t="shared" si="58"/>
        <v>-87146984.400000006</v>
      </c>
      <c r="P854" s="94"/>
      <c r="Q854" s="116" t="str">
        <f t="shared" si="59"/>
        <v>NO</v>
      </c>
    </row>
    <row r="855" spans="3:17" ht="15" customHeight="1" x14ac:dyDescent="0.25">
      <c r="C855" s="106">
        <v>931</v>
      </c>
      <c r="D855" s="671" t="s">
        <v>833</v>
      </c>
      <c r="E855" s="672"/>
      <c r="F855" s="672"/>
      <c r="G855" s="673"/>
      <c r="H855" s="343" t="s">
        <v>33</v>
      </c>
      <c r="I855" s="238">
        <f>444266/6</f>
        <v>74044.333333333328</v>
      </c>
      <c r="J855" s="107">
        <f>SUMIFS(APUS!Y:Y,APUS!M:M,INSUMOS!C855)</f>
        <v>30.8</v>
      </c>
      <c r="K855" s="209">
        <f t="shared" si="61"/>
        <v>2280565.4666666668</v>
      </c>
      <c r="N855" s="123">
        <f>IFERROR(SUMIFS(APUS!$Z$140:$Z$182,APUS!$N$183:Q231,INSUMOS!D855),0)</f>
        <v>0</v>
      </c>
      <c r="O855" s="114">
        <f t="shared" si="58"/>
        <v>-2280565.4666666668</v>
      </c>
      <c r="P855" s="94"/>
      <c r="Q855" s="116" t="str">
        <f t="shared" si="59"/>
        <v>NO</v>
      </c>
    </row>
    <row r="856" spans="3:17" ht="15" customHeight="1" x14ac:dyDescent="0.25">
      <c r="C856" s="106">
        <v>932</v>
      </c>
      <c r="D856" s="671" t="s">
        <v>834</v>
      </c>
      <c r="E856" s="672"/>
      <c r="F856" s="672"/>
      <c r="G856" s="673"/>
      <c r="H856" s="343" t="s">
        <v>33</v>
      </c>
      <c r="I856" s="238">
        <f>372866/6</f>
        <v>62144.333333333336</v>
      </c>
      <c r="J856" s="107">
        <f>SUMIFS(APUS!Y:Y,APUS!M:M,INSUMOS!C856)</f>
        <v>0.5</v>
      </c>
      <c r="K856" s="209">
        <f t="shared" si="61"/>
        <v>31072.166666666668</v>
      </c>
      <c r="N856" s="123">
        <f>IFERROR(SUMIFS(APUS!$Z$140:$Z$182,APUS!$N$183:Q231,INSUMOS!D856),0)</f>
        <v>0</v>
      </c>
      <c r="O856" s="114">
        <f t="shared" si="58"/>
        <v>-31072.166666666668</v>
      </c>
      <c r="P856" s="94"/>
      <c r="Q856" s="116" t="str">
        <f t="shared" si="59"/>
        <v>NO</v>
      </c>
    </row>
    <row r="857" spans="3:17" ht="15" customHeight="1" x14ac:dyDescent="0.25">
      <c r="C857" s="106">
        <v>933</v>
      </c>
      <c r="D857" s="671" t="s">
        <v>835</v>
      </c>
      <c r="E857" s="672"/>
      <c r="F857" s="672"/>
      <c r="G857" s="673"/>
      <c r="H857" s="343" t="s">
        <v>33</v>
      </c>
      <c r="I857" s="238">
        <f>288771/6</f>
        <v>48128.5</v>
      </c>
      <c r="J857" s="107">
        <f>SUMIFS(APUS!Y:Y,APUS!M:M,INSUMOS!C857)</f>
        <v>344.82</v>
      </c>
      <c r="K857" s="209">
        <f t="shared" si="61"/>
        <v>16595669.369999999</v>
      </c>
      <c r="N857" s="123">
        <f>IFERROR(SUMIFS(APUS!$Z$140:$Z$182,APUS!$N$183:Q231,INSUMOS!D857),0)</f>
        <v>0</v>
      </c>
      <c r="O857" s="114">
        <f t="shared" si="58"/>
        <v>-16595669.369999999</v>
      </c>
      <c r="P857" s="94"/>
      <c r="Q857" s="116" t="str">
        <f t="shared" si="59"/>
        <v>NO</v>
      </c>
    </row>
    <row r="858" spans="3:17" ht="15" customHeight="1" x14ac:dyDescent="0.25">
      <c r="C858" s="106">
        <v>934</v>
      </c>
      <c r="D858" s="671" t="s">
        <v>856</v>
      </c>
      <c r="E858" s="672"/>
      <c r="F858" s="672"/>
      <c r="G858" s="673"/>
      <c r="H858" s="345" t="s">
        <v>34</v>
      </c>
      <c r="I858" s="238">
        <f>+I854*0.15</f>
        <v>31773</v>
      </c>
      <c r="J858" s="107">
        <f>SUMIFS(APUS!Y:Y,APUS!M:M,INSUMOS!C858)</f>
        <v>5</v>
      </c>
      <c r="K858" s="209">
        <f t="shared" si="61"/>
        <v>158865</v>
      </c>
      <c r="N858" s="123">
        <f>IFERROR(SUMIFS(APUS!$Z$140:$Z$182,APUS!$N$183:Q231,INSUMOS!D858),0)</f>
        <v>0</v>
      </c>
      <c r="O858" s="114">
        <f t="shared" si="58"/>
        <v>-158865</v>
      </c>
      <c r="P858" s="94"/>
      <c r="Q858" s="116" t="str">
        <f t="shared" si="59"/>
        <v>NO</v>
      </c>
    </row>
    <row r="859" spans="3:17" ht="29.25" hidden="1" customHeight="1" x14ac:dyDescent="0.25">
      <c r="C859" s="106">
        <v>935</v>
      </c>
      <c r="D859" s="671"/>
      <c r="E859" s="672"/>
      <c r="F859" s="672"/>
      <c r="G859" s="673"/>
      <c r="H859" s="343"/>
      <c r="I859" s="238"/>
      <c r="J859" s="107">
        <f>SUMIFS(APUS!Y:Y,APUS!M:M,INSUMOS!C859)</f>
        <v>0</v>
      </c>
      <c r="K859" s="209">
        <f t="shared" si="61"/>
        <v>0</v>
      </c>
      <c r="N859" s="123">
        <f>IFERROR(SUMIFS(APUS!$Z$140:$Z$182,APUS!$N$183:Q231,INSUMOS!D859),0)</f>
        <v>0</v>
      </c>
      <c r="O859" s="114">
        <f t="shared" si="58"/>
        <v>0</v>
      </c>
      <c r="P859" s="94"/>
      <c r="Q859" s="116" t="str">
        <f t="shared" si="59"/>
        <v>SI</v>
      </c>
    </row>
    <row r="860" spans="3:17" ht="15" customHeight="1" x14ac:dyDescent="0.25">
      <c r="C860" s="106">
        <v>936</v>
      </c>
      <c r="D860" s="671" t="s">
        <v>840</v>
      </c>
      <c r="E860" s="672"/>
      <c r="F860" s="672"/>
      <c r="G860" s="673"/>
      <c r="H860" s="346" t="s">
        <v>842</v>
      </c>
      <c r="I860" s="238">
        <f>215*1.19</f>
        <v>255.85</v>
      </c>
      <c r="J860" s="107">
        <f>SUMIFS(APUS!Y:Y,APUS!M:M,INSUMOS!C860)</f>
        <v>2083.1999999999998</v>
      </c>
      <c r="K860" s="209">
        <f t="shared" si="61"/>
        <v>532986.72</v>
      </c>
      <c r="N860" s="123">
        <f>IFERROR(SUMIFS(APUS!$Z$140:$Z$182,APUS!$N$183:Q231,INSUMOS!D860),0)</f>
        <v>0</v>
      </c>
      <c r="O860" s="114">
        <f t="shared" si="58"/>
        <v>-532986.72</v>
      </c>
      <c r="P860" s="94"/>
      <c r="Q860" s="116" t="str">
        <f t="shared" si="59"/>
        <v>NO</v>
      </c>
    </row>
    <row r="861" spans="3:17" ht="15" customHeight="1" x14ac:dyDescent="0.25">
      <c r="C861" s="106">
        <v>937</v>
      </c>
      <c r="D861" s="671" t="s">
        <v>841</v>
      </c>
      <c r="E861" s="672"/>
      <c r="F861" s="672"/>
      <c r="G861" s="673"/>
      <c r="H861" s="346" t="s">
        <v>34</v>
      </c>
      <c r="I861" s="238">
        <v>1100</v>
      </c>
      <c r="J861" s="107">
        <f>SUMIFS(APUS!Y:Y,APUS!M:M,INSUMOS!C861)</f>
        <v>926</v>
      </c>
      <c r="K861" s="209">
        <f t="shared" si="61"/>
        <v>1018600</v>
      </c>
      <c r="N861" s="123">
        <f>IFERROR(SUMIFS(APUS!$Z$140:$Z$182,APUS!$N$183:Q231,INSUMOS!D861),0)</f>
        <v>0</v>
      </c>
      <c r="O861" s="114">
        <f t="shared" si="58"/>
        <v>-1018600</v>
      </c>
      <c r="P861" s="94"/>
      <c r="Q861" s="116" t="str">
        <f t="shared" si="59"/>
        <v>NO</v>
      </c>
    </row>
    <row r="862" spans="3:17" ht="15" customHeight="1" x14ac:dyDescent="0.25">
      <c r="C862" s="106">
        <v>938</v>
      </c>
      <c r="D862" s="671" t="s">
        <v>843</v>
      </c>
      <c r="E862" s="672"/>
      <c r="F862" s="672"/>
      <c r="G862" s="673"/>
      <c r="H862" s="346" t="s">
        <v>34</v>
      </c>
      <c r="I862" s="238">
        <v>8800</v>
      </c>
      <c r="J862" s="107">
        <f>SUMIFS(APUS!Y:Y,APUS!M:M,INSUMOS!C862)</f>
        <v>926</v>
      </c>
      <c r="K862" s="209">
        <f t="shared" si="61"/>
        <v>8148800</v>
      </c>
      <c r="N862" s="123">
        <f>IFERROR(SUMIFS(APUS!$Z$140:$Z$182,APUS!$N$183:Q231,INSUMOS!D862),0)</f>
        <v>0</v>
      </c>
      <c r="O862" s="114">
        <f t="shared" si="58"/>
        <v>-8148800</v>
      </c>
      <c r="P862" s="94"/>
      <c r="Q862" s="116" t="str">
        <f t="shared" si="59"/>
        <v>NO</v>
      </c>
    </row>
    <row r="863" spans="3:17" ht="15" customHeight="1" x14ac:dyDescent="0.25">
      <c r="C863" s="106">
        <v>939</v>
      </c>
      <c r="D863" s="671" t="s">
        <v>844</v>
      </c>
      <c r="E863" s="672"/>
      <c r="F863" s="672"/>
      <c r="G863" s="673"/>
      <c r="H863" s="343" t="s">
        <v>33</v>
      </c>
      <c r="I863" s="238">
        <v>3500</v>
      </c>
      <c r="J863" s="107">
        <f>SUMIFS(APUS!Y:Y,APUS!M:M,INSUMOS!C863)</f>
        <v>114.60000000000001</v>
      </c>
      <c r="K863" s="209">
        <f t="shared" si="61"/>
        <v>401100.00000000006</v>
      </c>
      <c r="N863" s="123">
        <f>IFERROR(SUMIFS(APUS!$Z$140:$Z$182,APUS!$N$183:Q231,INSUMOS!D863),0)</f>
        <v>0</v>
      </c>
      <c r="O863" s="114">
        <f t="shared" si="58"/>
        <v>-401100.00000000006</v>
      </c>
      <c r="P863" s="94"/>
      <c r="Q863" s="116" t="str">
        <f t="shared" si="59"/>
        <v>NO</v>
      </c>
    </row>
    <row r="864" spans="3:17" ht="15" hidden="1" customHeight="1" x14ac:dyDescent="0.25">
      <c r="C864" s="106">
        <v>940</v>
      </c>
      <c r="D864" s="671"/>
      <c r="E864" s="672"/>
      <c r="F864" s="672"/>
      <c r="G864" s="673"/>
      <c r="H864" s="343"/>
      <c r="I864" s="238"/>
      <c r="J864" s="107">
        <f>SUMIFS(APUS!Y:Y,APUS!M:M,INSUMOS!C864)</f>
        <v>0</v>
      </c>
      <c r="K864" s="209">
        <f t="shared" si="61"/>
        <v>0</v>
      </c>
      <c r="N864" s="123">
        <f>IFERROR(SUMIFS(APUS!$Z$140:$Z$182,APUS!$N$183:Q231,INSUMOS!D864),0)</f>
        <v>0</v>
      </c>
      <c r="O864" s="114">
        <f t="shared" si="58"/>
        <v>0</v>
      </c>
      <c r="P864" s="94"/>
      <c r="Q864" s="116" t="str">
        <f t="shared" si="59"/>
        <v>SI</v>
      </c>
    </row>
    <row r="865" spans="3:17" ht="15" customHeight="1" x14ac:dyDescent="0.25">
      <c r="C865" s="106">
        <v>941</v>
      </c>
      <c r="D865" s="671" t="s">
        <v>860</v>
      </c>
      <c r="E865" s="672"/>
      <c r="F865" s="672"/>
      <c r="G865" s="673"/>
      <c r="H865" s="343" t="s">
        <v>33</v>
      </c>
      <c r="I865" s="238">
        <f>1884156/4.57</f>
        <v>412287.96498905908</v>
      </c>
      <c r="J865" s="107">
        <f>SUMIFS(APUS!Y:Y,APUS!M:M,INSUMOS!C865)</f>
        <v>105.5</v>
      </c>
      <c r="K865" s="209">
        <f t="shared" si="61"/>
        <v>43496380.306345731</v>
      </c>
      <c r="N865" s="123">
        <f>IFERROR(SUMIFS(APUS!$Z$140:$Z$182,APUS!$N$183:Q231,INSUMOS!D865),0)</f>
        <v>0</v>
      </c>
      <c r="O865" s="114">
        <f t="shared" si="58"/>
        <v>-43496380.306345731</v>
      </c>
      <c r="P865" s="94"/>
      <c r="Q865" s="116" t="str">
        <f t="shared" si="59"/>
        <v>NO</v>
      </c>
    </row>
    <row r="866" spans="3:17" ht="15" customHeight="1" x14ac:dyDescent="0.25">
      <c r="C866" s="106">
        <v>942</v>
      </c>
      <c r="D866" s="671" t="s">
        <v>861</v>
      </c>
      <c r="E866" s="672"/>
      <c r="F866" s="672"/>
      <c r="G866" s="673"/>
      <c r="H866" s="343" t="s">
        <v>33</v>
      </c>
      <c r="I866" s="238">
        <f>248630/4.57</f>
        <v>54404.814004376363</v>
      </c>
      <c r="J866" s="107">
        <f>SUMIFS(APUS!Y:Y,APUS!M:M,INSUMOS!C866)</f>
        <v>75.040000000000006</v>
      </c>
      <c r="K866" s="209">
        <f t="shared" si="61"/>
        <v>4082537.2428884027</v>
      </c>
      <c r="N866" s="123">
        <f>IFERROR(SUMIFS(APUS!$Z$140:$Z$182,APUS!$N$183:Q231,INSUMOS!D866),0)</f>
        <v>0</v>
      </c>
      <c r="O866" s="114">
        <f t="shared" si="58"/>
        <v>-4082537.2428884027</v>
      </c>
      <c r="P866" s="94"/>
      <c r="Q866" s="116" t="str">
        <f t="shared" si="59"/>
        <v>NO</v>
      </c>
    </row>
    <row r="867" spans="3:17" ht="15" customHeight="1" x14ac:dyDescent="0.25">
      <c r="C867" s="106">
        <v>943</v>
      </c>
      <c r="D867" s="671" t="s">
        <v>901</v>
      </c>
      <c r="E867" s="672"/>
      <c r="F867" s="672"/>
      <c r="G867" s="673"/>
      <c r="H867" s="346" t="s">
        <v>34</v>
      </c>
      <c r="I867" s="238">
        <v>4550</v>
      </c>
      <c r="J867" s="107">
        <f>SUMIFS(APUS!Y:Y,APUS!M:M,INSUMOS!C867)</f>
        <v>1615</v>
      </c>
      <c r="K867" s="209">
        <f t="shared" si="61"/>
        <v>7348250</v>
      </c>
      <c r="N867" s="123">
        <f>IFERROR(SUMIFS(APUS!$Z$140:$Z$182,APUS!$N$183:Q231,INSUMOS!D867),0)</f>
        <v>0</v>
      </c>
      <c r="O867" s="114">
        <f t="shared" si="58"/>
        <v>-7348250</v>
      </c>
      <c r="P867" s="94"/>
      <c r="Q867" s="116" t="str">
        <f t="shared" si="59"/>
        <v>NO</v>
      </c>
    </row>
    <row r="868" spans="3:17" ht="15" customHeight="1" x14ac:dyDescent="0.25">
      <c r="C868" s="106">
        <v>944</v>
      </c>
      <c r="D868" s="671" t="s">
        <v>902</v>
      </c>
      <c r="E868" s="672"/>
      <c r="F868" s="672"/>
      <c r="G868" s="673"/>
      <c r="H868" s="343" t="s">
        <v>33</v>
      </c>
      <c r="I868" s="238">
        <v>2666.6666666666665</v>
      </c>
      <c r="J868" s="107">
        <f>SUMIFS(APUS!Y:Y,APUS!M:M,INSUMOS!C868)</f>
        <v>1615</v>
      </c>
      <c r="K868" s="209">
        <f t="shared" si="61"/>
        <v>4306666.666666666</v>
      </c>
      <c r="N868" s="123">
        <f>IFERROR(SUMIFS(APUS!$Z$140:$Z$182,APUS!$N$183:Q231,INSUMOS!D868),0)</f>
        <v>0</v>
      </c>
      <c r="O868" s="114">
        <f t="shared" si="58"/>
        <v>-4306666.666666666</v>
      </c>
      <c r="P868" s="94"/>
      <c r="Q868" s="116" t="str">
        <f t="shared" si="59"/>
        <v>NO</v>
      </c>
    </row>
    <row r="869" spans="3:17" x14ac:dyDescent="0.25">
      <c r="C869" s="106">
        <v>945</v>
      </c>
      <c r="D869" s="671" t="s">
        <v>903</v>
      </c>
      <c r="E869" s="672"/>
      <c r="F869" s="672"/>
      <c r="G869" s="673"/>
      <c r="H869" s="346" t="s">
        <v>34</v>
      </c>
      <c r="I869" s="238">
        <v>2500</v>
      </c>
      <c r="J869" s="107">
        <f>SUMIFS(APUS!Y:Y,APUS!M:M,INSUMOS!C869)</f>
        <v>1615</v>
      </c>
      <c r="K869" s="209">
        <f t="shared" si="61"/>
        <v>4037500</v>
      </c>
      <c r="N869" s="123">
        <f>IFERROR(SUMIFS(APUS!$Z$140:$Z$182,APUS!$N$183:Q231,INSUMOS!D869),0)</f>
        <v>0</v>
      </c>
      <c r="O869" s="114">
        <f t="shared" si="58"/>
        <v>-4037500</v>
      </c>
      <c r="P869" s="94"/>
      <c r="Q869" s="116" t="str">
        <f t="shared" si="59"/>
        <v>NO</v>
      </c>
    </row>
    <row r="870" spans="3:17" ht="15" customHeight="1" x14ac:dyDescent="0.25">
      <c r="C870" s="106">
        <v>946</v>
      </c>
      <c r="D870" s="671" t="s">
        <v>904</v>
      </c>
      <c r="E870" s="672"/>
      <c r="F870" s="672"/>
      <c r="G870" s="673"/>
      <c r="H870" s="346" t="s">
        <v>34</v>
      </c>
      <c r="I870" s="238">
        <v>2500</v>
      </c>
      <c r="J870" s="107">
        <f>SUMIFS(APUS!Y:Y,APUS!M:M,INSUMOS!C870)</f>
        <v>1615</v>
      </c>
      <c r="K870" s="209">
        <f t="shared" si="61"/>
        <v>4037500</v>
      </c>
      <c r="N870" s="123">
        <f>IFERROR(SUMIFS(APUS!$Z$140:$Z$182,APUS!$N$183:Q231,INSUMOS!D870),0)</f>
        <v>0</v>
      </c>
      <c r="O870" s="114">
        <f t="shared" si="58"/>
        <v>-4037500</v>
      </c>
      <c r="P870" s="94"/>
      <c r="Q870" s="116" t="str">
        <f t="shared" si="59"/>
        <v>NO</v>
      </c>
    </row>
    <row r="871" spans="3:17" x14ac:dyDescent="0.25">
      <c r="C871" s="106">
        <v>947</v>
      </c>
      <c r="D871" s="671" t="s">
        <v>814</v>
      </c>
      <c r="E871" s="672"/>
      <c r="F871" s="672"/>
      <c r="G871" s="673"/>
      <c r="H871" s="345" t="s">
        <v>34</v>
      </c>
      <c r="I871" s="238">
        <v>7200</v>
      </c>
      <c r="J871" s="107">
        <f>SUMIFS(APUS!Y:Y,APUS!M:M,INSUMOS!C871)</f>
        <v>1</v>
      </c>
      <c r="K871" s="209">
        <f t="shared" si="61"/>
        <v>7200</v>
      </c>
      <c r="N871" s="123">
        <f>IFERROR(SUMIFS(APUS!$Z$140:$Z$182,APUS!$N$183:Q231,INSUMOS!D871),0)</f>
        <v>0</v>
      </c>
      <c r="O871" s="114">
        <f t="shared" si="58"/>
        <v>-7200</v>
      </c>
      <c r="P871" s="94"/>
      <c r="Q871" s="116" t="str">
        <f t="shared" si="59"/>
        <v>NO</v>
      </c>
    </row>
    <row r="872" spans="3:17" ht="15" customHeight="1" x14ac:dyDescent="0.25">
      <c r="C872" s="106">
        <v>948</v>
      </c>
      <c r="D872" s="671" t="s">
        <v>816</v>
      </c>
      <c r="E872" s="672"/>
      <c r="F872" s="672"/>
      <c r="G872" s="673"/>
      <c r="H872" s="345" t="s">
        <v>34</v>
      </c>
      <c r="I872" s="238">
        <v>9350</v>
      </c>
      <c r="J872" s="107">
        <f>SUMIFS(APUS!Y:Y,APUS!M:M,INSUMOS!C872)</f>
        <v>1</v>
      </c>
      <c r="K872" s="209">
        <f t="shared" si="61"/>
        <v>9350</v>
      </c>
      <c r="N872" s="123">
        <f>IFERROR(SUMIFS(APUS!$Z$140:$Z$182,APUS!$N$183:Q231,INSUMOS!D872),0)</f>
        <v>0</v>
      </c>
      <c r="O872" s="114">
        <f t="shared" si="58"/>
        <v>-9350</v>
      </c>
      <c r="P872" s="94"/>
      <c r="Q872" s="116" t="str">
        <f t="shared" si="59"/>
        <v>NO</v>
      </c>
    </row>
    <row r="873" spans="3:17" ht="15.75" thickBot="1" x14ac:dyDescent="0.3">
      <c r="C873" s="106">
        <v>949</v>
      </c>
      <c r="D873" s="668" t="s">
        <v>800</v>
      </c>
      <c r="E873" s="669"/>
      <c r="F873" s="669"/>
      <c r="G873" s="670"/>
      <c r="H873" s="345" t="s">
        <v>34</v>
      </c>
      <c r="I873" s="238">
        <v>17900</v>
      </c>
      <c r="J873" s="107">
        <f>SUMIFS(APUS!Y:Y,APUS!M:M,INSUMOS!C873)</f>
        <v>10</v>
      </c>
      <c r="K873" s="209">
        <f t="shared" si="61"/>
        <v>179000</v>
      </c>
      <c r="N873" s="123">
        <f>IFERROR(SUMIFS(APUS!$Z$140:$Z$182,APUS!$N$183:Q231,INSUMOS!D873),0)</f>
        <v>0</v>
      </c>
      <c r="O873" s="114">
        <f t="shared" si="58"/>
        <v>-179000</v>
      </c>
      <c r="P873" s="94"/>
      <c r="Q873" s="116" t="str">
        <f t="shared" si="59"/>
        <v>NO</v>
      </c>
    </row>
    <row r="874" spans="3:17" hidden="1" x14ac:dyDescent="0.25">
      <c r="C874" s="106">
        <v>950</v>
      </c>
      <c r="D874" s="671"/>
      <c r="E874" s="672"/>
      <c r="F874" s="672"/>
      <c r="G874" s="673"/>
      <c r="H874" s="343"/>
      <c r="I874" s="238"/>
      <c r="J874" s="107">
        <f>SUMIFS(APUS!Y:Y,APUS!M:M,INSUMOS!C874)</f>
        <v>0</v>
      </c>
      <c r="K874" s="209">
        <f t="shared" si="61"/>
        <v>0</v>
      </c>
      <c r="N874" s="123">
        <f>IFERROR(SUMIFS(APUS!$Z$140:$Z$182,APUS!$N$183:Q231,INSUMOS!D874),0)</f>
        <v>0</v>
      </c>
      <c r="O874" s="114">
        <f t="shared" si="58"/>
        <v>0</v>
      </c>
      <c r="P874" s="94"/>
      <c r="Q874" s="116" t="str">
        <f t="shared" si="59"/>
        <v>SI</v>
      </c>
    </row>
    <row r="875" spans="3:17" hidden="1" x14ac:dyDescent="0.25">
      <c r="C875" s="106">
        <v>951</v>
      </c>
      <c r="D875" s="671"/>
      <c r="E875" s="672"/>
      <c r="F875" s="672"/>
      <c r="G875" s="673"/>
      <c r="H875" s="343"/>
      <c r="I875" s="238"/>
      <c r="J875" s="107">
        <f>SUMIFS(APUS!Y:Y,APUS!M:M,INSUMOS!C875)</f>
        <v>0</v>
      </c>
      <c r="K875" s="209">
        <f t="shared" si="61"/>
        <v>0</v>
      </c>
      <c r="N875" s="123">
        <f>IFERROR(SUMIFS(APUS!$Z$140:$Z$182,APUS!$N$183:Q231,INSUMOS!D875),0)</f>
        <v>0</v>
      </c>
      <c r="O875" s="114">
        <f t="shared" si="58"/>
        <v>0</v>
      </c>
      <c r="P875" s="94"/>
      <c r="Q875" s="116" t="str">
        <f t="shared" si="59"/>
        <v>SI</v>
      </c>
    </row>
    <row r="876" spans="3:17" hidden="1" x14ac:dyDescent="0.25">
      <c r="C876" s="106">
        <v>952</v>
      </c>
      <c r="D876" s="671"/>
      <c r="E876" s="672"/>
      <c r="F876" s="672"/>
      <c r="G876" s="673"/>
      <c r="H876" s="343"/>
      <c r="I876" s="238"/>
      <c r="J876" s="107">
        <f>SUMIFS(APUS!Y:Y,APUS!M:M,INSUMOS!C876)</f>
        <v>0</v>
      </c>
      <c r="K876" s="209">
        <f t="shared" si="61"/>
        <v>0</v>
      </c>
      <c r="N876" s="123">
        <f>IFERROR(SUMIFS(APUS!$Z$140:$Z$182,APUS!$N$183:Q231,INSUMOS!D876),0)</f>
        <v>0</v>
      </c>
      <c r="O876" s="114">
        <f t="shared" si="58"/>
        <v>0</v>
      </c>
      <c r="P876" s="94"/>
      <c r="Q876" s="116" t="str">
        <f t="shared" si="59"/>
        <v>SI</v>
      </c>
    </row>
    <row r="877" spans="3:17" hidden="1" x14ac:dyDescent="0.25">
      <c r="C877" s="106">
        <v>953</v>
      </c>
      <c r="D877" s="671"/>
      <c r="E877" s="672"/>
      <c r="F877" s="672"/>
      <c r="G877" s="673"/>
      <c r="H877" s="343"/>
      <c r="I877" s="238"/>
      <c r="J877" s="107">
        <f>SUMIFS(APUS!Y:Y,APUS!M:M,INSUMOS!C877)</f>
        <v>0</v>
      </c>
      <c r="K877" s="209">
        <f t="shared" si="61"/>
        <v>0</v>
      </c>
      <c r="N877" s="123">
        <f>IFERROR(SUMIFS(APUS!$Z$140:$Z$182,APUS!$N$183:Q231,INSUMOS!D877),0)</f>
        <v>0</v>
      </c>
      <c r="O877" s="114">
        <f t="shared" si="58"/>
        <v>0</v>
      </c>
      <c r="P877" s="94"/>
      <c r="Q877" s="116" t="str">
        <f t="shared" si="59"/>
        <v>SI</v>
      </c>
    </row>
    <row r="878" spans="3:17" hidden="1" x14ac:dyDescent="0.25">
      <c r="C878" s="106">
        <v>954</v>
      </c>
      <c r="D878" s="671"/>
      <c r="E878" s="672"/>
      <c r="F878" s="672"/>
      <c r="G878" s="673"/>
      <c r="H878" s="343"/>
      <c r="I878" s="238"/>
      <c r="J878" s="107">
        <f>SUMIFS(APUS!Y:Y,APUS!M:M,INSUMOS!C878)</f>
        <v>0</v>
      </c>
      <c r="K878" s="209">
        <f t="shared" si="61"/>
        <v>0</v>
      </c>
      <c r="N878" s="123">
        <f>IFERROR(SUMIFS(APUS!$Z$140:$Z$182,APUS!$N$183:Q231,INSUMOS!D878),0)</f>
        <v>0</v>
      </c>
      <c r="O878" s="114">
        <f t="shared" si="58"/>
        <v>0</v>
      </c>
      <c r="P878" s="94"/>
      <c r="Q878" s="116" t="str">
        <f t="shared" si="59"/>
        <v>SI</v>
      </c>
    </row>
    <row r="879" spans="3:17" hidden="1" x14ac:dyDescent="0.25">
      <c r="C879" s="106">
        <v>955</v>
      </c>
      <c r="D879" s="671"/>
      <c r="E879" s="672"/>
      <c r="F879" s="672"/>
      <c r="G879" s="673"/>
      <c r="H879" s="343"/>
      <c r="I879" s="238"/>
      <c r="J879" s="107">
        <f>SUMIFS(APUS!Y:Y,APUS!M:M,INSUMOS!C879)</f>
        <v>0</v>
      </c>
      <c r="K879" s="209">
        <f t="shared" si="61"/>
        <v>0</v>
      </c>
      <c r="N879" s="123">
        <f>IFERROR(SUMIFS(APUS!$Z$140:$Z$182,APUS!$N$183:Q231,INSUMOS!D879),0)</f>
        <v>0</v>
      </c>
      <c r="O879" s="114">
        <f t="shared" si="58"/>
        <v>0</v>
      </c>
      <c r="P879" s="94"/>
      <c r="Q879" s="116" t="str">
        <f t="shared" si="59"/>
        <v>SI</v>
      </c>
    </row>
    <row r="880" spans="3:17" hidden="1" x14ac:dyDescent="0.25">
      <c r="C880" s="106">
        <v>956</v>
      </c>
      <c r="D880" s="671"/>
      <c r="E880" s="672"/>
      <c r="F880" s="672"/>
      <c r="G880" s="673"/>
      <c r="H880" s="343"/>
      <c r="I880" s="238"/>
      <c r="J880" s="107">
        <f>SUMIFS(APUS!Y:Y,APUS!M:M,INSUMOS!C880)</f>
        <v>0</v>
      </c>
      <c r="K880" s="209">
        <f t="shared" si="61"/>
        <v>0</v>
      </c>
      <c r="N880" s="123">
        <f>IFERROR(SUMIFS(APUS!$Z$140:$Z$182,APUS!$N$183:Q231,INSUMOS!D880),0)</f>
        <v>0</v>
      </c>
      <c r="O880" s="114">
        <f t="shared" ref="O880:O924" si="62">+N880-K880</f>
        <v>0</v>
      </c>
      <c r="P880" s="94"/>
      <c r="Q880" s="116" t="str">
        <f t="shared" ref="Q880:Q924" si="63">+IF(K880=0,"SI","NO")</f>
        <v>SI</v>
      </c>
    </row>
    <row r="881" spans="3:17" hidden="1" x14ac:dyDescent="0.25">
      <c r="C881" s="106">
        <v>957</v>
      </c>
      <c r="D881" s="671"/>
      <c r="E881" s="672"/>
      <c r="F881" s="672"/>
      <c r="G881" s="673"/>
      <c r="H881" s="343"/>
      <c r="I881" s="238"/>
      <c r="J881" s="107">
        <f>SUMIFS(APUS!Y:Y,APUS!M:M,INSUMOS!C881)</f>
        <v>0</v>
      </c>
      <c r="K881" s="209">
        <f t="shared" si="61"/>
        <v>0</v>
      </c>
      <c r="N881" s="123">
        <f>IFERROR(SUMIFS(APUS!$Z$140:$Z$182,APUS!$N$183:Q231,INSUMOS!D881),0)</f>
        <v>0</v>
      </c>
      <c r="O881" s="114">
        <f t="shared" si="62"/>
        <v>0</v>
      </c>
      <c r="P881" s="94"/>
      <c r="Q881" s="116" t="str">
        <f t="shared" si="63"/>
        <v>SI</v>
      </c>
    </row>
    <row r="882" spans="3:17" ht="15" hidden="1" customHeight="1" x14ac:dyDescent="0.25">
      <c r="C882" s="106">
        <v>958</v>
      </c>
      <c r="D882" s="671"/>
      <c r="E882" s="672"/>
      <c r="F882" s="672"/>
      <c r="G882" s="673"/>
      <c r="H882" s="343"/>
      <c r="I882" s="238"/>
      <c r="J882" s="107">
        <f>SUMIFS(APUS!Y:Y,APUS!M:M,INSUMOS!C882)</f>
        <v>0</v>
      </c>
      <c r="K882" s="209">
        <f t="shared" si="61"/>
        <v>0</v>
      </c>
      <c r="N882" s="123">
        <f>IFERROR(SUMIFS(APUS!$Z$140:$Z$182,APUS!$N$183:Q231,INSUMOS!D882),0)</f>
        <v>0</v>
      </c>
      <c r="O882" s="114">
        <f t="shared" si="62"/>
        <v>0</v>
      </c>
      <c r="P882" s="94"/>
      <c r="Q882" s="116" t="str">
        <f t="shared" si="63"/>
        <v>SI</v>
      </c>
    </row>
    <row r="883" spans="3:17" hidden="1" x14ac:dyDescent="0.25">
      <c r="C883" s="106">
        <v>959</v>
      </c>
      <c r="D883" s="671"/>
      <c r="E883" s="672"/>
      <c r="F883" s="672"/>
      <c r="G883" s="673"/>
      <c r="H883" s="343"/>
      <c r="I883" s="238"/>
      <c r="J883" s="107">
        <f>SUMIFS(APUS!Y:Y,APUS!M:M,INSUMOS!C883)</f>
        <v>0</v>
      </c>
      <c r="K883" s="209">
        <f t="shared" si="61"/>
        <v>0</v>
      </c>
      <c r="N883" s="123">
        <f>IFERROR(SUMIFS(APUS!$Z$140:$Z$182,APUS!$N$183:Q231,INSUMOS!D883),0)</f>
        <v>0</v>
      </c>
      <c r="O883" s="114">
        <f t="shared" si="62"/>
        <v>0</v>
      </c>
      <c r="P883" s="94"/>
      <c r="Q883" s="116" t="str">
        <f t="shared" si="63"/>
        <v>SI</v>
      </c>
    </row>
    <row r="884" spans="3:17" hidden="1" x14ac:dyDescent="0.25">
      <c r="C884" s="106">
        <v>960</v>
      </c>
      <c r="D884" s="671"/>
      <c r="E884" s="672"/>
      <c r="F884" s="672"/>
      <c r="G884" s="673"/>
      <c r="H884" s="343"/>
      <c r="I884" s="238"/>
      <c r="J884" s="107">
        <f>SUMIFS(APUS!Y:Y,APUS!M:M,INSUMOS!C884)</f>
        <v>0</v>
      </c>
      <c r="K884" s="209">
        <f t="shared" si="61"/>
        <v>0</v>
      </c>
      <c r="N884" s="123">
        <f>IFERROR(SUMIFS(APUS!$Z$140:$Z$182,APUS!$N$183:Q231,INSUMOS!D884),0)</f>
        <v>0</v>
      </c>
      <c r="O884" s="114">
        <f t="shared" si="62"/>
        <v>0</v>
      </c>
      <c r="P884" s="94"/>
      <c r="Q884" s="116" t="str">
        <f t="shared" si="63"/>
        <v>SI</v>
      </c>
    </row>
    <row r="885" spans="3:17" hidden="1" x14ac:dyDescent="0.25">
      <c r="C885" s="106">
        <v>961</v>
      </c>
      <c r="D885" s="671"/>
      <c r="E885" s="672"/>
      <c r="F885" s="672"/>
      <c r="G885" s="673"/>
      <c r="H885" s="343"/>
      <c r="I885" s="238"/>
      <c r="J885" s="107">
        <f>SUMIFS(APUS!Y:Y,APUS!M:M,INSUMOS!C885)</f>
        <v>0</v>
      </c>
      <c r="K885" s="209">
        <f t="shared" si="61"/>
        <v>0</v>
      </c>
      <c r="N885" s="123">
        <f>IFERROR(SUMIFS(APUS!$Z$140:$Z$182,APUS!$N$183:Q231,INSUMOS!D885),0)</f>
        <v>0</v>
      </c>
      <c r="O885" s="114">
        <f t="shared" si="62"/>
        <v>0</v>
      </c>
      <c r="P885" s="94"/>
      <c r="Q885" s="116" t="str">
        <f t="shared" si="63"/>
        <v>SI</v>
      </c>
    </row>
    <row r="886" spans="3:17" ht="15" hidden="1" customHeight="1" x14ac:dyDescent="0.25">
      <c r="C886" s="106">
        <v>962</v>
      </c>
      <c r="D886" s="671"/>
      <c r="E886" s="672"/>
      <c r="F886" s="672"/>
      <c r="G886" s="673"/>
      <c r="H886" s="343"/>
      <c r="I886" s="238"/>
      <c r="J886" s="107">
        <f>SUMIFS(APUS!Y:Y,APUS!M:M,INSUMOS!C886)</f>
        <v>0</v>
      </c>
      <c r="K886" s="209">
        <f t="shared" si="61"/>
        <v>0</v>
      </c>
      <c r="N886" s="123">
        <f>IFERROR(SUMIFS(APUS!$Z$140:$Z$182,APUS!$N$183:Q231,INSUMOS!D886),0)</f>
        <v>0</v>
      </c>
      <c r="O886" s="114">
        <f t="shared" si="62"/>
        <v>0</v>
      </c>
      <c r="P886" s="94"/>
      <c r="Q886" s="116" t="str">
        <f t="shared" si="63"/>
        <v>SI</v>
      </c>
    </row>
    <row r="887" spans="3:17" ht="15" hidden="1" customHeight="1" x14ac:dyDescent="0.25">
      <c r="C887" s="106">
        <v>963</v>
      </c>
      <c r="D887" s="671"/>
      <c r="E887" s="672"/>
      <c r="F887" s="672"/>
      <c r="G887" s="673"/>
      <c r="H887" s="343"/>
      <c r="I887" s="238"/>
      <c r="J887" s="107">
        <f>SUMIFS(APUS!Y:Y,APUS!M:M,INSUMOS!C887)</f>
        <v>0</v>
      </c>
      <c r="K887" s="209">
        <f t="shared" si="61"/>
        <v>0</v>
      </c>
      <c r="N887" s="123">
        <f>IFERROR(SUMIFS(APUS!$Z$140:$Z$182,APUS!$N$183:Q231,INSUMOS!D887),0)</f>
        <v>0</v>
      </c>
      <c r="O887" s="114">
        <f t="shared" si="62"/>
        <v>0</v>
      </c>
      <c r="P887" s="94"/>
      <c r="Q887" s="116" t="str">
        <f t="shared" si="63"/>
        <v>SI</v>
      </c>
    </row>
    <row r="888" spans="3:17" ht="15" hidden="1" customHeight="1" x14ac:dyDescent="0.25">
      <c r="C888" s="106">
        <v>964</v>
      </c>
      <c r="D888" s="671"/>
      <c r="E888" s="672"/>
      <c r="F888" s="672"/>
      <c r="G888" s="673"/>
      <c r="H888" s="343"/>
      <c r="I888" s="238"/>
      <c r="J888" s="107">
        <f>SUMIFS(APUS!Y:Y,APUS!M:M,INSUMOS!C888)</f>
        <v>0</v>
      </c>
      <c r="K888" s="209">
        <f t="shared" si="61"/>
        <v>0</v>
      </c>
      <c r="N888" s="123">
        <f>IFERROR(SUMIFS(APUS!$Z$140:$Z$182,APUS!$N$183:Q231,INSUMOS!D888),0)</f>
        <v>0</v>
      </c>
      <c r="O888" s="114">
        <f t="shared" si="62"/>
        <v>0</v>
      </c>
      <c r="P888" s="94"/>
      <c r="Q888" s="116" t="str">
        <f t="shared" si="63"/>
        <v>SI</v>
      </c>
    </row>
    <row r="889" spans="3:17" ht="15" hidden="1" customHeight="1" x14ac:dyDescent="0.25">
      <c r="C889" s="106">
        <v>965</v>
      </c>
      <c r="D889" s="671"/>
      <c r="E889" s="672"/>
      <c r="F889" s="672"/>
      <c r="G889" s="673"/>
      <c r="H889" s="343"/>
      <c r="I889" s="238"/>
      <c r="J889" s="107">
        <f>SUMIFS(APUS!Y:Y,APUS!M:M,INSUMOS!C889)</f>
        <v>0</v>
      </c>
      <c r="K889" s="209">
        <f t="shared" si="61"/>
        <v>0</v>
      </c>
      <c r="N889" s="123">
        <f>IFERROR(SUMIFS(APUS!$Z$140:$Z$182,APUS!$N$183:Q231,INSUMOS!D889),0)</f>
        <v>0</v>
      </c>
      <c r="O889" s="114">
        <f t="shared" si="62"/>
        <v>0</v>
      </c>
      <c r="P889" s="94"/>
      <c r="Q889" s="116" t="str">
        <f t="shared" si="63"/>
        <v>SI</v>
      </c>
    </row>
    <row r="890" spans="3:17" ht="15" hidden="1" customHeight="1" x14ac:dyDescent="0.25">
      <c r="C890" s="106">
        <v>966</v>
      </c>
      <c r="D890" s="671"/>
      <c r="E890" s="672"/>
      <c r="F890" s="672"/>
      <c r="G890" s="673"/>
      <c r="H890" s="343"/>
      <c r="I890" s="238"/>
      <c r="J890" s="107">
        <f>SUMIFS(APUS!Y:Y,APUS!M:M,INSUMOS!C890)</f>
        <v>0</v>
      </c>
      <c r="K890" s="209">
        <f t="shared" si="61"/>
        <v>0</v>
      </c>
      <c r="N890" s="123">
        <f>IFERROR(SUMIFS(APUS!$Z$140:$Z$182,APUS!$N$183:Q231,INSUMOS!D890),0)</f>
        <v>0</v>
      </c>
      <c r="O890" s="114">
        <f t="shared" si="62"/>
        <v>0</v>
      </c>
      <c r="P890" s="94"/>
      <c r="Q890" s="116" t="str">
        <f t="shared" si="63"/>
        <v>SI</v>
      </c>
    </row>
    <row r="891" spans="3:17" hidden="1" x14ac:dyDescent="0.25">
      <c r="C891" s="106">
        <v>967</v>
      </c>
      <c r="D891" s="671"/>
      <c r="E891" s="672"/>
      <c r="F891" s="672"/>
      <c r="G891" s="673"/>
      <c r="H891" s="343"/>
      <c r="I891" s="238"/>
      <c r="J891" s="107">
        <f>SUMIFS(APUS!Y:Y,APUS!M:M,INSUMOS!C891)</f>
        <v>0</v>
      </c>
      <c r="K891" s="209">
        <f t="shared" si="61"/>
        <v>0</v>
      </c>
      <c r="N891" s="123">
        <f>IFERROR(SUMIFS(APUS!$Z$140:$Z$182,APUS!$N$183:Q231,INSUMOS!D891),0)</f>
        <v>0</v>
      </c>
      <c r="O891" s="114">
        <f t="shared" si="62"/>
        <v>0</v>
      </c>
      <c r="P891" s="94"/>
      <c r="Q891" s="116" t="str">
        <f t="shared" si="63"/>
        <v>SI</v>
      </c>
    </row>
    <row r="892" spans="3:17" hidden="1" x14ac:dyDescent="0.25">
      <c r="C892" s="106">
        <v>968</v>
      </c>
      <c r="D892" s="671"/>
      <c r="E892" s="672"/>
      <c r="F892" s="672"/>
      <c r="G892" s="673"/>
      <c r="H892" s="343"/>
      <c r="I892" s="238"/>
      <c r="J892" s="107">
        <f>SUMIFS(APUS!Y:Y,APUS!M:M,INSUMOS!C892)</f>
        <v>0</v>
      </c>
      <c r="K892" s="209">
        <f t="shared" si="61"/>
        <v>0</v>
      </c>
      <c r="N892" s="123">
        <f>IFERROR(SUMIFS(APUS!$Z$140:$Z$182,APUS!$N$183:Q231,INSUMOS!D892),0)</f>
        <v>0</v>
      </c>
      <c r="O892" s="114">
        <f t="shared" si="62"/>
        <v>0</v>
      </c>
      <c r="P892" s="94"/>
      <c r="Q892" s="116" t="str">
        <f t="shared" si="63"/>
        <v>SI</v>
      </c>
    </row>
    <row r="893" spans="3:17" ht="15" hidden="1" customHeight="1" x14ac:dyDescent="0.25">
      <c r="C893" s="106">
        <v>969</v>
      </c>
      <c r="D893" s="671"/>
      <c r="E893" s="672"/>
      <c r="F893" s="672"/>
      <c r="G893" s="673"/>
      <c r="H893" s="343"/>
      <c r="I893" s="238"/>
      <c r="J893" s="107">
        <f>SUMIFS(APUS!Y:Y,APUS!M:M,INSUMOS!C893)</f>
        <v>0</v>
      </c>
      <c r="K893" s="209">
        <f t="shared" si="61"/>
        <v>0</v>
      </c>
      <c r="N893" s="123">
        <f>IFERROR(SUMIFS(APUS!$Z$140:$Z$182,APUS!$N$183:Q231,INSUMOS!D893),0)</f>
        <v>0</v>
      </c>
      <c r="O893" s="114">
        <f t="shared" si="62"/>
        <v>0</v>
      </c>
      <c r="P893" s="94"/>
      <c r="Q893" s="116" t="str">
        <f t="shared" si="63"/>
        <v>SI</v>
      </c>
    </row>
    <row r="894" spans="3:17" ht="15" hidden="1" customHeight="1" x14ac:dyDescent="0.25">
      <c r="C894" s="106">
        <v>970</v>
      </c>
      <c r="D894" s="671"/>
      <c r="E894" s="672"/>
      <c r="F894" s="672"/>
      <c r="G894" s="673"/>
      <c r="H894" s="343"/>
      <c r="I894" s="238"/>
      <c r="J894" s="107">
        <f>SUMIFS(APUS!Y:Y,APUS!M:M,INSUMOS!C894)</f>
        <v>0</v>
      </c>
      <c r="K894" s="209">
        <f t="shared" si="61"/>
        <v>0</v>
      </c>
      <c r="N894" s="123">
        <f>IFERROR(SUMIFS(APUS!$Z$140:$Z$182,APUS!$N$183:Q231,INSUMOS!D894),0)</f>
        <v>0</v>
      </c>
      <c r="O894" s="114">
        <f t="shared" si="62"/>
        <v>0</v>
      </c>
      <c r="P894" s="94"/>
      <c r="Q894" s="116" t="str">
        <f t="shared" si="63"/>
        <v>SI</v>
      </c>
    </row>
    <row r="895" spans="3:17" ht="15" hidden="1" customHeight="1" x14ac:dyDescent="0.25">
      <c r="C895" s="106">
        <v>971</v>
      </c>
      <c r="D895" s="671"/>
      <c r="E895" s="672"/>
      <c r="F895" s="672"/>
      <c r="G895" s="673"/>
      <c r="H895" s="343"/>
      <c r="I895" s="238"/>
      <c r="J895" s="107">
        <f>SUMIFS(APUS!Y:Y,APUS!M:M,INSUMOS!C895)</f>
        <v>0</v>
      </c>
      <c r="K895" s="209">
        <f t="shared" si="61"/>
        <v>0</v>
      </c>
      <c r="N895" s="123">
        <f>IFERROR(SUMIFS(APUS!$Z$140:$Z$182,APUS!$N$183:Q231,INSUMOS!D895),0)</f>
        <v>0</v>
      </c>
      <c r="O895" s="114">
        <f t="shared" si="62"/>
        <v>0</v>
      </c>
      <c r="P895" s="94"/>
      <c r="Q895" s="116" t="str">
        <f t="shared" si="63"/>
        <v>SI</v>
      </c>
    </row>
    <row r="896" spans="3:17" hidden="1" x14ac:dyDescent="0.25">
      <c r="C896" s="106">
        <v>972</v>
      </c>
      <c r="D896" s="671"/>
      <c r="E896" s="672"/>
      <c r="F896" s="672"/>
      <c r="G896" s="673"/>
      <c r="H896" s="343"/>
      <c r="I896" s="238"/>
      <c r="J896" s="107">
        <f>SUMIFS(APUS!Y:Y,APUS!M:M,INSUMOS!C896)</f>
        <v>0</v>
      </c>
      <c r="K896" s="209">
        <f t="shared" si="61"/>
        <v>0</v>
      </c>
      <c r="N896" s="123">
        <f>IFERROR(SUMIFS(APUS!$Z$140:$Z$182,APUS!$N$183:Q231,INSUMOS!D896),0)</f>
        <v>0</v>
      </c>
      <c r="O896" s="114">
        <f t="shared" si="62"/>
        <v>0</v>
      </c>
      <c r="P896" s="94"/>
      <c r="Q896" s="116" t="str">
        <f t="shared" si="63"/>
        <v>SI</v>
      </c>
    </row>
    <row r="897" spans="3:17" ht="15" hidden="1" customHeight="1" x14ac:dyDescent="0.25">
      <c r="C897" s="106">
        <v>973</v>
      </c>
      <c r="D897" s="671"/>
      <c r="E897" s="672"/>
      <c r="F897" s="672"/>
      <c r="G897" s="673"/>
      <c r="H897" s="343"/>
      <c r="I897" s="238"/>
      <c r="J897" s="107">
        <f>SUMIFS(APUS!Y:Y,APUS!M:M,INSUMOS!C897)</f>
        <v>0</v>
      </c>
      <c r="K897" s="209">
        <f t="shared" si="61"/>
        <v>0</v>
      </c>
      <c r="N897" s="123">
        <f>IFERROR(SUMIFS(APUS!$Z$140:$Z$182,APUS!$N$183:Q231,INSUMOS!D897),0)</f>
        <v>0</v>
      </c>
      <c r="O897" s="114">
        <f t="shared" si="62"/>
        <v>0</v>
      </c>
      <c r="P897" s="94"/>
      <c r="Q897" s="116" t="str">
        <f t="shared" si="63"/>
        <v>SI</v>
      </c>
    </row>
    <row r="898" spans="3:17" ht="15" hidden="1" customHeight="1" x14ac:dyDescent="0.25">
      <c r="C898" s="106">
        <v>974</v>
      </c>
      <c r="D898" s="671"/>
      <c r="E898" s="672"/>
      <c r="F898" s="672"/>
      <c r="G898" s="673"/>
      <c r="H898" s="343"/>
      <c r="I898" s="238"/>
      <c r="J898" s="107">
        <f>SUMIFS(APUS!Y:Y,APUS!M:M,INSUMOS!C898)</f>
        <v>0</v>
      </c>
      <c r="K898" s="209">
        <f t="shared" si="61"/>
        <v>0</v>
      </c>
      <c r="N898" s="123">
        <f>IFERROR(SUMIFS(APUS!$Z$140:$Z$182,APUS!$N$183:Q231,INSUMOS!D898),0)</f>
        <v>0</v>
      </c>
      <c r="O898" s="114">
        <f t="shared" si="62"/>
        <v>0</v>
      </c>
      <c r="P898" s="94"/>
      <c r="Q898" s="116" t="str">
        <f t="shared" si="63"/>
        <v>SI</v>
      </c>
    </row>
    <row r="899" spans="3:17" ht="15" hidden="1" customHeight="1" x14ac:dyDescent="0.25">
      <c r="C899" s="106">
        <v>975</v>
      </c>
      <c r="D899" s="671"/>
      <c r="E899" s="672"/>
      <c r="F899" s="672"/>
      <c r="G899" s="673"/>
      <c r="H899" s="343"/>
      <c r="I899" s="238"/>
      <c r="J899" s="107">
        <f>SUMIFS(APUS!Y:Y,APUS!M:M,INSUMOS!C899)</f>
        <v>0</v>
      </c>
      <c r="K899" s="209">
        <f t="shared" si="61"/>
        <v>0</v>
      </c>
      <c r="N899" s="123">
        <f>IFERROR(SUMIFS(APUS!$Z$140:$Z$182,APUS!$N$183:Q231,INSUMOS!D899),0)</f>
        <v>0</v>
      </c>
      <c r="O899" s="114">
        <f t="shared" si="62"/>
        <v>0</v>
      </c>
      <c r="P899" s="94"/>
      <c r="Q899" s="116" t="str">
        <f t="shared" si="63"/>
        <v>SI</v>
      </c>
    </row>
    <row r="900" spans="3:17" ht="15" hidden="1" customHeight="1" x14ac:dyDescent="0.25">
      <c r="C900" s="106">
        <v>976</v>
      </c>
      <c r="D900" s="671"/>
      <c r="E900" s="672"/>
      <c r="F900" s="672"/>
      <c r="G900" s="673"/>
      <c r="H900" s="343"/>
      <c r="I900" s="238"/>
      <c r="J900" s="107">
        <f>SUMIFS(APUS!Y:Y,APUS!M:M,INSUMOS!C900)</f>
        <v>0</v>
      </c>
      <c r="K900" s="209">
        <f t="shared" si="61"/>
        <v>0</v>
      </c>
      <c r="N900" s="123">
        <f>IFERROR(SUMIFS(APUS!$Z$140:$Z$182,APUS!$N$183:Q231,INSUMOS!D900),0)</f>
        <v>0</v>
      </c>
      <c r="O900" s="114">
        <f t="shared" si="62"/>
        <v>0</v>
      </c>
      <c r="P900" s="94"/>
      <c r="Q900" s="116" t="str">
        <f t="shared" si="63"/>
        <v>SI</v>
      </c>
    </row>
    <row r="901" spans="3:17" ht="15" hidden="1" customHeight="1" x14ac:dyDescent="0.25">
      <c r="C901" s="106">
        <v>977</v>
      </c>
      <c r="D901" s="671"/>
      <c r="E901" s="672"/>
      <c r="F901" s="672"/>
      <c r="G901" s="673"/>
      <c r="H901" s="343"/>
      <c r="I901" s="238"/>
      <c r="J901" s="107">
        <f>SUMIFS(APUS!Y:Y,APUS!M:M,INSUMOS!C901)</f>
        <v>0</v>
      </c>
      <c r="K901" s="209">
        <f t="shared" si="61"/>
        <v>0</v>
      </c>
      <c r="N901" s="123">
        <f>IFERROR(SUMIFS(APUS!$Z$140:$Z$182,APUS!$N$183:Q231,INSUMOS!D901),0)</f>
        <v>0</v>
      </c>
      <c r="O901" s="114">
        <f t="shared" si="62"/>
        <v>0</v>
      </c>
      <c r="P901" s="94"/>
      <c r="Q901" s="116" t="str">
        <f t="shared" si="63"/>
        <v>SI</v>
      </c>
    </row>
    <row r="902" spans="3:17" ht="15" hidden="1" customHeight="1" x14ac:dyDescent="0.25">
      <c r="C902" s="106">
        <v>978</v>
      </c>
      <c r="D902" s="671"/>
      <c r="E902" s="672"/>
      <c r="F902" s="672"/>
      <c r="G902" s="673"/>
      <c r="H902" s="343"/>
      <c r="I902" s="238"/>
      <c r="J902" s="107">
        <f>SUMIFS(APUS!Y:Y,APUS!M:M,INSUMOS!C902)</f>
        <v>0</v>
      </c>
      <c r="K902" s="209">
        <f t="shared" si="61"/>
        <v>0</v>
      </c>
      <c r="N902" s="123">
        <f>IFERROR(SUMIFS(APUS!$Z$140:$Z$182,APUS!$N$183:Q231,INSUMOS!D902),0)</f>
        <v>0</v>
      </c>
      <c r="O902" s="114">
        <f t="shared" si="62"/>
        <v>0</v>
      </c>
      <c r="P902" s="94"/>
      <c r="Q902" s="116" t="str">
        <f t="shared" si="63"/>
        <v>SI</v>
      </c>
    </row>
    <row r="903" spans="3:17" ht="15" hidden="1" customHeight="1" x14ac:dyDescent="0.25">
      <c r="C903" s="106">
        <v>979</v>
      </c>
      <c r="D903" s="671"/>
      <c r="E903" s="672"/>
      <c r="F903" s="672"/>
      <c r="G903" s="673"/>
      <c r="H903" s="343"/>
      <c r="I903" s="238"/>
      <c r="J903" s="107">
        <f>SUMIFS(APUS!Y:Y,APUS!M:M,INSUMOS!C903)</f>
        <v>0</v>
      </c>
      <c r="K903" s="209">
        <f t="shared" si="61"/>
        <v>0</v>
      </c>
      <c r="N903" s="123">
        <f>IFERROR(SUMIFS(APUS!$Z$140:$Z$182,APUS!$N$183:Q231,INSUMOS!D903),0)</f>
        <v>0</v>
      </c>
      <c r="O903" s="114">
        <f t="shared" si="62"/>
        <v>0</v>
      </c>
      <c r="P903" s="94"/>
      <c r="Q903" s="116" t="str">
        <f t="shared" si="63"/>
        <v>SI</v>
      </c>
    </row>
    <row r="904" spans="3:17" ht="15" hidden="1" customHeight="1" x14ac:dyDescent="0.25">
      <c r="C904" s="106">
        <v>980</v>
      </c>
      <c r="D904" s="671"/>
      <c r="E904" s="672"/>
      <c r="F904" s="672"/>
      <c r="G904" s="673"/>
      <c r="H904" s="343"/>
      <c r="I904" s="238"/>
      <c r="J904" s="107">
        <f>SUMIFS(APUS!Y:Y,APUS!M:M,INSUMOS!C904)</f>
        <v>0</v>
      </c>
      <c r="K904" s="209">
        <f t="shared" si="61"/>
        <v>0</v>
      </c>
      <c r="N904" s="123">
        <f>IFERROR(SUMIFS(APUS!$Z$140:$Z$182,APUS!$N$183:Q231,INSUMOS!D904),0)</f>
        <v>0</v>
      </c>
      <c r="O904" s="114">
        <f t="shared" si="62"/>
        <v>0</v>
      </c>
      <c r="P904" s="94"/>
      <c r="Q904" s="116" t="str">
        <f t="shared" si="63"/>
        <v>SI</v>
      </c>
    </row>
    <row r="905" spans="3:17" ht="15" hidden="1" customHeight="1" x14ac:dyDescent="0.25">
      <c r="C905" s="106">
        <v>981</v>
      </c>
      <c r="D905" s="671"/>
      <c r="E905" s="672"/>
      <c r="F905" s="672"/>
      <c r="G905" s="673"/>
      <c r="H905" s="343"/>
      <c r="I905" s="238"/>
      <c r="J905" s="107">
        <f>SUMIFS(APUS!Y:Y,APUS!M:M,INSUMOS!C905)</f>
        <v>0</v>
      </c>
      <c r="K905" s="209">
        <f t="shared" si="61"/>
        <v>0</v>
      </c>
      <c r="N905" s="123">
        <f>IFERROR(SUMIFS(APUS!$Z$140:$Z$182,APUS!$N$183:Q231,INSUMOS!D905),0)</f>
        <v>0</v>
      </c>
      <c r="O905" s="114">
        <f t="shared" si="62"/>
        <v>0</v>
      </c>
      <c r="P905" s="94"/>
      <c r="Q905" s="116" t="str">
        <f t="shared" si="63"/>
        <v>SI</v>
      </c>
    </row>
    <row r="906" spans="3:17" ht="15" hidden="1" customHeight="1" x14ac:dyDescent="0.25">
      <c r="C906" s="106">
        <v>982</v>
      </c>
      <c r="D906" s="671"/>
      <c r="E906" s="672"/>
      <c r="F906" s="672"/>
      <c r="G906" s="673"/>
      <c r="H906" s="343"/>
      <c r="I906" s="238"/>
      <c r="J906" s="107">
        <f>SUMIFS(APUS!Y:Y,APUS!M:M,INSUMOS!C906)</f>
        <v>0</v>
      </c>
      <c r="K906" s="209">
        <f t="shared" si="61"/>
        <v>0</v>
      </c>
      <c r="N906" s="123">
        <f>IFERROR(SUMIFS(APUS!$Z$140:$Z$182,APUS!$N$183:Q231,INSUMOS!D906),0)</f>
        <v>0</v>
      </c>
      <c r="O906" s="114">
        <f t="shared" si="62"/>
        <v>0</v>
      </c>
      <c r="P906" s="94"/>
      <c r="Q906" s="116" t="str">
        <f t="shared" si="63"/>
        <v>SI</v>
      </c>
    </row>
    <row r="907" spans="3:17" ht="15" hidden="1" customHeight="1" x14ac:dyDescent="0.25">
      <c r="C907" s="106">
        <v>983</v>
      </c>
      <c r="D907" s="671"/>
      <c r="E907" s="672"/>
      <c r="F907" s="672"/>
      <c r="G907" s="673"/>
      <c r="H907" s="343"/>
      <c r="I907" s="238"/>
      <c r="J907" s="107">
        <f>SUMIFS(APUS!Y:Y,APUS!M:M,INSUMOS!C907)</f>
        <v>0</v>
      </c>
      <c r="K907" s="209">
        <f t="shared" si="61"/>
        <v>0</v>
      </c>
      <c r="N907" s="123">
        <f>IFERROR(SUMIFS(APUS!$Z$140:$Z$182,APUS!$N$183:Q231,INSUMOS!D907),0)</f>
        <v>0</v>
      </c>
      <c r="O907" s="114">
        <f t="shared" si="62"/>
        <v>0</v>
      </c>
      <c r="P907" s="94"/>
      <c r="Q907" s="116" t="str">
        <f t="shared" si="63"/>
        <v>SI</v>
      </c>
    </row>
    <row r="908" spans="3:17" ht="15" hidden="1" customHeight="1" x14ac:dyDescent="0.25">
      <c r="C908" s="106">
        <v>984</v>
      </c>
      <c r="D908" s="671"/>
      <c r="E908" s="672"/>
      <c r="F908" s="672"/>
      <c r="G908" s="673"/>
      <c r="H908" s="343"/>
      <c r="I908" s="238"/>
      <c r="J908" s="107">
        <f>SUMIFS(APUS!Y:Y,APUS!M:M,INSUMOS!C908)</f>
        <v>0</v>
      </c>
      <c r="K908" s="209">
        <f t="shared" si="61"/>
        <v>0</v>
      </c>
      <c r="N908" s="123">
        <f>IFERROR(SUMIFS(APUS!$Z$140:$Z$182,APUS!$N$183:Q231,INSUMOS!D908),0)</f>
        <v>0</v>
      </c>
      <c r="O908" s="114">
        <f t="shared" si="62"/>
        <v>0</v>
      </c>
      <c r="P908" s="94"/>
      <c r="Q908" s="116" t="str">
        <f t="shared" si="63"/>
        <v>SI</v>
      </c>
    </row>
    <row r="909" spans="3:17" ht="15" hidden="1" customHeight="1" x14ac:dyDescent="0.25">
      <c r="C909" s="106">
        <v>985</v>
      </c>
      <c r="D909" s="671"/>
      <c r="E909" s="672"/>
      <c r="F909" s="672"/>
      <c r="G909" s="673"/>
      <c r="H909" s="343"/>
      <c r="I909" s="238"/>
      <c r="J909" s="107">
        <f>SUMIFS(APUS!Y:Y,APUS!M:M,INSUMOS!C909)</f>
        <v>0</v>
      </c>
      <c r="K909" s="209">
        <f t="shared" si="61"/>
        <v>0</v>
      </c>
      <c r="N909" s="123">
        <f>IFERROR(SUMIFS(APUS!$Z$140:$Z$182,APUS!$N$183:Q231,INSUMOS!D909),0)</f>
        <v>0</v>
      </c>
      <c r="O909" s="114">
        <f t="shared" si="62"/>
        <v>0</v>
      </c>
      <c r="P909" s="94"/>
      <c r="Q909" s="116" t="str">
        <f t="shared" si="63"/>
        <v>SI</v>
      </c>
    </row>
    <row r="910" spans="3:17" hidden="1" x14ac:dyDescent="0.25">
      <c r="C910" s="106">
        <v>986</v>
      </c>
      <c r="D910" s="671"/>
      <c r="E910" s="672"/>
      <c r="F910" s="672"/>
      <c r="G910" s="673"/>
      <c r="H910" s="345"/>
      <c r="I910" s="238"/>
      <c r="J910" s="107">
        <f>SUMIFS(APUS!Y:Y,APUS!M:M,INSUMOS!C910)</f>
        <v>0</v>
      </c>
      <c r="K910" s="209">
        <f t="shared" si="61"/>
        <v>0</v>
      </c>
      <c r="N910" s="123">
        <f>IFERROR(SUMIFS(APUS!$Z$140:$Z$182,APUS!$N$183:Q231,INSUMOS!D910),0)</f>
        <v>0</v>
      </c>
      <c r="O910" s="114">
        <f t="shared" si="62"/>
        <v>0</v>
      </c>
      <c r="P910" s="94"/>
      <c r="Q910" s="116" t="str">
        <f t="shared" si="63"/>
        <v>SI</v>
      </c>
    </row>
    <row r="911" spans="3:17" ht="15" hidden="1" customHeight="1" x14ac:dyDescent="0.25">
      <c r="C911" s="106">
        <v>987</v>
      </c>
      <c r="D911" s="671"/>
      <c r="E911" s="672"/>
      <c r="F911" s="672"/>
      <c r="G911" s="673"/>
      <c r="H911" s="345"/>
      <c r="I911" s="238"/>
      <c r="J911" s="107">
        <f>SUMIFS(APUS!Y:Y,APUS!M:M,INSUMOS!C911)</f>
        <v>0</v>
      </c>
      <c r="K911" s="209">
        <f>+J911*I911</f>
        <v>0</v>
      </c>
      <c r="N911" s="123">
        <f>IFERROR(SUMIFS(APUS!$Z$140:$Z$182,APUS!$N$183:Q231,INSUMOS!D911),0)</f>
        <v>0</v>
      </c>
      <c r="O911" s="114">
        <f t="shared" si="62"/>
        <v>0</v>
      </c>
      <c r="P911" s="94"/>
      <c r="Q911" s="116" t="str">
        <f t="shared" si="63"/>
        <v>SI</v>
      </c>
    </row>
    <row r="912" spans="3:17" hidden="1" x14ac:dyDescent="0.25">
      <c r="C912" s="106">
        <v>988</v>
      </c>
      <c r="D912" s="671"/>
      <c r="E912" s="672"/>
      <c r="F912" s="672"/>
      <c r="G912" s="673"/>
      <c r="H912" s="345"/>
      <c r="I912" s="238"/>
      <c r="J912" s="107">
        <f>SUMIFS(APUS!Y:Y,APUS!M:M,INSUMOS!C912)</f>
        <v>0</v>
      </c>
      <c r="K912" s="209">
        <f t="shared" si="61"/>
        <v>0</v>
      </c>
      <c r="N912" s="123">
        <f>IFERROR(SUMIFS(APUS!$Z$140:$Z$182,APUS!$N$183:Q231,INSUMOS!D912),0)</f>
        <v>0</v>
      </c>
      <c r="O912" s="114">
        <f t="shared" si="62"/>
        <v>0</v>
      </c>
      <c r="P912" s="94"/>
      <c r="Q912" s="116" t="str">
        <f t="shared" si="63"/>
        <v>SI</v>
      </c>
    </row>
    <row r="913" spans="3:17" ht="15" hidden="1" customHeight="1" x14ac:dyDescent="0.25">
      <c r="C913" s="106">
        <v>989</v>
      </c>
      <c r="D913" s="671"/>
      <c r="E913" s="672"/>
      <c r="F913" s="672"/>
      <c r="G913" s="673"/>
      <c r="H913" s="345"/>
      <c r="I913" s="238"/>
      <c r="J913" s="107">
        <f>SUMIFS(APUS!Y:Y,APUS!M:M,INSUMOS!C913)</f>
        <v>0</v>
      </c>
      <c r="K913" s="209">
        <f t="shared" si="61"/>
        <v>0</v>
      </c>
      <c r="N913" s="123">
        <f>IFERROR(SUMIFS(APUS!$Z$140:$Z$182,APUS!$N$183:Q231,INSUMOS!D913),0)</f>
        <v>0</v>
      </c>
      <c r="O913" s="114">
        <f t="shared" si="62"/>
        <v>0</v>
      </c>
      <c r="P913" s="94"/>
      <c r="Q913" s="116" t="str">
        <f t="shared" si="63"/>
        <v>SI</v>
      </c>
    </row>
    <row r="914" spans="3:17" ht="15" hidden="1" customHeight="1" x14ac:dyDescent="0.25">
      <c r="C914" s="106">
        <v>990</v>
      </c>
      <c r="D914" s="671"/>
      <c r="E914" s="672"/>
      <c r="F914" s="672"/>
      <c r="G914" s="673"/>
      <c r="H914" s="345"/>
      <c r="I914" s="238"/>
      <c r="J914" s="107">
        <f>SUMIFS(APUS!Y:Y,APUS!M:M,INSUMOS!C914)</f>
        <v>0</v>
      </c>
      <c r="K914" s="209">
        <f t="shared" si="61"/>
        <v>0</v>
      </c>
      <c r="N914" s="123">
        <f>IFERROR(SUMIFS(APUS!$Z$140:$Z$182,APUS!$N$183:Q231,INSUMOS!D914),0)</f>
        <v>0</v>
      </c>
      <c r="O914" s="114">
        <f t="shared" si="62"/>
        <v>0</v>
      </c>
      <c r="P914" s="94"/>
      <c r="Q914" s="116" t="str">
        <f t="shared" si="63"/>
        <v>SI</v>
      </c>
    </row>
    <row r="915" spans="3:17" ht="15" hidden="1" customHeight="1" x14ac:dyDescent="0.25">
      <c r="C915" s="106">
        <v>991</v>
      </c>
      <c r="D915" s="671"/>
      <c r="E915" s="672"/>
      <c r="F915" s="672"/>
      <c r="G915" s="673"/>
      <c r="H915" s="345"/>
      <c r="I915" s="238"/>
      <c r="J915" s="107">
        <f>SUMIFS(APUS!Y:Y,APUS!M:M,INSUMOS!C915)</f>
        <v>0</v>
      </c>
      <c r="K915" s="209">
        <f t="shared" si="61"/>
        <v>0</v>
      </c>
      <c r="N915" s="123">
        <f>IFERROR(SUMIFS(APUS!$Z$140:$Z$182,APUS!$N$183:Q231,INSUMOS!D915),0)</f>
        <v>0</v>
      </c>
      <c r="O915" s="114">
        <f t="shared" si="62"/>
        <v>0</v>
      </c>
      <c r="P915" s="94"/>
      <c r="Q915" s="116" t="str">
        <f t="shared" si="63"/>
        <v>SI</v>
      </c>
    </row>
    <row r="916" spans="3:17" hidden="1" x14ac:dyDescent="0.25">
      <c r="C916" s="106">
        <v>992</v>
      </c>
      <c r="D916" s="671"/>
      <c r="E916" s="672"/>
      <c r="F916" s="672"/>
      <c r="G916" s="673"/>
      <c r="H916" s="345"/>
      <c r="I916" s="238"/>
      <c r="J916" s="107">
        <f>SUMIFS(APUS!Y:Y,APUS!M:M,INSUMOS!C916)</f>
        <v>0</v>
      </c>
      <c r="K916" s="209">
        <f t="shared" ref="K916:K925" si="64">+J916*I916</f>
        <v>0</v>
      </c>
      <c r="N916" s="123">
        <f>IFERROR(SUMIFS(APUS!$Z$140:$Z$182,APUS!$N$183:Q231,INSUMOS!D916),0)</f>
        <v>0</v>
      </c>
      <c r="O916" s="114">
        <f t="shared" si="62"/>
        <v>0</v>
      </c>
      <c r="P916" s="94"/>
      <c r="Q916" s="116" t="str">
        <f t="shared" si="63"/>
        <v>SI</v>
      </c>
    </row>
    <row r="917" spans="3:17" hidden="1" x14ac:dyDescent="0.25">
      <c r="C917" s="106">
        <v>993</v>
      </c>
      <c r="D917" s="671"/>
      <c r="E917" s="672"/>
      <c r="F917" s="672"/>
      <c r="G917" s="673"/>
      <c r="H917" s="343"/>
      <c r="I917" s="238"/>
      <c r="J917" s="107">
        <f>SUMIFS(APUS!Y:Y,APUS!M:M,INSUMOS!C917)</f>
        <v>0</v>
      </c>
      <c r="K917" s="209">
        <f t="shared" si="64"/>
        <v>0</v>
      </c>
      <c r="N917" s="123">
        <f>IFERROR(SUMIFS(APUS!$Z$140:$Z$182,APUS!$N$183:Q231,INSUMOS!D917),0)</f>
        <v>0</v>
      </c>
      <c r="O917" s="114">
        <f t="shared" si="62"/>
        <v>0</v>
      </c>
      <c r="P917" s="94"/>
      <c r="Q917" s="116" t="str">
        <f t="shared" si="63"/>
        <v>SI</v>
      </c>
    </row>
    <row r="918" spans="3:17" hidden="1" x14ac:dyDescent="0.25">
      <c r="C918" s="106">
        <v>994</v>
      </c>
      <c r="D918" s="671"/>
      <c r="E918" s="672"/>
      <c r="F918" s="672"/>
      <c r="G918" s="673"/>
      <c r="H918" s="343"/>
      <c r="I918" s="238"/>
      <c r="J918" s="107">
        <f>SUMIFS(APUS!Y:Y,APUS!M:M,INSUMOS!C918)</f>
        <v>0</v>
      </c>
      <c r="K918" s="209">
        <f t="shared" si="64"/>
        <v>0</v>
      </c>
      <c r="N918" s="123">
        <f>IFERROR(SUMIFS(APUS!$Z$140:$Z$182,APUS!$N$183:Q231,INSUMOS!D918),0)</f>
        <v>0</v>
      </c>
      <c r="O918" s="114">
        <f t="shared" si="62"/>
        <v>0</v>
      </c>
      <c r="P918" s="94"/>
      <c r="Q918" s="116" t="str">
        <f t="shared" si="63"/>
        <v>SI</v>
      </c>
    </row>
    <row r="919" spans="3:17" hidden="1" x14ac:dyDescent="0.25">
      <c r="C919" s="106">
        <v>995</v>
      </c>
      <c r="D919" s="671"/>
      <c r="E919" s="672"/>
      <c r="F919" s="672"/>
      <c r="G919" s="673"/>
      <c r="H919" s="343"/>
      <c r="I919" s="238"/>
      <c r="J919" s="107">
        <f>SUMIFS(APUS!Y:Y,APUS!M:M,INSUMOS!C919)</f>
        <v>0</v>
      </c>
      <c r="K919" s="209">
        <f t="shared" si="64"/>
        <v>0</v>
      </c>
      <c r="N919" s="123">
        <f>IFERROR(SUMIFS(APUS!$Z$140:$Z$182,APUS!$N$183:Q231,INSUMOS!D919),0)</f>
        <v>0</v>
      </c>
      <c r="O919" s="114">
        <f t="shared" si="62"/>
        <v>0</v>
      </c>
      <c r="P919" s="94"/>
      <c r="Q919" s="116" t="str">
        <f t="shared" si="63"/>
        <v>SI</v>
      </c>
    </row>
    <row r="920" spans="3:17" hidden="1" x14ac:dyDescent="0.25">
      <c r="C920" s="106">
        <v>996</v>
      </c>
      <c r="D920" s="671"/>
      <c r="E920" s="672"/>
      <c r="F920" s="672"/>
      <c r="G920" s="673"/>
      <c r="H920" s="343"/>
      <c r="I920" s="238"/>
      <c r="J920" s="107">
        <f>SUMIFS(APUS!Y:Y,APUS!M:M,INSUMOS!C920)</f>
        <v>0</v>
      </c>
      <c r="K920" s="209">
        <f t="shared" si="64"/>
        <v>0</v>
      </c>
      <c r="N920" s="123">
        <f>IFERROR(SUMIFS(APUS!$Z$140:$Z$182,APUS!$N$183:Q231,INSUMOS!D920),0)</f>
        <v>0</v>
      </c>
      <c r="O920" s="114">
        <f t="shared" si="62"/>
        <v>0</v>
      </c>
      <c r="P920" s="94"/>
      <c r="Q920" s="116" t="str">
        <f t="shared" si="63"/>
        <v>SI</v>
      </c>
    </row>
    <row r="921" spans="3:17" hidden="1" x14ac:dyDescent="0.25">
      <c r="C921" s="106">
        <v>997</v>
      </c>
      <c r="D921" s="671"/>
      <c r="E921" s="672"/>
      <c r="F921" s="672"/>
      <c r="G921" s="673"/>
      <c r="H921" s="343"/>
      <c r="I921" s="238"/>
      <c r="J921" s="107">
        <f>SUMIFS(APUS!Y:Y,APUS!M:M,INSUMOS!C921)</f>
        <v>0</v>
      </c>
      <c r="K921" s="209">
        <f t="shared" si="64"/>
        <v>0</v>
      </c>
      <c r="N921" s="123">
        <f>IFERROR(SUMIFS(APUS!$Z$140:$Z$182,APUS!$N$183:Q231,INSUMOS!D921),0)</f>
        <v>0</v>
      </c>
      <c r="O921" s="114">
        <f t="shared" si="62"/>
        <v>0</v>
      </c>
      <c r="P921" s="94"/>
      <c r="Q921" s="116" t="str">
        <f t="shared" si="63"/>
        <v>SI</v>
      </c>
    </row>
    <row r="922" spans="3:17" hidden="1" x14ac:dyDescent="0.25">
      <c r="C922" s="106">
        <v>998</v>
      </c>
      <c r="D922" s="671"/>
      <c r="E922" s="672"/>
      <c r="F922" s="672"/>
      <c r="G922" s="673"/>
      <c r="H922" s="343"/>
      <c r="I922" s="238"/>
      <c r="J922" s="107">
        <f>SUMIFS(APUS!Y:Y,APUS!M:M,INSUMOS!C922)</f>
        <v>0</v>
      </c>
      <c r="K922" s="209">
        <f t="shared" si="64"/>
        <v>0</v>
      </c>
      <c r="N922" s="123">
        <f>IFERROR(SUMIFS(APUS!$Z$140:$Z$182,APUS!$N$183:Q231,INSUMOS!D922),0)</f>
        <v>0</v>
      </c>
      <c r="O922" s="114">
        <f t="shared" si="62"/>
        <v>0</v>
      </c>
      <c r="P922" s="94"/>
      <c r="Q922" s="116" t="str">
        <f t="shared" si="63"/>
        <v>SI</v>
      </c>
    </row>
    <row r="923" spans="3:17" hidden="1" x14ac:dyDescent="0.25">
      <c r="C923" s="106">
        <v>999</v>
      </c>
      <c r="D923" s="671"/>
      <c r="E923" s="672"/>
      <c r="F923" s="672"/>
      <c r="G923" s="673"/>
      <c r="H923" s="343"/>
      <c r="I923" s="249"/>
      <c r="J923" s="107">
        <f>SUMIFS(APUS!Y:Y,APUS!M:M,INSUMOS!C923)</f>
        <v>0</v>
      </c>
      <c r="K923" s="209">
        <f t="shared" si="64"/>
        <v>0</v>
      </c>
      <c r="N923" s="123">
        <f>IFERROR(SUMIFS(APUS!$Z$140:$Z$182,APUS!$N$183:Q231,INSUMOS!D923),0)</f>
        <v>0</v>
      </c>
      <c r="O923" s="114">
        <f t="shared" si="62"/>
        <v>0</v>
      </c>
      <c r="P923" s="94"/>
      <c r="Q923" s="116" t="str">
        <f t="shared" si="63"/>
        <v>SI</v>
      </c>
    </row>
    <row r="924" spans="3:17" hidden="1" x14ac:dyDescent="0.25">
      <c r="C924" s="106">
        <v>1000</v>
      </c>
      <c r="D924" s="671"/>
      <c r="E924" s="672"/>
      <c r="F924" s="672"/>
      <c r="G924" s="673"/>
      <c r="H924" s="343"/>
      <c r="I924" s="249"/>
      <c r="J924" s="107">
        <f>SUMIFS(APUS!Y:Y,APUS!M:M,INSUMOS!C924)</f>
        <v>0</v>
      </c>
      <c r="K924" s="209">
        <f t="shared" si="64"/>
        <v>0</v>
      </c>
      <c r="N924" s="123">
        <f>IFERROR(SUMIFS(APUS!$Z$140:$Z$182,APUS!$N$183:Q231,INSUMOS!D924),0)</f>
        <v>0</v>
      </c>
      <c r="O924" s="114">
        <f t="shared" si="62"/>
        <v>0</v>
      </c>
      <c r="P924" s="94"/>
      <c r="Q924" s="116" t="str">
        <f t="shared" si="63"/>
        <v>SI</v>
      </c>
    </row>
    <row r="925" spans="3:17" ht="15.75" hidden="1" thickBot="1" x14ac:dyDescent="0.3">
      <c r="C925" s="106">
        <v>1001</v>
      </c>
      <c r="D925" s="674"/>
      <c r="E925" s="675"/>
      <c r="F925" s="675"/>
      <c r="G925" s="676"/>
      <c r="H925" s="343"/>
      <c r="I925" s="249"/>
      <c r="J925" s="107">
        <f>SUMIFS(APUS!Y:Y,APUS!M:M,INSUMOS!C925)</f>
        <v>0</v>
      </c>
      <c r="K925" s="209">
        <f t="shared" si="64"/>
        <v>0</v>
      </c>
    </row>
    <row r="926" spans="3:17" ht="15.75" thickBot="1" x14ac:dyDescent="0.3">
      <c r="C926" s="524" t="str">
        <f>+"SUBTOTAL "&amp;C310</f>
        <v>SUBTOTAL MATERIALES</v>
      </c>
      <c r="D926" s="525"/>
      <c r="E926" s="525"/>
      <c r="F926" s="525"/>
      <c r="G926" s="525"/>
      <c r="H926" s="525"/>
      <c r="I926" s="525"/>
      <c r="J926" s="526"/>
      <c r="K926" s="207">
        <f>+SUM(K324:K925)</f>
        <v>616198985.10101867</v>
      </c>
    </row>
    <row r="927" spans="3:17" ht="15.75" thickBot="1" x14ac:dyDescent="0.3">
      <c r="C927" s="188"/>
      <c r="D927" s="115"/>
      <c r="E927" s="86"/>
      <c r="F927" s="86"/>
      <c r="G927" s="86"/>
      <c r="H927" s="181"/>
      <c r="I927" s="252"/>
      <c r="J927" s="182"/>
      <c r="K927" s="86"/>
    </row>
    <row r="928" spans="3:17" ht="15.75" thickBot="1" x14ac:dyDescent="0.3">
      <c r="C928" s="524" t="s">
        <v>287</v>
      </c>
      <c r="D928" s="525"/>
      <c r="E928" s="525"/>
      <c r="F928" s="525"/>
      <c r="G928" s="525"/>
      <c r="H928" s="525"/>
      <c r="I928" s="525"/>
      <c r="J928" s="526"/>
      <c r="K928" s="207">
        <f>ROUND(K926+K235+K215+K110,0)</f>
        <v>770230591</v>
      </c>
      <c r="N928" s="212">
        <f>+PPTO!H139</f>
        <v>770230593</v>
      </c>
    </row>
    <row r="929" spans="3:14" x14ac:dyDescent="0.25">
      <c r="N929" s="211">
        <f>+K928-N928</f>
        <v>-2</v>
      </c>
    </row>
    <row r="930" spans="3:14" x14ac:dyDescent="0.25">
      <c r="C930" s="2" t="s">
        <v>127</v>
      </c>
      <c r="D930" s="4"/>
      <c r="E930" s="485"/>
      <c r="F930" s="485"/>
      <c r="G930" s="5"/>
      <c r="H930" s="223" t="s">
        <v>631</v>
      </c>
      <c r="I930" s="253"/>
      <c r="N930" s="205"/>
    </row>
    <row r="931" spans="3:14" x14ac:dyDescent="0.25">
      <c r="C931" s="3"/>
      <c r="D931" s="4"/>
      <c r="E931" s="3"/>
      <c r="F931" s="5"/>
      <c r="G931" s="5"/>
      <c r="H931" s="6"/>
      <c r="K931" s="205"/>
    </row>
    <row r="932" spans="3:14" x14ac:dyDescent="0.25">
      <c r="C932" s="3"/>
      <c r="D932" s="4"/>
      <c r="E932" s="3"/>
      <c r="F932" s="5"/>
      <c r="G932" s="30"/>
      <c r="H932" s="31"/>
    </row>
    <row r="933" spans="3:14" x14ac:dyDescent="0.25">
      <c r="C933" s="53"/>
      <c r="D933" s="4"/>
      <c r="E933" s="3"/>
      <c r="F933" s="5"/>
      <c r="G933" s="5"/>
      <c r="H933" s="6"/>
    </row>
    <row r="934" spans="3:14" x14ac:dyDescent="0.25">
      <c r="C934" s="219" t="str">
        <f>INFORMACION!C25</f>
        <v>ING. EDGAR VILLEGAS PALLARES</v>
      </c>
      <c r="D934" s="219"/>
      <c r="E934" s="219"/>
      <c r="F934" s="219"/>
      <c r="G934" s="219"/>
      <c r="H934" s="486">
        <f>INFORMACION!$C$14</f>
        <v>0</v>
      </c>
      <c r="I934" s="486"/>
      <c r="J934" s="486"/>
      <c r="K934" s="486"/>
    </row>
    <row r="935" spans="3:14" x14ac:dyDescent="0.25">
      <c r="C935" s="220" t="str">
        <f>INFORMACION!C26</f>
        <v>MP 54202136467 NTS</v>
      </c>
      <c r="D935" s="220"/>
      <c r="E935" s="220"/>
      <c r="F935" s="220"/>
      <c r="G935" s="220"/>
      <c r="H935" s="487">
        <f>INFORMACION!$C$15</f>
        <v>0</v>
      </c>
      <c r="I935" s="487"/>
      <c r="J935" s="487"/>
      <c r="K935" s="487"/>
    </row>
    <row r="936" spans="3:14" x14ac:dyDescent="0.25">
      <c r="C936" s="54"/>
      <c r="D936" s="35"/>
      <c r="E936" s="35"/>
      <c r="F936" s="35"/>
      <c r="G936" s="35"/>
      <c r="H936" s="481" t="str">
        <f>INFORMACION!$C$16</f>
        <v>ARAUCA, ARAUCA</v>
      </c>
      <c r="I936" s="481"/>
      <c r="J936" s="481"/>
      <c r="K936" s="481"/>
    </row>
    <row r="944" spans="3:14" x14ac:dyDescent="0.25">
      <c r="F944" s="227"/>
      <c r="G944" s="211"/>
    </row>
    <row r="945" spans="6:7" x14ac:dyDescent="0.25">
      <c r="F945" s="227"/>
      <c r="G945" s="211"/>
    </row>
    <row r="946" spans="6:7" x14ac:dyDescent="0.25">
      <c r="F946" s="227"/>
      <c r="G946" s="211"/>
    </row>
    <row r="947" spans="6:7" x14ac:dyDescent="0.25">
      <c r="F947" s="227"/>
      <c r="G947" s="211"/>
    </row>
    <row r="948" spans="6:7" x14ac:dyDescent="0.25">
      <c r="F948" s="227"/>
      <c r="G948" s="211"/>
    </row>
    <row r="949" spans="6:7" x14ac:dyDescent="0.25">
      <c r="F949" s="227"/>
      <c r="G949" s="211"/>
    </row>
    <row r="950" spans="6:7" x14ac:dyDescent="0.25">
      <c r="F950" s="227"/>
      <c r="G950" s="211"/>
    </row>
    <row r="951" spans="6:7" x14ac:dyDescent="0.25">
      <c r="F951" s="227"/>
      <c r="G951" s="211"/>
    </row>
    <row r="952" spans="6:7" x14ac:dyDescent="0.25">
      <c r="F952" s="227"/>
      <c r="G952" s="211"/>
    </row>
    <row r="953" spans="6:7" x14ac:dyDescent="0.25">
      <c r="F953" s="227"/>
      <c r="G953" s="211"/>
    </row>
    <row r="954" spans="6:7" x14ac:dyDescent="0.25">
      <c r="F954" s="227"/>
      <c r="G954" s="211"/>
    </row>
    <row r="955" spans="6:7" x14ac:dyDescent="0.25">
      <c r="F955" s="227"/>
      <c r="G955" s="211"/>
    </row>
    <row r="956" spans="6:7" x14ac:dyDescent="0.25">
      <c r="F956" s="227"/>
      <c r="G956" s="211"/>
    </row>
    <row r="957" spans="6:7" x14ac:dyDescent="0.25">
      <c r="F957" s="227"/>
      <c r="G957" s="211"/>
    </row>
    <row r="958" spans="6:7" x14ac:dyDescent="0.25">
      <c r="F958" s="227"/>
      <c r="G958" s="211"/>
    </row>
    <row r="959" spans="6:7" x14ac:dyDescent="0.25">
      <c r="F959" s="227"/>
      <c r="G959" s="211"/>
    </row>
    <row r="960" spans="6:7" x14ac:dyDescent="0.25">
      <c r="F960" s="227"/>
      <c r="G960" s="211"/>
    </row>
    <row r="961" spans="6:7" x14ac:dyDescent="0.25">
      <c r="F961" s="227"/>
      <c r="G961" s="211"/>
    </row>
    <row r="962" spans="6:7" x14ac:dyDescent="0.25">
      <c r="F962" s="227"/>
      <c r="G962" s="211"/>
    </row>
    <row r="963" spans="6:7" x14ac:dyDescent="0.25">
      <c r="F963" s="227"/>
      <c r="G963" s="211"/>
    </row>
    <row r="964" spans="6:7" x14ac:dyDescent="0.25">
      <c r="F964" s="227"/>
      <c r="G964" s="211"/>
    </row>
    <row r="965" spans="6:7" x14ac:dyDescent="0.25">
      <c r="F965" s="227"/>
      <c r="G965" s="211"/>
    </row>
    <row r="966" spans="6:7" x14ac:dyDescent="0.25">
      <c r="F966" s="227"/>
      <c r="G966" s="211"/>
    </row>
    <row r="967" spans="6:7" x14ac:dyDescent="0.25">
      <c r="F967" s="227"/>
      <c r="G967" s="211"/>
    </row>
    <row r="968" spans="6:7" x14ac:dyDescent="0.25">
      <c r="F968" s="227"/>
      <c r="G968" s="211"/>
    </row>
    <row r="969" spans="6:7" x14ac:dyDescent="0.25">
      <c r="F969" s="227"/>
      <c r="G969" s="211"/>
    </row>
    <row r="970" spans="6:7" x14ac:dyDescent="0.25">
      <c r="F970" s="227"/>
      <c r="G970" s="211"/>
    </row>
    <row r="971" spans="6:7" x14ac:dyDescent="0.25">
      <c r="F971" s="227"/>
      <c r="G971" s="211"/>
    </row>
    <row r="972" spans="6:7" x14ac:dyDescent="0.25">
      <c r="F972" s="227"/>
      <c r="G972" s="211"/>
    </row>
    <row r="973" spans="6:7" x14ac:dyDescent="0.25">
      <c r="F973" s="227"/>
      <c r="G973" s="211"/>
    </row>
    <row r="974" spans="6:7" x14ac:dyDescent="0.25">
      <c r="F974" s="227"/>
      <c r="G974" s="211"/>
    </row>
    <row r="975" spans="6:7" x14ac:dyDescent="0.25">
      <c r="F975" s="227"/>
      <c r="G975" s="211"/>
    </row>
    <row r="976" spans="6:7" x14ac:dyDescent="0.25">
      <c r="F976" s="227"/>
      <c r="G976" s="211"/>
    </row>
    <row r="977" spans="6:7" x14ac:dyDescent="0.25">
      <c r="F977" s="227"/>
      <c r="G977" s="211"/>
    </row>
    <row r="978" spans="6:7" x14ac:dyDescent="0.25">
      <c r="F978" s="227"/>
      <c r="G978" s="211"/>
    </row>
    <row r="979" spans="6:7" x14ac:dyDescent="0.25">
      <c r="F979" s="227"/>
      <c r="G979" s="211"/>
    </row>
    <row r="980" spans="6:7" x14ac:dyDescent="0.25">
      <c r="F980" s="227"/>
      <c r="G980" s="211"/>
    </row>
    <row r="981" spans="6:7" x14ac:dyDescent="0.25">
      <c r="F981" s="227"/>
      <c r="G981" s="211"/>
    </row>
    <row r="982" spans="6:7" x14ac:dyDescent="0.25">
      <c r="F982" s="227"/>
      <c r="G982" s="211"/>
    </row>
    <row r="983" spans="6:7" x14ac:dyDescent="0.25">
      <c r="F983" s="227"/>
      <c r="G983" s="211"/>
    </row>
    <row r="984" spans="6:7" x14ac:dyDescent="0.25">
      <c r="F984" s="227"/>
      <c r="G984" s="211"/>
    </row>
    <row r="985" spans="6:7" x14ac:dyDescent="0.25">
      <c r="F985" s="227"/>
      <c r="G985" s="211"/>
    </row>
    <row r="986" spans="6:7" x14ac:dyDescent="0.25">
      <c r="F986" s="227"/>
      <c r="G986" s="211"/>
    </row>
    <row r="987" spans="6:7" x14ac:dyDescent="0.25">
      <c r="F987" s="227"/>
      <c r="G987" s="211"/>
    </row>
    <row r="988" spans="6:7" x14ac:dyDescent="0.25">
      <c r="F988" s="227"/>
      <c r="G988" s="211"/>
    </row>
    <row r="989" spans="6:7" x14ac:dyDescent="0.25">
      <c r="F989" s="227"/>
      <c r="G989" s="211"/>
    </row>
    <row r="990" spans="6:7" x14ac:dyDescent="0.25">
      <c r="F990" s="227"/>
      <c r="G990" s="211"/>
    </row>
    <row r="991" spans="6:7" x14ac:dyDescent="0.25">
      <c r="F991" s="227"/>
      <c r="G991" s="211"/>
    </row>
    <row r="992" spans="6:7" x14ac:dyDescent="0.25">
      <c r="F992" s="227"/>
      <c r="G992" s="211"/>
    </row>
    <row r="993" spans="6:7" x14ac:dyDescent="0.25">
      <c r="F993" s="227"/>
      <c r="G993" s="211"/>
    </row>
    <row r="994" spans="6:7" x14ac:dyDescent="0.25">
      <c r="F994" s="227"/>
      <c r="G994" s="211"/>
    </row>
    <row r="995" spans="6:7" x14ac:dyDescent="0.25">
      <c r="F995" s="227"/>
      <c r="G995" s="211"/>
    </row>
    <row r="996" spans="6:7" x14ac:dyDescent="0.25">
      <c r="F996" s="227"/>
      <c r="G996" s="211"/>
    </row>
    <row r="997" spans="6:7" x14ac:dyDescent="0.25">
      <c r="F997" s="227"/>
      <c r="G997" s="211"/>
    </row>
    <row r="998" spans="6:7" x14ac:dyDescent="0.25">
      <c r="F998" s="227"/>
      <c r="G998" s="211"/>
    </row>
    <row r="999" spans="6:7" x14ac:dyDescent="0.25">
      <c r="F999" s="227"/>
      <c r="G999" s="211"/>
    </row>
    <row r="1000" spans="6:7" x14ac:dyDescent="0.25">
      <c r="F1000" s="227"/>
      <c r="G1000" s="211"/>
    </row>
    <row r="1001" spans="6:7" x14ac:dyDescent="0.25">
      <c r="F1001" s="227"/>
      <c r="G1001" s="211"/>
    </row>
    <row r="1002" spans="6:7" x14ac:dyDescent="0.25">
      <c r="F1002" s="227"/>
      <c r="G1002" s="211"/>
    </row>
    <row r="1003" spans="6:7" x14ac:dyDescent="0.25">
      <c r="F1003" s="227"/>
      <c r="G1003" s="211"/>
    </row>
    <row r="1004" spans="6:7" x14ac:dyDescent="0.25">
      <c r="F1004" s="227"/>
      <c r="G1004" s="211"/>
    </row>
    <row r="1005" spans="6:7" x14ac:dyDescent="0.25">
      <c r="F1005" s="227"/>
      <c r="G1005" s="211"/>
    </row>
    <row r="1006" spans="6:7" x14ac:dyDescent="0.25">
      <c r="F1006" s="227"/>
      <c r="G1006" s="211"/>
    </row>
    <row r="1007" spans="6:7" x14ac:dyDescent="0.25">
      <c r="F1007" s="227"/>
      <c r="G1007" s="211"/>
    </row>
    <row r="1008" spans="6:7" x14ac:dyDescent="0.25">
      <c r="F1008" s="227"/>
      <c r="G1008" s="211"/>
    </row>
    <row r="1009" spans="6:7" x14ac:dyDescent="0.25">
      <c r="F1009" s="227"/>
      <c r="G1009" s="211"/>
    </row>
    <row r="1010" spans="6:7" x14ac:dyDescent="0.25">
      <c r="F1010" s="227"/>
      <c r="G1010" s="211"/>
    </row>
    <row r="1011" spans="6:7" x14ac:dyDescent="0.25">
      <c r="F1011" s="227"/>
      <c r="G1011" s="211"/>
    </row>
    <row r="1012" spans="6:7" x14ac:dyDescent="0.25">
      <c r="F1012" s="227"/>
      <c r="G1012" s="211"/>
    </row>
    <row r="1013" spans="6:7" x14ac:dyDescent="0.25">
      <c r="F1013" s="227"/>
      <c r="G1013" s="211"/>
    </row>
    <row r="1014" spans="6:7" x14ac:dyDescent="0.25">
      <c r="F1014" s="227"/>
      <c r="G1014" s="211"/>
    </row>
    <row r="1015" spans="6:7" x14ac:dyDescent="0.25">
      <c r="F1015" s="227"/>
      <c r="G1015" s="211"/>
    </row>
    <row r="1016" spans="6:7" x14ac:dyDescent="0.25">
      <c r="F1016" s="227"/>
      <c r="G1016" s="211"/>
    </row>
    <row r="1017" spans="6:7" x14ac:dyDescent="0.25">
      <c r="F1017" s="227"/>
      <c r="G1017" s="211"/>
    </row>
    <row r="1018" spans="6:7" x14ac:dyDescent="0.25">
      <c r="F1018" s="227"/>
      <c r="G1018" s="211"/>
    </row>
    <row r="1019" spans="6:7" x14ac:dyDescent="0.25">
      <c r="F1019" s="227"/>
      <c r="G1019" s="211"/>
    </row>
    <row r="1020" spans="6:7" x14ac:dyDescent="0.25">
      <c r="F1020" s="227"/>
      <c r="G1020" s="211"/>
    </row>
    <row r="1021" spans="6:7" x14ac:dyDescent="0.25">
      <c r="F1021" s="227"/>
      <c r="G1021" s="211"/>
    </row>
    <row r="1022" spans="6:7" x14ac:dyDescent="0.25">
      <c r="F1022" s="227"/>
      <c r="G1022" s="211"/>
    </row>
    <row r="1023" spans="6:7" x14ac:dyDescent="0.25">
      <c r="F1023" s="227"/>
      <c r="G1023" s="211"/>
    </row>
    <row r="1024" spans="6:7" x14ac:dyDescent="0.25">
      <c r="F1024" s="227"/>
      <c r="G1024" s="211"/>
    </row>
    <row r="1025" spans="6:7" x14ac:dyDescent="0.25">
      <c r="F1025" s="227"/>
      <c r="G1025" s="211"/>
    </row>
    <row r="1026" spans="6:7" x14ac:dyDescent="0.25">
      <c r="F1026" s="227"/>
      <c r="G1026" s="211"/>
    </row>
    <row r="1027" spans="6:7" x14ac:dyDescent="0.25">
      <c r="F1027" s="227"/>
      <c r="G1027" s="211"/>
    </row>
    <row r="1028" spans="6:7" x14ac:dyDescent="0.25">
      <c r="F1028" s="227"/>
      <c r="G1028" s="211"/>
    </row>
    <row r="1029" spans="6:7" x14ac:dyDescent="0.25">
      <c r="F1029" s="227"/>
      <c r="G1029" s="211"/>
    </row>
    <row r="1030" spans="6:7" x14ac:dyDescent="0.25">
      <c r="F1030" s="227"/>
      <c r="G1030" s="211"/>
    </row>
    <row r="1031" spans="6:7" x14ac:dyDescent="0.25">
      <c r="F1031" s="227"/>
      <c r="G1031" s="211"/>
    </row>
    <row r="1032" spans="6:7" x14ac:dyDescent="0.25">
      <c r="F1032" s="227"/>
      <c r="G1032" s="211"/>
    </row>
    <row r="1033" spans="6:7" x14ac:dyDescent="0.25">
      <c r="F1033" s="227"/>
      <c r="G1033" s="211"/>
    </row>
    <row r="1034" spans="6:7" x14ac:dyDescent="0.25">
      <c r="F1034" s="227"/>
      <c r="G1034" s="211"/>
    </row>
    <row r="1035" spans="6:7" x14ac:dyDescent="0.25">
      <c r="F1035" s="227"/>
      <c r="G1035" s="211"/>
    </row>
    <row r="1036" spans="6:7" x14ac:dyDescent="0.25">
      <c r="F1036" s="227"/>
      <c r="G1036" s="211"/>
    </row>
    <row r="1037" spans="6:7" x14ac:dyDescent="0.25">
      <c r="F1037" s="227"/>
      <c r="G1037" s="211"/>
    </row>
    <row r="1038" spans="6:7" x14ac:dyDescent="0.25">
      <c r="F1038" s="227"/>
      <c r="G1038" s="211"/>
    </row>
    <row r="1039" spans="6:7" x14ac:dyDescent="0.25">
      <c r="F1039" s="227"/>
      <c r="G1039" s="211"/>
    </row>
    <row r="1040" spans="6:7" x14ac:dyDescent="0.25">
      <c r="F1040" s="227"/>
      <c r="G1040" s="211"/>
    </row>
    <row r="1041" spans="6:7" x14ac:dyDescent="0.25">
      <c r="F1041" s="227"/>
      <c r="G1041" s="211"/>
    </row>
    <row r="1042" spans="6:7" x14ac:dyDescent="0.25">
      <c r="F1042" s="227"/>
      <c r="G1042" s="211"/>
    </row>
    <row r="1043" spans="6:7" x14ac:dyDescent="0.25">
      <c r="F1043" s="227"/>
      <c r="G1043" s="227"/>
    </row>
    <row r="1044" spans="6:7" x14ac:dyDescent="0.25">
      <c r="F1044" s="227"/>
      <c r="G1044" s="227"/>
    </row>
    <row r="1045" spans="6:7" x14ac:dyDescent="0.25">
      <c r="F1045" s="227"/>
      <c r="G1045" s="227"/>
    </row>
    <row r="1046" spans="6:7" x14ac:dyDescent="0.25">
      <c r="F1046" s="227"/>
      <c r="G1046" s="227"/>
    </row>
    <row r="1047" spans="6:7" x14ac:dyDescent="0.25">
      <c r="F1047" s="227"/>
      <c r="G1047" s="227"/>
    </row>
    <row r="1048" spans="6:7" x14ac:dyDescent="0.25">
      <c r="F1048" s="227"/>
      <c r="G1048" s="227"/>
    </row>
    <row r="1049" spans="6:7" x14ac:dyDescent="0.25">
      <c r="F1049" s="227"/>
      <c r="G1049" s="227"/>
    </row>
    <row r="1050" spans="6:7" x14ac:dyDescent="0.25">
      <c r="F1050" s="227"/>
      <c r="G1050" s="227"/>
    </row>
    <row r="1051" spans="6:7" x14ac:dyDescent="0.25">
      <c r="F1051" s="227"/>
      <c r="G1051" s="227"/>
    </row>
    <row r="1052" spans="6:7" x14ac:dyDescent="0.25">
      <c r="F1052" s="227"/>
      <c r="G1052" s="227"/>
    </row>
    <row r="1053" spans="6:7" x14ac:dyDescent="0.25">
      <c r="F1053" s="227"/>
      <c r="G1053" s="227"/>
    </row>
    <row r="1054" spans="6:7" x14ac:dyDescent="0.25">
      <c r="F1054" s="227"/>
      <c r="G1054" s="227"/>
    </row>
    <row r="1055" spans="6:7" x14ac:dyDescent="0.25">
      <c r="F1055" s="227"/>
      <c r="G1055" s="227"/>
    </row>
    <row r="1056" spans="6:7" x14ac:dyDescent="0.25">
      <c r="F1056" s="227"/>
      <c r="G1056" s="227"/>
    </row>
    <row r="1057" spans="6:7" x14ac:dyDescent="0.25">
      <c r="F1057" s="227"/>
      <c r="G1057" s="227"/>
    </row>
    <row r="1058" spans="6:7" x14ac:dyDescent="0.25">
      <c r="F1058" s="227"/>
      <c r="G1058" s="227"/>
    </row>
    <row r="1059" spans="6:7" x14ac:dyDescent="0.25">
      <c r="F1059" s="227"/>
      <c r="G1059" s="227"/>
    </row>
    <row r="1060" spans="6:7" x14ac:dyDescent="0.25">
      <c r="F1060" s="227"/>
      <c r="G1060" s="227"/>
    </row>
    <row r="1061" spans="6:7" x14ac:dyDescent="0.25">
      <c r="F1061" s="227"/>
      <c r="G1061" s="227"/>
    </row>
    <row r="1062" spans="6:7" x14ac:dyDescent="0.25">
      <c r="F1062" s="227"/>
      <c r="G1062" s="227"/>
    </row>
    <row r="1063" spans="6:7" x14ac:dyDescent="0.25">
      <c r="F1063" s="227"/>
      <c r="G1063" s="227"/>
    </row>
    <row r="1064" spans="6:7" x14ac:dyDescent="0.25">
      <c r="F1064" s="227"/>
      <c r="G1064" s="227"/>
    </row>
    <row r="1065" spans="6:7" x14ac:dyDescent="0.25">
      <c r="F1065" s="227"/>
      <c r="G1065" s="227"/>
    </row>
    <row r="1066" spans="6:7" x14ac:dyDescent="0.25">
      <c r="F1066" s="227"/>
      <c r="G1066" s="227"/>
    </row>
    <row r="1067" spans="6:7" x14ac:dyDescent="0.25">
      <c r="F1067" s="227"/>
      <c r="G1067" s="227"/>
    </row>
    <row r="1068" spans="6:7" x14ac:dyDescent="0.25">
      <c r="F1068" s="227"/>
      <c r="G1068" s="227"/>
    </row>
    <row r="1069" spans="6:7" x14ac:dyDescent="0.25">
      <c r="F1069" s="227"/>
      <c r="G1069" s="227"/>
    </row>
    <row r="1070" spans="6:7" x14ac:dyDescent="0.25">
      <c r="F1070" s="227"/>
      <c r="G1070" s="227"/>
    </row>
    <row r="1071" spans="6:7" x14ac:dyDescent="0.25">
      <c r="F1071" s="227"/>
      <c r="G1071" s="227"/>
    </row>
    <row r="1072" spans="6:7" x14ac:dyDescent="0.25">
      <c r="F1072" s="227"/>
      <c r="G1072" s="227"/>
    </row>
    <row r="1073" spans="6:7" x14ac:dyDescent="0.25">
      <c r="F1073" s="227"/>
      <c r="G1073" s="227"/>
    </row>
    <row r="1074" spans="6:7" x14ac:dyDescent="0.25">
      <c r="F1074" s="227"/>
      <c r="G1074" s="227"/>
    </row>
    <row r="1075" spans="6:7" x14ac:dyDescent="0.25">
      <c r="F1075" s="227"/>
      <c r="G1075" s="227"/>
    </row>
    <row r="1076" spans="6:7" x14ac:dyDescent="0.25">
      <c r="F1076" s="227"/>
      <c r="G1076" s="227"/>
    </row>
    <row r="1077" spans="6:7" x14ac:dyDescent="0.25">
      <c r="F1077" s="227"/>
      <c r="G1077" s="227"/>
    </row>
    <row r="1078" spans="6:7" x14ac:dyDescent="0.25">
      <c r="F1078" s="227"/>
      <c r="G1078" s="227"/>
    </row>
    <row r="1079" spans="6:7" x14ac:dyDescent="0.25">
      <c r="F1079" s="227"/>
      <c r="G1079" s="227"/>
    </row>
    <row r="1080" spans="6:7" x14ac:dyDescent="0.25">
      <c r="F1080" s="227"/>
      <c r="G1080" s="227"/>
    </row>
    <row r="1081" spans="6:7" x14ac:dyDescent="0.25">
      <c r="F1081" s="227"/>
      <c r="G1081" s="227"/>
    </row>
    <row r="1082" spans="6:7" x14ac:dyDescent="0.25">
      <c r="F1082" s="227"/>
      <c r="G1082" s="227"/>
    </row>
    <row r="1083" spans="6:7" x14ac:dyDescent="0.25">
      <c r="F1083" s="227"/>
      <c r="G1083" s="227"/>
    </row>
    <row r="1084" spans="6:7" x14ac:dyDescent="0.25">
      <c r="F1084" s="227"/>
      <c r="G1084" s="227"/>
    </row>
    <row r="1085" spans="6:7" x14ac:dyDescent="0.25">
      <c r="F1085" s="227"/>
      <c r="G1085" s="227"/>
    </row>
    <row r="1086" spans="6:7" x14ac:dyDescent="0.25">
      <c r="F1086" s="227"/>
      <c r="G1086" s="227"/>
    </row>
    <row r="1087" spans="6:7" x14ac:dyDescent="0.25">
      <c r="F1087" s="227"/>
      <c r="G1087" s="227"/>
    </row>
    <row r="1088" spans="6:7" x14ac:dyDescent="0.25">
      <c r="F1088" s="227"/>
      <c r="G1088" s="227"/>
    </row>
    <row r="1089" spans="6:7" x14ac:dyDescent="0.25">
      <c r="F1089" s="227"/>
      <c r="G1089" s="227"/>
    </row>
    <row r="1090" spans="6:7" x14ac:dyDescent="0.25">
      <c r="F1090" s="227"/>
      <c r="G1090" s="227"/>
    </row>
    <row r="1091" spans="6:7" x14ac:dyDescent="0.25">
      <c r="F1091" s="227"/>
      <c r="G1091" s="227"/>
    </row>
    <row r="1092" spans="6:7" x14ac:dyDescent="0.25">
      <c r="F1092" s="227"/>
      <c r="G1092" s="227"/>
    </row>
    <row r="1093" spans="6:7" x14ac:dyDescent="0.25">
      <c r="F1093" s="227"/>
      <c r="G1093" s="227"/>
    </row>
    <row r="1094" spans="6:7" x14ac:dyDescent="0.25">
      <c r="F1094" s="227"/>
      <c r="G1094" s="227"/>
    </row>
    <row r="1095" spans="6:7" x14ac:dyDescent="0.25">
      <c r="F1095" s="227"/>
      <c r="G1095" s="227"/>
    </row>
    <row r="1096" spans="6:7" x14ac:dyDescent="0.25">
      <c r="F1096" s="227"/>
      <c r="G1096" s="227"/>
    </row>
    <row r="1097" spans="6:7" x14ac:dyDescent="0.25">
      <c r="F1097" s="227"/>
      <c r="G1097" s="227"/>
    </row>
    <row r="1098" spans="6:7" x14ac:dyDescent="0.25">
      <c r="F1098" s="227"/>
      <c r="G1098" s="227"/>
    </row>
    <row r="1099" spans="6:7" x14ac:dyDescent="0.25">
      <c r="F1099" s="227"/>
      <c r="G1099" s="227"/>
    </row>
    <row r="1100" spans="6:7" x14ac:dyDescent="0.25">
      <c r="F1100" s="227"/>
      <c r="G1100" s="227"/>
    </row>
    <row r="1101" spans="6:7" x14ac:dyDescent="0.25">
      <c r="F1101" s="227"/>
      <c r="G1101" s="227"/>
    </row>
    <row r="1102" spans="6:7" x14ac:dyDescent="0.25">
      <c r="F1102" s="227"/>
      <c r="G1102" s="227"/>
    </row>
    <row r="1103" spans="6:7" x14ac:dyDescent="0.25">
      <c r="F1103" s="227"/>
      <c r="G1103" s="227"/>
    </row>
    <row r="1104" spans="6:7" x14ac:dyDescent="0.25">
      <c r="F1104" s="227"/>
      <c r="G1104" s="227"/>
    </row>
    <row r="1105" spans="6:7" x14ac:dyDescent="0.25">
      <c r="F1105" s="227"/>
      <c r="G1105" s="227"/>
    </row>
    <row r="1106" spans="6:7" x14ac:dyDescent="0.25">
      <c r="F1106" s="227"/>
      <c r="G1106" s="227"/>
    </row>
    <row r="1107" spans="6:7" x14ac:dyDescent="0.25">
      <c r="F1107" s="227"/>
      <c r="G1107" s="227"/>
    </row>
    <row r="1108" spans="6:7" x14ac:dyDescent="0.25">
      <c r="F1108" s="227"/>
      <c r="G1108" s="227"/>
    </row>
    <row r="1109" spans="6:7" x14ac:dyDescent="0.25">
      <c r="F1109" s="227"/>
      <c r="G1109" s="227"/>
    </row>
    <row r="1110" spans="6:7" x14ac:dyDescent="0.25">
      <c r="F1110" s="227"/>
      <c r="G1110" s="227"/>
    </row>
    <row r="1111" spans="6:7" x14ac:dyDescent="0.25">
      <c r="F1111" s="227"/>
      <c r="G1111" s="227"/>
    </row>
    <row r="1112" spans="6:7" x14ac:dyDescent="0.25">
      <c r="F1112" s="227"/>
      <c r="G1112" s="227"/>
    </row>
    <row r="1113" spans="6:7" x14ac:dyDescent="0.25">
      <c r="F1113" s="227"/>
      <c r="G1113" s="227"/>
    </row>
    <row r="1114" spans="6:7" x14ac:dyDescent="0.25">
      <c r="F1114" s="227"/>
      <c r="G1114" s="227"/>
    </row>
    <row r="1115" spans="6:7" x14ac:dyDescent="0.25">
      <c r="F1115" s="227"/>
      <c r="G1115" s="227"/>
    </row>
    <row r="1116" spans="6:7" x14ac:dyDescent="0.25">
      <c r="F1116" s="227"/>
      <c r="G1116" s="227"/>
    </row>
    <row r="1117" spans="6:7" x14ac:dyDescent="0.25">
      <c r="F1117" s="227"/>
      <c r="G1117" s="227"/>
    </row>
    <row r="1118" spans="6:7" x14ac:dyDescent="0.25">
      <c r="F1118" s="227"/>
      <c r="G1118" s="227"/>
    </row>
    <row r="1119" spans="6:7" x14ac:dyDescent="0.25">
      <c r="F1119" s="227"/>
      <c r="G1119" s="227"/>
    </row>
    <row r="1120" spans="6:7" x14ac:dyDescent="0.25">
      <c r="F1120" s="227"/>
      <c r="G1120" s="227"/>
    </row>
    <row r="1121" spans="6:7" x14ac:dyDescent="0.25">
      <c r="F1121" s="227"/>
      <c r="G1121" s="227"/>
    </row>
    <row r="1122" spans="6:7" x14ac:dyDescent="0.25">
      <c r="F1122" s="227"/>
      <c r="G1122" s="227"/>
    </row>
    <row r="1123" spans="6:7" x14ac:dyDescent="0.25">
      <c r="F1123" s="227"/>
      <c r="G1123" s="227"/>
    </row>
    <row r="1124" spans="6:7" x14ac:dyDescent="0.25">
      <c r="F1124" s="227"/>
      <c r="G1124" s="227"/>
    </row>
    <row r="1125" spans="6:7" x14ac:dyDescent="0.25">
      <c r="F1125" s="227"/>
      <c r="G1125" s="227"/>
    </row>
    <row r="1126" spans="6:7" x14ac:dyDescent="0.25">
      <c r="F1126" s="227"/>
      <c r="G1126" s="227"/>
    </row>
    <row r="1127" spans="6:7" x14ac:dyDescent="0.25">
      <c r="F1127" s="227"/>
      <c r="G1127" s="227"/>
    </row>
    <row r="1128" spans="6:7" x14ac:dyDescent="0.25">
      <c r="F1128" s="227"/>
      <c r="G1128" s="227"/>
    </row>
    <row r="1129" spans="6:7" x14ac:dyDescent="0.25">
      <c r="F1129" s="227"/>
      <c r="G1129" s="227"/>
    </row>
    <row r="1130" spans="6:7" x14ac:dyDescent="0.25">
      <c r="F1130" s="227"/>
      <c r="G1130" s="227"/>
    </row>
    <row r="1131" spans="6:7" x14ac:dyDescent="0.25">
      <c r="F1131" s="227"/>
      <c r="G1131" s="227"/>
    </row>
    <row r="1132" spans="6:7" x14ac:dyDescent="0.25">
      <c r="F1132" s="227"/>
      <c r="G1132" s="227"/>
    </row>
    <row r="1133" spans="6:7" x14ac:dyDescent="0.25">
      <c r="F1133" s="227"/>
      <c r="G1133" s="227"/>
    </row>
    <row r="1134" spans="6:7" x14ac:dyDescent="0.25">
      <c r="F1134" s="227"/>
      <c r="G1134" s="227"/>
    </row>
    <row r="1135" spans="6:7" x14ac:dyDescent="0.25">
      <c r="G1135" s="227"/>
    </row>
    <row r="1136" spans="6:7" x14ac:dyDescent="0.25">
      <c r="G1136" s="227"/>
    </row>
    <row r="1137" spans="7:7" x14ac:dyDescent="0.25">
      <c r="G1137" s="227"/>
    </row>
    <row r="1138" spans="7:7" x14ac:dyDescent="0.25">
      <c r="G1138" s="227"/>
    </row>
    <row r="1139" spans="7:7" x14ac:dyDescent="0.25">
      <c r="G1139" s="227"/>
    </row>
    <row r="1140" spans="7:7" x14ac:dyDescent="0.25">
      <c r="G1140" s="227"/>
    </row>
    <row r="1141" spans="7:7" x14ac:dyDescent="0.25">
      <c r="G1141" s="227"/>
    </row>
    <row r="1142" spans="7:7" x14ac:dyDescent="0.25">
      <c r="G1142" s="227"/>
    </row>
    <row r="1143" spans="7:7" x14ac:dyDescent="0.25">
      <c r="G1143" s="227"/>
    </row>
    <row r="1144" spans="7:7" x14ac:dyDescent="0.25">
      <c r="G1144" s="227"/>
    </row>
    <row r="1145" spans="7:7" x14ac:dyDescent="0.25">
      <c r="G1145" s="227"/>
    </row>
    <row r="1146" spans="7:7" x14ac:dyDescent="0.25">
      <c r="G1146" s="227"/>
    </row>
    <row r="1147" spans="7:7" x14ac:dyDescent="0.25">
      <c r="G1147" s="227"/>
    </row>
    <row r="1148" spans="7:7" x14ac:dyDescent="0.25">
      <c r="G1148" s="227"/>
    </row>
    <row r="1149" spans="7:7" x14ac:dyDescent="0.25">
      <c r="G1149" s="227"/>
    </row>
    <row r="1150" spans="7:7" x14ac:dyDescent="0.25">
      <c r="G1150" s="227"/>
    </row>
    <row r="1151" spans="7:7" x14ac:dyDescent="0.25">
      <c r="G1151" s="227"/>
    </row>
    <row r="1152" spans="7:7" x14ac:dyDescent="0.25">
      <c r="G1152" s="227"/>
    </row>
    <row r="1153" spans="7:7" x14ac:dyDescent="0.25">
      <c r="G1153" s="227"/>
    </row>
    <row r="1154" spans="7:7" x14ac:dyDescent="0.25">
      <c r="G1154" s="227"/>
    </row>
    <row r="1155" spans="7:7" x14ac:dyDescent="0.25">
      <c r="G1155" s="227"/>
    </row>
    <row r="1156" spans="7:7" x14ac:dyDescent="0.25">
      <c r="G1156" s="227"/>
    </row>
    <row r="1157" spans="7:7" x14ac:dyDescent="0.25">
      <c r="G1157" s="227"/>
    </row>
    <row r="1158" spans="7:7" x14ac:dyDescent="0.25">
      <c r="G1158" s="227"/>
    </row>
    <row r="1159" spans="7:7" x14ac:dyDescent="0.25">
      <c r="G1159" s="227"/>
    </row>
    <row r="1160" spans="7:7" x14ac:dyDescent="0.25">
      <c r="G1160" s="227"/>
    </row>
    <row r="1161" spans="7:7" x14ac:dyDescent="0.25">
      <c r="G1161" s="227"/>
    </row>
    <row r="1162" spans="7:7" x14ac:dyDescent="0.25">
      <c r="G1162" s="227"/>
    </row>
    <row r="1163" spans="7:7" x14ac:dyDescent="0.25">
      <c r="G1163" s="227"/>
    </row>
    <row r="1164" spans="7:7" x14ac:dyDescent="0.25">
      <c r="G1164" s="227"/>
    </row>
    <row r="1165" spans="7:7" x14ac:dyDescent="0.25">
      <c r="G1165" s="227"/>
    </row>
    <row r="1166" spans="7:7" x14ac:dyDescent="0.25">
      <c r="G1166" s="227"/>
    </row>
    <row r="1167" spans="7:7" x14ac:dyDescent="0.25">
      <c r="G1167" s="227"/>
    </row>
    <row r="1168" spans="7:7" x14ac:dyDescent="0.25">
      <c r="G1168" s="227"/>
    </row>
    <row r="1169" spans="7:7" x14ac:dyDescent="0.25">
      <c r="G1169" s="227"/>
    </row>
    <row r="1170" spans="7:7" x14ac:dyDescent="0.25">
      <c r="G1170" s="227"/>
    </row>
    <row r="1171" spans="7:7" x14ac:dyDescent="0.25">
      <c r="G1171" s="227"/>
    </row>
    <row r="1172" spans="7:7" x14ac:dyDescent="0.25">
      <c r="G1172" s="227"/>
    </row>
    <row r="1173" spans="7:7" x14ac:dyDescent="0.25">
      <c r="G1173" s="227"/>
    </row>
    <row r="1174" spans="7:7" x14ac:dyDescent="0.25">
      <c r="G1174" s="227"/>
    </row>
    <row r="1175" spans="7:7" x14ac:dyDescent="0.25">
      <c r="G1175" s="227"/>
    </row>
    <row r="1176" spans="7:7" x14ac:dyDescent="0.25">
      <c r="G1176" s="227"/>
    </row>
    <row r="1177" spans="7:7" x14ac:dyDescent="0.25">
      <c r="G1177" s="227"/>
    </row>
    <row r="1178" spans="7:7" x14ac:dyDescent="0.25">
      <c r="G1178" s="227"/>
    </row>
    <row r="1179" spans="7:7" x14ac:dyDescent="0.25">
      <c r="G1179" s="227"/>
    </row>
    <row r="1180" spans="7:7" x14ac:dyDescent="0.25">
      <c r="G1180" s="227"/>
    </row>
    <row r="1181" spans="7:7" x14ac:dyDescent="0.25">
      <c r="G1181" s="227"/>
    </row>
    <row r="1182" spans="7:7" x14ac:dyDescent="0.25">
      <c r="G1182" s="227"/>
    </row>
    <row r="1183" spans="7:7" x14ac:dyDescent="0.25">
      <c r="G1183" s="227"/>
    </row>
    <row r="1184" spans="7:7" x14ac:dyDescent="0.25">
      <c r="G1184" s="227"/>
    </row>
    <row r="1185" spans="7:7" x14ac:dyDescent="0.25">
      <c r="G1185" s="227"/>
    </row>
    <row r="1186" spans="7:7" x14ac:dyDescent="0.25">
      <c r="G1186" s="227"/>
    </row>
    <row r="1187" spans="7:7" x14ac:dyDescent="0.25">
      <c r="G1187" s="227"/>
    </row>
    <row r="1188" spans="7:7" x14ac:dyDescent="0.25">
      <c r="G1188" s="227"/>
    </row>
    <row r="1189" spans="7:7" x14ac:dyDescent="0.25">
      <c r="G1189" s="227"/>
    </row>
    <row r="1190" spans="7:7" x14ac:dyDescent="0.25">
      <c r="G1190" s="227"/>
    </row>
    <row r="1191" spans="7:7" x14ac:dyDescent="0.25">
      <c r="G1191" s="227"/>
    </row>
    <row r="1192" spans="7:7" x14ac:dyDescent="0.25">
      <c r="G1192" s="227"/>
    </row>
    <row r="1193" spans="7:7" x14ac:dyDescent="0.25">
      <c r="G1193" s="227"/>
    </row>
    <row r="1194" spans="7:7" x14ac:dyDescent="0.25">
      <c r="G1194" s="227"/>
    </row>
    <row r="1195" spans="7:7" x14ac:dyDescent="0.25">
      <c r="G1195" s="227"/>
    </row>
    <row r="1196" spans="7:7" x14ac:dyDescent="0.25">
      <c r="G1196" s="227"/>
    </row>
    <row r="1197" spans="7:7" x14ac:dyDescent="0.25">
      <c r="G1197" s="227"/>
    </row>
    <row r="1198" spans="7:7" x14ac:dyDescent="0.25">
      <c r="G1198" s="227"/>
    </row>
    <row r="1199" spans="7:7" x14ac:dyDescent="0.25">
      <c r="G1199" s="227"/>
    </row>
    <row r="1200" spans="7:7" x14ac:dyDescent="0.25">
      <c r="G1200" s="227"/>
    </row>
    <row r="1201" spans="7:7" x14ac:dyDescent="0.25">
      <c r="G1201" s="227"/>
    </row>
    <row r="1202" spans="7:7" x14ac:dyDescent="0.25">
      <c r="G1202" s="227"/>
    </row>
    <row r="1203" spans="7:7" x14ac:dyDescent="0.25">
      <c r="G1203" s="227"/>
    </row>
    <row r="1204" spans="7:7" x14ac:dyDescent="0.25">
      <c r="G1204" s="227"/>
    </row>
    <row r="1205" spans="7:7" x14ac:dyDescent="0.25">
      <c r="G1205" s="227"/>
    </row>
    <row r="1206" spans="7:7" x14ac:dyDescent="0.25">
      <c r="G1206" s="227"/>
    </row>
    <row r="1207" spans="7:7" x14ac:dyDescent="0.25">
      <c r="G1207" s="227"/>
    </row>
    <row r="1208" spans="7:7" x14ac:dyDescent="0.25">
      <c r="G1208" s="227"/>
    </row>
    <row r="1209" spans="7:7" x14ac:dyDescent="0.25">
      <c r="G1209" s="227"/>
    </row>
    <row r="1210" spans="7:7" x14ac:dyDescent="0.25">
      <c r="G1210" s="227"/>
    </row>
    <row r="1211" spans="7:7" x14ac:dyDescent="0.25">
      <c r="G1211" s="227"/>
    </row>
    <row r="1212" spans="7:7" x14ac:dyDescent="0.25">
      <c r="G1212" s="227"/>
    </row>
    <row r="1213" spans="7:7" x14ac:dyDescent="0.25">
      <c r="G1213" s="227"/>
    </row>
    <row r="1214" spans="7:7" x14ac:dyDescent="0.25">
      <c r="G1214" s="227"/>
    </row>
    <row r="1215" spans="7:7" x14ac:dyDescent="0.25">
      <c r="G1215" s="227"/>
    </row>
    <row r="1216" spans="7:7" x14ac:dyDescent="0.25">
      <c r="G1216" s="227"/>
    </row>
    <row r="1217" spans="7:7" x14ac:dyDescent="0.25">
      <c r="G1217" s="227"/>
    </row>
    <row r="1218" spans="7:7" x14ac:dyDescent="0.25">
      <c r="G1218" s="227"/>
    </row>
    <row r="1219" spans="7:7" x14ac:dyDescent="0.25">
      <c r="G1219" s="227"/>
    </row>
    <row r="1220" spans="7:7" x14ac:dyDescent="0.25">
      <c r="G1220" s="227"/>
    </row>
    <row r="1221" spans="7:7" x14ac:dyDescent="0.25">
      <c r="G1221" s="227"/>
    </row>
    <row r="1222" spans="7:7" x14ac:dyDescent="0.25">
      <c r="G1222" s="227"/>
    </row>
    <row r="1223" spans="7:7" x14ac:dyDescent="0.25">
      <c r="G1223" s="227"/>
    </row>
    <row r="1224" spans="7:7" x14ac:dyDescent="0.25">
      <c r="G1224" s="227"/>
    </row>
    <row r="1225" spans="7:7" x14ac:dyDescent="0.25">
      <c r="G1225" s="227"/>
    </row>
    <row r="1226" spans="7:7" x14ac:dyDescent="0.25">
      <c r="G1226" s="227"/>
    </row>
    <row r="1227" spans="7:7" x14ac:dyDescent="0.25">
      <c r="G1227" s="227"/>
    </row>
    <row r="1228" spans="7:7" x14ac:dyDescent="0.25">
      <c r="G1228" s="227"/>
    </row>
    <row r="1229" spans="7:7" x14ac:dyDescent="0.25">
      <c r="G1229" s="227"/>
    </row>
    <row r="1230" spans="7:7" x14ac:dyDescent="0.25">
      <c r="G1230" s="227"/>
    </row>
    <row r="1231" spans="7:7" x14ac:dyDescent="0.25">
      <c r="G1231" s="227"/>
    </row>
    <row r="1232" spans="7:7" x14ac:dyDescent="0.25">
      <c r="G1232" s="227"/>
    </row>
    <row r="1233" spans="7:7" x14ac:dyDescent="0.25">
      <c r="G1233" s="227"/>
    </row>
    <row r="1234" spans="7:7" x14ac:dyDescent="0.25">
      <c r="G1234" s="227"/>
    </row>
    <row r="1235" spans="7:7" x14ac:dyDescent="0.25">
      <c r="G1235" s="227"/>
    </row>
    <row r="1236" spans="7:7" x14ac:dyDescent="0.25">
      <c r="G1236" s="227"/>
    </row>
    <row r="1237" spans="7:7" x14ac:dyDescent="0.25">
      <c r="G1237" s="227"/>
    </row>
    <row r="1238" spans="7:7" x14ac:dyDescent="0.25">
      <c r="G1238" s="227"/>
    </row>
    <row r="1239" spans="7:7" x14ac:dyDescent="0.25">
      <c r="G1239" s="227"/>
    </row>
    <row r="1240" spans="7:7" x14ac:dyDescent="0.25">
      <c r="G1240" s="227"/>
    </row>
    <row r="1241" spans="7:7" x14ac:dyDescent="0.25">
      <c r="G1241" s="227"/>
    </row>
    <row r="1242" spans="7:7" x14ac:dyDescent="0.25">
      <c r="G1242" s="227"/>
    </row>
    <row r="1243" spans="7:7" x14ac:dyDescent="0.25">
      <c r="G1243" s="227"/>
    </row>
    <row r="1244" spans="7:7" x14ac:dyDescent="0.25">
      <c r="G1244" s="227"/>
    </row>
    <row r="1245" spans="7:7" x14ac:dyDescent="0.25">
      <c r="G1245" s="227"/>
    </row>
    <row r="1246" spans="7:7" x14ac:dyDescent="0.25">
      <c r="G1246" s="227"/>
    </row>
    <row r="1247" spans="7:7" x14ac:dyDescent="0.25">
      <c r="G1247" s="227"/>
    </row>
    <row r="1248" spans="7:7" x14ac:dyDescent="0.25">
      <c r="G1248" s="227"/>
    </row>
    <row r="1249" spans="7:7" x14ac:dyDescent="0.25">
      <c r="G1249" s="227"/>
    </row>
    <row r="1250" spans="7:7" x14ac:dyDescent="0.25">
      <c r="G1250" s="227"/>
    </row>
    <row r="1251" spans="7:7" x14ac:dyDescent="0.25">
      <c r="G1251" s="227"/>
    </row>
    <row r="1252" spans="7:7" x14ac:dyDescent="0.25">
      <c r="G1252" s="227"/>
    </row>
    <row r="1253" spans="7:7" x14ac:dyDescent="0.25">
      <c r="G1253" s="227"/>
    </row>
    <row r="1254" spans="7:7" x14ac:dyDescent="0.25">
      <c r="G1254" s="227"/>
    </row>
    <row r="1255" spans="7:7" x14ac:dyDescent="0.25">
      <c r="G1255" s="227"/>
    </row>
    <row r="1256" spans="7:7" x14ac:dyDescent="0.25">
      <c r="G1256" s="227"/>
    </row>
    <row r="1257" spans="7:7" x14ac:dyDescent="0.25">
      <c r="G1257" s="227"/>
    </row>
    <row r="1258" spans="7:7" x14ac:dyDescent="0.25">
      <c r="G1258" s="227"/>
    </row>
    <row r="1259" spans="7:7" x14ac:dyDescent="0.25">
      <c r="G1259" s="227"/>
    </row>
    <row r="1260" spans="7:7" x14ac:dyDescent="0.25">
      <c r="G1260" s="227"/>
    </row>
    <row r="1261" spans="7:7" x14ac:dyDescent="0.25">
      <c r="G1261" s="227"/>
    </row>
    <row r="1262" spans="7:7" x14ac:dyDescent="0.25">
      <c r="G1262" s="227"/>
    </row>
    <row r="1263" spans="7:7" x14ac:dyDescent="0.25">
      <c r="G1263" s="227"/>
    </row>
    <row r="1264" spans="7:7" x14ac:dyDescent="0.25">
      <c r="G1264" s="227"/>
    </row>
    <row r="1265" spans="7:7" x14ac:dyDescent="0.25">
      <c r="G1265" s="227"/>
    </row>
    <row r="1266" spans="7:7" x14ac:dyDescent="0.25">
      <c r="G1266" s="227"/>
    </row>
    <row r="1267" spans="7:7" x14ac:dyDescent="0.25">
      <c r="G1267" s="227"/>
    </row>
    <row r="1268" spans="7:7" x14ac:dyDescent="0.25">
      <c r="G1268" s="227"/>
    </row>
    <row r="1269" spans="7:7" x14ac:dyDescent="0.25">
      <c r="G1269" s="227"/>
    </row>
    <row r="1270" spans="7:7" x14ac:dyDescent="0.25">
      <c r="G1270" s="227"/>
    </row>
    <row r="1271" spans="7:7" x14ac:dyDescent="0.25">
      <c r="G1271" s="227"/>
    </row>
    <row r="1272" spans="7:7" x14ac:dyDescent="0.25">
      <c r="G1272" s="227"/>
    </row>
    <row r="1273" spans="7:7" x14ac:dyDescent="0.25">
      <c r="G1273" s="227"/>
    </row>
    <row r="1274" spans="7:7" x14ac:dyDescent="0.25">
      <c r="G1274" s="227"/>
    </row>
    <row r="1275" spans="7:7" x14ac:dyDescent="0.25">
      <c r="G1275" s="227"/>
    </row>
    <row r="1276" spans="7:7" x14ac:dyDescent="0.25">
      <c r="G1276" s="227"/>
    </row>
    <row r="1277" spans="7:7" x14ac:dyDescent="0.25">
      <c r="G1277" s="227"/>
    </row>
    <row r="1278" spans="7:7" x14ac:dyDescent="0.25">
      <c r="G1278" s="227"/>
    </row>
    <row r="1279" spans="7:7" x14ac:dyDescent="0.25">
      <c r="G1279" s="227"/>
    </row>
    <row r="1280" spans="7:7" x14ac:dyDescent="0.25">
      <c r="G1280" s="227"/>
    </row>
    <row r="1281" spans="7:7" x14ac:dyDescent="0.25">
      <c r="G1281" s="227"/>
    </row>
    <row r="1282" spans="7:7" x14ac:dyDescent="0.25">
      <c r="G1282" s="227"/>
    </row>
    <row r="1283" spans="7:7" x14ac:dyDescent="0.25">
      <c r="G1283" s="227"/>
    </row>
    <row r="1284" spans="7:7" x14ac:dyDescent="0.25">
      <c r="G1284" s="227"/>
    </row>
    <row r="1285" spans="7:7" x14ac:dyDescent="0.25">
      <c r="G1285" s="227"/>
    </row>
    <row r="1286" spans="7:7" x14ac:dyDescent="0.25">
      <c r="G1286" s="227"/>
    </row>
    <row r="1287" spans="7:7" x14ac:dyDescent="0.25">
      <c r="G1287" s="227"/>
    </row>
    <row r="1288" spans="7:7" x14ac:dyDescent="0.25">
      <c r="G1288" s="227"/>
    </row>
    <row r="1289" spans="7:7" x14ac:dyDescent="0.25">
      <c r="G1289" s="227"/>
    </row>
    <row r="1290" spans="7:7" x14ac:dyDescent="0.25">
      <c r="G1290" s="227"/>
    </row>
    <row r="1291" spans="7:7" x14ac:dyDescent="0.25">
      <c r="G1291" s="227"/>
    </row>
    <row r="1292" spans="7:7" x14ac:dyDescent="0.25">
      <c r="G1292" s="227"/>
    </row>
    <row r="1293" spans="7:7" x14ac:dyDescent="0.25">
      <c r="G1293" s="227"/>
    </row>
    <row r="1294" spans="7:7" x14ac:dyDescent="0.25">
      <c r="G1294" s="227"/>
    </row>
    <row r="1295" spans="7:7" x14ac:dyDescent="0.25">
      <c r="G1295" s="227"/>
    </row>
    <row r="1296" spans="7:7" x14ac:dyDescent="0.25">
      <c r="G1296" s="227"/>
    </row>
    <row r="1297" spans="7:7" x14ac:dyDescent="0.25">
      <c r="G1297" s="227"/>
    </row>
    <row r="1298" spans="7:7" x14ac:dyDescent="0.25">
      <c r="G1298" s="227"/>
    </row>
    <row r="1299" spans="7:7" x14ac:dyDescent="0.25">
      <c r="G1299" s="227"/>
    </row>
    <row r="1300" spans="7:7" x14ac:dyDescent="0.25">
      <c r="G1300" s="227"/>
    </row>
    <row r="1301" spans="7:7" x14ac:dyDescent="0.25">
      <c r="G1301" s="227"/>
    </row>
    <row r="1302" spans="7:7" x14ac:dyDescent="0.25">
      <c r="G1302" s="227"/>
    </row>
    <row r="1303" spans="7:7" x14ac:dyDescent="0.25">
      <c r="G1303" s="227"/>
    </row>
    <row r="1304" spans="7:7" x14ac:dyDescent="0.25">
      <c r="G1304" s="227"/>
    </row>
    <row r="1305" spans="7:7" x14ac:dyDescent="0.25">
      <c r="G1305" s="227"/>
    </row>
    <row r="1306" spans="7:7" x14ac:dyDescent="0.25">
      <c r="G1306" s="227"/>
    </row>
    <row r="1307" spans="7:7" x14ac:dyDescent="0.25">
      <c r="G1307" s="227"/>
    </row>
    <row r="1308" spans="7:7" x14ac:dyDescent="0.25">
      <c r="G1308" s="227"/>
    </row>
    <row r="1309" spans="7:7" x14ac:dyDescent="0.25">
      <c r="G1309" s="227"/>
    </row>
    <row r="1310" spans="7:7" x14ac:dyDescent="0.25">
      <c r="G1310" s="227"/>
    </row>
    <row r="1311" spans="7:7" x14ac:dyDescent="0.25">
      <c r="G1311" s="227"/>
    </row>
    <row r="1312" spans="7:7" x14ac:dyDescent="0.25">
      <c r="G1312" s="227"/>
    </row>
    <row r="1313" spans="7:7" x14ac:dyDescent="0.25">
      <c r="G1313" s="227"/>
    </row>
    <row r="1314" spans="7:7" x14ac:dyDescent="0.25">
      <c r="G1314" s="227"/>
    </row>
    <row r="1315" spans="7:7" x14ac:dyDescent="0.25">
      <c r="G1315" s="227"/>
    </row>
    <row r="1316" spans="7:7" x14ac:dyDescent="0.25">
      <c r="G1316" s="227"/>
    </row>
    <row r="1317" spans="7:7" x14ac:dyDescent="0.25">
      <c r="G1317" s="227"/>
    </row>
    <row r="1318" spans="7:7" x14ac:dyDescent="0.25">
      <c r="G1318" s="227"/>
    </row>
    <row r="1319" spans="7:7" x14ac:dyDescent="0.25">
      <c r="G1319" s="227"/>
    </row>
    <row r="1320" spans="7:7" x14ac:dyDescent="0.25">
      <c r="G1320" s="227"/>
    </row>
    <row r="1321" spans="7:7" x14ac:dyDescent="0.25">
      <c r="G1321" s="227"/>
    </row>
    <row r="1322" spans="7:7" x14ac:dyDescent="0.25">
      <c r="G1322" s="227"/>
    </row>
    <row r="1323" spans="7:7" x14ac:dyDescent="0.25">
      <c r="G1323" s="227"/>
    </row>
    <row r="1324" spans="7:7" x14ac:dyDescent="0.25">
      <c r="G1324" s="227"/>
    </row>
    <row r="1325" spans="7:7" x14ac:dyDescent="0.25">
      <c r="G1325" s="227"/>
    </row>
    <row r="1326" spans="7:7" x14ac:dyDescent="0.25">
      <c r="G1326" s="227"/>
    </row>
    <row r="1327" spans="7:7" x14ac:dyDescent="0.25">
      <c r="G1327" s="227"/>
    </row>
    <row r="1328" spans="7:7" x14ac:dyDescent="0.25">
      <c r="G1328" s="227"/>
    </row>
    <row r="1329" spans="7:7" x14ac:dyDescent="0.25">
      <c r="G1329" s="227"/>
    </row>
    <row r="1330" spans="7:7" x14ac:dyDescent="0.25">
      <c r="G1330" s="227"/>
    </row>
    <row r="1331" spans="7:7" x14ac:dyDescent="0.25">
      <c r="G1331" s="227"/>
    </row>
    <row r="1332" spans="7:7" x14ac:dyDescent="0.25">
      <c r="G1332" s="227"/>
    </row>
    <row r="1333" spans="7:7" x14ac:dyDescent="0.25">
      <c r="G1333" s="227"/>
    </row>
    <row r="1334" spans="7:7" x14ac:dyDescent="0.25">
      <c r="G1334" s="227"/>
    </row>
    <row r="1335" spans="7:7" x14ac:dyDescent="0.25">
      <c r="G1335" s="227"/>
    </row>
    <row r="1336" spans="7:7" x14ac:dyDescent="0.25">
      <c r="G1336" s="227"/>
    </row>
    <row r="1337" spans="7:7" x14ac:dyDescent="0.25">
      <c r="G1337" s="227"/>
    </row>
    <row r="1338" spans="7:7" x14ac:dyDescent="0.25">
      <c r="G1338" s="227"/>
    </row>
    <row r="1339" spans="7:7" x14ac:dyDescent="0.25">
      <c r="G1339" s="227"/>
    </row>
    <row r="1340" spans="7:7" x14ac:dyDescent="0.25">
      <c r="G1340" s="227"/>
    </row>
    <row r="1341" spans="7:7" x14ac:dyDescent="0.25">
      <c r="G1341" s="227"/>
    </row>
    <row r="1342" spans="7:7" x14ac:dyDescent="0.25">
      <c r="G1342" s="227"/>
    </row>
    <row r="1343" spans="7:7" x14ac:dyDescent="0.25">
      <c r="G1343" s="227"/>
    </row>
    <row r="1344" spans="7:7" x14ac:dyDescent="0.25">
      <c r="G1344" s="227"/>
    </row>
    <row r="1345" spans="7:7" x14ac:dyDescent="0.25">
      <c r="G1345" s="227"/>
    </row>
    <row r="1346" spans="7:7" x14ac:dyDescent="0.25">
      <c r="G1346" s="227"/>
    </row>
    <row r="1347" spans="7:7" x14ac:dyDescent="0.25">
      <c r="G1347" s="227"/>
    </row>
    <row r="1348" spans="7:7" x14ac:dyDescent="0.25">
      <c r="G1348" s="227"/>
    </row>
    <row r="1349" spans="7:7" x14ac:dyDescent="0.25">
      <c r="G1349" s="227"/>
    </row>
    <row r="1350" spans="7:7" x14ac:dyDescent="0.25">
      <c r="G1350" s="227"/>
    </row>
    <row r="1351" spans="7:7" x14ac:dyDescent="0.25">
      <c r="G1351" s="227"/>
    </row>
    <row r="1352" spans="7:7" x14ac:dyDescent="0.25">
      <c r="G1352" s="227"/>
    </row>
    <row r="1353" spans="7:7" x14ac:dyDescent="0.25">
      <c r="G1353" s="227"/>
    </row>
    <row r="1354" spans="7:7" x14ac:dyDescent="0.25">
      <c r="G1354" s="227"/>
    </row>
    <row r="1355" spans="7:7" x14ac:dyDescent="0.25">
      <c r="G1355" s="227"/>
    </row>
    <row r="1356" spans="7:7" x14ac:dyDescent="0.25">
      <c r="G1356" s="227"/>
    </row>
    <row r="1357" spans="7:7" x14ac:dyDescent="0.25">
      <c r="G1357" s="227"/>
    </row>
    <row r="1358" spans="7:7" x14ac:dyDescent="0.25">
      <c r="G1358" s="227"/>
    </row>
    <row r="1359" spans="7:7" x14ac:dyDescent="0.25">
      <c r="G1359" s="227"/>
    </row>
    <row r="1360" spans="7:7" x14ac:dyDescent="0.25">
      <c r="G1360" s="227"/>
    </row>
    <row r="1361" spans="7:7" x14ac:dyDescent="0.25">
      <c r="G1361" s="227"/>
    </row>
    <row r="1362" spans="7:7" x14ac:dyDescent="0.25">
      <c r="G1362" s="227"/>
    </row>
    <row r="1363" spans="7:7" x14ac:dyDescent="0.25">
      <c r="G1363" s="227"/>
    </row>
    <row r="1364" spans="7:7" x14ac:dyDescent="0.25">
      <c r="G1364" s="227"/>
    </row>
    <row r="1365" spans="7:7" x14ac:dyDescent="0.25">
      <c r="G1365" s="227"/>
    </row>
    <row r="1366" spans="7:7" x14ac:dyDescent="0.25">
      <c r="G1366" s="227"/>
    </row>
    <row r="1367" spans="7:7" x14ac:dyDescent="0.25">
      <c r="G1367" s="227"/>
    </row>
    <row r="1368" spans="7:7" x14ac:dyDescent="0.25">
      <c r="G1368" s="227"/>
    </row>
    <row r="1369" spans="7:7" x14ac:dyDescent="0.25">
      <c r="G1369" s="227"/>
    </row>
    <row r="1370" spans="7:7" x14ac:dyDescent="0.25">
      <c r="G1370" s="227"/>
    </row>
    <row r="1371" spans="7:7" x14ac:dyDescent="0.25">
      <c r="G1371" s="227"/>
    </row>
    <row r="1372" spans="7:7" x14ac:dyDescent="0.25">
      <c r="G1372" s="227"/>
    </row>
    <row r="1373" spans="7:7" x14ac:dyDescent="0.25">
      <c r="G1373" s="227"/>
    </row>
    <row r="1374" spans="7:7" x14ac:dyDescent="0.25">
      <c r="G1374" s="227"/>
    </row>
    <row r="1375" spans="7:7" x14ac:dyDescent="0.25">
      <c r="G1375" s="227"/>
    </row>
    <row r="1376" spans="7:7" x14ac:dyDescent="0.25">
      <c r="G1376" s="227"/>
    </row>
    <row r="1377" spans="7:7" x14ac:dyDescent="0.25">
      <c r="G1377" s="227"/>
    </row>
    <row r="1378" spans="7:7" x14ac:dyDescent="0.25">
      <c r="G1378" s="227"/>
    </row>
    <row r="1379" spans="7:7" x14ac:dyDescent="0.25">
      <c r="G1379" s="227"/>
    </row>
    <row r="1380" spans="7:7" x14ac:dyDescent="0.25">
      <c r="G1380" s="227"/>
    </row>
    <row r="1381" spans="7:7" x14ac:dyDescent="0.25">
      <c r="G1381" s="227"/>
    </row>
    <row r="1382" spans="7:7" x14ac:dyDescent="0.25">
      <c r="G1382" s="227"/>
    </row>
    <row r="1383" spans="7:7" x14ac:dyDescent="0.25">
      <c r="G1383" s="227"/>
    </row>
    <row r="1384" spans="7:7" x14ac:dyDescent="0.25">
      <c r="G1384" s="227"/>
    </row>
    <row r="1385" spans="7:7" x14ac:dyDescent="0.25">
      <c r="G1385" s="227"/>
    </row>
    <row r="1386" spans="7:7" x14ac:dyDescent="0.25">
      <c r="G1386" s="227"/>
    </row>
    <row r="1387" spans="7:7" x14ac:dyDescent="0.25">
      <c r="G1387" s="227"/>
    </row>
    <row r="1388" spans="7:7" x14ac:dyDescent="0.25">
      <c r="G1388" s="227"/>
    </row>
    <row r="1389" spans="7:7" x14ac:dyDescent="0.25">
      <c r="G1389" s="227"/>
    </row>
    <row r="1390" spans="7:7" x14ac:dyDescent="0.25">
      <c r="G1390" s="227"/>
    </row>
    <row r="1391" spans="7:7" x14ac:dyDescent="0.25">
      <c r="G1391" s="227"/>
    </row>
    <row r="1392" spans="7:7" x14ac:dyDescent="0.25">
      <c r="G1392" s="227"/>
    </row>
    <row r="1393" spans="7:7" x14ac:dyDescent="0.25">
      <c r="G1393" s="227"/>
    </row>
    <row r="1394" spans="7:7" x14ac:dyDescent="0.25">
      <c r="G1394" s="227"/>
    </row>
    <row r="1395" spans="7:7" x14ac:dyDescent="0.25">
      <c r="G1395" s="227"/>
    </row>
    <row r="1396" spans="7:7" x14ac:dyDescent="0.25">
      <c r="G1396" s="227"/>
    </row>
    <row r="1397" spans="7:7" x14ac:dyDescent="0.25">
      <c r="G1397" s="227"/>
    </row>
    <row r="1398" spans="7:7" x14ac:dyDescent="0.25">
      <c r="G1398" s="227"/>
    </row>
    <row r="1399" spans="7:7" x14ac:dyDescent="0.25">
      <c r="G1399" s="227"/>
    </row>
    <row r="1400" spans="7:7" x14ac:dyDescent="0.25">
      <c r="G1400" s="227"/>
    </row>
    <row r="1401" spans="7:7" x14ac:dyDescent="0.25">
      <c r="G1401" s="227"/>
    </row>
    <row r="1402" spans="7:7" x14ac:dyDescent="0.25">
      <c r="G1402" s="227"/>
    </row>
    <row r="1403" spans="7:7" x14ac:dyDescent="0.25">
      <c r="G1403" s="227"/>
    </row>
    <row r="1404" spans="7:7" x14ac:dyDescent="0.25">
      <c r="G1404" s="227"/>
    </row>
    <row r="1405" spans="7:7" x14ac:dyDescent="0.25">
      <c r="G1405" s="227"/>
    </row>
    <row r="1406" spans="7:7" x14ac:dyDescent="0.25">
      <c r="G1406" s="227"/>
    </row>
    <row r="1407" spans="7:7" x14ac:dyDescent="0.25">
      <c r="G1407" s="227"/>
    </row>
    <row r="1408" spans="7:7" x14ac:dyDescent="0.25">
      <c r="G1408" s="227"/>
    </row>
    <row r="1409" spans="7:7" x14ac:dyDescent="0.25">
      <c r="G1409" s="227"/>
    </row>
    <row r="1410" spans="7:7" x14ac:dyDescent="0.25">
      <c r="G1410" s="227"/>
    </row>
    <row r="1411" spans="7:7" x14ac:dyDescent="0.25">
      <c r="G1411" s="227"/>
    </row>
    <row r="1412" spans="7:7" x14ac:dyDescent="0.25">
      <c r="G1412" s="227"/>
    </row>
    <row r="1413" spans="7:7" x14ac:dyDescent="0.25">
      <c r="G1413" s="227"/>
    </row>
    <row r="1414" spans="7:7" x14ac:dyDescent="0.25">
      <c r="G1414" s="227"/>
    </row>
    <row r="1415" spans="7:7" x14ac:dyDescent="0.25">
      <c r="G1415" s="227"/>
    </row>
    <row r="1416" spans="7:7" x14ac:dyDescent="0.25">
      <c r="G1416" s="227"/>
    </row>
    <row r="1417" spans="7:7" x14ac:dyDescent="0.25">
      <c r="G1417" s="227"/>
    </row>
    <row r="1418" spans="7:7" x14ac:dyDescent="0.25">
      <c r="G1418" s="227"/>
    </row>
    <row r="1419" spans="7:7" x14ac:dyDescent="0.25">
      <c r="G1419" s="227"/>
    </row>
    <row r="1420" spans="7:7" x14ac:dyDescent="0.25">
      <c r="G1420" s="227"/>
    </row>
    <row r="1421" spans="7:7" x14ac:dyDescent="0.25">
      <c r="G1421" s="227"/>
    </row>
    <row r="1422" spans="7:7" x14ac:dyDescent="0.25">
      <c r="G1422" s="227"/>
    </row>
    <row r="1423" spans="7:7" x14ac:dyDescent="0.25">
      <c r="G1423" s="227"/>
    </row>
    <row r="1424" spans="7:7" x14ac:dyDescent="0.25">
      <c r="G1424" s="227"/>
    </row>
    <row r="1425" spans="7:7" x14ac:dyDescent="0.25">
      <c r="G1425" s="227"/>
    </row>
    <row r="1426" spans="7:7" x14ac:dyDescent="0.25">
      <c r="G1426" s="227"/>
    </row>
    <row r="1427" spans="7:7" x14ac:dyDescent="0.25">
      <c r="G1427" s="227"/>
    </row>
    <row r="1428" spans="7:7" x14ac:dyDescent="0.25">
      <c r="G1428" s="227"/>
    </row>
    <row r="1429" spans="7:7" x14ac:dyDescent="0.25">
      <c r="G1429" s="227"/>
    </row>
    <row r="1430" spans="7:7" x14ac:dyDescent="0.25">
      <c r="G1430" s="227"/>
    </row>
    <row r="1431" spans="7:7" x14ac:dyDescent="0.25">
      <c r="G1431" s="227"/>
    </row>
    <row r="1432" spans="7:7" x14ac:dyDescent="0.25">
      <c r="G1432" s="227"/>
    </row>
    <row r="1433" spans="7:7" x14ac:dyDescent="0.25">
      <c r="G1433" s="227"/>
    </row>
    <row r="1434" spans="7:7" x14ac:dyDescent="0.25">
      <c r="G1434" s="227"/>
    </row>
    <row r="1435" spans="7:7" x14ac:dyDescent="0.25">
      <c r="G1435" s="227"/>
    </row>
    <row r="1436" spans="7:7" x14ac:dyDescent="0.25">
      <c r="G1436" s="227"/>
    </row>
    <row r="1437" spans="7:7" x14ac:dyDescent="0.25">
      <c r="G1437" s="227"/>
    </row>
    <row r="1438" spans="7:7" x14ac:dyDescent="0.25">
      <c r="G1438" s="227"/>
    </row>
    <row r="1439" spans="7:7" x14ac:dyDescent="0.25">
      <c r="G1439" s="227"/>
    </row>
    <row r="1440" spans="7:7" x14ac:dyDescent="0.25">
      <c r="G1440" s="227"/>
    </row>
    <row r="1441" spans="7:7" x14ac:dyDescent="0.25">
      <c r="G1441" s="227"/>
    </row>
    <row r="1442" spans="7:7" x14ac:dyDescent="0.25">
      <c r="G1442" s="227"/>
    </row>
    <row r="1443" spans="7:7" x14ac:dyDescent="0.25">
      <c r="G1443" s="227"/>
    </row>
    <row r="1444" spans="7:7" x14ac:dyDescent="0.25">
      <c r="G1444" s="227"/>
    </row>
    <row r="1445" spans="7:7" x14ac:dyDescent="0.25">
      <c r="G1445" s="227"/>
    </row>
    <row r="1446" spans="7:7" x14ac:dyDescent="0.25">
      <c r="G1446" s="227"/>
    </row>
    <row r="1447" spans="7:7" x14ac:dyDescent="0.25">
      <c r="G1447" s="227"/>
    </row>
    <row r="1448" spans="7:7" x14ac:dyDescent="0.25">
      <c r="G1448" s="227"/>
    </row>
    <row r="1449" spans="7:7" x14ac:dyDescent="0.25">
      <c r="G1449" s="227"/>
    </row>
    <row r="1450" spans="7:7" x14ac:dyDescent="0.25">
      <c r="G1450" s="227"/>
    </row>
    <row r="1451" spans="7:7" x14ac:dyDescent="0.25">
      <c r="G1451" s="227"/>
    </row>
    <row r="1452" spans="7:7" x14ac:dyDescent="0.25">
      <c r="G1452" s="227"/>
    </row>
    <row r="1453" spans="7:7" x14ac:dyDescent="0.25">
      <c r="G1453" s="227"/>
    </row>
    <row r="1454" spans="7:7" x14ac:dyDescent="0.25">
      <c r="G1454" s="227"/>
    </row>
    <row r="1455" spans="7:7" x14ac:dyDescent="0.25">
      <c r="G1455" s="227"/>
    </row>
    <row r="1456" spans="7:7" x14ac:dyDescent="0.25">
      <c r="G1456" s="227"/>
    </row>
    <row r="1457" spans="7:7" x14ac:dyDescent="0.25">
      <c r="G1457" s="227"/>
    </row>
    <row r="1458" spans="7:7" x14ac:dyDescent="0.25">
      <c r="G1458" s="227"/>
    </row>
    <row r="1459" spans="7:7" x14ac:dyDescent="0.25">
      <c r="G1459" s="227"/>
    </row>
    <row r="1460" spans="7:7" x14ac:dyDescent="0.25">
      <c r="G1460" s="227"/>
    </row>
    <row r="1461" spans="7:7" x14ac:dyDescent="0.25">
      <c r="G1461" s="227"/>
    </row>
    <row r="1462" spans="7:7" x14ac:dyDescent="0.25">
      <c r="G1462" s="227"/>
    </row>
    <row r="1463" spans="7:7" x14ac:dyDescent="0.25">
      <c r="G1463" s="227"/>
    </row>
    <row r="1464" spans="7:7" x14ac:dyDescent="0.25">
      <c r="G1464" s="227"/>
    </row>
    <row r="1465" spans="7:7" x14ac:dyDescent="0.25">
      <c r="G1465" s="227"/>
    </row>
    <row r="1466" spans="7:7" x14ac:dyDescent="0.25">
      <c r="G1466" s="227"/>
    </row>
    <row r="1467" spans="7:7" x14ac:dyDescent="0.25">
      <c r="G1467" s="227"/>
    </row>
    <row r="1468" spans="7:7" x14ac:dyDescent="0.25">
      <c r="G1468" s="227"/>
    </row>
    <row r="1469" spans="7:7" x14ac:dyDescent="0.25">
      <c r="G1469" s="227"/>
    </row>
    <row r="1470" spans="7:7" x14ac:dyDescent="0.25">
      <c r="G1470" s="227"/>
    </row>
    <row r="1471" spans="7:7" x14ac:dyDescent="0.25">
      <c r="G1471" s="227"/>
    </row>
    <row r="1472" spans="7:7" x14ac:dyDescent="0.25">
      <c r="G1472" s="227"/>
    </row>
    <row r="1473" spans="7:7" x14ac:dyDescent="0.25">
      <c r="G1473" s="227"/>
    </row>
    <row r="1474" spans="7:7" x14ac:dyDescent="0.25">
      <c r="G1474" s="227"/>
    </row>
  </sheetData>
  <mergeCells count="912">
    <mergeCell ref="C3:J3"/>
    <mergeCell ref="K3:K5"/>
    <mergeCell ref="D297:G297"/>
    <mergeCell ref="D298:G298"/>
    <mergeCell ref="D299:G299"/>
    <mergeCell ref="D300:G300"/>
    <mergeCell ref="D301:G301"/>
    <mergeCell ref="D302:G302"/>
    <mergeCell ref="D303:G303"/>
    <mergeCell ref="D107:G107"/>
    <mergeCell ref="D108:G108"/>
    <mergeCell ref="C217:K217"/>
    <mergeCell ref="C235:J235"/>
    <mergeCell ref="D101:G101"/>
    <mergeCell ref="D102:G102"/>
    <mergeCell ref="D103:G103"/>
    <mergeCell ref="D104:G104"/>
    <mergeCell ref="D105:G105"/>
    <mergeCell ref="D106:G106"/>
    <mergeCell ref="D167:F167"/>
    <mergeCell ref="D168:F168"/>
    <mergeCell ref="D169:F169"/>
    <mergeCell ref="D170:F170"/>
    <mergeCell ref="D171:F171"/>
    <mergeCell ref="D924:G924"/>
    <mergeCell ref="D715:G715"/>
    <mergeCell ref="D915:G915"/>
    <mergeCell ref="D916:G916"/>
    <mergeCell ref="D917:G917"/>
    <mergeCell ref="D918:G918"/>
    <mergeCell ref="D919:G919"/>
    <mergeCell ref="D920:G920"/>
    <mergeCell ref="D921:G921"/>
    <mergeCell ref="D922:G922"/>
    <mergeCell ref="D923:G923"/>
    <mergeCell ref="D906:G906"/>
    <mergeCell ref="D907:G907"/>
    <mergeCell ref="D908:G908"/>
    <mergeCell ref="D909:G909"/>
    <mergeCell ref="D910:G910"/>
    <mergeCell ref="D911:G911"/>
    <mergeCell ref="D912:G912"/>
    <mergeCell ref="D913:G913"/>
    <mergeCell ref="D914:G914"/>
    <mergeCell ref="D897:G897"/>
    <mergeCell ref="D898:G898"/>
    <mergeCell ref="D899:G899"/>
    <mergeCell ref="D900:G900"/>
    <mergeCell ref="D901:G901"/>
    <mergeCell ref="D902:G902"/>
    <mergeCell ref="D903:G903"/>
    <mergeCell ref="D904:G904"/>
    <mergeCell ref="D905:G905"/>
    <mergeCell ref="D888:G888"/>
    <mergeCell ref="D889:G889"/>
    <mergeCell ref="D890:G890"/>
    <mergeCell ref="D891:G891"/>
    <mergeCell ref="D892:G892"/>
    <mergeCell ref="D893:G893"/>
    <mergeCell ref="D894:G894"/>
    <mergeCell ref="D895:G895"/>
    <mergeCell ref="D896:G896"/>
    <mergeCell ref="D879:G879"/>
    <mergeCell ref="D880:G880"/>
    <mergeCell ref="D881:G881"/>
    <mergeCell ref="D882:G882"/>
    <mergeCell ref="D883:G883"/>
    <mergeCell ref="D884:G884"/>
    <mergeCell ref="D885:G885"/>
    <mergeCell ref="D886:G886"/>
    <mergeCell ref="D887:G887"/>
    <mergeCell ref="D870:G870"/>
    <mergeCell ref="D871:G871"/>
    <mergeCell ref="D872:G872"/>
    <mergeCell ref="D873:G873"/>
    <mergeCell ref="D874:G874"/>
    <mergeCell ref="D875:G875"/>
    <mergeCell ref="D876:G876"/>
    <mergeCell ref="D877:G877"/>
    <mergeCell ref="D878:G878"/>
    <mergeCell ref="D861:G861"/>
    <mergeCell ref="D862:G862"/>
    <mergeCell ref="D863:G863"/>
    <mergeCell ref="D864:G864"/>
    <mergeCell ref="D865:G865"/>
    <mergeCell ref="D866:G866"/>
    <mergeCell ref="D867:G867"/>
    <mergeCell ref="D868:G868"/>
    <mergeCell ref="D869:G869"/>
    <mergeCell ref="D852:G852"/>
    <mergeCell ref="D853:G853"/>
    <mergeCell ref="D854:G854"/>
    <mergeCell ref="D855:G855"/>
    <mergeCell ref="D856:G856"/>
    <mergeCell ref="D857:G857"/>
    <mergeCell ref="D858:G858"/>
    <mergeCell ref="D859:G859"/>
    <mergeCell ref="D860:G860"/>
    <mergeCell ref="D816:G816"/>
    <mergeCell ref="D817:G817"/>
    <mergeCell ref="D818:G818"/>
    <mergeCell ref="D819:G819"/>
    <mergeCell ref="D820:G820"/>
    <mergeCell ref="D821:G821"/>
    <mergeCell ref="D822:G822"/>
    <mergeCell ref="D823:G823"/>
    <mergeCell ref="D851:G851"/>
    <mergeCell ref="D839:G839"/>
    <mergeCell ref="D840:G840"/>
    <mergeCell ref="D841:G841"/>
    <mergeCell ref="D842:G842"/>
    <mergeCell ref="D843:G843"/>
    <mergeCell ref="D844:G844"/>
    <mergeCell ref="D807:G807"/>
    <mergeCell ref="D808:G808"/>
    <mergeCell ref="D809:G809"/>
    <mergeCell ref="D810:G810"/>
    <mergeCell ref="D811:G811"/>
    <mergeCell ref="D812:G812"/>
    <mergeCell ref="D813:G813"/>
    <mergeCell ref="D815:G815"/>
    <mergeCell ref="D814:G814"/>
    <mergeCell ref="D799:G799"/>
    <mergeCell ref="D800:G800"/>
    <mergeCell ref="D801:G801"/>
    <mergeCell ref="D802:G802"/>
    <mergeCell ref="D803:G803"/>
    <mergeCell ref="D804:G804"/>
    <mergeCell ref="D805:G805"/>
    <mergeCell ref="D794:G794"/>
    <mergeCell ref="D806:G806"/>
    <mergeCell ref="D701:G701"/>
    <mergeCell ref="D702:G702"/>
    <mergeCell ref="D703:G703"/>
    <mergeCell ref="D704:G704"/>
    <mergeCell ref="D720:G720"/>
    <mergeCell ref="D721:G721"/>
    <mergeCell ref="D705:G705"/>
    <mergeCell ref="D706:G706"/>
    <mergeCell ref="D707:G707"/>
    <mergeCell ref="D716:G716"/>
    <mergeCell ref="D717:G717"/>
    <mergeCell ref="D718:G718"/>
    <mergeCell ref="D719:G719"/>
    <mergeCell ref="D708:G708"/>
    <mergeCell ref="D709:G709"/>
    <mergeCell ref="D710:G710"/>
    <mergeCell ref="D711:G711"/>
    <mergeCell ref="D712:G712"/>
    <mergeCell ref="D713:G713"/>
    <mergeCell ref="D686:G686"/>
    <mergeCell ref="D696:G696"/>
    <mergeCell ref="D697:G697"/>
    <mergeCell ref="D698:G698"/>
    <mergeCell ref="D699:G699"/>
    <mergeCell ref="D700:G700"/>
    <mergeCell ref="D568:G568"/>
    <mergeCell ref="D569:G569"/>
    <mergeCell ref="D570:G570"/>
    <mergeCell ref="D571:G571"/>
    <mergeCell ref="D572:G572"/>
    <mergeCell ref="D573:G573"/>
    <mergeCell ref="D690:G690"/>
    <mergeCell ref="D691:G691"/>
    <mergeCell ref="D692:G692"/>
    <mergeCell ref="D693:G693"/>
    <mergeCell ref="D694:G694"/>
    <mergeCell ref="D695:G695"/>
    <mergeCell ref="D578:G578"/>
    <mergeCell ref="D579:G579"/>
    <mergeCell ref="D580:G580"/>
    <mergeCell ref="D581:G581"/>
    <mergeCell ref="D582:G582"/>
    <mergeCell ref="D583:G583"/>
    <mergeCell ref="D793:G793"/>
    <mergeCell ref="D730:G730"/>
    <mergeCell ref="D722:G722"/>
    <mergeCell ref="D775:G775"/>
    <mergeCell ref="D777:G777"/>
    <mergeCell ref="D780:G780"/>
    <mergeCell ref="D781:G781"/>
    <mergeCell ref="D782:G782"/>
    <mergeCell ref="D783:G783"/>
    <mergeCell ref="D784:G784"/>
    <mergeCell ref="D785:G785"/>
    <mergeCell ref="D786:G786"/>
    <mergeCell ref="D787:G787"/>
    <mergeCell ref="D788:G788"/>
    <mergeCell ref="D789:G789"/>
    <mergeCell ref="D790:G790"/>
    <mergeCell ref="D729:G729"/>
    <mergeCell ref="D791:G791"/>
    <mergeCell ref="D792:G792"/>
    <mergeCell ref="D732:G732"/>
    <mergeCell ref="D733:G733"/>
    <mergeCell ref="D734:G734"/>
    <mergeCell ref="D735:G735"/>
    <mergeCell ref="D736:G736"/>
    <mergeCell ref="D350:G350"/>
    <mergeCell ref="D351:G351"/>
    <mergeCell ref="D352:G352"/>
    <mergeCell ref="D357:G357"/>
    <mergeCell ref="D358:G358"/>
    <mergeCell ref="D359:G359"/>
    <mergeCell ref="D360:G360"/>
    <mergeCell ref="D361:G361"/>
    <mergeCell ref="D362:G362"/>
    <mergeCell ref="D356:G356"/>
    <mergeCell ref="D384:G384"/>
    <mergeCell ref="D574:G574"/>
    <mergeCell ref="D381:G381"/>
    <mergeCell ref="D382:G382"/>
    <mergeCell ref="D383:G383"/>
    <mergeCell ref="D385:G385"/>
    <mergeCell ref="D379:G379"/>
    <mergeCell ref="D380:G380"/>
    <mergeCell ref="D386:G386"/>
    <mergeCell ref="D387:G387"/>
    <mergeCell ref="D388:G388"/>
    <mergeCell ref="D389:G389"/>
    <mergeCell ref="D390:G390"/>
    <mergeCell ref="D391:G391"/>
    <mergeCell ref="D392:G392"/>
    <mergeCell ref="D393:G393"/>
    <mergeCell ref="D394:G394"/>
    <mergeCell ref="D395:G395"/>
    <mergeCell ref="D396:G396"/>
    <mergeCell ref="D397:G397"/>
    <mergeCell ref="D557:G557"/>
    <mergeCell ref="D558:G558"/>
    <mergeCell ref="D559:G559"/>
    <mergeCell ref="D398:G398"/>
    <mergeCell ref="D312:G312"/>
    <mergeCell ref="D313:G313"/>
    <mergeCell ref="D314:G314"/>
    <mergeCell ref="D315:G315"/>
    <mergeCell ref="D316:G316"/>
    <mergeCell ref="D318:G318"/>
    <mergeCell ref="D319:G319"/>
    <mergeCell ref="D320:G320"/>
    <mergeCell ref="D317:G317"/>
    <mergeCell ref="C110:J110"/>
    <mergeCell ref="D126:F126"/>
    <mergeCell ref="D127:F127"/>
    <mergeCell ref="D128:F128"/>
    <mergeCell ref="D129:F129"/>
    <mergeCell ref="D146:F146"/>
    <mergeCell ref="D147:F147"/>
    <mergeCell ref="D148:F148"/>
    <mergeCell ref="C112:K112"/>
    <mergeCell ref="D113:F113"/>
    <mergeCell ref="D114:F114"/>
    <mergeCell ref="D130:F130"/>
    <mergeCell ref="D131:F131"/>
    <mergeCell ref="D132:F132"/>
    <mergeCell ref="D133:F133"/>
    <mergeCell ref="D134:F134"/>
    <mergeCell ref="D135:F135"/>
    <mergeCell ref="D136:F136"/>
    <mergeCell ref="D139:F139"/>
    <mergeCell ref="D141:F141"/>
    <mergeCell ref="D142:F142"/>
    <mergeCell ref="D143:F143"/>
    <mergeCell ref="D144:F144"/>
    <mergeCell ref="D145:F145"/>
    <mergeCell ref="D95:G95"/>
    <mergeCell ref="D96:G96"/>
    <mergeCell ref="D97:G97"/>
    <mergeCell ref="D98:G98"/>
    <mergeCell ref="D99:G99"/>
    <mergeCell ref="D100:G100"/>
    <mergeCell ref="D89:G89"/>
    <mergeCell ref="D90:G90"/>
    <mergeCell ref="D91:G91"/>
    <mergeCell ref="D92:G92"/>
    <mergeCell ref="D93:G93"/>
    <mergeCell ref="D94:G94"/>
    <mergeCell ref="D85:G85"/>
    <mergeCell ref="D86:G86"/>
    <mergeCell ref="D87:G87"/>
    <mergeCell ref="D88:G88"/>
    <mergeCell ref="D77:G77"/>
    <mergeCell ref="D78:G78"/>
    <mergeCell ref="D79:G79"/>
    <mergeCell ref="D80:G80"/>
    <mergeCell ref="D81:G81"/>
    <mergeCell ref="D82:G82"/>
    <mergeCell ref="D50:G50"/>
    <mergeCell ref="D51:G51"/>
    <mergeCell ref="D52:G52"/>
    <mergeCell ref="D53:G53"/>
    <mergeCell ref="D54:G54"/>
    <mergeCell ref="D58:G58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109:G109"/>
    <mergeCell ref="D55:G55"/>
    <mergeCell ref="D56:G56"/>
    <mergeCell ref="D57:G57"/>
    <mergeCell ref="D59:G59"/>
    <mergeCell ref="D60:G60"/>
    <mergeCell ref="D61:G61"/>
    <mergeCell ref="D62:G62"/>
    <mergeCell ref="D63:G63"/>
    <mergeCell ref="D64:G64"/>
    <mergeCell ref="D71:G71"/>
    <mergeCell ref="D72:G72"/>
    <mergeCell ref="D73:G73"/>
    <mergeCell ref="D74:G74"/>
    <mergeCell ref="D75:G75"/>
    <mergeCell ref="D76:G76"/>
    <mergeCell ref="D65:G65"/>
    <mergeCell ref="D66:G66"/>
    <mergeCell ref="D67:G67"/>
    <mergeCell ref="D68:G68"/>
    <mergeCell ref="D69:G69"/>
    <mergeCell ref="D70:G70"/>
    <mergeCell ref="D83:G83"/>
    <mergeCell ref="D84:G84"/>
    <mergeCell ref="D23:G23"/>
    <mergeCell ref="D25:G25"/>
    <mergeCell ref="D36:G36"/>
    <mergeCell ref="D37:G37"/>
    <mergeCell ref="D38:G38"/>
    <mergeCell ref="D39:G39"/>
    <mergeCell ref="D30:G30"/>
    <mergeCell ref="D24:G24"/>
    <mergeCell ref="D26:G26"/>
    <mergeCell ref="D27:G27"/>
    <mergeCell ref="D28:G28"/>
    <mergeCell ref="D29:G29"/>
    <mergeCell ref="D31:G31"/>
    <mergeCell ref="D32:G32"/>
    <mergeCell ref="D33:G33"/>
    <mergeCell ref="D34:G34"/>
    <mergeCell ref="D35:G35"/>
    <mergeCell ref="C4:D4"/>
    <mergeCell ref="C5:D5"/>
    <mergeCell ref="D13:G13"/>
    <mergeCell ref="D14:G14"/>
    <mergeCell ref="D15:G15"/>
    <mergeCell ref="D16:G16"/>
    <mergeCell ref="D17:G17"/>
    <mergeCell ref="D18:G18"/>
    <mergeCell ref="C8:K8"/>
    <mergeCell ref="D9:G9"/>
    <mergeCell ref="D10:G10"/>
    <mergeCell ref="D11:G11"/>
    <mergeCell ref="D12:G12"/>
    <mergeCell ref="E5:J5"/>
    <mergeCell ref="E4:J4"/>
    <mergeCell ref="D200:F200"/>
    <mergeCell ref="D22:G22"/>
    <mergeCell ref="J6:K6"/>
    <mergeCell ref="C6:D6"/>
    <mergeCell ref="E6:H6"/>
    <mergeCell ref="D19:G19"/>
    <mergeCell ref="D20:G20"/>
    <mergeCell ref="D21:G21"/>
    <mergeCell ref="C237:K237"/>
    <mergeCell ref="D155:F155"/>
    <mergeCell ref="D156:F156"/>
    <mergeCell ref="D157:F157"/>
    <mergeCell ref="D158:F158"/>
    <mergeCell ref="D115:F115"/>
    <mergeCell ref="D116:F116"/>
    <mergeCell ref="D117:F117"/>
    <mergeCell ref="D118:F118"/>
    <mergeCell ref="D119:F119"/>
    <mergeCell ref="D120:F120"/>
    <mergeCell ref="D121:F121"/>
    <mergeCell ref="D122:F122"/>
    <mergeCell ref="D123:F123"/>
    <mergeCell ref="D124:F124"/>
    <mergeCell ref="D125:F125"/>
    <mergeCell ref="D173:F173"/>
    <mergeCell ref="D166:F166"/>
    <mergeCell ref="D193:F193"/>
    <mergeCell ref="D194:F194"/>
    <mergeCell ref="D195:F195"/>
    <mergeCell ref="D198:F198"/>
    <mergeCell ref="D199:F199"/>
    <mergeCell ref="D196:F196"/>
    <mergeCell ref="D197:F197"/>
    <mergeCell ref="D172:F172"/>
    <mergeCell ref="D178:F178"/>
    <mergeCell ref="D179:F179"/>
    <mergeCell ref="D180:F180"/>
    <mergeCell ref="D181:F181"/>
    <mergeCell ref="D182:F182"/>
    <mergeCell ref="D183:F183"/>
    <mergeCell ref="D184:F184"/>
    <mergeCell ref="D149:F149"/>
    <mergeCell ref="D137:F137"/>
    <mergeCell ref="D138:F138"/>
    <mergeCell ref="D140:F140"/>
    <mergeCell ref="D154:F154"/>
    <mergeCell ref="D189:F189"/>
    <mergeCell ref="D190:F190"/>
    <mergeCell ref="D191:F191"/>
    <mergeCell ref="D192:F192"/>
    <mergeCell ref="D150:F150"/>
    <mergeCell ref="D185:F185"/>
    <mergeCell ref="D186:F186"/>
    <mergeCell ref="D187:F187"/>
    <mergeCell ref="D188:F188"/>
    <mergeCell ref="D174:F174"/>
    <mergeCell ref="D175:F175"/>
    <mergeCell ref="D176:F176"/>
    <mergeCell ref="D177:F177"/>
    <mergeCell ref="D151:F151"/>
    <mergeCell ref="D152:F152"/>
    <mergeCell ref="D153:F153"/>
    <mergeCell ref="D159:F159"/>
    <mergeCell ref="D160:F160"/>
    <mergeCell ref="D161:F161"/>
    <mergeCell ref="D162:F162"/>
    <mergeCell ref="D163:F163"/>
    <mergeCell ref="D164:F164"/>
    <mergeCell ref="D165:F165"/>
    <mergeCell ref="D296:G296"/>
    <mergeCell ref="D306:G306"/>
    <mergeCell ref="D201:F201"/>
    <mergeCell ref="D202:F202"/>
    <mergeCell ref="D203:F203"/>
    <mergeCell ref="D204:F204"/>
    <mergeCell ref="D205:F205"/>
    <mergeCell ref="D206:F206"/>
    <mergeCell ref="D207:F207"/>
    <mergeCell ref="D208:F208"/>
    <mergeCell ref="D209:F209"/>
    <mergeCell ref="D239:G239"/>
    <mergeCell ref="D240:G240"/>
    <mergeCell ref="D241:G241"/>
    <mergeCell ref="D242:G242"/>
    <mergeCell ref="D243:G243"/>
    <mergeCell ref="D244:G244"/>
    <mergeCell ref="D245:G245"/>
    <mergeCell ref="D238:G238"/>
    <mergeCell ref="D304:G304"/>
    <mergeCell ref="D248:G248"/>
    <mergeCell ref="D249:G249"/>
    <mergeCell ref="D250:G250"/>
    <mergeCell ref="D252:G252"/>
    <mergeCell ref="D253:G253"/>
    <mergeCell ref="D254:G254"/>
    <mergeCell ref="D255:G255"/>
    <mergeCell ref="D251:G251"/>
    <mergeCell ref="D305:G305"/>
    <mergeCell ref="D292:G292"/>
    <mergeCell ref="D293:G293"/>
    <mergeCell ref="D294:G294"/>
    <mergeCell ref="D285:G285"/>
    <mergeCell ref="D286:G286"/>
    <mergeCell ref="D287:G287"/>
    <mergeCell ref="D288:G288"/>
    <mergeCell ref="D289:G289"/>
    <mergeCell ref="D290:G290"/>
    <mergeCell ref="D291:G291"/>
    <mergeCell ref="D295:G295"/>
    <mergeCell ref="D321:G321"/>
    <mergeCell ref="D324:G324"/>
    <mergeCell ref="D344:G344"/>
    <mergeCell ref="D345:G345"/>
    <mergeCell ref="D346:G346"/>
    <mergeCell ref="D325:G325"/>
    <mergeCell ref="D326:G326"/>
    <mergeCell ref="D327:G327"/>
    <mergeCell ref="D328:G328"/>
    <mergeCell ref="D329:G329"/>
    <mergeCell ref="D330:G330"/>
    <mergeCell ref="D331:G331"/>
    <mergeCell ref="D332:G332"/>
    <mergeCell ref="D333:G333"/>
    <mergeCell ref="D334:G334"/>
    <mergeCell ref="D335:G335"/>
    <mergeCell ref="D336:G336"/>
    <mergeCell ref="D337:G337"/>
    <mergeCell ref="D338:G338"/>
    <mergeCell ref="D339:G339"/>
    <mergeCell ref="D340:G340"/>
    <mergeCell ref="D322:G322"/>
    <mergeCell ref="D323:G323"/>
    <mergeCell ref="D341:G341"/>
    <mergeCell ref="D737:G737"/>
    <mergeCell ref="D745:G745"/>
    <mergeCell ref="D746:G746"/>
    <mergeCell ref="D723:G723"/>
    <mergeCell ref="D724:G724"/>
    <mergeCell ref="D725:G725"/>
    <mergeCell ref="D726:G726"/>
    <mergeCell ref="D727:G727"/>
    <mergeCell ref="D728:G728"/>
    <mergeCell ref="D731:G731"/>
    <mergeCell ref="D742:G742"/>
    <mergeCell ref="D743:G743"/>
    <mergeCell ref="D744:G744"/>
    <mergeCell ref="D925:G925"/>
    <mergeCell ref="C926:J926"/>
    <mergeCell ref="C928:J928"/>
    <mergeCell ref="D824:G824"/>
    <mergeCell ref="D825:G825"/>
    <mergeCell ref="D826:G826"/>
    <mergeCell ref="D827:G827"/>
    <mergeCell ref="D828:G828"/>
    <mergeCell ref="D829:G829"/>
    <mergeCell ref="D830:G830"/>
    <mergeCell ref="D831:G831"/>
    <mergeCell ref="D832:G832"/>
    <mergeCell ref="D833:G833"/>
    <mergeCell ref="D834:G834"/>
    <mergeCell ref="D835:G835"/>
    <mergeCell ref="D836:G836"/>
    <mergeCell ref="D837:G837"/>
    <mergeCell ref="D838:G838"/>
    <mergeCell ref="D848:G848"/>
    <mergeCell ref="D849:G849"/>
    <mergeCell ref="D850:G850"/>
    <mergeCell ref="D846:G846"/>
    <mergeCell ref="D847:G847"/>
    <mergeCell ref="D845:G845"/>
    <mergeCell ref="D342:G342"/>
    <mergeCell ref="D343:G343"/>
    <mergeCell ref="D348:G348"/>
    <mergeCell ref="D349:G349"/>
    <mergeCell ref="D347:G347"/>
    <mergeCell ref="D377:G377"/>
    <mergeCell ref="D378:G378"/>
    <mergeCell ref="D353:G353"/>
    <mergeCell ref="D354:G354"/>
    <mergeCell ref="D355:G355"/>
    <mergeCell ref="D374:G374"/>
    <mergeCell ref="D375:G375"/>
    <mergeCell ref="D364:G364"/>
    <mergeCell ref="D365:G365"/>
    <mergeCell ref="D368:G368"/>
    <mergeCell ref="D369:G369"/>
    <mergeCell ref="D370:G370"/>
    <mergeCell ref="D371:G371"/>
    <mergeCell ref="D372:G372"/>
    <mergeCell ref="D373:G373"/>
    <mergeCell ref="D376:G376"/>
    <mergeCell ref="D363:G363"/>
    <mergeCell ref="D366:G366"/>
    <mergeCell ref="D367:G367"/>
    <mergeCell ref="D399:G399"/>
    <mergeCell ref="D400:G400"/>
    <mergeCell ref="D401:G401"/>
    <mergeCell ref="D402:G402"/>
    <mergeCell ref="D403:G403"/>
    <mergeCell ref="D404:G404"/>
    <mergeCell ref="D405:G405"/>
    <mergeCell ref="D406:G406"/>
    <mergeCell ref="D407:G407"/>
    <mergeCell ref="D408:G408"/>
    <mergeCell ref="D409:G409"/>
    <mergeCell ref="D410:G410"/>
    <mergeCell ref="D411:G411"/>
    <mergeCell ref="D412:G412"/>
    <mergeCell ref="D413:G413"/>
    <mergeCell ref="D414:G414"/>
    <mergeCell ref="D415:G415"/>
    <mergeCell ref="D416:G416"/>
    <mergeCell ref="D417:G417"/>
    <mergeCell ref="D418:G418"/>
    <mergeCell ref="D419:G419"/>
    <mergeCell ref="D420:G420"/>
    <mergeCell ref="D421:G421"/>
    <mergeCell ref="D422:G422"/>
    <mergeCell ref="D423:G423"/>
    <mergeCell ref="D424:G424"/>
    <mergeCell ref="D425:G425"/>
    <mergeCell ref="D426:G426"/>
    <mergeCell ref="D427:G427"/>
    <mergeCell ref="D428:G428"/>
    <mergeCell ref="D429:G429"/>
    <mergeCell ref="D430:G430"/>
    <mergeCell ref="D431:G431"/>
    <mergeCell ref="D432:G432"/>
    <mergeCell ref="D433:G433"/>
    <mergeCell ref="D434:G434"/>
    <mergeCell ref="D435:G435"/>
    <mergeCell ref="D436:G436"/>
    <mergeCell ref="D437:G437"/>
    <mergeCell ref="D438:G438"/>
    <mergeCell ref="D439:G439"/>
    <mergeCell ref="D440:G440"/>
    <mergeCell ref="D441:G441"/>
    <mergeCell ref="D442:G442"/>
    <mergeCell ref="D443:G443"/>
    <mergeCell ref="D444:G444"/>
    <mergeCell ref="D445:G445"/>
    <mergeCell ref="D446:G446"/>
    <mergeCell ref="D447:G447"/>
    <mergeCell ref="D448:G448"/>
    <mergeCell ref="D449:G449"/>
    <mergeCell ref="D450:G450"/>
    <mergeCell ref="D451:G451"/>
    <mergeCell ref="D452:G452"/>
    <mergeCell ref="D453:G453"/>
    <mergeCell ref="D454:G454"/>
    <mergeCell ref="D455:G455"/>
    <mergeCell ref="D456:G456"/>
    <mergeCell ref="D457:G457"/>
    <mergeCell ref="D458:G458"/>
    <mergeCell ref="D459:G459"/>
    <mergeCell ref="D460:G460"/>
    <mergeCell ref="D461:G461"/>
    <mergeCell ref="D462:G462"/>
    <mergeCell ref="D463:G463"/>
    <mergeCell ref="D464:G464"/>
    <mergeCell ref="D465:G465"/>
    <mergeCell ref="D466:G466"/>
    <mergeCell ref="D467:G467"/>
    <mergeCell ref="D468:G468"/>
    <mergeCell ref="D469:G469"/>
    <mergeCell ref="D470:G470"/>
    <mergeCell ref="D471:G471"/>
    <mergeCell ref="D472:G472"/>
    <mergeCell ref="D473:G473"/>
    <mergeCell ref="D474:G474"/>
    <mergeCell ref="D475:G475"/>
    <mergeCell ref="D476:G476"/>
    <mergeCell ref="D477:G477"/>
    <mergeCell ref="D478:G478"/>
    <mergeCell ref="D479:G479"/>
    <mergeCell ref="D480:G480"/>
    <mergeCell ref="D481:G481"/>
    <mergeCell ref="D482:G482"/>
    <mergeCell ref="D483:G483"/>
    <mergeCell ref="D484:G484"/>
    <mergeCell ref="D485:G485"/>
    <mergeCell ref="D486:G486"/>
    <mergeCell ref="D487:G487"/>
    <mergeCell ref="D488:G488"/>
    <mergeCell ref="D489:G489"/>
    <mergeCell ref="D490:G490"/>
    <mergeCell ref="D491:G491"/>
    <mergeCell ref="D492:G492"/>
    <mergeCell ref="D493:G493"/>
    <mergeCell ref="D494:G494"/>
    <mergeCell ref="D495:G495"/>
    <mergeCell ref="D496:G496"/>
    <mergeCell ref="D497:G497"/>
    <mergeCell ref="D498:G498"/>
    <mergeCell ref="D499:G499"/>
    <mergeCell ref="D500:G500"/>
    <mergeCell ref="D501:G501"/>
    <mergeCell ref="D502:G502"/>
    <mergeCell ref="D503:G503"/>
    <mergeCell ref="D504:G504"/>
    <mergeCell ref="D505:G505"/>
    <mergeCell ref="D506:G506"/>
    <mergeCell ref="D507:G507"/>
    <mergeCell ref="D508:G508"/>
    <mergeCell ref="D509:G509"/>
    <mergeCell ref="D510:G510"/>
    <mergeCell ref="D511:G511"/>
    <mergeCell ref="D512:G512"/>
    <mergeCell ref="D513:G513"/>
    <mergeCell ref="D514:G514"/>
    <mergeCell ref="D515:G515"/>
    <mergeCell ref="D516:G516"/>
    <mergeCell ref="D517:G517"/>
    <mergeCell ref="D518:G518"/>
    <mergeCell ref="D519:G519"/>
    <mergeCell ref="D520:G520"/>
    <mergeCell ref="D521:G521"/>
    <mergeCell ref="D522:G522"/>
    <mergeCell ref="D523:G523"/>
    <mergeCell ref="D524:G524"/>
    <mergeCell ref="D525:G525"/>
    <mergeCell ref="D526:G526"/>
    <mergeCell ref="D527:G527"/>
    <mergeCell ref="D528:G528"/>
    <mergeCell ref="D529:G529"/>
    <mergeCell ref="D530:G530"/>
    <mergeCell ref="D531:G531"/>
    <mergeCell ref="D532:G532"/>
    <mergeCell ref="D533:G533"/>
    <mergeCell ref="D534:G534"/>
    <mergeCell ref="D535:G535"/>
    <mergeCell ref="D536:G536"/>
    <mergeCell ref="D537:G537"/>
    <mergeCell ref="D538:G538"/>
    <mergeCell ref="D539:G539"/>
    <mergeCell ref="D540:G540"/>
    <mergeCell ref="D541:G541"/>
    <mergeCell ref="D542:G542"/>
    <mergeCell ref="D543:G543"/>
    <mergeCell ref="D544:G544"/>
    <mergeCell ref="D545:G545"/>
    <mergeCell ref="D546:G546"/>
    <mergeCell ref="D547:G547"/>
    <mergeCell ref="D548:G548"/>
    <mergeCell ref="D549:G549"/>
    <mergeCell ref="D550:G550"/>
    <mergeCell ref="D551:G551"/>
    <mergeCell ref="D552:G552"/>
    <mergeCell ref="D553:G553"/>
    <mergeCell ref="D554:G554"/>
    <mergeCell ref="D555:G555"/>
    <mergeCell ref="D556:G556"/>
    <mergeCell ref="D575:G575"/>
    <mergeCell ref="D576:G576"/>
    <mergeCell ref="D577:G577"/>
    <mergeCell ref="D560:G560"/>
    <mergeCell ref="D561:G561"/>
    <mergeCell ref="D562:G562"/>
    <mergeCell ref="D563:G563"/>
    <mergeCell ref="D564:G564"/>
    <mergeCell ref="D565:G565"/>
    <mergeCell ref="D566:G566"/>
    <mergeCell ref="D567:G567"/>
    <mergeCell ref="D584:G584"/>
    <mergeCell ref="D585:G585"/>
    <mergeCell ref="D586:G586"/>
    <mergeCell ref="D587:G587"/>
    <mergeCell ref="D588:G588"/>
    <mergeCell ref="D589:G589"/>
    <mergeCell ref="D590:G590"/>
    <mergeCell ref="D591:G591"/>
    <mergeCell ref="D592:G592"/>
    <mergeCell ref="D593:G593"/>
    <mergeCell ref="D594:G594"/>
    <mergeCell ref="D595:G595"/>
    <mergeCell ref="D596:G596"/>
    <mergeCell ref="D597:G597"/>
    <mergeCell ref="D598:G598"/>
    <mergeCell ref="D599:G599"/>
    <mergeCell ref="D600:G600"/>
    <mergeCell ref="D601:G601"/>
    <mergeCell ref="D602:G602"/>
    <mergeCell ref="D603:G603"/>
    <mergeCell ref="D623:G623"/>
    <mergeCell ref="D622:G622"/>
    <mergeCell ref="D624:G624"/>
    <mergeCell ref="D625:G625"/>
    <mergeCell ref="D626:G626"/>
    <mergeCell ref="D627:G627"/>
    <mergeCell ref="D628:G628"/>
    <mergeCell ref="D629:G629"/>
    <mergeCell ref="D604:G604"/>
    <mergeCell ref="D605:G605"/>
    <mergeCell ref="D606:G606"/>
    <mergeCell ref="D607:G607"/>
    <mergeCell ref="D608:G608"/>
    <mergeCell ref="D609:G609"/>
    <mergeCell ref="D610:G610"/>
    <mergeCell ref="D611:G611"/>
    <mergeCell ref="D612:G612"/>
    <mergeCell ref="D613:G613"/>
    <mergeCell ref="D614:G614"/>
    <mergeCell ref="D615:G615"/>
    <mergeCell ref="D616:G616"/>
    <mergeCell ref="D617:G617"/>
    <mergeCell ref="D618:G618"/>
    <mergeCell ref="D619:G619"/>
    <mergeCell ref="D620:G620"/>
    <mergeCell ref="D621:G621"/>
    <mergeCell ref="D630:G630"/>
    <mergeCell ref="D633:G633"/>
    <mergeCell ref="D674:G674"/>
    <mergeCell ref="D675:G675"/>
    <mergeCell ref="D676:G676"/>
    <mergeCell ref="D677:G677"/>
    <mergeCell ref="D678:G678"/>
    <mergeCell ref="D679:G679"/>
    <mergeCell ref="D658:G658"/>
    <mergeCell ref="D659:G659"/>
    <mergeCell ref="D660:G660"/>
    <mergeCell ref="D661:G661"/>
    <mergeCell ref="D662:G662"/>
    <mergeCell ref="D663:G663"/>
    <mergeCell ref="D664:G664"/>
    <mergeCell ref="D665:G665"/>
    <mergeCell ref="D666:G666"/>
    <mergeCell ref="D672:G672"/>
    <mergeCell ref="D673:G673"/>
    <mergeCell ref="D653:G653"/>
    <mergeCell ref="D654:G654"/>
    <mergeCell ref="D655:G655"/>
    <mergeCell ref="D656:G656"/>
    <mergeCell ref="D642:G642"/>
    <mergeCell ref="D779:G779"/>
    <mergeCell ref="D795:G795"/>
    <mergeCell ref="D796:G796"/>
    <mergeCell ref="D797:G797"/>
    <mergeCell ref="D798:G798"/>
    <mergeCell ref="D683:G683"/>
    <mergeCell ref="D684:G684"/>
    <mergeCell ref="D685:G685"/>
    <mergeCell ref="D688:G688"/>
    <mergeCell ref="D689:G689"/>
    <mergeCell ref="D687:G687"/>
    <mergeCell ref="D768:G768"/>
    <mergeCell ref="D769:G769"/>
    <mergeCell ref="D770:G770"/>
    <mergeCell ref="D771:G771"/>
    <mergeCell ref="D772:G772"/>
    <mergeCell ref="D773:G773"/>
    <mergeCell ref="D759:G759"/>
    <mergeCell ref="D760:G760"/>
    <mergeCell ref="D761:G761"/>
    <mergeCell ref="D763:G763"/>
    <mergeCell ref="D764:G764"/>
    <mergeCell ref="D765:G765"/>
    <mergeCell ref="D766:G766"/>
    <mergeCell ref="D635:G635"/>
    <mergeCell ref="D636:G636"/>
    <mergeCell ref="D637:G637"/>
    <mergeCell ref="D657:G657"/>
    <mergeCell ref="D774:G774"/>
    <mergeCell ref="D776:G776"/>
    <mergeCell ref="D778:G778"/>
    <mergeCell ref="D767:G767"/>
    <mergeCell ref="D750:G750"/>
    <mergeCell ref="D751:G751"/>
    <mergeCell ref="D752:G752"/>
    <mergeCell ref="D753:G753"/>
    <mergeCell ref="D754:G754"/>
    <mergeCell ref="D755:G755"/>
    <mergeCell ref="D756:G756"/>
    <mergeCell ref="D757:G757"/>
    <mergeCell ref="D758:G758"/>
    <mergeCell ref="D747:G747"/>
    <mergeCell ref="D738:G738"/>
    <mergeCell ref="D739:G739"/>
    <mergeCell ref="D740:G740"/>
    <mergeCell ref="D741:G741"/>
    <mergeCell ref="D748:G748"/>
    <mergeCell ref="D714:G714"/>
    <mergeCell ref="E930:F930"/>
    <mergeCell ref="H934:K934"/>
    <mergeCell ref="H935:K935"/>
    <mergeCell ref="D257:G257"/>
    <mergeCell ref="D749:G749"/>
    <mergeCell ref="D260:G260"/>
    <mergeCell ref="D261:G261"/>
    <mergeCell ref="D262:G262"/>
    <mergeCell ref="D263:G263"/>
    <mergeCell ref="D264:G264"/>
    <mergeCell ref="D265:G265"/>
    <mergeCell ref="D266:G266"/>
    <mergeCell ref="D267:G267"/>
    <mergeCell ref="D268:G268"/>
    <mergeCell ref="D651:G651"/>
    <mergeCell ref="D643:G643"/>
    <mergeCell ref="D644:G644"/>
    <mergeCell ref="D645:G645"/>
    <mergeCell ref="D646:G646"/>
    <mergeCell ref="D647:G647"/>
    <mergeCell ref="D648:G648"/>
    <mergeCell ref="D631:G631"/>
    <mergeCell ref="D632:G632"/>
    <mergeCell ref="D634:G634"/>
    <mergeCell ref="H936:K936"/>
    <mergeCell ref="D269:G269"/>
    <mergeCell ref="D270:G270"/>
    <mergeCell ref="D271:G271"/>
    <mergeCell ref="D272:G272"/>
    <mergeCell ref="D273:G273"/>
    <mergeCell ref="D274:G274"/>
    <mergeCell ref="D275:G275"/>
    <mergeCell ref="D762:G762"/>
    <mergeCell ref="D667:G667"/>
    <mergeCell ref="D668:G668"/>
    <mergeCell ref="D669:G669"/>
    <mergeCell ref="D670:G670"/>
    <mergeCell ref="D680:G680"/>
    <mergeCell ref="D681:G681"/>
    <mergeCell ref="D682:G682"/>
    <mergeCell ref="D671:G671"/>
    <mergeCell ref="D649:G649"/>
    <mergeCell ref="D650:G650"/>
    <mergeCell ref="D652:G652"/>
    <mergeCell ref="D638:G638"/>
    <mergeCell ref="D639:G639"/>
    <mergeCell ref="D640:G640"/>
    <mergeCell ref="D641:G641"/>
    <mergeCell ref="D210:F210"/>
    <mergeCell ref="D213:F213"/>
    <mergeCell ref="C310:K310"/>
    <mergeCell ref="D311:G311"/>
    <mergeCell ref="D211:F211"/>
    <mergeCell ref="D212:F212"/>
    <mergeCell ref="D214:F214"/>
    <mergeCell ref="C215:J215"/>
    <mergeCell ref="D256:G256"/>
    <mergeCell ref="D307:G307"/>
    <mergeCell ref="D276:G276"/>
    <mergeCell ref="D277:G277"/>
    <mergeCell ref="D278:G278"/>
    <mergeCell ref="D279:G279"/>
    <mergeCell ref="D280:G280"/>
    <mergeCell ref="D281:G281"/>
    <mergeCell ref="D282:G282"/>
    <mergeCell ref="D283:G283"/>
    <mergeCell ref="D284:G284"/>
    <mergeCell ref="C308:J308"/>
    <mergeCell ref="D258:G258"/>
    <mergeCell ref="D259:G259"/>
    <mergeCell ref="D246:G246"/>
    <mergeCell ref="D247:G247"/>
  </mergeCells>
  <phoneticPr fontId="20" type="noConversion"/>
  <conditionalFormatting sqref="C1:C1048576">
    <cfRule type="duplicateValues" dxfId="12" priority="11"/>
  </conditionalFormatting>
  <conditionalFormatting sqref="C10">
    <cfRule type="duplicateValues" dxfId="11" priority="12"/>
  </conditionalFormatting>
  <conditionalFormatting sqref="J11:J109">
    <cfRule type="cellIs" dxfId="10" priority="9" operator="lessThan">
      <formula>0.0001</formula>
    </cfRule>
    <cfRule type="cellIs" dxfId="9" priority="10" operator="greaterThan">
      <formula>0</formula>
    </cfRule>
  </conditionalFormatting>
  <conditionalFormatting sqref="J114:J213">
    <cfRule type="cellIs" dxfId="8" priority="7" operator="lessThan">
      <formula>0.0001</formula>
    </cfRule>
    <cfRule type="cellIs" dxfId="7" priority="8" operator="greaterThan">
      <formula>0</formula>
    </cfRule>
  </conditionalFormatting>
  <conditionalFormatting sqref="J219:J234">
    <cfRule type="cellIs" dxfId="6" priority="5" operator="lessThan">
      <formula>0.0001</formula>
    </cfRule>
    <cfRule type="cellIs" dxfId="5" priority="6" operator="greaterThan">
      <formula>0</formula>
    </cfRule>
  </conditionalFormatting>
  <conditionalFormatting sqref="J239:J307">
    <cfRule type="cellIs" dxfId="4" priority="3" operator="lessThan">
      <formula>0.0001</formula>
    </cfRule>
    <cfRule type="cellIs" dxfId="3" priority="4" operator="greaterThan">
      <formula>0</formula>
    </cfRule>
  </conditionalFormatting>
  <conditionalFormatting sqref="J312:J925">
    <cfRule type="cellIs" dxfId="2" priority="1" operator="lessThan">
      <formula>0.0001</formula>
    </cfRule>
    <cfRule type="cellIs" dxfId="1" priority="2" operator="greaterThan">
      <formula>0</formula>
    </cfRule>
  </conditionalFormatting>
  <pageMargins left="0.7" right="0.7" top="0.75" bottom="0.75" header="0.3" footer="0.3"/>
  <pageSetup scale="61" fitToHeight="0" orientation="portrait" r:id="rId1"/>
  <rowBreaks count="2" manualBreakCount="2">
    <brk id="928" min="1" max="11" man="1"/>
    <brk id="937" min="1" max="1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BBC78-7141-4CF4-8E17-9226A9710159}">
  <sheetPr>
    <pageSetUpPr fitToPage="1"/>
  </sheetPr>
  <dimension ref="C1:J83"/>
  <sheetViews>
    <sheetView view="pageBreakPreview" topLeftCell="A53" zoomScaleNormal="100" zoomScaleSheetLayoutView="100" workbookViewId="0">
      <selection activeCell="E58" sqref="E58"/>
    </sheetView>
  </sheetViews>
  <sheetFormatPr baseColWidth="10" defaultRowHeight="15" x14ac:dyDescent="0.25"/>
  <cols>
    <col min="2" max="2" width="2.140625" customWidth="1"/>
    <col min="3" max="3" width="47.7109375" bestFit="1" customWidth="1"/>
    <col min="4" max="4" width="17.140625" customWidth="1"/>
    <col min="5" max="7" width="14.7109375" bestFit="1" customWidth="1"/>
    <col min="8" max="8" width="15.85546875" bestFit="1" customWidth="1"/>
    <col min="9" max="9" width="12.42578125" bestFit="1" customWidth="1"/>
    <col min="10" max="10" width="15.7109375" customWidth="1"/>
    <col min="11" max="11" width="2.140625" customWidth="1"/>
  </cols>
  <sheetData>
    <row r="1" spans="3:10" ht="15.75" thickBot="1" x14ac:dyDescent="0.3"/>
    <row r="2" spans="3:10" ht="71.25" customHeight="1" x14ac:dyDescent="0.25">
      <c r="C2" s="692" t="str">
        <f>INSUMOS!E5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D2" s="693"/>
      <c r="E2" s="693"/>
      <c r="F2" s="693"/>
      <c r="G2" s="694"/>
      <c r="H2" s="697"/>
      <c r="I2" s="697"/>
      <c r="J2" s="706"/>
    </row>
    <row r="3" spans="3:10" ht="15" customHeight="1" x14ac:dyDescent="0.25">
      <c r="C3" s="136" t="s">
        <v>126</v>
      </c>
      <c r="D3" s="695">
        <f>INSUMOS!E4</f>
        <v>0</v>
      </c>
      <c r="E3" s="695"/>
      <c r="F3" s="695"/>
      <c r="G3" s="695"/>
      <c r="H3" s="695"/>
      <c r="I3" s="696"/>
      <c r="J3" s="707"/>
    </row>
    <row r="4" spans="3:10" ht="15.75" thickBot="1" x14ac:dyDescent="0.3">
      <c r="C4" s="226" t="s">
        <v>38</v>
      </c>
      <c r="D4" s="684" t="str">
        <f>APUS!$O$5</f>
        <v>ARAUCA, ARAUCA</v>
      </c>
      <c r="E4" s="684"/>
      <c r="F4" s="684"/>
      <c r="G4" s="137" t="s">
        <v>31</v>
      </c>
      <c r="H4" s="702" t="str">
        <f>INSUMOS!J6</f>
        <v>MARZO DE 2025</v>
      </c>
      <c r="I4" s="684"/>
      <c r="J4" s="681"/>
    </row>
    <row r="5" spans="3:10" ht="6" customHeight="1" thickBot="1" x14ac:dyDescent="0.3">
      <c r="C5" s="134"/>
      <c r="D5" s="71"/>
      <c r="E5" s="71"/>
      <c r="F5" s="71"/>
      <c r="G5" s="134"/>
      <c r="H5" s="135"/>
      <c r="I5" s="71"/>
      <c r="J5" s="71"/>
    </row>
    <row r="6" spans="3:10" ht="21" thickBot="1" x14ac:dyDescent="0.3">
      <c r="C6" s="703" t="s">
        <v>166</v>
      </c>
      <c r="D6" s="704"/>
      <c r="E6" s="704"/>
      <c r="F6" s="704"/>
      <c r="G6" s="704"/>
      <c r="H6" s="704"/>
      <c r="I6" s="704"/>
      <c r="J6" s="705"/>
    </row>
    <row r="7" spans="3:10" ht="7.5" customHeight="1" thickBot="1" x14ac:dyDescent="0.3">
      <c r="C7" s="1"/>
      <c r="D7" s="131"/>
      <c r="E7" s="131"/>
      <c r="F7" s="1"/>
      <c r="G7" s="1"/>
      <c r="H7" s="1"/>
      <c r="I7" s="1"/>
      <c r="J7" s="1"/>
    </row>
    <row r="8" spans="3:10" x14ac:dyDescent="0.25">
      <c r="C8" s="138" t="s">
        <v>628</v>
      </c>
      <c r="D8" s="139">
        <v>1423500</v>
      </c>
      <c r="E8" s="47"/>
      <c r="F8" s="133"/>
      <c r="G8" s="133"/>
      <c r="H8" s="47"/>
      <c r="I8" s="47"/>
      <c r="J8" s="47"/>
    </row>
    <row r="9" spans="3:10" ht="15.75" thickBot="1" x14ac:dyDescent="0.3">
      <c r="C9" s="140" t="s">
        <v>629</v>
      </c>
      <c r="D9" s="141">
        <v>200000</v>
      </c>
      <c r="E9" s="47"/>
      <c r="F9" s="133"/>
      <c r="G9" s="133"/>
      <c r="H9" s="47"/>
      <c r="I9" s="47"/>
      <c r="J9" s="47"/>
    </row>
    <row r="10" spans="3:10" ht="7.5" customHeight="1" thickBot="1" x14ac:dyDescent="0.3">
      <c r="C10" s="132"/>
      <c r="D10" s="1"/>
      <c r="E10" s="131"/>
      <c r="F10" s="1"/>
      <c r="G10" s="1"/>
      <c r="H10" s="1"/>
      <c r="I10" s="131"/>
      <c r="J10" s="1"/>
    </row>
    <row r="11" spans="3:10" ht="15" customHeight="1" x14ac:dyDescent="0.25">
      <c r="C11" s="709" t="s">
        <v>167</v>
      </c>
      <c r="D11" s="710"/>
      <c r="E11" s="131"/>
      <c r="F11" s="709" t="s">
        <v>168</v>
      </c>
      <c r="G11" s="715"/>
      <c r="H11" s="715"/>
      <c r="I11" s="715"/>
      <c r="J11" s="710"/>
    </row>
    <row r="12" spans="3:10" x14ac:dyDescent="0.25">
      <c r="C12" s="142" t="s">
        <v>169</v>
      </c>
      <c r="D12" s="143">
        <v>0.125</v>
      </c>
      <c r="E12" s="131"/>
      <c r="F12" s="698" t="s">
        <v>169</v>
      </c>
      <c r="G12" s="699"/>
      <c r="H12" s="699"/>
      <c r="I12" s="699"/>
      <c r="J12" s="143">
        <v>0.125</v>
      </c>
    </row>
    <row r="13" spans="3:10" x14ac:dyDescent="0.25">
      <c r="C13" s="142" t="s">
        <v>170</v>
      </c>
      <c r="D13" s="143">
        <v>0.16</v>
      </c>
      <c r="E13" s="131"/>
      <c r="F13" s="698" t="s">
        <v>170</v>
      </c>
      <c r="G13" s="699"/>
      <c r="H13" s="699"/>
      <c r="I13" s="699"/>
      <c r="J13" s="143">
        <v>0.16</v>
      </c>
    </row>
    <row r="14" spans="3:10" ht="15" customHeight="1" x14ac:dyDescent="0.25">
      <c r="C14" s="142" t="s">
        <v>171</v>
      </c>
      <c r="D14" s="143">
        <v>6.9599999999999995E-2</v>
      </c>
      <c r="E14" s="131"/>
      <c r="F14" s="698" t="s">
        <v>171</v>
      </c>
      <c r="G14" s="699"/>
      <c r="H14" s="699"/>
      <c r="I14" s="699"/>
      <c r="J14" s="143">
        <v>6.9599999999999995E-2</v>
      </c>
    </row>
    <row r="15" spans="3:10" x14ac:dyDescent="0.25">
      <c r="C15" s="142" t="s">
        <v>172</v>
      </c>
      <c r="D15" s="143">
        <v>4.1700000000000001E-2</v>
      </c>
      <c r="E15" s="131"/>
      <c r="F15" s="698" t="s">
        <v>172</v>
      </c>
      <c r="G15" s="699"/>
      <c r="H15" s="699"/>
      <c r="I15" s="699"/>
      <c r="J15" s="143">
        <v>4.1700000000000001E-2</v>
      </c>
    </row>
    <row r="16" spans="3:10" ht="15" customHeight="1" x14ac:dyDescent="0.25">
      <c r="C16" s="142" t="s">
        <v>173</v>
      </c>
      <c r="D16" s="143">
        <v>8.3299999999999999E-2</v>
      </c>
      <c r="E16" s="131"/>
      <c r="F16" s="698" t="s">
        <v>173</v>
      </c>
      <c r="G16" s="699"/>
      <c r="H16" s="699"/>
      <c r="I16" s="699"/>
      <c r="J16" s="143">
        <v>8.3299999999999999E-2</v>
      </c>
    </row>
    <row r="17" spans="3:10" x14ac:dyDescent="0.25">
      <c r="C17" s="142" t="s">
        <v>174</v>
      </c>
      <c r="D17" s="143">
        <v>8.3299999999999999E-2</v>
      </c>
      <c r="E17" s="131"/>
      <c r="F17" s="698" t="s">
        <v>174</v>
      </c>
      <c r="G17" s="699"/>
      <c r="H17" s="699"/>
      <c r="I17" s="699"/>
      <c r="J17" s="143">
        <v>8.3299999999999999E-2</v>
      </c>
    </row>
    <row r="18" spans="3:10" ht="15" customHeight="1" x14ac:dyDescent="0.25">
      <c r="C18" s="142" t="s">
        <v>175</v>
      </c>
      <c r="D18" s="143">
        <v>0.01</v>
      </c>
      <c r="E18" s="131"/>
      <c r="F18" s="698" t="s">
        <v>175</v>
      </c>
      <c r="G18" s="699"/>
      <c r="H18" s="699"/>
      <c r="I18" s="699"/>
      <c r="J18" s="143">
        <v>0.01</v>
      </c>
    </row>
    <row r="19" spans="3:10" x14ac:dyDescent="0.25">
      <c r="C19" s="142" t="s">
        <v>176</v>
      </c>
      <c r="D19" s="143">
        <v>0.02</v>
      </c>
      <c r="E19" s="131"/>
      <c r="F19" s="698" t="s">
        <v>176</v>
      </c>
      <c r="G19" s="699"/>
      <c r="H19" s="699"/>
      <c r="I19" s="699"/>
      <c r="J19" s="143">
        <v>0.02</v>
      </c>
    </row>
    <row r="20" spans="3:10" x14ac:dyDescent="0.25">
      <c r="C20" s="142" t="s">
        <v>177</v>
      </c>
      <c r="D20" s="143">
        <v>0.03</v>
      </c>
      <c r="E20" s="131"/>
      <c r="F20" s="698" t="s">
        <v>177</v>
      </c>
      <c r="G20" s="699"/>
      <c r="H20" s="699"/>
      <c r="I20" s="699"/>
      <c r="J20" s="143">
        <v>0.03</v>
      </c>
    </row>
    <row r="21" spans="3:10" ht="15" customHeight="1" x14ac:dyDescent="0.25">
      <c r="C21" s="142" t="s">
        <v>178</v>
      </c>
      <c r="D21" s="143">
        <v>0.04</v>
      </c>
      <c r="E21" s="131"/>
      <c r="F21" s="698" t="s">
        <v>178</v>
      </c>
      <c r="G21" s="699"/>
      <c r="H21" s="699"/>
      <c r="I21" s="699"/>
      <c r="J21" s="143">
        <v>0.04</v>
      </c>
    </row>
    <row r="22" spans="3:10" ht="30" customHeight="1" x14ac:dyDescent="0.25">
      <c r="C22" s="144" t="s">
        <v>179</v>
      </c>
      <c r="D22" s="143">
        <v>0.1</v>
      </c>
      <c r="E22" s="131"/>
      <c r="F22" s="700" t="s">
        <v>179</v>
      </c>
      <c r="G22" s="701"/>
      <c r="H22" s="701"/>
      <c r="I22" s="701"/>
      <c r="J22" s="143"/>
    </row>
    <row r="23" spans="3:10" ht="15" customHeight="1" x14ac:dyDescent="0.25">
      <c r="C23" s="144" t="s">
        <v>180</v>
      </c>
      <c r="D23" s="143">
        <v>3.7100000000000001E-2</v>
      </c>
      <c r="E23" s="131"/>
      <c r="F23" s="700" t="s">
        <v>180</v>
      </c>
      <c r="G23" s="701"/>
      <c r="H23" s="701"/>
      <c r="I23" s="701"/>
      <c r="J23" s="143"/>
    </row>
    <row r="24" spans="3:10" ht="15.75" thickBot="1" x14ac:dyDescent="0.3">
      <c r="C24" s="145" t="s">
        <v>16</v>
      </c>
      <c r="D24" s="146">
        <f>SUM(D12:D23)</f>
        <v>0.80000000000000016</v>
      </c>
      <c r="E24" s="131"/>
      <c r="F24" s="717" t="s">
        <v>16</v>
      </c>
      <c r="G24" s="718"/>
      <c r="H24" s="718"/>
      <c r="I24" s="718"/>
      <c r="J24" s="146">
        <f>SUM(J12:J23)</f>
        <v>0.66290000000000016</v>
      </c>
    </row>
    <row r="25" spans="3:10" ht="15.75" thickBot="1" x14ac:dyDescent="0.3"/>
    <row r="26" spans="3:10" ht="45" customHeight="1" x14ac:dyDescent="0.25">
      <c r="C26" s="159" t="s">
        <v>95</v>
      </c>
      <c r="D26" s="160" t="s">
        <v>181</v>
      </c>
      <c r="E26" s="161" t="s">
        <v>104</v>
      </c>
      <c r="F26" s="160" t="s">
        <v>117</v>
      </c>
      <c r="G26" s="160" t="s">
        <v>182</v>
      </c>
      <c r="H26" s="160" t="s">
        <v>183</v>
      </c>
      <c r="I26" s="160" t="s">
        <v>216</v>
      </c>
      <c r="J26" s="162" t="s">
        <v>184</v>
      </c>
    </row>
    <row r="27" spans="3:10" x14ac:dyDescent="0.25">
      <c r="C27" s="163" t="s">
        <v>191</v>
      </c>
      <c r="D27" s="148" t="s">
        <v>194</v>
      </c>
      <c r="E27" s="149"/>
      <c r="F27" s="150"/>
      <c r="G27" s="150"/>
      <c r="H27" s="150"/>
      <c r="I27" s="150"/>
      <c r="J27" s="164"/>
    </row>
    <row r="28" spans="3:10" x14ac:dyDescent="0.25">
      <c r="C28" s="165" t="s">
        <v>186</v>
      </c>
      <c r="D28" s="149">
        <v>1</v>
      </c>
      <c r="E28" s="149">
        <v>1</v>
      </c>
      <c r="F28" s="151">
        <f>ROUND((((($D$8+$D$9)/30)*1.45)*D28),0)</f>
        <v>78469</v>
      </c>
      <c r="G28" s="151">
        <f>$D$9/30</f>
        <v>6666.666666666667</v>
      </c>
      <c r="H28" s="152">
        <v>0</v>
      </c>
      <c r="I28" s="153">
        <f>ROUND((F28+G28)*$D$24,0)</f>
        <v>68109</v>
      </c>
      <c r="J28" s="166">
        <f>+SUM(F28:I28)</f>
        <v>153244.66666666669</v>
      </c>
    </row>
    <row r="29" spans="3:10" x14ac:dyDescent="0.25">
      <c r="C29" s="165" t="s">
        <v>185</v>
      </c>
      <c r="D29" s="149">
        <f>+D28</f>
        <v>1</v>
      </c>
      <c r="E29" s="149">
        <v>1</v>
      </c>
      <c r="F29" s="151">
        <f>ROUND((((($D$8+$D$9)/30)*1.05)*D29),0)</f>
        <v>56823</v>
      </c>
      <c r="G29" s="151">
        <f>$D$9/30</f>
        <v>6666.666666666667</v>
      </c>
      <c r="H29" s="152">
        <f>$H$28</f>
        <v>0</v>
      </c>
      <c r="I29" s="153">
        <f>ROUND((F29+G29)*$D$24,0)</f>
        <v>50792</v>
      </c>
      <c r="J29" s="166">
        <f>+SUM(F29:I29)</f>
        <v>114281.66666666666</v>
      </c>
    </row>
    <row r="30" spans="3:10" ht="6" customHeight="1" x14ac:dyDescent="0.25">
      <c r="C30" s="167"/>
      <c r="D30" s="155"/>
      <c r="E30" s="149"/>
      <c r="F30" s="156"/>
      <c r="G30" s="156"/>
      <c r="H30" s="152"/>
      <c r="I30" s="157"/>
      <c r="J30" s="166"/>
    </row>
    <row r="31" spans="3:10" hidden="1" x14ac:dyDescent="0.25">
      <c r="C31" s="163" t="s">
        <v>192</v>
      </c>
      <c r="D31" s="148" t="s">
        <v>194</v>
      </c>
      <c r="E31" s="158"/>
      <c r="F31" s="150"/>
      <c r="G31" s="150">
        <f>+SUM(G32:G33)</f>
        <v>13333.333333333334</v>
      </c>
      <c r="H31" s="150">
        <f>+SUM(H32:H33)</f>
        <v>0</v>
      </c>
      <c r="I31" s="150">
        <f>+SUM(I32:I33)</f>
        <v>124313</v>
      </c>
      <c r="J31" s="164">
        <f>+SUM(H31:I31)</f>
        <v>124313</v>
      </c>
    </row>
    <row r="32" spans="3:10" hidden="1" x14ac:dyDescent="0.25">
      <c r="C32" s="165" t="s">
        <v>188</v>
      </c>
      <c r="D32" s="149">
        <v>1.05</v>
      </c>
      <c r="E32" s="149">
        <v>1</v>
      </c>
      <c r="F32" s="151">
        <f>ROUND((((($D$8+$D$9)/30)*1.45)*D32),0)</f>
        <v>82393</v>
      </c>
      <c r="G32" s="151">
        <f>$D$9/30</f>
        <v>6666.666666666667</v>
      </c>
      <c r="H32" s="152">
        <f>$H$28</f>
        <v>0</v>
      </c>
      <c r="I32" s="153">
        <f>ROUND((F32+G32)*$D$24,0)</f>
        <v>71248</v>
      </c>
      <c r="J32" s="166">
        <f>+SUM(F32:I32)</f>
        <v>160307.66666666669</v>
      </c>
    </row>
    <row r="33" spans="3:10" hidden="1" x14ac:dyDescent="0.25">
      <c r="C33" s="165" t="s">
        <v>187</v>
      </c>
      <c r="D33" s="149">
        <f>+D32</f>
        <v>1.05</v>
      </c>
      <c r="E33" s="149">
        <v>1</v>
      </c>
      <c r="F33" s="151">
        <f>ROUND((((($D$8+$D$9)/30)*1.05)*D33),0)</f>
        <v>59664</v>
      </c>
      <c r="G33" s="151">
        <f>$D$9/30</f>
        <v>6666.666666666667</v>
      </c>
      <c r="H33" s="152">
        <f>$H$28</f>
        <v>0</v>
      </c>
      <c r="I33" s="153">
        <f>ROUND((F33+G33)*$D$24,0)</f>
        <v>53065</v>
      </c>
      <c r="J33" s="166">
        <f>+SUM(F33:I33)</f>
        <v>119395.66666666667</v>
      </c>
    </row>
    <row r="34" spans="3:10" ht="6" hidden="1" customHeight="1" x14ac:dyDescent="0.25">
      <c r="C34" s="167"/>
      <c r="D34" s="155"/>
      <c r="E34" s="149"/>
      <c r="F34" s="156"/>
      <c r="G34" s="156"/>
      <c r="H34" s="152"/>
      <c r="I34" s="157"/>
      <c r="J34" s="166"/>
    </row>
    <row r="35" spans="3:10" x14ac:dyDescent="0.25">
      <c r="C35" s="168" t="s">
        <v>470</v>
      </c>
      <c r="D35" s="148" t="s">
        <v>194</v>
      </c>
      <c r="E35" s="149"/>
      <c r="F35" s="150"/>
      <c r="G35" s="150"/>
      <c r="H35" s="150"/>
      <c r="I35" s="150"/>
      <c r="J35" s="164"/>
    </row>
    <row r="36" spans="3:10" x14ac:dyDescent="0.25">
      <c r="C36" s="165" t="s">
        <v>468</v>
      </c>
      <c r="D36" s="155">
        <v>1.1499999999999999</v>
      </c>
      <c r="E36" s="149">
        <v>1</v>
      </c>
      <c r="F36" s="151">
        <f>ROUND((((($D$8+$D$9)/30)*1.45)*D36),0)</f>
        <v>90240</v>
      </c>
      <c r="G36" s="151">
        <f>$D$9/30</f>
        <v>6666.666666666667</v>
      </c>
      <c r="H36" s="152">
        <f>$H$28</f>
        <v>0</v>
      </c>
      <c r="I36" s="153">
        <f>ROUND((F36+G36)*$D$24,0)</f>
        <v>77525</v>
      </c>
      <c r="J36" s="166">
        <f>+SUM(F36:I36)</f>
        <v>174431.66666666669</v>
      </c>
    </row>
    <row r="37" spans="3:10" x14ac:dyDescent="0.25">
      <c r="C37" s="165" t="s">
        <v>469</v>
      </c>
      <c r="D37" s="155">
        <f>+D36</f>
        <v>1.1499999999999999</v>
      </c>
      <c r="E37" s="149">
        <v>1</v>
      </c>
      <c r="F37" s="151">
        <f>ROUND((((($D$8+$D$9)/30)*1.05)*D37),0)</f>
        <v>65346</v>
      </c>
      <c r="G37" s="151">
        <f>$D$9/30</f>
        <v>6666.666666666667</v>
      </c>
      <c r="H37" s="152">
        <f>$H$28</f>
        <v>0</v>
      </c>
      <c r="I37" s="153">
        <f>ROUND((F37+G37)*$D$24,0)</f>
        <v>57610</v>
      </c>
      <c r="J37" s="166">
        <f>+SUM(F37:I37)</f>
        <v>129622.66666666667</v>
      </c>
    </row>
    <row r="38" spans="3:10" ht="6" customHeight="1" x14ac:dyDescent="0.25">
      <c r="C38" s="167"/>
      <c r="D38" s="155"/>
      <c r="E38" s="149"/>
      <c r="F38" s="156"/>
      <c r="G38" s="156"/>
      <c r="H38" s="152"/>
      <c r="I38" s="157"/>
      <c r="J38" s="166"/>
    </row>
    <row r="39" spans="3:10" x14ac:dyDescent="0.25">
      <c r="C39" s="168" t="s">
        <v>193</v>
      </c>
      <c r="D39" s="148" t="s">
        <v>194</v>
      </c>
      <c r="E39" s="149"/>
      <c r="F39" s="150"/>
      <c r="G39" s="150"/>
      <c r="H39" s="150"/>
      <c r="I39" s="150"/>
      <c r="J39" s="164"/>
    </row>
    <row r="40" spans="3:10" x14ac:dyDescent="0.25">
      <c r="C40" s="165" t="s">
        <v>198</v>
      </c>
      <c r="D40" s="149">
        <v>1.1000000000000001</v>
      </c>
      <c r="E40" s="149">
        <v>1</v>
      </c>
      <c r="F40" s="151">
        <f>ROUND((((($D$8+$D$9)/30)*1.45)*D40),0)</f>
        <v>86316</v>
      </c>
      <c r="G40" s="151">
        <f>$D$9/30</f>
        <v>6666.666666666667</v>
      </c>
      <c r="H40" s="152">
        <f>$H$28</f>
        <v>0</v>
      </c>
      <c r="I40" s="153">
        <f>ROUND((F40+G40)*$D$24,0)</f>
        <v>74386</v>
      </c>
      <c r="J40" s="166">
        <f>+SUM(F40:I40)</f>
        <v>167368.66666666669</v>
      </c>
    </row>
    <row r="41" spans="3:10" x14ac:dyDescent="0.25">
      <c r="C41" s="165" t="s">
        <v>199</v>
      </c>
      <c r="D41" s="149">
        <f>+D40</f>
        <v>1.1000000000000001</v>
      </c>
      <c r="E41" s="149">
        <v>1</v>
      </c>
      <c r="F41" s="151">
        <f>ROUND((((($D$8+$D$9)/30)*1.05)*D41),0)</f>
        <v>62505</v>
      </c>
      <c r="G41" s="151">
        <f>$D$9/30</f>
        <v>6666.666666666667</v>
      </c>
      <c r="H41" s="152">
        <f>$H$28</f>
        <v>0</v>
      </c>
      <c r="I41" s="153">
        <f>ROUND((F41+G41)*$D$24,0)</f>
        <v>55337</v>
      </c>
      <c r="J41" s="166">
        <f>+SUM(F41:I41)</f>
        <v>124508.66666666667</v>
      </c>
    </row>
    <row r="42" spans="3:10" ht="6" customHeight="1" x14ac:dyDescent="0.25">
      <c r="C42" s="167"/>
      <c r="D42" s="155"/>
      <c r="E42" s="149"/>
      <c r="F42" s="156"/>
      <c r="G42" s="156"/>
      <c r="H42" s="152"/>
      <c r="I42" s="157"/>
      <c r="J42" s="166"/>
    </row>
    <row r="43" spans="3:10" x14ac:dyDescent="0.25">
      <c r="C43" s="168" t="s">
        <v>195</v>
      </c>
      <c r="D43" s="148" t="s">
        <v>194</v>
      </c>
      <c r="E43" s="149"/>
      <c r="F43" s="150"/>
      <c r="G43" s="150"/>
      <c r="H43" s="150"/>
      <c r="I43" s="150"/>
      <c r="J43" s="164"/>
    </row>
    <row r="44" spans="3:10" x14ac:dyDescent="0.25">
      <c r="C44" s="165" t="s">
        <v>200</v>
      </c>
      <c r="D44" s="149">
        <v>1.2</v>
      </c>
      <c r="E44" s="149">
        <v>1</v>
      </c>
      <c r="F44" s="151">
        <f>ROUND((((($D$8+$D$9)/30)*1.45)*D44),0)</f>
        <v>94163</v>
      </c>
      <c r="G44" s="151">
        <f>$D$9/30</f>
        <v>6666.666666666667</v>
      </c>
      <c r="H44" s="152">
        <f>$H$28</f>
        <v>0</v>
      </c>
      <c r="I44" s="153">
        <f>ROUND((F44+G44)*$D$24,0)</f>
        <v>80664</v>
      </c>
      <c r="J44" s="166">
        <f>+SUM(F44:I44)</f>
        <v>181493.66666666669</v>
      </c>
    </row>
    <row r="45" spans="3:10" x14ac:dyDescent="0.25">
      <c r="C45" s="165" t="s">
        <v>201</v>
      </c>
      <c r="D45" s="149">
        <f>+D44</f>
        <v>1.2</v>
      </c>
      <c r="E45" s="149">
        <v>1</v>
      </c>
      <c r="F45" s="151">
        <f>ROUND((((($D$8+$D$9)/30)*1.05)*D45),0)</f>
        <v>68187</v>
      </c>
      <c r="G45" s="151">
        <f>$D$9/30</f>
        <v>6666.666666666667</v>
      </c>
      <c r="H45" s="152">
        <f>$H$28</f>
        <v>0</v>
      </c>
      <c r="I45" s="153">
        <f>ROUND((F45+G45)*$D$24,0)</f>
        <v>59883</v>
      </c>
      <c r="J45" s="166">
        <f>+SUM(F45:I45)</f>
        <v>134736.66666666669</v>
      </c>
    </row>
    <row r="46" spans="3:10" ht="6" customHeight="1" x14ac:dyDescent="0.25">
      <c r="C46" s="167"/>
      <c r="D46" s="155"/>
      <c r="E46" s="149"/>
      <c r="F46" s="156"/>
      <c r="G46" s="156"/>
      <c r="H46" s="152"/>
      <c r="I46" s="157"/>
      <c r="J46" s="166"/>
    </row>
    <row r="47" spans="3:10" x14ac:dyDescent="0.25">
      <c r="C47" s="168" t="s">
        <v>197</v>
      </c>
      <c r="D47" s="148" t="s">
        <v>194</v>
      </c>
      <c r="E47" s="149"/>
      <c r="F47" s="150"/>
      <c r="G47" s="150"/>
      <c r="H47" s="150"/>
      <c r="I47" s="150"/>
      <c r="J47" s="164"/>
    </row>
    <row r="48" spans="3:10" x14ac:dyDescent="0.25">
      <c r="C48" s="165" t="s">
        <v>190</v>
      </c>
      <c r="D48" s="149">
        <v>1.1000000000000001</v>
      </c>
      <c r="E48" s="149">
        <v>1</v>
      </c>
      <c r="F48" s="151">
        <f>ROUND((((($D$8+$D$9)/30)*1.45)*D48),0)</f>
        <v>86316</v>
      </c>
      <c r="G48" s="151">
        <f>$D$9/30</f>
        <v>6666.666666666667</v>
      </c>
      <c r="H48" s="152">
        <f>$H$28</f>
        <v>0</v>
      </c>
      <c r="I48" s="153">
        <f>ROUND((F48+G48)*$D$24,0)</f>
        <v>74386</v>
      </c>
      <c r="J48" s="166">
        <f>+SUM(H48:I48)</f>
        <v>74386</v>
      </c>
    </row>
    <row r="49" spans="3:10" x14ac:dyDescent="0.25">
      <c r="C49" s="165" t="s">
        <v>189</v>
      </c>
      <c r="D49" s="149">
        <f>D48</f>
        <v>1.1000000000000001</v>
      </c>
      <c r="E49" s="149">
        <v>1</v>
      </c>
      <c r="F49" s="151">
        <f>ROUND((((($D$8+$D$9)/30)*1.05)*D49),0)</f>
        <v>62505</v>
      </c>
      <c r="G49" s="151">
        <f>$D$9/30</f>
        <v>6666.666666666667</v>
      </c>
      <c r="H49" s="152">
        <f>$H$28</f>
        <v>0</v>
      </c>
      <c r="I49" s="153">
        <f>ROUND((F49+G49)*$D$24,0)</f>
        <v>55337</v>
      </c>
      <c r="J49" s="166">
        <f>+SUM(H49:I49)</f>
        <v>55337</v>
      </c>
    </row>
    <row r="50" spans="3:10" ht="6" customHeight="1" x14ac:dyDescent="0.25">
      <c r="C50" s="167"/>
      <c r="D50" s="155"/>
      <c r="E50" s="149"/>
      <c r="F50" s="156"/>
      <c r="G50" s="156"/>
      <c r="H50" s="152"/>
      <c r="I50" s="157"/>
      <c r="J50" s="166"/>
    </row>
    <row r="51" spans="3:10" x14ac:dyDescent="0.25">
      <c r="C51" s="168" t="s">
        <v>196</v>
      </c>
      <c r="D51" s="148" t="s">
        <v>194</v>
      </c>
      <c r="E51" s="149"/>
      <c r="F51" s="150"/>
      <c r="G51" s="150"/>
      <c r="H51" s="150"/>
      <c r="I51" s="150"/>
      <c r="J51" s="164"/>
    </row>
    <row r="52" spans="3:10" x14ac:dyDescent="0.25">
      <c r="C52" s="165" t="s">
        <v>164</v>
      </c>
      <c r="D52" s="149">
        <v>1</v>
      </c>
      <c r="E52" s="149">
        <v>1</v>
      </c>
      <c r="F52" s="151">
        <f>ROUND((((($D$8+$D$9)/30)*1.75)*D52),0)</f>
        <v>94704</v>
      </c>
      <c r="G52" s="151">
        <f>$D$9/30</f>
        <v>6666.666666666667</v>
      </c>
      <c r="H52" s="152">
        <f>$H$28</f>
        <v>0</v>
      </c>
      <c r="I52" s="153">
        <f>ROUND((F52+G52)*$D$24,0)</f>
        <v>81097</v>
      </c>
      <c r="J52" s="166">
        <f>+SUM(F52:I52)</f>
        <v>182467.66666666669</v>
      </c>
    </row>
    <row r="53" spans="3:10" x14ac:dyDescent="0.25">
      <c r="C53" s="165" t="s">
        <v>165</v>
      </c>
      <c r="D53" s="149">
        <v>1</v>
      </c>
      <c r="E53" s="149">
        <v>1</v>
      </c>
      <c r="F53" s="151">
        <f>ROUND((((($D$8+$D$9)/30)*1.35)*D53),0)</f>
        <v>73058</v>
      </c>
      <c r="G53" s="151">
        <f>$D$9/30</f>
        <v>6666.666666666667</v>
      </c>
      <c r="H53" s="152">
        <f>$H$28</f>
        <v>0</v>
      </c>
      <c r="I53" s="153">
        <f>ROUND((F53+G53)*$D$24,0)</f>
        <v>63780</v>
      </c>
      <c r="J53" s="166">
        <f>+SUM(F53:I53)</f>
        <v>143504.66666666669</v>
      </c>
    </row>
    <row r="54" spans="3:10" ht="6" customHeight="1" x14ac:dyDescent="0.25">
      <c r="C54" s="169"/>
      <c r="D54" s="155"/>
      <c r="E54" s="149"/>
      <c r="F54" s="154"/>
      <c r="G54" s="154"/>
      <c r="H54" s="152"/>
      <c r="I54" s="155"/>
      <c r="J54" s="166"/>
    </row>
    <row r="55" spans="3:10" ht="15.75" thickBot="1" x14ac:dyDescent="0.3">
      <c r="C55" s="712"/>
      <c r="D55" s="713"/>
      <c r="E55" s="713"/>
      <c r="F55" s="713"/>
      <c r="G55" s="713"/>
      <c r="H55" s="713"/>
      <c r="I55" s="713"/>
      <c r="J55" s="714"/>
    </row>
    <row r="56" spans="3:10" ht="6.75" customHeight="1" x14ac:dyDescent="0.25"/>
    <row r="57" spans="3:10" x14ac:dyDescent="0.25">
      <c r="C57" s="711" t="s">
        <v>95</v>
      </c>
      <c r="D57" s="711"/>
      <c r="E57" s="176" t="s">
        <v>202</v>
      </c>
      <c r="F57" s="177" t="s">
        <v>203</v>
      </c>
      <c r="G57" s="170" t="s">
        <v>217</v>
      </c>
      <c r="H57" s="176" t="s">
        <v>204</v>
      </c>
      <c r="I57" s="131"/>
      <c r="J57" s="1"/>
    </row>
    <row r="58" spans="3:10" x14ac:dyDescent="0.25">
      <c r="C58" s="708" t="s">
        <v>205</v>
      </c>
      <c r="D58" s="708"/>
      <c r="E58" s="171">
        <f>3*D8</f>
        <v>4270500</v>
      </c>
      <c r="F58" s="178">
        <f>$J$24</f>
        <v>0.66290000000000016</v>
      </c>
      <c r="G58" s="171">
        <f>E58*F58</f>
        <v>2830914.4500000007</v>
      </c>
      <c r="H58" s="172">
        <f t="shared" ref="H58:H70" si="0">E58+G58</f>
        <v>7101414.4500000011</v>
      </c>
      <c r="I58" s="173"/>
      <c r="J58" s="147"/>
    </row>
    <row r="59" spans="3:10" x14ac:dyDescent="0.25">
      <c r="C59" s="708" t="s">
        <v>206</v>
      </c>
      <c r="D59" s="708"/>
      <c r="E59" s="171">
        <f>2.2*D8</f>
        <v>3131700.0000000005</v>
      </c>
      <c r="F59" s="178">
        <f t="shared" ref="F59:F65" si="1">$J$24</f>
        <v>0.66290000000000016</v>
      </c>
      <c r="G59" s="171">
        <f t="shared" ref="G59:G70" si="2">E59*F59</f>
        <v>2076003.9300000009</v>
      </c>
      <c r="H59" s="172">
        <f t="shared" si="0"/>
        <v>5207703.9300000016</v>
      </c>
      <c r="I59" s="173"/>
      <c r="J59" s="1"/>
    </row>
    <row r="60" spans="3:10" x14ac:dyDescent="0.25">
      <c r="C60" s="708" t="s">
        <v>207</v>
      </c>
      <c r="D60" s="708"/>
      <c r="E60" s="171">
        <f>1.8*D8</f>
        <v>2562300</v>
      </c>
      <c r="F60" s="178">
        <f t="shared" si="1"/>
        <v>0.66290000000000016</v>
      </c>
      <c r="G60" s="171">
        <f t="shared" si="2"/>
        <v>1698548.6700000004</v>
      </c>
      <c r="H60" s="172">
        <f t="shared" si="0"/>
        <v>4260848.67</v>
      </c>
      <c r="I60" s="173"/>
      <c r="J60" s="1"/>
    </row>
    <row r="61" spans="3:10" hidden="1" x14ac:dyDescent="0.25">
      <c r="C61" s="708" t="s">
        <v>208</v>
      </c>
      <c r="D61" s="708"/>
      <c r="E61" s="171">
        <v>2000000</v>
      </c>
      <c r="F61" s="178">
        <f t="shared" si="1"/>
        <v>0.66290000000000016</v>
      </c>
      <c r="G61" s="171">
        <f t="shared" si="2"/>
        <v>1325800.0000000002</v>
      </c>
      <c r="H61" s="172">
        <f t="shared" si="0"/>
        <v>3325800</v>
      </c>
      <c r="I61" s="173"/>
      <c r="J61" s="147"/>
    </row>
    <row r="62" spans="3:10" hidden="1" x14ac:dyDescent="0.25">
      <c r="C62" s="726" t="s">
        <v>449</v>
      </c>
      <c r="D62" s="726"/>
      <c r="E62" s="171">
        <v>3500000</v>
      </c>
      <c r="F62" s="178">
        <f t="shared" si="1"/>
        <v>0.66290000000000016</v>
      </c>
      <c r="G62" s="171">
        <f t="shared" si="2"/>
        <v>2320150.0000000005</v>
      </c>
      <c r="H62" s="172">
        <f t="shared" si="0"/>
        <v>5820150</v>
      </c>
      <c r="I62" s="173"/>
      <c r="J62" s="1"/>
    </row>
    <row r="63" spans="3:10" x14ac:dyDescent="0.25">
      <c r="C63" s="726" t="s">
        <v>627</v>
      </c>
      <c r="D63" s="726"/>
      <c r="E63" s="171">
        <f>3*D8</f>
        <v>4270500</v>
      </c>
      <c r="F63" s="178">
        <f t="shared" si="1"/>
        <v>0.66290000000000016</v>
      </c>
      <c r="G63" s="171">
        <f t="shared" si="2"/>
        <v>2830914.4500000007</v>
      </c>
      <c r="H63" s="172">
        <f t="shared" si="0"/>
        <v>7101414.4500000011</v>
      </c>
      <c r="I63" s="173"/>
      <c r="J63" s="1"/>
    </row>
    <row r="64" spans="3:10" x14ac:dyDescent="0.25">
      <c r="C64" s="726" t="s">
        <v>519</v>
      </c>
      <c r="D64" s="726"/>
      <c r="E64" s="171">
        <f>3*D8</f>
        <v>4270500</v>
      </c>
      <c r="F64" s="178">
        <f t="shared" si="1"/>
        <v>0.66290000000000016</v>
      </c>
      <c r="G64" s="171">
        <f>E64*F64</f>
        <v>2830914.4500000007</v>
      </c>
      <c r="H64" s="172">
        <f>E64+G64</f>
        <v>7101414.4500000011</v>
      </c>
      <c r="I64" s="173"/>
      <c r="J64" s="1"/>
    </row>
    <row r="65" spans="3:10" x14ac:dyDescent="0.25">
      <c r="C65" s="708" t="s">
        <v>209</v>
      </c>
      <c r="D65" s="708"/>
      <c r="E65" s="171">
        <f>1.8*D8</f>
        <v>2562300</v>
      </c>
      <c r="F65" s="178">
        <f t="shared" si="1"/>
        <v>0.66290000000000016</v>
      </c>
      <c r="G65" s="171">
        <f t="shared" si="2"/>
        <v>1698548.6700000004</v>
      </c>
      <c r="H65" s="172">
        <f t="shared" si="0"/>
        <v>4260848.67</v>
      </c>
      <c r="I65" s="173"/>
      <c r="J65" s="1"/>
    </row>
    <row r="66" spans="3:10" x14ac:dyDescent="0.25">
      <c r="C66" s="699" t="s">
        <v>210</v>
      </c>
      <c r="D66" s="699"/>
      <c r="E66" s="171">
        <f>1.6*D8</f>
        <v>2277600</v>
      </c>
      <c r="F66" s="178">
        <f>$D$24</f>
        <v>0.80000000000000016</v>
      </c>
      <c r="G66" s="171">
        <f t="shared" si="2"/>
        <v>1822080.0000000005</v>
      </c>
      <c r="H66" s="172">
        <f t="shared" si="0"/>
        <v>4099680.0000000005</v>
      </c>
      <c r="I66" s="131"/>
      <c r="J66" s="1"/>
    </row>
    <row r="67" spans="3:10" x14ac:dyDescent="0.25">
      <c r="C67" s="699" t="s">
        <v>211</v>
      </c>
      <c r="D67" s="699"/>
      <c r="E67" s="171">
        <f>1.8*D8</f>
        <v>2562300</v>
      </c>
      <c r="F67" s="178">
        <f>$D$24</f>
        <v>0.80000000000000016</v>
      </c>
      <c r="G67" s="171">
        <f t="shared" si="2"/>
        <v>2049840.0000000005</v>
      </c>
      <c r="H67" s="172">
        <f t="shared" si="0"/>
        <v>4612140</v>
      </c>
      <c r="I67" s="131"/>
      <c r="J67" s="1"/>
    </row>
    <row r="68" spans="3:10" ht="13.5" customHeight="1" x14ac:dyDescent="0.25">
      <c r="C68" s="699" t="s">
        <v>212</v>
      </c>
      <c r="D68" s="699"/>
      <c r="E68" s="171">
        <f>1.5*D8</f>
        <v>2135250</v>
      </c>
      <c r="F68" s="178">
        <f>$D$24</f>
        <v>0.80000000000000016</v>
      </c>
      <c r="G68" s="171">
        <f t="shared" si="2"/>
        <v>1708200.0000000002</v>
      </c>
      <c r="H68" s="172">
        <f t="shared" si="0"/>
        <v>3843450</v>
      </c>
      <c r="I68" s="131"/>
      <c r="J68" s="1"/>
    </row>
    <row r="69" spans="3:10" ht="13.5" customHeight="1" x14ac:dyDescent="0.25">
      <c r="C69" s="699" t="s">
        <v>213</v>
      </c>
      <c r="D69" s="699"/>
      <c r="E69" s="171">
        <f>1.3*D8</f>
        <v>1850550</v>
      </c>
      <c r="F69" s="178">
        <f>$D$24</f>
        <v>0.80000000000000016</v>
      </c>
      <c r="G69" s="171">
        <f t="shared" si="2"/>
        <v>1480440.0000000002</v>
      </c>
      <c r="H69" s="172">
        <f t="shared" si="0"/>
        <v>3330990</v>
      </c>
      <c r="I69" s="131"/>
      <c r="J69" s="1"/>
    </row>
    <row r="70" spans="3:10" ht="13.5" customHeight="1" x14ac:dyDescent="0.25">
      <c r="C70" s="699" t="s">
        <v>214</v>
      </c>
      <c r="D70" s="699"/>
      <c r="E70" s="171">
        <f>1.8*D8</f>
        <v>2562300</v>
      </c>
      <c r="F70" s="178">
        <f>$D$24</f>
        <v>0.80000000000000016</v>
      </c>
      <c r="G70" s="171">
        <f t="shared" si="2"/>
        <v>2049840.0000000005</v>
      </c>
      <c r="H70" s="172">
        <f t="shared" si="0"/>
        <v>4612140</v>
      </c>
      <c r="I70" s="131"/>
      <c r="J70" s="1"/>
    </row>
    <row r="71" spans="3:10" ht="13.5" customHeight="1" thickBot="1" x14ac:dyDescent="0.3">
      <c r="C71" s="132"/>
      <c r="D71" s="1"/>
      <c r="E71" s="131"/>
      <c r="F71" s="1"/>
      <c r="G71" s="1"/>
      <c r="H71" s="1"/>
      <c r="I71" s="131"/>
      <c r="J71" s="1"/>
    </row>
    <row r="72" spans="3:10" ht="13.5" customHeight="1" x14ac:dyDescent="0.25">
      <c r="C72" s="719" t="s">
        <v>215</v>
      </c>
      <c r="D72" s="720"/>
      <c r="E72" s="720"/>
      <c r="F72" s="720"/>
      <c r="G72" s="720"/>
      <c r="H72" s="720"/>
      <c r="I72" s="720"/>
      <c r="J72" s="721"/>
    </row>
    <row r="73" spans="3:10" ht="15.75" thickBot="1" x14ac:dyDescent="0.3">
      <c r="C73" s="722"/>
      <c r="D73" s="723"/>
      <c r="E73" s="723"/>
      <c r="F73" s="723"/>
      <c r="G73" s="723"/>
      <c r="H73" s="723"/>
      <c r="I73" s="723"/>
      <c r="J73" s="724"/>
    </row>
    <row r="74" spans="3:10" x14ac:dyDescent="0.25">
      <c r="C74" s="132"/>
      <c r="D74" s="1"/>
      <c r="E74" s="131"/>
      <c r="F74" s="1"/>
      <c r="G74" s="1"/>
      <c r="H74" s="1"/>
      <c r="I74" s="131"/>
      <c r="J74" s="1"/>
    </row>
    <row r="75" spans="3:10" x14ac:dyDescent="0.25">
      <c r="C75" s="174" t="s">
        <v>124</v>
      </c>
      <c r="D75" s="1"/>
      <c r="E75" s="131"/>
      <c r="F75" s="223" t="s">
        <v>631</v>
      </c>
      <c r="G75" s="1"/>
      <c r="H75" s="1"/>
      <c r="I75" s="131"/>
      <c r="J75" s="1"/>
    </row>
    <row r="76" spans="3:10" x14ac:dyDescent="0.25">
      <c r="C76" s="132"/>
      <c r="D76" s="1"/>
      <c r="E76" s="131"/>
      <c r="F76" s="1"/>
      <c r="G76" s="1"/>
      <c r="H76" s="1"/>
      <c r="I76" s="131"/>
      <c r="J76" s="1"/>
    </row>
    <row r="77" spans="3:10" x14ac:dyDescent="0.25">
      <c r="C77" s="132"/>
      <c r="D77" s="1"/>
      <c r="E77" s="131"/>
      <c r="F77" s="1"/>
      <c r="G77" s="1"/>
      <c r="H77" s="1"/>
      <c r="I77" s="131"/>
      <c r="J77" s="1"/>
    </row>
    <row r="78" spans="3:10" x14ac:dyDescent="0.25">
      <c r="C78" s="132"/>
      <c r="D78" s="1"/>
      <c r="E78" s="131"/>
      <c r="F78" s="1"/>
      <c r="G78" s="1"/>
      <c r="H78" s="1"/>
      <c r="I78" s="131"/>
      <c r="J78" s="1"/>
    </row>
    <row r="79" spans="3:10" x14ac:dyDescent="0.25">
      <c r="C79" s="132"/>
      <c r="D79" s="1"/>
      <c r="E79" s="131"/>
      <c r="F79" s="1"/>
      <c r="G79" s="1"/>
      <c r="H79" s="1"/>
      <c r="I79" s="131"/>
      <c r="J79" s="1"/>
    </row>
    <row r="80" spans="3:10" ht="15.75" x14ac:dyDescent="0.25">
      <c r="C80" s="219" t="str">
        <f>INFORMACION!C25</f>
        <v>ING. EDGAR VILLEGAS PALLARES</v>
      </c>
      <c r="D80" s="219"/>
      <c r="E80" s="173"/>
      <c r="F80" s="725">
        <f>INFORMACION!C14</f>
        <v>0</v>
      </c>
      <c r="G80" s="725"/>
      <c r="H80" s="725"/>
      <c r="I80" s="725"/>
      <c r="J80" s="1"/>
    </row>
    <row r="81" spans="3:10" ht="15.75" x14ac:dyDescent="0.25">
      <c r="C81" s="220" t="str">
        <f>INFORMACION!C26</f>
        <v>MP 54202136467 NTS</v>
      </c>
      <c r="D81" s="220"/>
      <c r="E81" s="175"/>
      <c r="F81" s="716">
        <f>INFORMACION!C15</f>
        <v>0</v>
      </c>
      <c r="G81" s="716"/>
      <c r="H81" s="716"/>
      <c r="I81" s="716"/>
      <c r="J81" s="1"/>
    </row>
    <row r="82" spans="3:10" ht="15.75" x14ac:dyDescent="0.25">
      <c r="C82" s="132"/>
      <c r="D82" s="1"/>
      <c r="E82" s="173"/>
      <c r="F82" s="716" t="str">
        <f>INFORMACION!C16</f>
        <v>ARAUCA, ARAUCA</v>
      </c>
      <c r="G82" s="716"/>
      <c r="H82" s="716"/>
      <c r="I82" s="716"/>
      <c r="J82" s="1"/>
    </row>
    <row r="83" spans="3:10" ht="8.25" customHeight="1" x14ac:dyDescent="0.25"/>
  </sheetData>
  <mergeCells count="41">
    <mergeCell ref="C68:D68"/>
    <mergeCell ref="F82:I82"/>
    <mergeCell ref="F81:I81"/>
    <mergeCell ref="F23:I23"/>
    <mergeCell ref="F24:I24"/>
    <mergeCell ref="C72:J73"/>
    <mergeCell ref="F80:I80"/>
    <mergeCell ref="C58:D58"/>
    <mergeCell ref="C59:D59"/>
    <mergeCell ref="C60:D60"/>
    <mergeCell ref="C61:D61"/>
    <mergeCell ref="C62:D62"/>
    <mergeCell ref="C63:D63"/>
    <mergeCell ref="C64:D64"/>
    <mergeCell ref="C70:D70"/>
    <mergeCell ref="C69:D69"/>
    <mergeCell ref="C65:D65"/>
    <mergeCell ref="C66:D66"/>
    <mergeCell ref="C67:D67"/>
    <mergeCell ref="C11:D11"/>
    <mergeCell ref="C57:D57"/>
    <mergeCell ref="C55:J55"/>
    <mergeCell ref="F11:J11"/>
    <mergeCell ref="F12:I12"/>
    <mergeCell ref="F13:I13"/>
    <mergeCell ref="F14:I14"/>
    <mergeCell ref="F15:I15"/>
    <mergeCell ref="F16:I16"/>
    <mergeCell ref="F18:I18"/>
    <mergeCell ref="F19:I19"/>
    <mergeCell ref="F21:I21"/>
    <mergeCell ref="F17:I17"/>
    <mergeCell ref="C2:G2"/>
    <mergeCell ref="D3:I3"/>
    <mergeCell ref="H2:I2"/>
    <mergeCell ref="F20:I20"/>
    <mergeCell ref="F22:I22"/>
    <mergeCell ref="H4:J4"/>
    <mergeCell ref="C6:J6"/>
    <mergeCell ref="D4:F4"/>
    <mergeCell ref="J2:J3"/>
  </mergeCells>
  <conditionalFormatting sqref="C2 D3">
    <cfRule type="cellIs" dxfId="0" priority="1" stopIfTrue="1" operator="equal">
      <formula>"ESCRIBA AQUÍ EL NOMBRE DE LA OBRA"</formula>
    </cfRule>
  </conditionalFormatting>
  <pageMargins left="0.7" right="0.7" top="0.75" bottom="0.75" header="0.3" footer="0.3"/>
  <pageSetup scale="57" fitToHeight="0" orientation="portrait" r:id="rId1"/>
  <ignoredErrors>
    <ignoredError sqref="D3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A49A-E779-4DB5-AFF7-7CEEA999F09F}">
  <sheetPr>
    <pageSetUpPr fitToPage="1"/>
  </sheetPr>
  <dimension ref="B1:K67"/>
  <sheetViews>
    <sheetView view="pageBreakPreview" topLeftCell="C1" zoomScale="85" zoomScaleNormal="100" zoomScaleSheetLayoutView="85" workbookViewId="0">
      <selection activeCell="H35" sqref="H35"/>
    </sheetView>
  </sheetViews>
  <sheetFormatPr baseColWidth="10" defaultColWidth="11.42578125" defaultRowHeight="15" x14ac:dyDescent="0.25"/>
  <cols>
    <col min="1" max="1" width="1.42578125" customWidth="1"/>
    <col min="2" max="2" width="11.85546875" customWidth="1"/>
    <col min="3" max="4" width="38.5703125" customWidth="1"/>
    <col min="5" max="5" width="19.42578125" bestFit="1" customWidth="1"/>
    <col min="6" max="6" width="3.85546875" customWidth="1"/>
    <col min="7" max="7" width="5.5703125" bestFit="1" customWidth="1"/>
    <col min="8" max="8" width="23" bestFit="1" customWidth="1"/>
    <col min="9" max="9" width="24.140625" bestFit="1" customWidth="1"/>
    <col min="10" max="10" width="1.42578125" customWidth="1"/>
    <col min="11" max="11" width="12.5703125" bestFit="1" customWidth="1"/>
  </cols>
  <sheetData>
    <row r="1" spans="2:9" ht="15.75" thickBot="1" x14ac:dyDescent="0.3"/>
    <row r="2" spans="2:9" x14ac:dyDescent="0.25">
      <c r="B2" s="454" t="s">
        <v>591</v>
      </c>
      <c r="C2" s="456"/>
      <c r="D2" s="456"/>
      <c r="E2" s="456"/>
      <c r="F2" s="456"/>
      <c r="G2" s="774"/>
      <c r="H2" s="775"/>
      <c r="I2" s="776"/>
    </row>
    <row r="3" spans="2:9" ht="48" customHeight="1" x14ac:dyDescent="0.25">
      <c r="B3" s="301" t="s">
        <v>25</v>
      </c>
      <c r="C3" s="781" t="str">
        <f>INFORMACION!$A$3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D3" s="781"/>
      <c r="E3" s="781"/>
      <c r="F3" s="781"/>
      <c r="G3" s="782"/>
      <c r="H3" s="777"/>
      <c r="I3" s="778"/>
    </row>
    <row r="4" spans="2:9" ht="15" customHeight="1" x14ac:dyDescent="0.25">
      <c r="B4" s="783" t="s">
        <v>126</v>
      </c>
      <c r="C4" s="755"/>
      <c r="D4" s="784">
        <f>INFORMACION!A12</f>
        <v>0</v>
      </c>
      <c r="E4" s="784"/>
      <c r="F4" s="784"/>
      <c r="G4" s="784"/>
      <c r="H4" s="777"/>
      <c r="I4" s="778"/>
    </row>
    <row r="5" spans="2:9" x14ac:dyDescent="0.25">
      <c r="B5" s="302" t="s">
        <v>592</v>
      </c>
      <c r="C5" s="785" t="s">
        <v>593</v>
      </c>
      <c r="D5" s="784"/>
      <c r="E5" s="784"/>
      <c r="F5" s="784"/>
      <c r="G5" s="786"/>
      <c r="H5" s="779"/>
      <c r="I5" s="780"/>
    </row>
    <row r="6" spans="2:9" x14ac:dyDescent="0.25">
      <c r="B6" s="787" t="str">
        <f>PPTO!C4</f>
        <v>LOCALIZACION: ARAUCA, ARAUCA</v>
      </c>
      <c r="C6" s="784"/>
      <c r="D6" s="786"/>
      <c r="E6" s="785" t="s">
        <v>31</v>
      </c>
      <c r="F6" s="784"/>
      <c r="G6" s="786"/>
      <c r="H6" s="788" t="str">
        <f>PPTO!H4</f>
        <v>MARZO DE 2025</v>
      </c>
      <c r="I6" s="789"/>
    </row>
    <row r="7" spans="2:9" ht="15.75" thickBot="1" x14ac:dyDescent="0.3">
      <c r="B7" s="733"/>
      <c r="C7" s="734"/>
      <c r="D7" s="734"/>
      <c r="E7" s="734"/>
      <c r="F7" s="734"/>
      <c r="G7" s="734"/>
      <c r="H7" s="734"/>
      <c r="I7" s="735"/>
    </row>
    <row r="8" spans="2:9" ht="15.75" thickBot="1" x14ac:dyDescent="0.3">
      <c r="B8" s="303"/>
      <c r="C8" s="304"/>
      <c r="D8" s="304"/>
      <c r="E8" s="790" t="s">
        <v>85</v>
      </c>
      <c r="F8" s="790"/>
      <c r="G8" s="790"/>
      <c r="H8" s="790"/>
      <c r="I8" s="305">
        <f>+PPTO!H139</f>
        <v>770230593</v>
      </c>
    </row>
    <row r="9" spans="2:9" x14ac:dyDescent="0.25">
      <c r="B9" s="306"/>
      <c r="C9" s="307" t="s">
        <v>138</v>
      </c>
      <c r="D9" s="308">
        <f>I58</f>
        <v>0.15189999999999998</v>
      </c>
      <c r="E9" s="760" t="s">
        <v>594</v>
      </c>
      <c r="F9" s="761"/>
      <c r="G9" s="761"/>
      <c r="H9" s="761"/>
      <c r="I9" s="309">
        <f>+PPTO!H140</f>
        <v>116998027</v>
      </c>
    </row>
    <row r="10" spans="2:9" x14ac:dyDescent="0.25">
      <c r="B10" s="306"/>
      <c r="C10" s="310" t="s">
        <v>19</v>
      </c>
      <c r="D10" s="311">
        <v>0.03</v>
      </c>
      <c r="E10" s="760" t="s">
        <v>595</v>
      </c>
      <c r="F10" s="761"/>
      <c r="G10" s="761"/>
      <c r="H10" s="761"/>
      <c r="I10" s="309">
        <f>+PPTO!H141</f>
        <v>23106918</v>
      </c>
    </row>
    <row r="11" spans="2:9" ht="15.75" thickBot="1" x14ac:dyDescent="0.3">
      <c r="B11" s="312"/>
      <c r="C11" s="313" t="s">
        <v>139</v>
      </c>
      <c r="D11" s="314">
        <v>0.05</v>
      </c>
      <c r="E11" s="760" t="s">
        <v>596</v>
      </c>
      <c r="F11" s="761"/>
      <c r="G11" s="761"/>
      <c r="H11" s="761"/>
      <c r="I11" s="309">
        <f>+PPTO!H142</f>
        <v>38511530</v>
      </c>
    </row>
    <row r="12" spans="2:9" x14ac:dyDescent="0.25">
      <c r="B12" s="312"/>
      <c r="C12" s="35"/>
      <c r="D12" s="35"/>
      <c r="E12" s="761" t="s">
        <v>23</v>
      </c>
      <c r="F12" s="761"/>
      <c r="G12" s="761"/>
      <c r="H12" s="761"/>
      <c r="I12" s="309">
        <f>+PPTO!H146</f>
        <v>956164259</v>
      </c>
    </row>
    <row r="13" spans="2:9" x14ac:dyDescent="0.25">
      <c r="B13" s="306"/>
      <c r="C13" s="35"/>
      <c r="D13" s="35"/>
      <c r="E13" s="761" t="s">
        <v>597</v>
      </c>
      <c r="F13" s="761"/>
      <c r="G13" s="761"/>
      <c r="H13" s="761"/>
      <c r="I13" s="309" t="e">
        <f>+PPTO!#REF!</f>
        <v>#REF!</v>
      </c>
    </row>
    <row r="14" spans="2:9" x14ac:dyDescent="0.25">
      <c r="B14" s="306"/>
      <c r="C14" s="35"/>
      <c r="D14" s="35"/>
      <c r="E14" s="761" t="s">
        <v>597</v>
      </c>
      <c r="F14" s="761"/>
      <c r="G14" s="761"/>
      <c r="H14" s="761"/>
      <c r="I14" s="309">
        <f>+PPTO!H143</f>
        <v>7317191</v>
      </c>
    </row>
    <row r="15" spans="2:9" ht="15.75" thickBot="1" x14ac:dyDescent="0.3">
      <c r="B15" s="315"/>
      <c r="C15" s="35"/>
      <c r="D15" s="35"/>
      <c r="E15" s="762" t="s">
        <v>598</v>
      </c>
      <c r="F15" s="762"/>
      <c r="G15" s="762"/>
      <c r="H15" s="762"/>
      <c r="I15" s="309" t="e">
        <f>+PPTO!#REF!</f>
        <v>#REF!</v>
      </c>
    </row>
    <row r="16" spans="2:9" ht="15.75" thickBot="1" x14ac:dyDescent="0.3">
      <c r="B16" s="742"/>
      <c r="C16" s="743"/>
      <c r="D16" s="743"/>
      <c r="E16" s="743"/>
      <c r="F16" s="743"/>
      <c r="G16" s="743"/>
      <c r="H16" s="743"/>
      <c r="I16" s="744"/>
    </row>
    <row r="17" spans="2:11" x14ac:dyDescent="0.25">
      <c r="B17" s="763" t="s">
        <v>599</v>
      </c>
      <c r="C17" s="764"/>
      <c r="D17" s="764"/>
      <c r="E17" s="764"/>
      <c r="F17" s="764"/>
      <c r="G17" s="764"/>
      <c r="H17" s="764"/>
      <c r="I17" s="765"/>
    </row>
    <row r="18" spans="2:11" ht="15.75" thickBot="1" x14ac:dyDescent="0.3">
      <c r="B18" s="766"/>
      <c r="C18" s="767"/>
      <c r="D18" s="767"/>
      <c r="E18" s="767"/>
      <c r="F18" s="767"/>
      <c r="G18" s="767"/>
      <c r="H18" s="767"/>
      <c r="I18" s="768"/>
    </row>
    <row r="19" spans="2:11" x14ac:dyDescent="0.25">
      <c r="B19" s="316" t="s">
        <v>600</v>
      </c>
      <c r="C19" s="736" t="s">
        <v>601</v>
      </c>
      <c r="D19" s="736"/>
      <c r="E19" s="736"/>
      <c r="F19" s="736"/>
      <c r="G19" s="736"/>
      <c r="H19" s="736"/>
      <c r="I19" s="317">
        <f>SUM(I20:I47)</f>
        <v>5.5499999999999994E-2</v>
      </c>
    </row>
    <row r="20" spans="2:11" x14ac:dyDescent="0.25">
      <c r="B20" s="318"/>
      <c r="C20" s="769" t="s">
        <v>602</v>
      </c>
      <c r="D20" s="770"/>
      <c r="E20" s="770"/>
      <c r="F20" s="770"/>
      <c r="G20" s="770"/>
      <c r="H20" s="770"/>
      <c r="I20" s="771"/>
    </row>
    <row r="21" spans="2:11" x14ac:dyDescent="0.25">
      <c r="B21" s="319"/>
      <c r="C21" s="772" t="s">
        <v>603</v>
      </c>
      <c r="D21" s="772"/>
      <c r="E21" s="772"/>
      <c r="F21" s="772"/>
      <c r="G21" s="772"/>
      <c r="H21" s="772"/>
      <c r="I21" s="773"/>
    </row>
    <row r="22" spans="2:11" x14ac:dyDescent="0.25">
      <c r="B22" s="319">
        <v>1</v>
      </c>
      <c r="C22" s="752" t="s">
        <v>205</v>
      </c>
      <c r="D22" s="753"/>
      <c r="E22" s="320">
        <f>'DESGLOCE DE PERSONAL'!H58</f>
        <v>7101414.4500000011</v>
      </c>
      <c r="F22" s="321">
        <f>INFORMACION!A22</f>
        <v>3</v>
      </c>
      <c r="G22" s="322">
        <v>0.5</v>
      </c>
      <c r="H22" s="323">
        <f>ROUND(E22*F22*G22,0)*B22</f>
        <v>10652122</v>
      </c>
      <c r="I22" s="324">
        <f>ROUND(((H22*100%)/$I$8),4)</f>
        <v>1.38E-2</v>
      </c>
      <c r="K22" s="325"/>
    </row>
    <row r="23" spans="2:11" x14ac:dyDescent="0.25">
      <c r="B23" s="319">
        <v>1</v>
      </c>
      <c r="C23" s="752" t="s">
        <v>206</v>
      </c>
      <c r="D23" s="753" t="s">
        <v>604</v>
      </c>
      <c r="E23" s="320">
        <f>'DESGLOCE DE PERSONAL'!H59</f>
        <v>5207703.9300000016</v>
      </c>
      <c r="F23" s="39">
        <f>+$F$22</f>
        <v>3</v>
      </c>
      <c r="G23" s="322">
        <v>0.5</v>
      </c>
      <c r="H23" s="323">
        <f>ROUND(E23*F23*G23,0)*B23</f>
        <v>7811556</v>
      </c>
      <c r="I23" s="324">
        <f t="shared" ref="I23:I40" si="0">ROUND(((H23*100%)/$I$8),4)</f>
        <v>1.01E-2</v>
      </c>
    </row>
    <row r="24" spans="2:11" x14ac:dyDescent="0.25">
      <c r="B24" s="319">
        <v>1</v>
      </c>
      <c r="C24" s="752" t="s">
        <v>605</v>
      </c>
      <c r="D24" s="753" t="s">
        <v>604</v>
      </c>
      <c r="E24" s="320">
        <f>'DESGLOCE DE PERSONAL'!H60</f>
        <v>4260848.67</v>
      </c>
      <c r="F24" s="39">
        <f>+$F$22</f>
        <v>3</v>
      </c>
      <c r="G24" s="322">
        <v>1</v>
      </c>
      <c r="H24" s="323">
        <f>ROUND(E24*F24*G24,0)*B24</f>
        <v>12782546</v>
      </c>
      <c r="I24" s="324">
        <f t="shared" si="0"/>
        <v>1.66E-2</v>
      </c>
    </row>
    <row r="25" spans="2:11" hidden="1" x14ac:dyDescent="0.25">
      <c r="B25" s="319">
        <v>0</v>
      </c>
      <c r="C25" s="757" t="s">
        <v>209</v>
      </c>
      <c r="D25" s="758"/>
      <c r="E25" s="320">
        <f>'DESGLOCE DE PERSONAL'!H65</f>
        <v>4260848.67</v>
      </c>
      <c r="F25" s="39">
        <f t="shared" ref="F25:F31" si="1">+$F$22</f>
        <v>3</v>
      </c>
      <c r="G25" s="322">
        <v>1</v>
      </c>
      <c r="H25" s="323">
        <f t="shared" ref="H25:H31" si="2">ROUND(E25*F25*G25,0)*B25</f>
        <v>0</v>
      </c>
      <c r="I25" s="324">
        <f t="shared" si="0"/>
        <v>0</v>
      </c>
    </row>
    <row r="26" spans="2:11" hidden="1" x14ac:dyDescent="0.25">
      <c r="B26" s="319">
        <v>0</v>
      </c>
      <c r="C26" s="757" t="s">
        <v>627</v>
      </c>
      <c r="D26" s="758"/>
      <c r="E26" s="320">
        <f>'DESGLOCE DE PERSONAL'!H62</f>
        <v>5820150</v>
      </c>
      <c r="F26" s="39">
        <f t="shared" si="1"/>
        <v>3</v>
      </c>
      <c r="G26" s="322">
        <v>0.5</v>
      </c>
      <c r="H26" s="323">
        <f>ROUND(E26*F26*G26,0)*B26</f>
        <v>0</v>
      </c>
      <c r="I26" s="324">
        <f t="shared" si="0"/>
        <v>0</v>
      </c>
    </row>
    <row r="27" spans="2:11" hidden="1" x14ac:dyDescent="0.25">
      <c r="B27" s="319">
        <v>0</v>
      </c>
      <c r="C27" s="757" t="s">
        <v>519</v>
      </c>
      <c r="D27" s="758"/>
      <c r="E27" s="320">
        <f>'DESGLOCE DE PERSONAL'!H64</f>
        <v>7101414.4500000011</v>
      </c>
      <c r="F27" s="321">
        <f>+$F$22</f>
        <v>3</v>
      </c>
      <c r="G27" s="322">
        <v>0.5</v>
      </c>
      <c r="H27" s="323">
        <f t="shared" ref="H27" si="3">ROUND(E27*F27*G27,0)*B27</f>
        <v>0</v>
      </c>
      <c r="I27" s="324">
        <f t="shared" si="0"/>
        <v>0</v>
      </c>
    </row>
    <row r="28" spans="2:11" hidden="1" x14ac:dyDescent="0.25">
      <c r="B28" s="319">
        <v>0</v>
      </c>
      <c r="C28" s="757" t="s">
        <v>212</v>
      </c>
      <c r="D28" s="758"/>
      <c r="E28" s="320">
        <f>'DESGLOCE DE PERSONAL'!H68</f>
        <v>3843450</v>
      </c>
      <c r="F28" s="39">
        <f t="shared" si="1"/>
        <v>3</v>
      </c>
      <c r="G28" s="322">
        <v>1</v>
      </c>
      <c r="H28" s="323">
        <f t="shared" si="2"/>
        <v>0</v>
      </c>
      <c r="I28" s="324">
        <f t="shared" si="0"/>
        <v>0</v>
      </c>
    </row>
    <row r="29" spans="2:11" hidden="1" x14ac:dyDescent="0.25">
      <c r="B29" s="319">
        <v>0</v>
      </c>
      <c r="C29" s="757" t="s">
        <v>211</v>
      </c>
      <c r="D29" s="758"/>
      <c r="E29" s="320">
        <f>'DESGLOCE DE PERSONAL'!H67</f>
        <v>4612140</v>
      </c>
      <c r="F29" s="39">
        <f t="shared" si="1"/>
        <v>3</v>
      </c>
      <c r="G29" s="322">
        <v>0.25</v>
      </c>
      <c r="H29" s="323">
        <f t="shared" si="2"/>
        <v>0</v>
      </c>
      <c r="I29" s="324">
        <f t="shared" si="0"/>
        <v>0</v>
      </c>
    </row>
    <row r="30" spans="2:11" x14ac:dyDescent="0.25">
      <c r="B30" s="319">
        <v>1</v>
      </c>
      <c r="C30" s="757" t="s">
        <v>210</v>
      </c>
      <c r="D30" s="758"/>
      <c r="E30" s="320">
        <f>'DESGLOCE DE PERSONAL'!H66</f>
        <v>4099680.0000000005</v>
      </c>
      <c r="F30" s="39">
        <f t="shared" si="1"/>
        <v>3</v>
      </c>
      <c r="G30" s="322">
        <v>0.5</v>
      </c>
      <c r="H30" s="323">
        <f t="shared" si="2"/>
        <v>6149520</v>
      </c>
      <c r="I30" s="324">
        <f t="shared" si="0"/>
        <v>8.0000000000000002E-3</v>
      </c>
    </row>
    <row r="31" spans="2:11" hidden="1" x14ac:dyDescent="0.25">
      <c r="B31" s="319">
        <v>0</v>
      </c>
      <c r="C31" s="751" t="s">
        <v>213</v>
      </c>
      <c r="D31" s="751"/>
      <c r="E31" s="320">
        <f>'DESGLOCE DE PERSONAL'!H69</f>
        <v>3330990</v>
      </c>
      <c r="F31" s="39">
        <f t="shared" si="1"/>
        <v>3</v>
      </c>
      <c r="G31" s="322">
        <v>1</v>
      </c>
      <c r="H31" s="323">
        <f t="shared" si="2"/>
        <v>0</v>
      </c>
      <c r="I31" s="324">
        <f t="shared" si="0"/>
        <v>0</v>
      </c>
    </row>
    <row r="32" spans="2:11" x14ac:dyDescent="0.25">
      <c r="B32" s="319"/>
      <c r="C32" s="754" t="s">
        <v>606</v>
      </c>
      <c r="D32" s="755"/>
      <c r="E32" s="755"/>
      <c r="F32" s="755"/>
      <c r="G32" s="759"/>
      <c r="H32" s="326"/>
      <c r="I32" s="324"/>
    </row>
    <row r="33" spans="2:9" hidden="1" x14ac:dyDescent="0.25">
      <c r="B33" s="319">
        <v>0</v>
      </c>
      <c r="C33" s="752" t="s">
        <v>607</v>
      </c>
      <c r="D33" s="753"/>
      <c r="E33" s="320">
        <v>2500000</v>
      </c>
      <c r="F33" s="39">
        <f t="shared" ref="F33:F38" si="4">+$F$22</f>
        <v>3</v>
      </c>
      <c r="G33" s="322"/>
      <c r="H33" s="323">
        <f>+E33*F33*B33</f>
        <v>0</v>
      </c>
      <c r="I33" s="324">
        <f>ROUND(((H33*100%)/$I$8),4)</f>
        <v>0</v>
      </c>
    </row>
    <row r="34" spans="2:9" x14ac:dyDescent="0.25">
      <c r="B34" s="319">
        <v>1</v>
      </c>
      <c r="C34" s="752" t="s">
        <v>608</v>
      </c>
      <c r="D34" s="753"/>
      <c r="E34" s="320">
        <v>500000</v>
      </c>
      <c r="F34" s="39">
        <f t="shared" si="4"/>
        <v>3</v>
      </c>
      <c r="G34" s="322"/>
      <c r="H34" s="323">
        <f>+E34*F34*B34</f>
        <v>1500000</v>
      </c>
      <c r="I34" s="324">
        <f t="shared" si="0"/>
        <v>1.9E-3</v>
      </c>
    </row>
    <row r="35" spans="2:9" ht="49.5" customHeight="1" x14ac:dyDescent="0.25">
      <c r="B35" s="319">
        <v>1</v>
      </c>
      <c r="C35" s="752" t="s">
        <v>609</v>
      </c>
      <c r="D35" s="753"/>
      <c r="E35" s="320">
        <v>500000</v>
      </c>
      <c r="F35" s="39">
        <f t="shared" si="4"/>
        <v>3</v>
      </c>
      <c r="G35" s="322"/>
      <c r="H35" s="323">
        <f t="shared" ref="H35:H38" si="5">+E35*F35*B35</f>
        <v>1500000</v>
      </c>
      <c r="I35" s="324">
        <f>ROUND(((H35*100%)/$I$8),4)</f>
        <v>1.9E-3</v>
      </c>
    </row>
    <row r="36" spans="2:9" hidden="1" x14ac:dyDescent="0.25">
      <c r="B36" s="319">
        <v>0</v>
      </c>
      <c r="C36" s="752" t="s">
        <v>610</v>
      </c>
      <c r="D36" s="753"/>
      <c r="E36" s="320">
        <v>350000</v>
      </c>
      <c r="F36" s="39">
        <f t="shared" si="4"/>
        <v>3</v>
      </c>
      <c r="G36" s="322"/>
      <c r="H36" s="323">
        <f t="shared" si="5"/>
        <v>0</v>
      </c>
      <c r="I36" s="324">
        <f>ROUND(((H36*100%)/$I$8),4)</f>
        <v>0</v>
      </c>
    </row>
    <row r="37" spans="2:9" hidden="1" x14ac:dyDescent="0.25">
      <c r="B37" s="319">
        <v>0</v>
      </c>
      <c r="C37" s="752" t="s">
        <v>611</v>
      </c>
      <c r="D37" s="753"/>
      <c r="E37" s="320">
        <v>300000</v>
      </c>
      <c r="F37" s="39">
        <f t="shared" si="4"/>
        <v>3</v>
      </c>
      <c r="G37" s="322"/>
      <c r="H37" s="323">
        <f t="shared" si="5"/>
        <v>0</v>
      </c>
      <c r="I37" s="324">
        <f t="shared" si="0"/>
        <v>0</v>
      </c>
    </row>
    <row r="38" spans="2:9" hidden="1" x14ac:dyDescent="0.25">
      <c r="B38" s="319">
        <v>0</v>
      </c>
      <c r="C38" s="752" t="s">
        <v>612</v>
      </c>
      <c r="D38" s="753"/>
      <c r="E38" s="320">
        <v>200000</v>
      </c>
      <c r="F38" s="39">
        <f t="shared" si="4"/>
        <v>3</v>
      </c>
      <c r="G38" s="322"/>
      <c r="H38" s="323">
        <f t="shared" si="5"/>
        <v>0</v>
      </c>
      <c r="I38" s="324">
        <f t="shared" si="0"/>
        <v>0</v>
      </c>
    </row>
    <row r="39" spans="2:9" ht="30.75" customHeight="1" x14ac:dyDescent="0.25">
      <c r="B39" s="319">
        <v>1</v>
      </c>
      <c r="C39" s="752" t="s">
        <v>613</v>
      </c>
      <c r="D39" s="753"/>
      <c r="E39" s="320">
        <v>60000</v>
      </c>
      <c r="F39" s="39">
        <v>3</v>
      </c>
      <c r="G39" s="322"/>
      <c r="H39" s="323">
        <f>+E39*F39*B39</f>
        <v>180000</v>
      </c>
      <c r="I39" s="324">
        <f t="shared" si="0"/>
        <v>2.0000000000000001E-4</v>
      </c>
    </row>
    <row r="40" spans="2:9" hidden="1" x14ac:dyDescent="0.25">
      <c r="B40" s="319">
        <v>0</v>
      </c>
      <c r="C40" s="752" t="s">
        <v>614</v>
      </c>
      <c r="D40" s="753"/>
      <c r="E40" s="320">
        <v>100000</v>
      </c>
      <c r="F40" s="39">
        <v>0</v>
      </c>
      <c r="G40" s="322"/>
      <c r="H40" s="323">
        <f>+E40*F40*B40</f>
        <v>0</v>
      </c>
      <c r="I40" s="324">
        <f t="shared" si="0"/>
        <v>0</v>
      </c>
    </row>
    <row r="41" spans="2:9" x14ac:dyDescent="0.25">
      <c r="B41" s="306"/>
      <c r="C41" s="754" t="s">
        <v>615</v>
      </c>
      <c r="D41" s="755"/>
      <c r="E41" s="755"/>
      <c r="F41" s="755"/>
      <c r="G41" s="755"/>
      <c r="H41" s="755"/>
      <c r="I41" s="756"/>
    </row>
    <row r="42" spans="2:9" hidden="1" x14ac:dyDescent="0.25">
      <c r="B42" s="319">
        <v>0</v>
      </c>
      <c r="C42" s="751" t="s">
        <v>616</v>
      </c>
      <c r="D42" s="751"/>
      <c r="E42" s="320">
        <v>2500000</v>
      </c>
      <c r="F42" s="39">
        <v>1</v>
      </c>
      <c r="G42" s="322"/>
      <c r="H42" s="323">
        <f>+E42*F42*B42</f>
        <v>0</v>
      </c>
      <c r="I42" s="324">
        <f>ROUND(((H42*100%)/$I$8),4)</f>
        <v>0</v>
      </c>
    </row>
    <row r="43" spans="2:9" hidden="1" x14ac:dyDescent="0.25">
      <c r="B43" s="319">
        <v>0</v>
      </c>
      <c r="C43" s="751" t="s">
        <v>617</v>
      </c>
      <c r="D43" s="751"/>
      <c r="E43" s="320">
        <v>600000</v>
      </c>
      <c r="F43" s="39">
        <f t="shared" ref="F43" si="6">+$F$22</f>
        <v>3</v>
      </c>
      <c r="G43" s="322"/>
      <c r="H43" s="323">
        <f>+E43*F43*B43</f>
        <v>0</v>
      </c>
      <c r="I43" s="324">
        <f t="shared" ref="I43:I44" si="7">ROUND(((H43*100%)/$I$8),4)</f>
        <v>0</v>
      </c>
    </row>
    <row r="44" spans="2:9" hidden="1" x14ac:dyDescent="0.25">
      <c r="B44" s="319">
        <v>0</v>
      </c>
      <c r="C44" s="751" t="s">
        <v>618</v>
      </c>
      <c r="D44" s="751"/>
      <c r="E44" s="320">
        <v>450000</v>
      </c>
      <c r="F44" s="39">
        <v>4</v>
      </c>
      <c r="G44" s="322"/>
      <c r="H44" s="323">
        <f>+E44*F44*B44</f>
        <v>0</v>
      </c>
      <c r="I44" s="324">
        <f t="shared" si="7"/>
        <v>0</v>
      </c>
    </row>
    <row r="45" spans="2:9" x14ac:dyDescent="0.25">
      <c r="B45" s="306"/>
      <c r="C45" s="754" t="s">
        <v>619</v>
      </c>
      <c r="D45" s="755"/>
      <c r="E45" s="755"/>
      <c r="F45" s="755"/>
      <c r="G45" s="755"/>
      <c r="H45" s="755"/>
      <c r="I45" s="756"/>
    </row>
    <row r="46" spans="2:9" hidden="1" x14ac:dyDescent="0.25">
      <c r="B46" s="319">
        <v>0</v>
      </c>
      <c r="C46" s="751" t="s">
        <v>619</v>
      </c>
      <c r="D46" s="751"/>
      <c r="E46" s="320">
        <v>770000</v>
      </c>
      <c r="F46" s="39">
        <f t="shared" ref="F46" si="8">+$F$22</f>
        <v>3</v>
      </c>
      <c r="G46" s="322"/>
      <c r="H46" s="323">
        <f>+E46*F46</f>
        <v>2310000</v>
      </c>
      <c r="I46" s="327">
        <f>ROUND(((H46*100%)/$I$8),4)</f>
        <v>3.0000000000000001E-3</v>
      </c>
    </row>
    <row r="47" spans="2:9" ht="15.75" thickBot="1" x14ac:dyDescent="0.3">
      <c r="B47" s="733"/>
      <c r="C47" s="734"/>
      <c r="D47" s="734"/>
      <c r="E47" s="734"/>
      <c r="F47" s="734"/>
      <c r="G47" s="734"/>
      <c r="H47" s="734"/>
      <c r="I47" s="735"/>
    </row>
    <row r="48" spans="2:9" x14ac:dyDescent="0.25">
      <c r="B48" s="316" t="s">
        <v>620</v>
      </c>
      <c r="C48" s="736" t="s">
        <v>621</v>
      </c>
      <c r="D48" s="736"/>
      <c r="E48" s="736"/>
      <c r="F48" s="736"/>
      <c r="G48" s="736"/>
      <c r="H48" s="736"/>
      <c r="I48" s="317">
        <f>SUM(I49:I54)</f>
        <v>8.6400000000000005E-2</v>
      </c>
    </row>
    <row r="49" spans="2:9" x14ac:dyDescent="0.25">
      <c r="B49" s="328">
        <v>1</v>
      </c>
      <c r="C49" s="749" t="s">
        <v>894</v>
      </c>
      <c r="D49" s="750"/>
      <c r="E49" s="750"/>
      <c r="F49" s="732">
        <v>0.02</v>
      </c>
      <c r="G49" s="732"/>
      <c r="H49" s="329">
        <f>(SUM($I$8))*F49</f>
        <v>15404611.859999999</v>
      </c>
      <c r="I49" s="327">
        <f t="shared" ref="I49:I52" si="9">ROUND(((H49*100%)/$I$8),4)</f>
        <v>0.02</v>
      </c>
    </row>
    <row r="50" spans="2:9" x14ac:dyDescent="0.25">
      <c r="B50" s="328">
        <v>1</v>
      </c>
      <c r="C50" s="749" t="s">
        <v>895</v>
      </c>
      <c r="D50" s="750"/>
      <c r="E50" s="750"/>
      <c r="F50" s="732">
        <v>0.01</v>
      </c>
      <c r="G50" s="732"/>
      <c r="H50" s="329">
        <f>(SUM($I$8))*F50</f>
        <v>7702305.9299999997</v>
      </c>
      <c r="I50" s="327">
        <f t="shared" si="9"/>
        <v>0.01</v>
      </c>
    </row>
    <row r="51" spans="2:9" x14ac:dyDescent="0.25">
      <c r="B51" s="328">
        <v>1</v>
      </c>
      <c r="C51" s="745" t="s">
        <v>896</v>
      </c>
      <c r="D51" s="746"/>
      <c r="E51" s="746"/>
      <c r="F51" s="732">
        <v>0.15</v>
      </c>
      <c r="G51" s="732"/>
      <c r="H51" s="329">
        <f>+I14*F51</f>
        <v>1097578.6499999999</v>
      </c>
      <c r="I51" s="327">
        <f t="shared" si="9"/>
        <v>1.4E-3</v>
      </c>
    </row>
    <row r="52" spans="2:9" x14ac:dyDescent="0.25">
      <c r="B52" s="328">
        <v>1</v>
      </c>
      <c r="C52" s="747" t="s">
        <v>622</v>
      </c>
      <c r="D52" s="748"/>
      <c r="E52" s="748"/>
      <c r="F52" s="732">
        <v>0.05</v>
      </c>
      <c r="G52" s="732"/>
      <c r="H52" s="329">
        <f>(SUM($I$8))*F52</f>
        <v>38511529.649999999</v>
      </c>
      <c r="I52" s="327">
        <f t="shared" si="9"/>
        <v>0.05</v>
      </c>
    </row>
    <row r="53" spans="2:9" x14ac:dyDescent="0.25">
      <c r="B53" s="310">
        <v>1</v>
      </c>
      <c r="C53" s="730" t="s">
        <v>623</v>
      </c>
      <c r="D53" s="731"/>
      <c r="E53" s="731"/>
      <c r="F53" s="732">
        <v>5.0000000000000001E-3</v>
      </c>
      <c r="G53" s="732"/>
      <c r="H53" s="329">
        <f>(SUM($I$8))*F53</f>
        <v>3851152.9649999999</v>
      </c>
      <c r="I53" s="327">
        <f>ROUND(((H53*100%)/$I$8),4)</f>
        <v>5.0000000000000001E-3</v>
      </c>
    </row>
    <row r="54" spans="2:9" ht="15.75" thickBot="1" x14ac:dyDescent="0.3">
      <c r="B54" s="733"/>
      <c r="C54" s="734"/>
      <c r="D54" s="734"/>
      <c r="E54" s="734"/>
      <c r="F54" s="734"/>
      <c r="G54" s="734"/>
      <c r="H54" s="734"/>
      <c r="I54" s="735"/>
    </row>
    <row r="55" spans="2:9" x14ac:dyDescent="0.25">
      <c r="B55" s="316" t="s">
        <v>624</v>
      </c>
      <c r="C55" s="736" t="s">
        <v>625</v>
      </c>
      <c r="D55" s="736"/>
      <c r="E55" s="736"/>
      <c r="F55" s="736"/>
      <c r="G55" s="736"/>
      <c r="H55" s="736"/>
      <c r="I55" s="317">
        <f>SUM(I56)</f>
        <v>0.01</v>
      </c>
    </row>
    <row r="56" spans="2:9" ht="15.75" thickBot="1" x14ac:dyDescent="0.3">
      <c r="B56" s="330"/>
      <c r="C56" s="737" t="s">
        <v>625</v>
      </c>
      <c r="D56" s="738"/>
      <c r="E56" s="739"/>
      <c r="F56" s="740">
        <v>0.01</v>
      </c>
      <c r="G56" s="741"/>
      <c r="H56" s="329">
        <f>$I$8*F56</f>
        <v>7702305.9299999997</v>
      </c>
      <c r="I56" s="327">
        <f t="shared" ref="I56" si="10">ROUND(((H56*100%)/$I$8),4)</f>
        <v>0.01</v>
      </c>
    </row>
    <row r="57" spans="2:9" ht="15.75" thickBot="1" x14ac:dyDescent="0.3">
      <c r="B57" s="742"/>
      <c r="C57" s="743"/>
      <c r="D57" s="743"/>
      <c r="E57" s="743"/>
      <c r="F57" s="743"/>
      <c r="G57" s="743"/>
      <c r="H57" s="743"/>
      <c r="I57" s="744"/>
    </row>
    <row r="58" spans="2:9" ht="15.75" thickBot="1" x14ac:dyDescent="0.3">
      <c r="B58" s="727" t="s">
        <v>626</v>
      </c>
      <c r="C58" s="728"/>
      <c r="D58" s="728"/>
      <c r="E58" s="728"/>
      <c r="F58" s="728"/>
      <c r="G58" s="728"/>
      <c r="H58" s="729"/>
      <c r="I58" s="331">
        <f>I55+I48+I19</f>
        <v>0.15189999999999998</v>
      </c>
    </row>
    <row r="60" spans="2:9" x14ac:dyDescent="0.25">
      <c r="B60" s="174" t="s">
        <v>124</v>
      </c>
      <c r="C60" s="1"/>
      <c r="D60" s="131"/>
      <c r="E60" s="223" t="s">
        <v>631</v>
      </c>
      <c r="F60" s="1"/>
      <c r="G60" s="1"/>
      <c r="H60" s="131"/>
    </row>
    <row r="61" spans="2:9" x14ac:dyDescent="0.25">
      <c r="B61" s="132"/>
      <c r="C61" s="1"/>
      <c r="D61" s="131"/>
      <c r="E61" s="1"/>
      <c r="F61" s="1"/>
      <c r="G61" s="1"/>
      <c r="H61" s="131"/>
    </row>
    <row r="62" spans="2:9" x14ac:dyDescent="0.25">
      <c r="B62" s="132"/>
      <c r="C62" s="1"/>
      <c r="D62" s="131"/>
      <c r="E62" s="1"/>
      <c r="F62" s="1"/>
      <c r="G62" s="1"/>
      <c r="H62" s="131"/>
    </row>
    <row r="63" spans="2:9" x14ac:dyDescent="0.25">
      <c r="B63" s="132"/>
      <c r="C63" s="1"/>
      <c r="D63" s="131"/>
      <c r="E63" s="1"/>
      <c r="F63" s="1"/>
      <c r="G63" s="1"/>
      <c r="H63" s="131"/>
    </row>
    <row r="64" spans="2:9" x14ac:dyDescent="0.25">
      <c r="B64" s="132"/>
      <c r="C64" s="1"/>
      <c r="D64" s="131"/>
      <c r="E64" s="1"/>
      <c r="F64" s="1"/>
      <c r="G64" s="1"/>
      <c r="H64" s="131"/>
    </row>
    <row r="65" spans="2:8" x14ac:dyDescent="0.25">
      <c r="B65" s="219" t="str">
        <f>INFORMACION!C25</f>
        <v>ING. EDGAR VILLEGAS PALLARES</v>
      </c>
      <c r="C65" s="219"/>
      <c r="D65" s="173"/>
      <c r="E65" s="219">
        <f>INFORMACION!$C$14</f>
        <v>0</v>
      </c>
      <c r="F65" s="219"/>
      <c r="G65" s="219"/>
      <c r="H65" s="219"/>
    </row>
    <row r="66" spans="2:8" x14ac:dyDescent="0.25">
      <c r="B66" s="220" t="str">
        <f>INFORMACION!C26</f>
        <v>MP 54202136467 NTS</v>
      </c>
      <c r="C66" s="220"/>
      <c r="D66" s="175"/>
      <c r="E66" s="220">
        <f>INFORMACION!$C$15</f>
        <v>0</v>
      </c>
      <c r="F66" s="220"/>
      <c r="G66" s="220"/>
      <c r="H66" s="220"/>
    </row>
    <row r="67" spans="2:8" x14ac:dyDescent="0.25">
      <c r="B67" s="132"/>
      <c r="C67" s="1"/>
      <c r="D67" s="173"/>
      <c r="E67" s="220" t="str">
        <f>INFORMACION!$C$16</f>
        <v>ARAUCA, ARAUCA</v>
      </c>
      <c r="F67" s="220"/>
      <c r="G67" s="220"/>
      <c r="H67" s="220"/>
    </row>
  </sheetData>
  <mergeCells count="66">
    <mergeCell ref="E9:H9"/>
    <mergeCell ref="B2:G2"/>
    <mergeCell ref="H2:I5"/>
    <mergeCell ref="C3:G3"/>
    <mergeCell ref="B4:C4"/>
    <mergeCell ref="D4:G4"/>
    <mergeCell ref="C5:G5"/>
    <mergeCell ref="B6:D6"/>
    <mergeCell ref="E6:G6"/>
    <mergeCell ref="H6:I6"/>
    <mergeCell ref="B7:I7"/>
    <mergeCell ref="E8:H8"/>
    <mergeCell ref="C22:D22"/>
    <mergeCell ref="E10:H10"/>
    <mergeCell ref="E11:H11"/>
    <mergeCell ref="E12:H12"/>
    <mergeCell ref="E13:H13"/>
    <mergeCell ref="E15:H15"/>
    <mergeCell ref="B16:I16"/>
    <mergeCell ref="B17:I18"/>
    <mergeCell ref="C19:H19"/>
    <mergeCell ref="C20:I20"/>
    <mergeCell ref="C21:I21"/>
    <mergeCell ref="E14:H14"/>
    <mergeCell ref="C34:D34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G32"/>
    <mergeCell ref="C33:D33"/>
    <mergeCell ref="C46:D46"/>
    <mergeCell ref="C35:D35"/>
    <mergeCell ref="C36:D36"/>
    <mergeCell ref="C37:D37"/>
    <mergeCell ref="C38:D38"/>
    <mergeCell ref="C39:D39"/>
    <mergeCell ref="C40:D40"/>
    <mergeCell ref="C41:I41"/>
    <mergeCell ref="C42:D42"/>
    <mergeCell ref="C43:D43"/>
    <mergeCell ref="C44:D44"/>
    <mergeCell ref="C45:I45"/>
    <mergeCell ref="C51:E51"/>
    <mergeCell ref="F51:G51"/>
    <mergeCell ref="C52:E52"/>
    <mergeCell ref="F52:G52"/>
    <mergeCell ref="B47:I47"/>
    <mergeCell ref="C48:H48"/>
    <mergeCell ref="C49:E49"/>
    <mergeCell ref="F49:G49"/>
    <mergeCell ref="C50:E50"/>
    <mergeCell ref="F50:G50"/>
    <mergeCell ref="B58:H58"/>
    <mergeCell ref="C53:E53"/>
    <mergeCell ref="F53:G53"/>
    <mergeCell ref="B54:I54"/>
    <mergeCell ref="C55:H55"/>
    <mergeCell ref="C56:E56"/>
    <mergeCell ref="F56:G56"/>
    <mergeCell ref="B57:I57"/>
  </mergeCells>
  <pageMargins left="0.7" right="0.7" top="0.75" bottom="0.75" header="0.3" footer="0.3"/>
  <pageSetup scale="5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"/>
  <sheetViews>
    <sheetView workbookViewId="0">
      <selection activeCell="N24" sqref="N24"/>
    </sheetView>
  </sheetViews>
  <sheetFormatPr baseColWidth="10" defaultRowHeight="15" x14ac:dyDescent="0.25"/>
  <cols>
    <col min="3" max="5" width="7" bestFit="1" customWidth="1"/>
    <col min="6" max="6" width="6" bestFit="1" customWidth="1"/>
    <col min="7" max="8" width="5" bestFit="1" customWidth="1"/>
    <col min="9" max="9" width="6" bestFit="1" customWidth="1"/>
    <col min="10" max="10" width="12" bestFit="1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INFORMACION</vt:lpstr>
      <vt:lpstr>RENDIMIENTO</vt:lpstr>
      <vt:lpstr>ITEMS</vt:lpstr>
      <vt:lpstr>PPTO</vt:lpstr>
      <vt:lpstr>APUS</vt:lpstr>
      <vt:lpstr>INSUMOS</vt:lpstr>
      <vt:lpstr>DESGLOCE DE PERSONAL</vt:lpstr>
      <vt:lpstr>AIU</vt:lpstr>
      <vt:lpstr>Hoja4</vt:lpstr>
      <vt:lpstr>AIU!Área_de_impresión</vt:lpstr>
      <vt:lpstr>APUS!Área_de_impresión</vt:lpstr>
      <vt:lpstr>'DESGLOCE DE PERSONAL'!Área_de_impresión</vt:lpstr>
      <vt:lpstr>INSUMOS!Área_de_impresión</vt:lpstr>
      <vt:lpstr>ITEMS!Área_de_impresión</vt:lpstr>
      <vt:lpstr>PPTO!Área_de_impresión</vt:lpstr>
      <vt:lpstr>APUS!Títulos_a_imprimir</vt:lpstr>
      <vt:lpstr>ITEMS!Títulos_a_imprimir</vt:lpstr>
      <vt:lpstr>PPTO!Títulos_a_imprimir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POWERCOM STORE</dc:creator>
  <cp:lastModifiedBy>Maria Fernanda Riveros Mogollon</cp:lastModifiedBy>
  <cp:lastPrinted>2022-10-03T15:17:33Z</cp:lastPrinted>
  <dcterms:created xsi:type="dcterms:W3CDTF">2020-04-26T13:51:27Z</dcterms:created>
  <dcterms:modified xsi:type="dcterms:W3CDTF">2026-07-23T20:08:12Z</dcterms:modified>
</cp:coreProperties>
</file>