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interventoria\estudio de mercado\"/>
    </mc:Choice>
  </mc:AlternateContent>
  <xr:revisionPtr revIDLastSave="0" documentId="13_ncr:2001_{E11455E4-B7C6-44A9-845D-732E273A73FB}" xr6:coauthVersionLast="47" xr6:coauthVersionMax="47" xr10:uidLastSave="{00000000-0000-0000-0000-000000000000}"/>
  <bookViews>
    <workbookView xWindow="3885" yWindow="3885" windowWidth="21600" windowHeight="11295" activeTab="1" xr2:uid="{EB9CA2AE-8BF3-4CA3-B4B0-7A9E98239AB8}"/>
  </bookViews>
  <sheets>
    <sheet name="Presupuesto " sheetId="10" r:id="rId1"/>
    <sheet name="Estudio de mercado 1" sheetId="7" r:id="rId2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10" l="1"/>
  <c r="Y14" i="10" s="1"/>
  <c r="U14" i="10"/>
  <c r="T14" i="10"/>
  <c r="AC14" i="10" s="1"/>
  <c r="AD14" i="10" s="1"/>
  <c r="AB12" i="10"/>
  <c r="V12" i="10"/>
  <c r="Y12" i="10" s="1"/>
  <c r="U12" i="10"/>
  <c r="T12" i="10"/>
  <c r="S12" i="10"/>
  <c r="N12" i="10"/>
  <c r="I12" i="10"/>
  <c r="AB11" i="10"/>
  <c r="V11" i="10"/>
  <c r="X11" i="10" s="1"/>
  <c r="U11" i="10"/>
  <c r="T11" i="10"/>
  <c r="S11" i="10"/>
  <c r="N11" i="10"/>
  <c r="I11" i="10"/>
  <c r="AB10" i="10"/>
  <c r="V10" i="10"/>
  <c r="W10" i="10" s="1"/>
  <c r="U10" i="10"/>
  <c r="T10" i="10"/>
  <c r="S10" i="10"/>
  <c r="N10" i="10"/>
  <c r="I10" i="10"/>
  <c r="AB9" i="10"/>
  <c r="Y9" i="10"/>
  <c r="X9" i="10"/>
  <c r="V9" i="10"/>
  <c r="W9" i="10" s="1"/>
  <c r="U9" i="10"/>
  <c r="T9" i="10"/>
  <c r="S9" i="10"/>
  <c r="N9" i="10"/>
  <c r="I9" i="10"/>
  <c r="AB8" i="10"/>
  <c r="V8" i="10"/>
  <c r="Y8" i="10" s="1"/>
  <c r="U8" i="10"/>
  <c r="T8" i="10"/>
  <c r="AC8" i="10" s="1"/>
  <c r="S8" i="10"/>
  <c r="N8" i="10"/>
  <c r="I8" i="10"/>
  <c r="AB7" i="10"/>
  <c r="V7" i="10"/>
  <c r="Y7" i="10" s="1"/>
  <c r="U7" i="10"/>
  <c r="T7" i="10"/>
  <c r="S7" i="10"/>
  <c r="N7" i="10"/>
  <c r="I7" i="10"/>
  <c r="AB6" i="10"/>
  <c r="V6" i="10"/>
  <c r="Y6" i="10" s="1"/>
  <c r="U6" i="10"/>
  <c r="T6" i="10"/>
  <c r="AC6" i="10" s="1"/>
  <c r="S6" i="10"/>
  <c r="N6" i="10"/>
  <c r="I6" i="10"/>
  <c r="AD5" i="7"/>
  <c r="S6" i="7"/>
  <c r="S8" i="7"/>
  <c r="V11" i="7"/>
  <c r="V12" i="7"/>
  <c r="I6" i="7"/>
  <c r="AD8" i="10" l="1"/>
  <c r="AC11" i="10"/>
  <c r="AD11" i="10"/>
  <c r="AC9" i="10"/>
  <c r="AC12" i="10"/>
  <c r="AD12" i="10" s="1"/>
  <c r="AC7" i="10"/>
  <c r="AD7" i="10" s="1"/>
  <c r="AC10" i="10"/>
  <c r="AD10" i="10" s="1"/>
  <c r="AD9" i="10"/>
  <c r="AD6" i="10"/>
  <c r="Y11" i="10"/>
  <c r="W8" i="10"/>
  <c r="X10" i="10"/>
  <c r="Y10" i="10"/>
  <c r="W12" i="10"/>
  <c r="W7" i="10"/>
  <c r="X7" i="10"/>
  <c r="X12" i="10"/>
  <c r="W6" i="10"/>
  <c r="W11" i="10"/>
  <c r="X6" i="10"/>
  <c r="W14" i="10"/>
  <c r="X14" i="10"/>
  <c r="X8" i="10"/>
  <c r="AD14" i="7"/>
  <c r="V14" i="7"/>
  <c r="X14" i="7" s="1"/>
  <c r="U14" i="7"/>
  <c r="T14" i="7"/>
  <c r="AC14" i="7" s="1"/>
  <c r="AD16" i="10" l="1"/>
  <c r="AD5" i="10"/>
  <c r="W14" i="7"/>
  <c r="Y14" i="7"/>
  <c r="AD17" i="10" l="1"/>
  <c r="AD18" i="10" s="1"/>
  <c r="AB7" i="7" l="1"/>
  <c r="AB8" i="7"/>
  <c r="AB9" i="7"/>
  <c r="AB10" i="7"/>
  <c r="AB11" i="7"/>
  <c r="AB12" i="7"/>
  <c r="AB6" i="7"/>
  <c r="U11" i="7"/>
  <c r="V10" i="7"/>
  <c r="W10" i="7" s="1"/>
  <c r="V9" i="7"/>
  <c r="V8" i="7"/>
  <c r="X8" i="7" s="1"/>
  <c r="T7" i="7"/>
  <c r="T12" i="7" l="1"/>
  <c r="W12" i="7"/>
  <c r="U12" i="7"/>
  <c r="S7" i="7"/>
  <c r="T11" i="7"/>
  <c r="AC11" i="7" s="1"/>
  <c r="AD11" i="7" s="1"/>
  <c r="U8" i="7"/>
  <c r="T8" i="7"/>
  <c r="T6" i="7"/>
  <c r="W8" i="7"/>
  <c r="U6" i="7"/>
  <c r="Y10" i="7"/>
  <c r="V6" i="7"/>
  <c r="W6" i="7" s="1"/>
  <c r="S9" i="7"/>
  <c r="Y11" i="7"/>
  <c r="V7" i="7"/>
  <c r="Y7" i="7" s="1"/>
  <c r="U10" i="7"/>
  <c r="X9" i="7"/>
  <c r="W9" i="7"/>
  <c r="U9" i="7"/>
  <c r="U7" i="7"/>
  <c r="AC7" i="7" s="1"/>
  <c r="AD7" i="7" s="1"/>
  <c r="T10" i="7"/>
  <c r="Y9" i="7"/>
  <c r="S12" i="7"/>
  <c r="S11" i="7"/>
  <c r="T9" i="7"/>
  <c r="S10" i="7"/>
  <c r="X10" i="7"/>
  <c r="Y8" i="7"/>
  <c r="Y12" i="7" l="1"/>
  <c r="AC12" i="7"/>
  <c r="AD12" i="7" s="1"/>
  <c r="W7" i="7"/>
  <c r="X11" i="7"/>
  <c r="X7" i="7"/>
  <c r="W11" i="7"/>
  <c r="X6" i="7"/>
  <c r="AC8" i="7"/>
  <c r="AD8" i="7" s="1"/>
  <c r="AC6" i="7"/>
  <c r="AD6" i="7" s="1"/>
  <c r="Y6" i="7"/>
  <c r="X12" i="7"/>
  <c r="AC9" i="7"/>
  <c r="AD9" i="7" s="1"/>
  <c r="AC10" i="7"/>
  <c r="AD10" i="7" s="1"/>
  <c r="AD16" i="7" l="1"/>
  <c r="AD17" i="7" s="1"/>
  <c r="N7" i="7"/>
  <c r="N8" i="7"/>
  <c r="N9" i="7"/>
  <c r="N10" i="7"/>
  <c r="N11" i="7"/>
  <c r="N12" i="7"/>
  <c r="N6" i="7"/>
  <c r="I7" i="7" l="1"/>
  <c r="I8" i="7"/>
  <c r="I9" i="7"/>
  <c r="I10" i="7"/>
  <c r="I11" i="7"/>
  <c r="I12" i="7"/>
  <c r="AD18" i="7" l="1"/>
</calcChain>
</file>

<file path=xl/sharedStrings.xml><?xml version="1.0" encoding="utf-8"?>
<sst xmlns="http://schemas.openxmlformats.org/spreadsheetml/2006/main" count="117" uniqueCount="41">
  <si>
    <t xml:space="preserve">Nº </t>
  </si>
  <si>
    <t>DESCRIPCION</t>
  </si>
  <si>
    <t>CANT</t>
  </si>
  <si>
    <t>PROMEDIO</t>
  </si>
  <si>
    <t>MEDIANA</t>
  </si>
  <si>
    <t>PORCENTAJE DE DEDICACION</t>
  </si>
  <si>
    <t>TIEMPO EN DIAS</t>
  </si>
  <si>
    <t>FACTOR MULTIPLICADOR</t>
  </si>
  <si>
    <t>VALOR UNITARIO ESTIMADO</t>
  </si>
  <si>
    <t>VALOR PARCIAL</t>
  </si>
  <si>
    <t>COSTOS DIRECTOS</t>
  </si>
  <si>
    <t xml:space="preserve">SALARIO </t>
  </si>
  <si>
    <t xml:space="preserve">VALOR TOTAL </t>
  </si>
  <si>
    <t>DESV</t>
  </si>
  <si>
    <t>PERSONAL BASE</t>
  </si>
  <si>
    <t>SCEA</t>
  </si>
  <si>
    <t>DIRECTOR DE INTERVENTORIA</t>
  </si>
  <si>
    <t xml:space="preserve">INSPECTOR TECNICO DE OBRA </t>
  </si>
  <si>
    <t>ENSAYOS Y LABORATORIOS</t>
  </si>
  <si>
    <t>UNIDAD</t>
  </si>
  <si>
    <t xml:space="preserve"> VALOR ENSAYOS Y LABORATORIOS</t>
  </si>
  <si>
    <t>ENSAYOS, ESTUDIOS Y LABORATORIOS</t>
  </si>
  <si>
    <t>GLB</t>
  </si>
  <si>
    <t>SUBTOTAL</t>
  </si>
  <si>
    <t xml:space="preserve">IVA </t>
  </si>
  <si>
    <t>TOTAL</t>
  </si>
  <si>
    <t>ANALISIS DE VALORES ATIPICOS. Criterio de Grubbs. (nivel de confianza  97.5%) - (valor critico 1.155)</t>
  </si>
  <si>
    <t>RESIDENTE DE OBRA 1</t>
  </si>
  <si>
    <t>RESIDENTE DE OBRA 2</t>
  </si>
  <si>
    <t>PROFESIONAL ELÉCTRICO</t>
  </si>
  <si>
    <t xml:space="preserve">PROFESIONAL EN SG-SST </t>
  </si>
  <si>
    <t>INSPECTOR TÉCNICO AMBIENTAL</t>
  </si>
  <si>
    <t>ANDINA DE CONSULTORIA Y CONSTRUCCIONES SAS</t>
  </si>
  <si>
    <t>ZITIO CONSTRUCCIONE SAS</t>
  </si>
  <si>
    <t>ESTUDIO DE MERCADO PARA REALIZAR INTERVENTORÍA, MANTENIMIENTO Y ADECUACIÓN DE LOS EDIFICIOS DEL CEA. INCLUYE REVISIÓN, REPARACIÓN Y MEJORA DE LA INFRAESTRUCTURA FÍSICA, DOTACIÓN DE MOBILIARIO E INSTALACIÓN DE PUESTOS DE TRABAJO SEGÚN LAS NECESIDADES</t>
  </si>
  <si>
    <t xml:space="preserve"> ZITIO CAPITAL INVESTMENT</t>
  </si>
  <si>
    <t>a1
ANDINA DE CONSULTORIA Y CONSTRUCCIONES SAS</t>
  </si>
  <si>
    <t>a2
ZITIO CONSTRUCCIONE SAS</t>
  </si>
  <si>
    <t>a3
 ZITIO CAPITAL INVESTMENT</t>
  </si>
  <si>
    <t>PRESUPUESTO PARA  REALIZAR INTERVENTORÍA, MANTENIMIENTO Y ADECUACIÓN DE LOS EDIFICIOS DEL CEA. INCLUYE REVISIÓN, REPARACIÓN Y MEJORA DE LA INFRAESTRUCTURA FÍSICA, DOTACIÓN DE MOBILIARIO E INSTALACIÓN DE PUESTOS DE TRABAJO SEGÚN LAS NECESIDADES</t>
  </si>
  <si>
    <t>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</si>
</sst>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_-&quot;$&quot;* #,##0.00_-;\-&quot;$&quot;* #,##0.00_-;_-&quot;$&quot;* &quot;-&quot;??_-;_-@_-"/>
    <numFmt numFmtId="165" formatCode="_-[$$-240A]\ * #,##0_-;\-[$$-240A]\ * #,##0_-;_-[$$-240A]\ * &quot;-&quot;_-;_-@_-"/>
    <numFmt numFmtId="166" formatCode="0.000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69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1"/>
      <color rgb="FFFF0000"/>
      <name val="Tahoma"/>
      <family val="2"/>
    </font>
    <font>
      <sz val="10"/>
      <name val="Tahoma"/>
      <family val="2"/>
    </font>
    <font>
      <sz val="11"/>
      <color rgb="FF000000"/>
      <name val="Tahoma"/>
      <family val="2"/>
    </font>
    <font>
      <b/>
      <sz val="10"/>
      <name val="Tahoma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8"/>
      <color theme="0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7" fillId="0" borderId="0" applyFont="0" applyFill="0" applyBorder="0" applyAlignment="0" applyProtection="0"/>
    <xf numFmtId="0" fontId="13" fillId="0" borderId="0"/>
    <xf numFmtId="41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7" fontId="7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7" xfId="0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0" fontId="4" fillId="3" borderId="4" xfId="0" applyFont="1" applyFill="1" applyBorder="1"/>
    <xf numFmtId="9" fontId="5" fillId="3" borderId="0" xfId="0" applyNumberFormat="1" applyFont="1" applyFill="1"/>
    <xf numFmtId="165" fontId="2" fillId="0" borderId="0" xfId="0" applyNumberFormat="1" applyFont="1"/>
    <xf numFmtId="165" fontId="6" fillId="3" borderId="5" xfId="0" applyNumberFormat="1" applyFont="1" applyFill="1" applyBorder="1" applyAlignment="1">
      <alignment horizontal="right"/>
    </xf>
    <xf numFmtId="165" fontId="1" fillId="3" borderId="6" xfId="0" applyNumberFormat="1" applyFont="1" applyFill="1" applyBorder="1" applyAlignment="1">
      <alignment horizontal="right"/>
    </xf>
    <xf numFmtId="165" fontId="1" fillId="3" borderId="0" xfId="0" applyNumberFormat="1" applyFont="1" applyFill="1" applyAlignment="1">
      <alignment horizontal="center"/>
    </xf>
    <xf numFmtId="165" fontId="1" fillId="3" borderId="0" xfId="0" applyNumberFormat="1" applyFont="1" applyFill="1" applyAlignment="1">
      <alignment horizontal="right"/>
    </xf>
    <xf numFmtId="0" fontId="9" fillId="7" borderId="8" xfId="0" applyFont="1" applyFill="1" applyBorder="1" applyAlignment="1">
      <alignment horizontal="center" vertical="center" wrapText="1"/>
    </xf>
    <xf numFmtId="0" fontId="2" fillId="6" borderId="11" xfId="0" applyFont="1" applyFill="1" applyBorder="1"/>
    <xf numFmtId="0" fontId="2" fillId="6" borderId="12" xfId="0" applyFont="1" applyFill="1" applyBorder="1"/>
    <xf numFmtId="0" fontId="2" fillId="6" borderId="13" xfId="0" applyFont="1" applyFill="1" applyBorder="1"/>
    <xf numFmtId="0" fontId="1" fillId="0" borderId="9" xfId="0" applyFont="1" applyBorder="1" applyAlignment="1">
      <alignment horizontal="center" vertical="center"/>
    </xf>
    <xf numFmtId="0" fontId="1" fillId="5" borderId="10" xfId="0" applyFont="1" applyFill="1" applyBorder="1" applyAlignment="1">
      <alignment horizontal="center"/>
    </xf>
    <xf numFmtId="0" fontId="2" fillId="5" borderId="11" xfId="0" applyFont="1" applyFill="1" applyBorder="1"/>
    <xf numFmtId="0" fontId="2" fillId="5" borderId="12" xfId="0" applyFont="1" applyFill="1" applyBorder="1"/>
    <xf numFmtId="164" fontId="9" fillId="7" borderId="15" xfId="1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 wrapText="1"/>
    </xf>
    <xf numFmtId="166" fontId="2" fillId="0" borderId="7" xfId="0" applyNumberFormat="1" applyFont="1" applyBorder="1" applyAlignment="1">
      <alignment horizontal="center" vertical="center"/>
    </xf>
    <xf numFmtId="165" fontId="3" fillId="0" borderId="0" xfId="0" applyNumberFormat="1" applyFont="1"/>
    <xf numFmtId="0" fontId="12" fillId="9" borderId="21" xfId="0" applyFont="1" applyFill="1" applyBorder="1" applyAlignment="1">
      <alignment horizontal="center" vertical="center" wrapText="1"/>
    </xf>
    <xf numFmtId="1" fontId="14" fillId="0" borderId="1" xfId="4" applyNumberFormat="1" applyFont="1" applyFill="1" applyBorder="1" applyAlignment="1">
      <alignment horizontal="center" vertical="center" wrapText="1"/>
    </xf>
    <xf numFmtId="2" fontId="14" fillId="0" borderId="1" xfId="4" applyNumberFormat="1" applyFont="1" applyFill="1" applyBorder="1" applyAlignment="1">
      <alignment horizontal="center" vertical="center"/>
    </xf>
    <xf numFmtId="168" fontId="14" fillId="0" borderId="1" xfId="5" applyNumberFormat="1" applyFont="1" applyFill="1" applyBorder="1" applyAlignment="1">
      <alignment vertical="center" wrapText="1"/>
    </xf>
    <xf numFmtId="0" fontId="2" fillId="5" borderId="11" xfId="0" applyFont="1" applyFill="1" applyBorder="1" applyAlignment="1">
      <alignment horizontal="center"/>
    </xf>
    <xf numFmtId="9" fontId="14" fillId="0" borderId="1" xfId="4" applyFont="1" applyFill="1" applyBorder="1" applyAlignment="1">
      <alignment horizontal="center" vertical="center" wrapText="1"/>
    </xf>
    <xf numFmtId="168" fontId="14" fillId="8" borderId="1" xfId="5" applyNumberFormat="1" applyFont="1" applyFill="1" applyBorder="1" applyAlignment="1">
      <alignment vertical="center" wrapText="1"/>
    </xf>
    <xf numFmtId="0" fontId="12" fillId="9" borderId="22" xfId="0" applyFont="1" applyFill="1" applyBorder="1" applyAlignment="1">
      <alignment horizontal="center" vertical="center" wrapText="1"/>
    </xf>
    <xf numFmtId="0" fontId="2" fillId="5" borderId="14" xfId="0" applyFont="1" applyFill="1" applyBorder="1"/>
    <xf numFmtId="168" fontId="14" fillId="0" borderId="25" xfId="5" applyNumberFormat="1" applyFont="1" applyFill="1" applyBorder="1" applyAlignment="1">
      <alignment vertical="center" wrapText="1"/>
    </xf>
    <xf numFmtId="168" fontId="14" fillId="0" borderId="30" xfId="5" applyNumberFormat="1" applyFont="1" applyFill="1" applyBorder="1" applyAlignment="1">
      <alignment vertical="center" wrapText="1"/>
    </xf>
    <xf numFmtId="0" fontId="2" fillId="5" borderId="8" xfId="0" applyFont="1" applyFill="1" applyBorder="1"/>
    <xf numFmtId="0" fontId="2" fillId="5" borderId="10" xfId="0" applyFont="1" applyFill="1" applyBorder="1"/>
    <xf numFmtId="165" fontId="2" fillId="0" borderId="17" xfId="0" applyNumberFormat="1" applyFont="1" applyBorder="1" applyAlignment="1">
      <alignment horizontal="center" vertical="center"/>
    </xf>
    <xf numFmtId="0" fontId="2" fillId="5" borderId="15" xfId="0" applyFont="1" applyFill="1" applyBorder="1"/>
    <xf numFmtId="167" fontId="12" fillId="9" borderId="1" xfId="0" applyNumberFormat="1" applyFont="1" applyFill="1" applyBorder="1" applyAlignment="1">
      <alignment horizontal="center" vertical="center" wrapText="1"/>
    </xf>
    <xf numFmtId="0" fontId="2" fillId="0" borderId="37" xfId="0" applyFont="1" applyBorder="1"/>
    <xf numFmtId="0" fontId="12" fillId="10" borderId="39" xfId="0" applyFont="1" applyFill="1" applyBorder="1" applyAlignment="1">
      <alignment horizontal="center" vertical="center" wrapText="1"/>
    </xf>
    <xf numFmtId="0" fontId="12" fillId="10" borderId="40" xfId="0" applyFont="1" applyFill="1" applyBorder="1" applyAlignment="1">
      <alignment horizontal="center" vertical="center" wrapText="1"/>
    </xf>
    <xf numFmtId="164" fontId="8" fillId="2" borderId="18" xfId="1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/>
    </xf>
    <xf numFmtId="0" fontId="11" fillId="0" borderId="22" xfId="0" applyFont="1" applyBorder="1" applyAlignment="1">
      <alignment horizontal="left" vertical="center"/>
    </xf>
    <xf numFmtId="0" fontId="12" fillId="10" borderId="42" xfId="0" applyFont="1" applyFill="1" applyBorder="1" applyAlignment="1">
      <alignment horizontal="center" vertical="center" wrapText="1"/>
    </xf>
    <xf numFmtId="0" fontId="12" fillId="9" borderId="43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169" fontId="11" fillId="0" borderId="21" xfId="0" applyNumberFormat="1" applyFont="1" applyBorder="1" applyAlignment="1">
      <alignment horizontal="center" vertical="center" wrapText="1"/>
    </xf>
    <xf numFmtId="169" fontId="11" fillId="8" borderId="21" xfId="0" applyNumberFormat="1" applyFont="1" applyFill="1" applyBorder="1" applyAlignment="1">
      <alignment horizontal="center" vertical="center" wrapText="1"/>
    </xf>
    <xf numFmtId="0" fontId="14" fillId="0" borderId="23" xfId="2" applyFont="1" applyBorder="1" applyAlignment="1">
      <alignment vertical="center"/>
    </xf>
    <xf numFmtId="0" fontId="12" fillId="9" borderId="4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wrapText="1"/>
    </xf>
    <xf numFmtId="0" fontId="6" fillId="3" borderId="0" xfId="0" applyFont="1" applyFill="1" applyAlignment="1">
      <alignment wrapText="1"/>
    </xf>
    <xf numFmtId="165" fontId="6" fillId="3" borderId="5" xfId="0" applyNumberFormat="1" applyFont="1" applyFill="1" applyBorder="1" applyAlignment="1">
      <alignment horizontal="right" wrapText="1"/>
    </xf>
    <xf numFmtId="165" fontId="1" fillId="0" borderId="46" xfId="0" applyNumberFormat="1" applyFont="1" applyBorder="1" applyAlignment="1">
      <alignment horizontal="center" vertical="center"/>
    </xf>
    <xf numFmtId="168" fontId="1" fillId="5" borderId="25" xfId="0" applyNumberFormat="1" applyFont="1" applyFill="1" applyBorder="1"/>
    <xf numFmtId="168" fontId="14" fillId="0" borderId="46" xfId="5" applyNumberFormat="1" applyFont="1" applyFill="1" applyBorder="1" applyAlignment="1">
      <alignment vertical="center" wrapText="1"/>
    </xf>
    <xf numFmtId="168" fontId="12" fillId="9" borderId="49" xfId="0" applyNumberFormat="1" applyFont="1" applyFill="1" applyBorder="1" applyAlignment="1">
      <alignment horizontal="center" vertical="center" wrapText="1"/>
    </xf>
    <xf numFmtId="0" fontId="3" fillId="0" borderId="21" xfId="0" applyFont="1" applyBorder="1"/>
    <xf numFmtId="0" fontId="2" fillId="4" borderId="50" xfId="0" applyFont="1" applyFill="1" applyBorder="1"/>
    <xf numFmtId="0" fontId="2" fillId="4" borderId="37" xfId="0" applyFont="1" applyFill="1" applyBorder="1" applyAlignment="1">
      <alignment vertical="top" wrapText="1"/>
    </xf>
    <xf numFmtId="0" fontId="2" fillId="4" borderId="37" xfId="0" applyFont="1" applyFill="1" applyBorder="1"/>
    <xf numFmtId="165" fontId="2" fillId="4" borderId="51" xfId="0" applyNumberFormat="1" applyFont="1" applyFill="1" applyBorder="1"/>
    <xf numFmtId="165" fontId="2" fillId="4" borderId="52" xfId="0" applyNumberFormat="1" applyFont="1" applyFill="1" applyBorder="1"/>
    <xf numFmtId="0" fontId="2" fillId="0" borderId="53" xfId="0" applyFont="1" applyBorder="1" applyAlignment="1">
      <alignment horizontal="center"/>
    </xf>
    <xf numFmtId="0" fontId="11" fillId="8" borderId="1" xfId="0" applyFont="1" applyFill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Fill="1"/>
    <xf numFmtId="165" fontId="3" fillId="0" borderId="0" xfId="0" applyNumberFormat="1" applyFont="1" applyFill="1"/>
    <xf numFmtId="165" fontId="2" fillId="0" borderId="46" xfId="0" applyNumberFormat="1" applyFont="1" applyBorder="1" applyAlignment="1">
      <alignment horizontal="center" vertical="center"/>
    </xf>
    <xf numFmtId="0" fontId="12" fillId="9" borderId="21" xfId="0" applyFont="1" applyFill="1" applyBorder="1" applyAlignment="1">
      <alignment horizontal="center" vertical="center" wrapText="1"/>
    </xf>
    <xf numFmtId="0" fontId="12" fillId="9" borderId="21" xfId="0" applyFont="1" applyFill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 wrapText="1"/>
    </xf>
    <xf numFmtId="49" fontId="1" fillId="0" borderId="16" xfId="0" applyNumberFormat="1" applyFont="1" applyBorder="1" applyAlignment="1">
      <alignment horizontal="center" wrapText="1"/>
    </xf>
    <xf numFmtId="0" fontId="12" fillId="11" borderId="27" xfId="0" applyFont="1" applyFill="1" applyBorder="1" applyAlignment="1">
      <alignment horizontal="center" vertical="center" wrapText="1"/>
    </xf>
    <xf numFmtId="0" fontId="12" fillId="11" borderId="28" xfId="0" applyFont="1" applyFill="1" applyBorder="1" applyAlignment="1">
      <alignment horizontal="center" vertical="center" wrapText="1"/>
    </xf>
    <xf numFmtId="0" fontId="12" fillId="11" borderId="29" xfId="0" applyFont="1" applyFill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9" borderId="19" xfId="0" applyFont="1" applyFill="1" applyBorder="1" applyAlignment="1">
      <alignment horizontal="center" vertical="center" wrapText="1"/>
    </xf>
    <xf numFmtId="0" fontId="12" fillId="9" borderId="20" xfId="0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12" fillId="9" borderId="23" xfId="0" applyFont="1" applyFill="1" applyBorder="1" applyAlignment="1">
      <alignment horizontal="center" vertical="center" wrapText="1"/>
    </xf>
    <xf numFmtId="0" fontId="12" fillId="9" borderId="24" xfId="0" applyFont="1" applyFill="1" applyBorder="1" applyAlignment="1">
      <alignment horizontal="center" vertical="center" wrapText="1"/>
    </xf>
    <xf numFmtId="168" fontId="12" fillId="9" borderId="31" xfId="0" applyNumberFormat="1" applyFont="1" applyFill="1" applyBorder="1" applyAlignment="1">
      <alignment horizontal="center" vertical="center" wrapText="1"/>
    </xf>
    <xf numFmtId="168" fontId="12" fillId="9" borderId="29" xfId="0" applyNumberFormat="1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168" fontId="12" fillId="9" borderId="28" xfId="0" applyNumberFormat="1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/>
    </xf>
    <xf numFmtId="0" fontId="2" fillId="6" borderId="47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6" borderId="48" xfId="0" applyFont="1" applyFill="1" applyBorder="1" applyAlignment="1">
      <alignment horizontal="center"/>
    </xf>
    <xf numFmtId="168" fontId="14" fillId="0" borderId="33" xfId="5" applyNumberFormat="1" applyFont="1" applyFill="1" applyBorder="1" applyAlignment="1">
      <alignment horizontal="center" vertical="center" wrapText="1"/>
    </xf>
    <xf numFmtId="168" fontId="14" fillId="0" borderId="38" xfId="5" applyNumberFormat="1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165" fontId="1" fillId="3" borderId="3" xfId="0" applyNumberFormat="1" applyFont="1" applyFill="1" applyBorder="1" applyAlignment="1">
      <alignment horizontal="center"/>
    </xf>
    <xf numFmtId="0" fontId="12" fillId="9" borderId="54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 wrapText="1"/>
    </xf>
    <xf numFmtId="0" fontId="12" fillId="9" borderId="32" xfId="0" applyFont="1" applyFill="1" applyBorder="1" applyAlignment="1">
      <alignment horizontal="center" vertical="center" wrapText="1"/>
    </xf>
    <xf numFmtId="0" fontId="12" fillId="9" borderId="56" xfId="0" applyFont="1" applyFill="1" applyBorder="1" applyAlignment="1">
      <alignment horizontal="center" vertical="center" wrapText="1"/>
    </xf>
    <xf numFmtId="167" fontId="12" fillId="9" borderId="19" xfId="0" applyNumberFormat="1" applyFont="1" applyFill="1" applyBorder="1" applyAlignment="1">
      <alignment horizontal="center" vertical="center" wrapText="1"/>
    </xf>
    <xf numFmtId="168" fontId="12" fillId="9" borderId="57" xfId="0" applyNumberFormat="1" applyFont="1" applyFill="1" applyBorder="1" applyAlignment="1">
      <alignment horizontal="center" vertical="center" wrapText="1"/>
    </xf>
    <xf numFmtId="168" fontId="12" fillId="9" borderId="58" xfId="0" applyNumberFormat="1" applyFont="1" applyFill="1" applyBorder="1" applyAlignment="1">
      <alignment horizontal="center" vertical="center" wrapText="1"/>
    </xf>
    <xf numFmtId="0" fontId="12" fillId="9" borderId="59" xfId="0" applyFont="1" applyFill="1" applyBorder="1" applyAlignment="1">
      <alignment horizontal="center" vertical="center" wrapText="1"/>
    </xf>
    <xf numFmtId="168" fontId="12" fillId="9" borderId="60" xfId="0" applyNumberFormat="1" applyFont="1" applyFill="1" applyBorder="1" applyAlignment="1">
      <alignment horizontal="center" vertical="center" wrapText="1"/>
    </xf>
    <xf numFmtId="168" fontId="12" fillId="9" borderId="61" xfId="0" applyNumberFormat="1" applyFont="1" applyFill="1" applyBorder="1" applyAlignment="1">
      <alignment horizontal="center" vertical="center" wrapText="1"/>
    </xf>
    <xf numFmtId="169" fontId="11" fillId="8" borderId="62" xfId="0" applyNumberFormat="1" applyFont="1" applyFill="1" applyBorder="1" applyAlignment="1">
      <alignment horizontal="center" vertical="center" wrapText="1"/>
    </xf>
    <xf numFmtId="0" fontId="14" fillId="0" borderId="8" xfId="2" applyFont="1" applyBorder="1" applyAlignment="1">
      <alignment vertical="center"/>
    </xf>
    <xf numFmtId="0" fontId="2" fillId="0" borderId="2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68" fontId="14" fillId="0" borderId="63" xfId="5" applyNumberFormat="1" applyFont="1" applyFill="1" applyBorder="1" applyAlignment="1">
      <alignment horizontal="center" vertical="center" wrapText="1"/>
    </xf>
    <xf numFmtId="168" fontId="14" fillId="0" borderId="16" xfId="5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165" fontId="2" fillId="0" borderId="13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168" fontId="14" fillId="0" borderId="64" xfId="5" applyNumberFormat="1" applyFont="1" applyFill="1" applyBorder="1" applyAlignment="1">
      <alignment vertical="center" wrapText="1"/>
    </xf>
    <xf numFmtId="168" fontId="14" fillId="0" borderId="65" xfId="5" applyNumberFormat="1" applyFont="1" applyFill="1" applyBorder="1" applyAlignment="1">
      <alignment vertical="center" wrapText="1"/>
    </xf>
    <xf numFmtId="0" fontId="2" fillId="8" borderId="8" xfId="0" applyFont="1" applyFill="1" applyBorder="1"/>
  </cellXfs>
  <cellStyles count="6">
    <cellStyle name="Millares [0] 2" xfId="3" xr:uid="{3E5438D5-8806-5C4C-AB2E-B4DD9CB267C3}"/>
    <cellStyle name="Moneda" xfId="1" builtinId="4"/>
    <cellStyle name="Moneda 3" xfId="5" xr:uid="{025A1D62-DBFF-A048-9625-4E656FE288B8}"/>
    <cellStyle name="Normal" xfId="0" builtinId="0"/>
    <cellStyle name="Normal 13 2" xfId="2" xr:uid="{793F15D1-F17E-1D42-9999-CA84A9C0B239}"/>
    <cellStyle name="Porcentaje 3" xfId="4" xr:uid="{604A09B9-CFA9-9146-9052-FEBAFB84DA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69877-6B09-4A1A-AC5F-CC6A826F54CE}">
  <dimension ref="B1:AF34"/>
  <sheetViews>
    <sheetView topLeftCell="A3" zoomScale="85" zoomScaleNormal="85" workbookViewId="0">
      <selection activeCell="AC20" sqref="AC20"/>
    </sheetView>
  </sheetViews>
  <sheetFormatPr baseColWidth="10" defaultColWidth="9.140625" defaultRowHeight="14.25" customHeight="1" x14ac:dyDescent="0.2"/>
  <cols>
    <col min="1" max="1" width="9.140625" style="1"/>
    <col min="2" max="2" width="18.140625" style="2" bestFit="1" customWidth="1"/>
    <col min="3" max="3" width="59.85546875" style="1" customWidth="1"/>
    <col min="4" max="4" width="9.140625" style="1"/>
    <col min="5" max="5" width="17.42578125" style="1" hidden="1" customWidth="1"/>
    <col min="6" max="6" width="17.7109375" style="1" hidden="1" customWidth="1"/>
    <col min="7" max="7" width="20.85546875" style="1" hidden="1" customWidth="1"/>
    <col min="8" max="8" width="18.42578125" style="1" hidden="1" customWidth="1"/>
    <col min="9" max="9" width="19" style="1" hidden="1" customWidth="1"/>
    <col min="10" max="10" width="19.42578125" style="1" hidden="1" customWidth="1"/>
    <col min="11" max="11" width="20" style="1" hidden="1" customWidth="1"/>
    <col min="12" max="12" width="22.5703125" style="1" hidden="1" customWidth="1"/>
    <col min="13" max="13" width="18.85546875" style="1" hidden="1" customWidth="1"/>
    <col min="14" max="14" width="17.5703125" style="1" hidden="1" customWidth="1"/>
    <col min="15" max="15" width="17.140625" style="1" hidden="1" customWidth="1"/>
    <col min="16" max="16" width="13.85546875" style="1" hidden="1" customWidth="1"/>
    <col min="17" max="18" width="22" style="1" hidden="1" customWidth="1"/>
    <col min="19" max="19" width="18.85546875" style="1" hidden="1" customWidth="1"/>
    <col min="20" max="20" width="16.28515625" style="1" hidden="1" customWidth="1"/>
    <col min="21" max="21" width="16" style="1" hidden="1" customWidth="1"/>
    <col min="22" max="22" width="10.140625" style="1" hidden="1" customWidth="1"/>
    <col min="23" max="23" width="18.140625" style="1" hidden="1" customWidth="1"/>
    <col min="24" max="24" width="16" style="1" hidden="1" customWidth="1"/>
    <col min="25" max="25" width="14" style="1" hidden="1" customWidth="1"/>
    <col min="26" max="26" width="17.85546875" style="1" customWidth="1"/>
    <col min="27" max="27" width="11.140625" style="1" bestFit="1" customWidth="1"/>
    <col min="28" max="28" width="21.85546875" style="1" customWidth="1"/>
    <col min="29" max="29" width="16.7109375" style="1" bestFit="1" customWidth="1"/>
    <col min="30" max="30" width="20.7109375" style="1" bestFit="1" customWidth="1"/>
    <col min="31" max="31" width="9.140625" style="1"/>
    <col min="32" max="32" width="16.28515625" style="1" bestFit="1" customWidth="1"/>
    <col min="33" max="16384" width="9.140625" style="1"/>
  </cols>
  <sheetData>
    <row r="1" spans="2:30" ht="60" customHeight="1" thickBot="1" x14ac:dyDescent="0.25">
      <c r="B1" s="78" t="s">
        <v>39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80"/>
    </row>
    <row r="2" spans="2:30" ht="69" customHeight="1" thickBot="1" x14ac:dyDescent="0.25">
      <c r="B2" s="41" t="s">
        <v>0</v>
      </c>
      <c r="C2" s="42" t="s">
        <v>1</v>
      </c>
      <c r="D2" s="47" t="s">
        <v>2</v>
      </c>
      <c r="E2" s="81" t="s">
        <v>32</v>
      </c>
      <c r="F2" s="82"/>
      <c r="G2" s="82"/>
      <c r="H2" s="82"/>
      <c r="I2" s="83"/>
      <c r="J2" s="81" t="s">
        <v>33</v>
      </c>
      <c r="K2" s="82"/>
      <c r="L2" s="82"/>
      <c r="M2" s="82"/>
      <c r="N2" s="83"/>
      <c r="O2" s="81" t="s">
        <v>35</v>
      </c>
      <c r="P2" s="82"/>
      <c r="Q2" s="82"/>
      <c r="R2" s="82"/>
      <c r="S2" s="83"/>
      <c r="T2" s="43" t="s">
        <v>3</v>
      </c>
      <c r="U2" s="16" t="s">
        <v>4</v>
      </c>
      <c r="V2" s="84" t="s">
        <v>26</v>
      </c>
      <c r="W2" s="85"/>
      <c r="X2" s="85"/>
      <c r="Y2" s="85"/>
      <c r="Z2" s="44" t="s">
        <v>5</v>
      </c>
      <c r="AA2" s="44" t="s">
        <v>6</v>
      </c>
      <c r="AB2" s="44" t="s">
        <v>7</v>
      </c>
      <c r="AC2" s="44" t="s">
        <v>8</v>
      </c>
      <c r="AD2" s="60" t="s">
        <v>9</v>
      </c>
    </row>
    <row r="3" spans="2:30" ht="60.75" customHeight="1" thickBot="1" x14ac:dyDescent="0.25">
      <c r="B3" s="76"/>
      <c r="C3" s="31" t="s">
        <v>10</v>
      </c>
      <c r="D3" s="48"/>
      <c r="E3" s="77" t="s">
        <v>5</v>
      </c>
      <c r="F3" s="86" t="s">
        <v>6</v>
      </c>
      <c r="G3" s="86" t="s">
        <v>7</v>
      </c>
      <c r="H3" s="87" t="s">
        <v>11</v>
      </c>
      <c r="I3" s="89" t="s">
        <v>12</v>
      </c>
      <c r="J3" s="77" t="s">
        <v>5</v>
      </c>
      <c r="K3" s="86" t="s">
        <v>6</v>
      </c>
      <c r="L3" s="86" t="s">
        <v>7</v>
      </c>
      <c r="M3" s="87" t="s">
        <v>11</v>
      </c>
      <c r="N3" s="89" t="s">
        <v>12</v>
      </c>
      <c r="O3" s="77" t="s">
        <v>5</v>
      </c>
      <c r="P3" s="86" t="s">
        <v>6</v>
      </c>
      <c r="Q3" s="86" t="s">
        <v>7</v>
      </c>
      <c r="R3" s="87" t="s">
        <v>11</v>
      </c>
      <c r="S3" s="89" t="s">
        <v>12</v>
      </c>
      <c r="T3" s="15"/>
      <c r="U3" s="14"/>
      <c r="V3" s="20" t="s">
        <v>13</v>
      </c>
      <c r="W3" s="12" t="s">
        <v>36</v>
      </c>
      <c r="X3" s="12" t="s">
        <v>37</v>
      </c>
      <c r="Y3" s="21" t="s">
        <v>38</v>
      </c>
      <c r="Z3" s="96"/>
      <c r="AA3" s="96"/>
      <c r="AB3" s="96"/>
      <c r="AC3" s="96"/>
      <c r="AD3" s="97"/>
    </row>
    <row r="4" spans="2:30" ht="16.5" thickBot="1" x14ac:dyDescent="0.25">
      <c r="B4" s="76">
        <v>1</v>
      </c>
      <c r="C4" s="31" t="s">
        <v>14</v>
      </c>
      <c r="D4" s="48"/>
      <c r="E4" s="77"/>
      <c r="F4" s="86"/>
      <c r="G4" s="86"/>
      <c r="H4" s="88"/>
      <c r="I4" s="89"/>
      <c r="J4" s="77"/>
      <c r="K4" s="86"/>
      <c r="L4" s="86"/>
      <c r="M4" s="88"/>
      <c r="N4" s="89"/>
      <c r="O4" s="77"/>
      <c r="P4" s="86"/>
      <c r="Q4" s="86"/>
      <c r="R4" s="88"/>
      <c r="S4" s="89"/>
      <c r="T4" s="15"/>
      <c r="U4" s="13"/>
      <c r="V4" s="13"/>
      <c r="W4" s="13"/>
      <c r="X4" s="13"/>
      <c r="Y4" s="13"/>
      <c r="Z4" s="98"/>
      <c r="AA4" s="98"/>
      <c r="AB4" s="98"/>
      <c r="AC4" s="98"/>
      <c r="AD4" s="99"/>
    </row>
    <row r="5" spans="2:30" ht="15" thickBot="1" x14ac:dyDescent="0.25">
      <c r="B5" s="17"/>
      <c r="C5" s="45" t="s">
        <v>15</v>
      </c>
      <c r="D5" s="49"/>
      <c r="E5" s="50"/>
      <c r="F5" s="28"/>
      <c r="G5" s="18"/>
      <c r="H5" s="18"/>
      <c r="I5" s="32"/>
      <c r="J5" s="36"/>
      <c r="K5" s="19"/>
      <c r="L5" s="19"/>
      <c r="M5" s="19"/>
      <c r="N5" s="32"/>
      <c r="O5" s="38"/>
      <c r="P5" s="19"/>
      <c r="Q5" s="19"/>
      <c r="R5" s="19"/>
      <c r="S5" s="32"/>
      <c r="T5" s="35"/>
      <c r="U5" s="19"/>
      <c r="V5" s="19"/>
      <c r="W5" s="19"/>
      <c r="X5" s="19"/>
      <c r="Y5" s="19"/>
      <c r="Z5" s="19"/>
      <c r="AA5" s="19"/>
      <c r="AB5" s="19"/>
      <c r="AC5" s="19"/>
      <c r="AD5" s="61">
        <f>SUM(AD6:AD14)</f>
        <v>228310276</v>
      </c>
    </row>
    <row r="6" spans="2:30" ht="15" x14ac:dyDescent="0.2">
      <c r="B6" s="53">
        <v>1.1000000000000001</v>
      </c>
      <c r="C6" s="46" t="s">
        <v>16</v>
      </c>
      <c r="D6" s="52">
        <v>1</v>
      </c>
      <c r="E6" s="29">
        <v>0.3</v>
      </c>
      <c r="F6" s="25">
        <v>105</v>
      </c>
      <c r="G6" s="26">
        <v>2.2999999999999998</v>
      </c>
      <c r="H6" s="27">
        <v>11600000</v>
      </c>
      <c r="I6" s="33">
        <f>ROUND((E6*(F6/30)*G6*H6)*D6,0)</f>
        <v>28014000</v>
      </c>
      <c r="J6" s="29">
        <v>0.3</v>
      </c>
      <c r="K6" s="25">
        <v>105</v>
      </c>
      <c r="L6" s="26">
        <v>1.75</v>
      </c>
      <c r="M6" s="75">
        <v>8000000</v>
      </c>
      <c r="N6" s="33">
        <f>ROUND((J6*(K6/30)*L6*M6)*$D$6,0)</f>
        <v>14700000</v>
      </c>
      <c r="O6" s="29">
        <v>0.3</v>
      </c>
      <c r="P6" s="25">
        <v>105</v>
      </c>
      <c r="Q6" s="26">
        <v>1.81</v>
      </c>
      <c r="R6" s="75">
        <v>11276786.91632</v>
      </c>
      <c r="S6" s="33">
        <f>ROUND((O6*(P6/30)*Q6*R6)*$D$6,0)</f>
        <v>21431534</v>
      </c>
      <c r="T6" s="37">
        <f t="shared" ref="T6:T12" si="0">+AVERAGE(H6,M6,R6)</f>
        <v>10292262.305439999</v>
      </c>
      <c r="U6" s="4">
        <f t="shared" ref="U6:U12" si="1">MEDIAN(H6,M6,R6)</f>
        <v>11276786.91632</v>
      </c>
      <c r="V6" s="3">
        <f t="shared" ref="V6:V12" si="2">ROUND(STDEVA(H6,M6,R6),0)</f>
        <v>1991725</v>
      </c>
      <c r="W6" s="22">
        <f t="shared" ref="W6:W12" si="3">ABS(H6-AVERAGE($H6,$M6,$R6))/$V6</f>
        <v>0.65658546966072162</v>
      </c>
      <c r="X6" s="22">
        <f>ABS(M6-AVERAGE($H6,$M6,$R6))/$V6</f>
        <v>1.1508929723932768</v>
      </c>
      <c r="Y6" s="22">
        <f>ABS(R6-AVERAGE($H6,$M6,$R6))/$V6</f>
        <v>0.49430750273255619</v>
      </c>
      <c r="Z6" s="29">
        <v>0.3</v>
      </c>
      <c r="AA6" s="25">
        <v>105</v>
      </c>
      <c r="AB6" s="26">
        <f>+AVERAGE(G6,L6,Q6)</f>
        <v>1.9533333333333331</v>
      </c>
      <c r="AC6" s="27">
        <f>MIN(T6:U6)</f>
        <v>10292262.305439999</v>
      </c>
      <c r="AD6" s="62">
        <f t="shared" ref="AD6:AD12" si="4">ROUND((Z6*(AA6/30)*AB6*AC6)*$D$6,0)</f>
        <v>21109430</v>
      </c>
    </row>
    <row r="7" spans="2:30" ht="15" x14ac:dyDescent="0.2">
      <c r="B7" s="54">
        <v>1.2</v>
      </c>
      <c r="C7" s="71" t="s">
        <v>27</v>
      </c>
      <c r="D7" s="70">
        <v>1</v>
      </c>
      <c r="E7" s="29">
        <v>1</v>
      </c>
      <c r="F7" s="25">
        <v>105</v>
      </c>
      <c r="G7" s="26">
        <v>2.2999999999999998</v>
      </c>
      <c r="H7" s="30">
        <v>9300000</v>
      </c>
      <c r="I7" s="33">
        <f t="shared" ref="I7:I12" si="5">ROUND((E7*(F7/30)*G7*H7)*D7,0)</f>
        <v>74865000</v>
      </c>
      <c r="J7" s="29">
        <v>1</v>
      </c>
      <c r="K7" s="25">
        <v>105</v>
      </c>
      <c r="L7" s="26">
        <v>1.75</v>
      </c>
      <c r="M7" s="75">
        <v>5500000</v>
      </c>
      <c r="N7" s="33">
        <f t="shared" ref="N7:N12" si="6">ROUND((J7*(K7/30)*L7*M7)*$D$6,0)</f>
        <v>33687500</v>
      </c>
      <c r="O7" s="29">
        <v>1</v>
      </c>
      <c r="P7" s="25">
        <v>105</v>
      </c>
      <c r="Q7" s="26">
        <v>1.81</v>
      </c>
      <c r="R7" s="75">
        <v>7128387.5216557505</v>
      </c>
      <c r="S7" s="33">
        <f t="shared" ref="S7:S12" si="7">ROUND((O7*(P7/30)*Q7*R7)*$D$6,0)</f>
        <v>45158335</v>
      </c>
      <c r="T7" s="37">
        <f t="shared" si="0"/>
        <v>7309462.5072185835</v>
      </c>
      <c r="U7" s="4">
        <f t="shared" si="1"/>
        <v>7128387.5216557505</v>
      </c>
      <c r="V7" s="3">
        <f t="shared" si="2"/>
        <v>1906460</v>
      </c>
      <c r="W7" s="22">
        <f t="shared" si="3"/>
        <v>1.0441013673412589</v>
      </c>
      <c r="X7" s="22">
        <f t="shared" ref="X7:X14" si="8">ABS(M7-AVERAGE($H7,$M7,$R7))/$V7</f>
        <v>0.94912167431710259</v>
      </c>
      <c r="Y7" s="22">
        <f t="shared" ref="Y7:Y14" si="9">ABS(R7-AVERAGE($H7,$M7,$R7))/$V7</f>
        <v>9.4979693024156306E-2</v>
      </c>
      <c r="Z7" s="29">
        <v>1</v>
      </c>
      <c r="AA7" s="25">
        <v>105</v>
      </c>
      <c r="AB7" s="26">
        <f t="shared" ref="AB7:AB12" si="10">+AVERAGE(G7,L7,Q7)</f>
        <v>1.9533333333333331</v>
      </c>
      <c r="AC7" s="27">
        <f t="shared" ref="AC7:AC12" si="11">MIN(T7:U7)</f>
        <v>7128387.5216557505</v>
      </c>
      <c r="AD7" s="33">
        <f t="shared" si="4"/>
        <v>48734409</v>
      </c>
    </row>
    <row r="8" spans="2:30" ht="15" x14ac:dyDescent="0.2">
      <c r="B8" s="53">
        <v>1.3</v>
      </c>
      <c r="C8" s="71" t="s">
        <v>28</v>
      </c>
      <c r="D8" s="70">
        <v>1</v>
      </c>
      <c r="E8" s="29">
        <v>1</v>
      </c>
      <c r="F8" s="25">
        <v>105</v>
      </c>
      <c r="G8" s="26">
        <v>2.2999999999999998</v>
      </c>
      <c r="H8" s="30">
        <v>9300000</v>
      </c>
      <c r="I8" s="33">
        <f t="shared" si="5"/>
        <v>74865000</v>
      </c>
      <c r="J8" s="29">
        <v>1</v>
      </c>
      <c r="K8" s="25">
        <v>105</v>
      </c>
      <c r="L8" s="26">
        <v>1.75</v>
      </c>
      <c r="M8" s="75">
        <v>5000000</v>
      </c>
      <c r="N8" s="33">
        <f t="shared" si="6"/>
        <v>30625000</v>
      </c>
      <c r="O8" s="29">
        <v>1</v>
      </c>
      <c r="P8" s="25">
        <v>105</v>
      </c>
      <c r="Q8" s="26">
        <v>1.81</v>
      </c>
      <c r="R8" s="75">
        <v>7172732.8843499999</v>
      </c>
      <c r="S8" s="33">
        <f>ROUND((O8*(P8/30)*Q8*R8)*$D$6,0)</f>
        <v>45439263</v>
      </c>
      <c r="T8" s="37">
        <f t="shared" si="0"/>
        <v>7157577.6281166673</v>
      </c>
      <c r="U8" s="4">
        <f t="shared" si="1"/>
        <v>7172732.8843499999</v>
      </c>
      <c r="V8" s="3">
        <f t="shared" si="2"/>
        <v>2150040</v>
      </c>
      <c r="W8" s="22">
        <f t="shared" si="3"/>
        <v>0.99645698307163244</v>
      </c>
      <c r="X8" s="22">
        <f t="shared" si="8"/>
        <v>1.0035058083182951</v>
      </c>
      <c r="Y8" s="22">
        <f t="shared" si="9"/>
        <v>7.0488252466617734E-3</v>
      </c>
      <c r="Z8" s="29">
        <v>1</v>
      </c>
      <c r="AA8" s="25">
        <v>105</v>
      </c>
      <c r="AB8" s="26">
        <f t="shared" si="10"/>
        <v>1.9533333333333331</v>
      </c>
      <c r="AC8" s="27">
        <f t="shared" si="11"/>
        <v>7157577.6281166673</v>
      </c>
      <c r="AD8" s="33">
        <f t="shared" si="4"/>
        <v>48933972</v>
      </c>
    </row>
    <row r="9" spans="2:30" ht="15" x14ac:dyDescent="0.2">
      <c r="B9" s="54">
        <v>1.4</v>
      </c>
      <c r="C9" s="72" t="s">
        <v>29</v>
      </c>
      <c r="D9" s="70">
        <v>1</v>
      </c>
      <c r="E9" s="29">
        <v>0.5</v>
      </c>
      <c r="F9" s="25">
        <v>105</v>
      </c>
      <c r="G9" s="26">
        <v>2.2999999999999998</v>
      </c>
      <c r="H9" s="30">
        <v>3450000</v>
      </c>
      <c r="I9" s="33">
        <f t="shared" si="5"/>
        <v>13886250</v>
      </c>
      <c r="J9" s="29">
        <v>0.5</v>
      </c>
      <c r="K9" s="25">
        <v>105</v>
      </c>
      <c r="L9" s="26">
        <v>1.75</v>
      </c>
      <c r="M9" s="75">
        <v>5000000</v>
      </c>
      <c r="N9" s="33">
        <f t="shared" si="6"/>
        <v>15312500</v>
      </c>
      <c r="O9" s="29">
        <v>0.5</v>
      </c>
      <c r="P9" s="25">
        <v>105</v>
      </c>
      <c r="Q9" s="26">
        <v>1.81</v>
      </c>
      <c r="R9" s="75">
        <v>5189332.5</v>
      </c>
      <c r="S9" s="33">
        <f t="shared" si="7"/>
        <v>16437211</v>
      </c>
      <c r="T9" s="37">
        <f t="shared" si="0"/>
        <v>4546444.166666667</v>
      </c>
      <c r="U9" s="4">
        <f t="shared" si="1"/>
        <v>5000000</v>
      </c>
      <c r="V9" s="3">
        <f t="shared" si="2"/>
        <v>954256</v>
      </c>
      <c r="W9" s="22">
        <f t="shared" si="3"/>
        <v>1.1490042155005229</v>
      </c>
      <c r="X9" s="22">
        <f t="shared" si="8"/>
        <v>0.47529785857603518</v>
      </c>
      <c r="Y9" s="22">
        <f t="shared" si="9"/>
        <v>0.67370635692448677</v>
      </c>
      <c r="Z9" s="29">
        <v>0.5</v>
      </c>
      <c r="AA9" s="25">
        <v>105</v>
      </c>
      <c r="AB9" s="26">
        <f t="shared" si="10"/>
        <v>1.9533333333333331</v>
      </c>
      <c r="AC9" s="27">
        <f t="shared" si="11"/>
        <v>4546444.166666667</v>
      </c>
      <c r="AD9" s="33">
        <f t="shared" si="4"/>
        <v>15541262</v>
      </c>
    </row>
    <row r="10" spans="2:30" ht="15" x14ac:dyDescent="0.2">
      <c r="B10" s="53">
        <v>1.5</v>
      </c>
      <c r="C10" s="72" t="s">
        <v>30</v>
      </c>
      <c r="D10" s="70">
        <v>1</v>
      </c>
      <c r="E10" s="29">
        <v>1</v>
      </c>
      <c r="F10" s="25">
        <v>105</v>
      </c>
      <c r="G10" s="26">
        <v>2.2999999999999998</v>
      </c>
      <c r="H10" s="30">
        <v>9100000</v>
      </c>
      <c r="I10" s="33">
        <f t="shared" si="5"/>
        <v>73255000</v>
      </c>
      <c r="J10" s="29">
        <v>1</v>
      </c>
      <c r="K10" s="25">
        <v>105</v>
      </c>
      <c r="L10" s="26">
        <v>1.75</v>
      </c>
      <c r="M10" s="75">
        <v>4200000</v>
      </c>
      <c r="N10" s="33">
        <f t="shared" si="6"/>
        <v>25725000</v>
      </c>
      <c r="O10" s="29">
        <v>1</v>
      </c>
      <c r="P10" s="25">
        <v>105</v>
      </c>
      <c r="Q10" s="26">
        <v>1.81</v>
      </c>
      <c r="R10" s="75">
        <v>4716222.8</v>
      </c>
      <c r="S10" s="33">
        <f t="shared" si="7"/>
        <v>29877271</v>
      </c>
      <c r="T10" s="37">
        <f t="shared" si="0"/>
        <v>6005407.6000000006</v>
      </c>
      <c r="U10" s="4">
        <f t="shared" si="1"/>
        <v>4716222.8</v>
      </c>
      <c r="V10" s="3">
        <f t="shared" si="2"/>
        <v>2692396</v>
      </c>
      <c r="W10" s="22">
        <f t="shared" si="3"/>
        <v>1.149382334545141</v>
      </c>
      <c r="X10" s="22">
        <f t="shared" si="8"/>
        <v>0.67055797141282358</v>
      </c>
      <c r="Y10" s="22">
        <f t="shared" si="9"/>
        <v>0.47882436313231813</v>
      </c>
      <c r="Z10" s="29">
        <v>1</v>
      </c>
      <c r="AA10" s="25">
        <v>105</v>
      </c>
      <c r="AB10" s="26">
        <f t="shared" si="10"/>
        <v>1.9533333333333331</v>
      </c>
      <c r="AC10" s="27">
        <f t="shared" si="11"/>
        <v>4716222.8</v>
      </c>
      <c r="AD10" s="33">
        <f t="shared" si="4"/>
        <v>32243243</v>
      </c>
    </row>
    <row r="11" spans="2:30" ht="15" x14ac:dyDescent="0.2">
      <c r="B11" s="53">
        <v>1.7</v>
      </c>
      <c r="C11" s="72" t="s">
        <v>17</v>
      </c>
      <c r="D11" s="70">
        <v>1</v>
      </c>
      <c r="E11" s="29">
        <v>1</v>
      </c>
      <c r="F11" s="25">
        <v>105</v>
      </c>
      <c r="G11" s="26">
        <v>2.2999999999999998</v>
      </c>
      <c r="H11" s="30">
        <v>3400000</v>
      </c>
      <c r="I11" s="33">
        <f t="shared" si="5"/>
        <v>27370000</v>
      </c>
      <c r="J11" s="29">
        <v>1</v>
      </c>
      <c r="K11" s="25">
        <v>105</v>
      </c>
      <c r="L11" s="26">
        <v>1.75</v>
      </c>
      <c r="M11" s="75">
        <v>3500000</v>
      </c>
      <c r="N11" s="33">
        <f t="shared" si="6"/>
        <v>21437500</v>
      </c>
      <c r="O11" s="29">
        <v>1</v>
      </c>
      <c r="P11" s="25">
        <v>105</v>
      </c>
      <c r="Q11" s="26">
        <v>1.81</v>
      </c>
      <c r="R11" s="75">
        <v>3403519.3319665091</v>
      </c>
      <c r="S11" s="33">
        <f t="shared" si="7"/>
        <v>21561295</v>
      </c>
      <c r="T11" s="37">
        <f t="shared" si="0"/>
        <v>3434506.4439888359</v>
      </c>
      <c r="U11" s="4">
        <f t="shared" si="1"/>
        <v>3403519.3319665091</v>
      </c>
      <c r="V11" s="3">
        <f t="shared" si="2"/>
        <v>56746</v>
      </c>
      <c r="W11" s="22">
        <f t="shared" si="3"/>
        <v>0.60808592656461957</v>
      </c>
      <c r="X11" s="22">
        <f t="shared" si="8"/>
        <v>1.1541528215409738</v>
      </c>
      <c r="Y11" s="22">
        <f t="shared" si="9"/>
        <v>0.54606689497632954</v>
      </c>
      <c r="Z11" s="29">
        <v>1</v>
      </c>
      <c r="AA11" s="25">
        <v>105</v>
      </c>
      <c r="AB11" s="26">
        <f t="shared" si="10"/>
        <v>1.9533333333333331</v>
      </c>
      <c r="AC11" s="27">
        <f t="shared" si="11"/>
        <v>3403519.3319665091</v>
      </c>
      <c r="AD11" s="33">
        <f t="shared" si="4"/>
        <v>23268727</v>
      </c>
    </row>
    <row r="12" spans="2:30" ht="15.75" thickBot="1" x14ac:dyDescent="0.25">
      <c r="B12" s="54">
        <v>1.8</v>
      </c>
      <c r="C12" s="72" t="s">
        <v>31</v>
      </c>
      <c r="D12" s="70">
        <v>1</v>
      </c>
      <c r="E12" s="29">
        <v>1</v>
      </c>
      <c r="F12" s="25">
        <v>105</v>
      </c>
      <c r="G12" s="26">
        <v>2.2999999999999998</v>
      </c>
      <c r="H12" s="30">
        <v>3400000</v>
      </c>
      <c r="I12" s="34">
        <f t="shared" si="5"/>
        <v>27370000</v>
      </c>
      <c r="J12" s="29">
        <v>1</v>
      </c>
      <c r="K12" s="25">
        <v>105</v>
      </c>
      <c r="L12" s="26">
        <v>1.75</v>
      </c>
      <c r="M12" s="75">
        <v>3500000</v>
      </c>
      <c r="N12" s="34">
        <f t="shared" si="6"/>
        <v>21437500</v>
      </c>
      <c r="O12" s="29">
        <v>1</v>
      </c>
      <c r="P12" s="25">
        <v>105</v>
      </c>
      <c r="Q12" s="26">
        <v>1.81</v>
      </c>
      <c r="R12" s="75">
        <v>3368522.44661436</v>
      </c>
      <c r="S12" s="34">
        <f t="shared" si="7"/>
        <v>21339590</v>
      </c>
      <c r="T12" s="37">
        <f t="shared" si="0"/>
        <v>3422840.81553812</v>
      </c>
      <c r="U12" s="4">
        <f t="shared" si="1"/>
        <v>3400000</v>
      </c>
      <c r="V12" s="3">
        <f t="shared" si="2"/>
        <v>68650</v>
      </c>
      <c r="W12" s="22">
        <f t="shared" si="3"/>
        <v>0.33271399181529482</v>
      </c>
      <c r="X12" s="22">
        <f t="shared" si="8"/>
        <v>1.1239502470776404</v>
      </c>
      <c r="Y12" s="22">
        <f t="shared" si="9"/>
        <v>0.79123625526234553</v>
      </c>
      <c r="Z12" s="29">
        <v>1</v>
      </c>
      <c r="AA12" s="25">
        <v>105</v>
      </c>
      <c r="AB12" s="26">
        <f t="shared" si="10"/>
        <v>1.9533333333333331</v>
      </c>
      <c r="AC12" s="27">
        <f t="shared" si="11"/>
        <v>3400000</v>
      </c>
      <c r="AD12" s="33">
        <f t="shared" si="4"/>
        <v>23244667</v>
      </c>
    </row>
    <row r="13" spans="2:30" ht="16.5" thickBot="1" x14ac:dyDescent="0.25">
      <c r="B13" s="56">
        <v>2</v>
      </c>
      <c r="C13" s="106" t="s">
        <v>18</v>
      </c>
      <c r="D13" s="107"/>
      <c r="E13" s="108" t="s">
        <v>19</v>
      </c>
      <c r="F13" s="109"/>
      <c r="G13" s="110"/>
      <c r="H13" s="111" t="s">
        <v>20</v>
      </c>
      <c r="I13" s="112"/>
      <c r="J13" s="113" t="s">
        <v>19</v>
      </c>
      <c r="K13" s="109"/>
      <c r="L13" s="110"/>
      <c r="M13" s="111" t="s">
        <v>20</v>
      </c>
      <c r="N13" s="112"/>
      <c r="O13" s="113" t="s">
        <v>19</v>
      </c>
      <c r="P13" s="109"/>
      <c r="Q13" s="110"/>
      <c r="R13" s="111" t="s">
        <v>20</v>
      </c>
      <c r="S13" s="112"/>
      <c r="T13" s="114"/>
      <c r="U13" s="114"/>
      <c r="V13" s="111"/>
      <c r="W13" s="114"/>
      <c r="X13" s="111"/>
      <c r="Y13" s="114"/>
      <c r="Z13" s="111"/>
      <c r="AA13" s="114"/>
      <c r="AB13" s="111"/>
      <c r="AC13" s="114"/>
      <c r="AD13" s="115"/>
    </row>
    <row r="14" spans="2:30" ht="15.75" thickBot="1" x14ac:dyDescent="0.25">
      <c r="B14" s="116" t="s">
        <v>40</v>
      </c>
      <c r="C14" s="117" t="s">
        <v>21</v>
      </c>
      <c r="D14" s="118">
        <v>1</v>
      </c>
      <c r="E14" s="119" t="s">
        <v>22</v>
      </c>
      <c r="F14" s="119"/>
      <c r="G14" s="120"/>
      <c r="H14" s="121">
        <v>41250000</v>
      </c>
      <c r="I14" s="122"/>
      <c r="J14" s="123" t="s">
        <v>22</v>
      </c>
      <c r="K14" s="119"/>
      <c r="L14" s="120"/>
      <c r="M14" s="121">
        <v>15234566</v>
      </c>
      <c r="N14" s="122"/>
      <c r="O14" s="123" t="s">
        <v>22</v>
      </c>
      <c r="P14" s="119"/>
      <c r="Q14" s="120"/>
      <c r="R14" s="121">
        <v>15234566</v>
      </c>
      <c r="S14" s="122"/>
      <c r="T14" s="124">
        <f>+AVERAGE(H14,M14,R14)</f>
        <v>23906377.333333332</v>
      </c>
      <c r="U14" s="125">
        <f>MEDIAN(H14,M14,R14)</f>
        <v>15234566</v>
      </c>
      <c r="V14" s="126">
        <f>ROUND(STDEVA(H14,M14,R14),0)</f>
        <v>15020018</v>
      </c>
      <c r="W14" s="127">
        <f>ABS(H14-AVERAGE($H14,$M14,$R14))/$V14</f>
        <v>1.1547005247707871</v>
      </c>
      <c r="X14" s="127">
        <f t="shared" si="8"/>
        <v>0.57735026238539344</v>
      </c>
      <c r="Y14" s="127">
        <f t="shared" si="9"/>
        <v>0.57735026238539344</v>
      </c>
      <c r="Z14" s="130"/>
      <c r="AA14" s="130"/>
      <c r="AB14" s="130"/>
      <c r="AC14" s="128">
        <f>MIN(T14:U14)</f>
        <v>15234566</v>
      </c>
      <c r="AD14" s="129">
        <f>ROUND(AC14*$D$14,0)</f>
        <v>15234566</v>
      </c>
    </row>
    <row r="15" spans="2:30" ht="15" thickBot="1" x14ac:dyDescent="0.25">
      <c r="B15" s="65"/>
      <c r="C15" s="66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</row>
    <row r="16" spans="2:30" x14ac:dyDescent="0.2">
      <c r="B16" s="1"/>
      <c r="C16" s="73"/>
      <c r="D16" s="73"/>
      <c r="E16" s="73"/>
      <c r="F16" s="73"/>
      <c r="G16" s="73"/>
      <c r="H16" s="73"/>
      <c r="I16" s="73"/>
      <c r="J16" s="73"/>
      <c r="K16" s="73"/>
      <c r="AB16" s="57" t="s">
        <v>23</v>
      </c>
      <c r="AC16" s="58"/>
      <c r="AD16" s="59">
        <f>SUM(AD6:AD14)</f>
        <v>228310276</v>
      </c>
    </row>
    <row r="17" spans="2:32" ht="15" thickBot="1" x14ac:dyDescent="0.25">
      <c r="B17" s="1"/>
      <c r="C17" s="73"/>
      <c r="D17" s="73"/>
      <c r="E17" s="73"/>
      <c r="F17" s="73"/>
      <c r="G17" s="73"/>
      <c r="H17" s="73"/>
      <c r="I17" s="73"/>
      <c r="J17" s="73"/>
      <c r="K17" s="73"/>
      <c r="AB17" s="5" t="s">
        <v>24</v>
      </c>
      <c r="AC17" s="6">
        <v>0.19</v>
      </c>
      <c r="AD17" s="8">
        <f>AD16*AC17</f>
        <v>43378952.439999998</v>
      </c>
    </row>
    <row r="18" spans="2:32" ht="15" thickBot="1" x14ac:dyDescent="0.25">
      <c r="B18" s="1"/>
      <c r="C18" s="73"/>
      <c r="D18" s="73"/>
      <c r="E18" s="73"/>
      <c r="F18" s="73"/>
      <c r="G18" s="73"/>
      <c r="H18" s="73"/>
      <c r="I18" s="73"/>
      <c r="J18" s="73"/>
      <c r="K18" s="73"/>
      <c r="AB18" s="104" t="s">
        <v>25</v>
      </c>
      <c r="AC18" s="105"/>
      <c r="AD18" s="9">
        <f>SUM(AD16:AD17)</f>
        <v>271689228.44</v>
      </c>
      <c r="AF18" s="7"/>
    </row>
    <row r="19" spans="2:32" ht="14.25" customHeight="1" x14ac:dyDescent="0.2">
      <c r="B19" s="23"/>
      <c r="C19" s="74"/>
      <c r="D19" s="73"/>
      <c r="E19" s="73"/>
      <c r="F19" s="73"/>
      <c r="G19" s="73"/>
      <c r="H19" s="73"/>
      <c r="I19" s="73"/>
      <c r="J19" s="73"/>
      <c r="K19" s="73"/>
    </row>
    <row r="20" spans="2:32" ht="14.25" customHeight="1" x14ac:dyDescent="0.2">
      <c r="C20" s="73"/>
      <c r="D20" s="73"/>
      <c r="E20" s="73"/>
      <c r="F20" s="73"/>
      <c r="G20" s="73"/>
      <c r="H20" s="73"/>
      <c r="I20" s="73"/>
      <c r="J20" s="73"/>
      <c r="K20" s="73"/>
    </row>
    <row r="21" spans="2:32" x14ac:dyDescent="0.2">
      <c r="C21" s="73"/>
      <c r="D21" s="73"/>
      <c r="E21" s="73"/>
      <c r="F21" s="73"/>
      <c r="G21" s="73"/>
      <c r="H21" s="73"/>
      <c r="I21" s="73"/>
      <c r="J21" s="73"/>
      <c r="K21" s="73"/>
    </row>
    <row r="22" spans="2:32" x14ac:dyDescent="0.2">
      <c r="C22" s="73"/>
      <c r="D22" s="73"/>
      <c r="E22" s="73"/>
      <c r="F22" s="73"/>
      <c r="G22" s="73"/>
      <c r="H22" s="73"/>
      <c r="I22" s="73"/>
      <c r="J22" s="73"/>
      <c r="K22" s="73"/>
    </row>
    <row r="23" spans="2:32" x14ac:dyDescent="0.2">
      <c r="C23" s="73"/>
      <c r="D23" s="73"/>
      <c r="E23" s="73"/>
      <c r="F23" s="73"/>
      <c r="G23" s="73"/>
      <c r="H23" s="73"/>
      <c r="I23" s="73"/>
      <c r="J23" s="73"/>
      <c r="K23" s="73"/>
    </row>
    <row r="24" spans="2:32" x14ac:dyDescent="0.2">
      <c r="C24" s="73"/>
      <c r="D24" s="73"/>
      <c r="E24" s="73"/>
      <c r="F24" s="73"/>
      <c r="G24" s="73"/>
      <c r="H24" s="73"/>
      <c r="I24" s="73"/>
      <c r="J24" s="73"/>
      <c r="K24" s="73"/>
    </row>
    <row r="25" spans="2:32" x14ac:dyDescent="0.2">
      <c r="C25" s="73"/>
      <c r="D25" s="73"/>
      <c r="E25" s="73"/>
      <c r="F25" s="73"/>
      <c r="G25" s="73"/>
      <c r="H25" s="73"/>
      <c r="I25" s="73"/>
      <c r="J25" s="73"/>
      <c r="K25" s="73"/>
    </row>
    <row r="26" spans="2:32" x14ac:dyDescent="0.2"/>
    <row r="27" spans="2:32" x14ac:dyDescent="0.2"/>
    <row r="28" spans="2:32" x14ac:dyDescent="0.2"/>
    <row r="29" spans="2:32" x14ac:dyDescent="0.2"/>
    <row r="30" spans="2:32" x14ac:dyDescent="0.2"/>
    <row r="31" spans="2:32" x14ac:dyDescent="0.2"/>
    <row r="32" spans="2:32" s="2" customFormat="1" x14ac:dyDescent="0.2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3:32" s="2" customFormat="1" x14ac:dyDescent="0.2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3:32" s="2" customFormat="1" x14ac:dyDescent="0.2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</sheetData>
  <mergeCells count="39">
    <mergeCell ref="AB18:AC18"/>
    <mergeCell ref="E14:F14"/>
    <mergeCell ref="H14:I14"/>
    <mergeCell ref="J14:K14"/>
    <mergeCell ref="M14:N14"/>
    <mergeCell ref="O14:P14"/>
    <mergeCell ref="R14:S14"/>
    <mergeCell ref="R13:S13"/>
    <mergeCell ref="T13:U13"/>
    <mergeCell ref="V13:W13"/>
    <mergeCell ref="X13:Y13"/>
    <mergeCell ref="Z13:AA13"/>
    <mergeCell ref="AB13:AC13"/>
    <mergeCell ref="P3:P4"/>
    <mergeCell ref="Q3:Q4"/>
    <mergeCell ref="R3:R4"/>
    <mergeCell ref="S3:S4"/>
    <mergeCell ref="Z3:AD4"/>
    <mergeCell ref="E13:F13"/>
    <mergeCell ref="H13:I13"/>
    <mergeCell ref="J13:K13"/>
    <mergeCell ref="M13:N13"/>
    <mergeCell ref="O13:P13"/>
    <mergeCell ref="J3:J4"/>
    <mergeCell ref="K3:K4"/>
    <mergeCell ref="L3:L4"/>
    <mergeCell ref="M3:M4"/>
    <mergeCell ref="N3:N4"/>
    <mergeCell ref="O3:O4"/>
    <mergeCell ref="B1:AD1"/>
    <mergeCell ref="E2:I2"/>
    <mergeCell ref="J2:N2"/>
    <mergeCell ref="O2:S2"/>
    <mergeCell ref="V2:Y2"/>
    <mergeCell ref="E3:E4"/>
    <mergeCell ref="F3:F4"/>
    <mergeCell ref="G3:G4"/>
    <mergeCell ref="H3:H4"/>
    <mergeCell ref="I3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5F817-63FE-8F4A-B487-19C3707FEE70}">
  <dimension ref="B1:AF35"/>
  <sheetViews>
    <sheetView tabSelected="1" topLeftCell="O1" zoomScale="70" zoomScaleNormal="70" workbookViewId="0">
      <selection activeCell="AB11" sqref="AB11"/>
    </sheetView>
  </sheetViews>
  <sheetFormatPr baseColWidth="10" defaultColWidth="9.140625" defaultRowHeight="14.25" customHeight="1" x14ac:dyDescent="0.2"/>
  <cols>
    <col min="1" max="1" width="9.140625" style="1"/>
    <col min="2" max="2" width="18.140625" style="2" bestFit="1" customWidth="1"/>
    <col min="3" max="3" width="59.85546875" style="1" customWidth="1"/>
    <col min="4" max="4" width="9.140625" style="1"/>
    <col min="5" max="5" width="17.42578125" style="1" bestFit="1" customWidth="1"/>
    <col min="6" max="6" width="17.7109375" style="1" bestFit="1" customWidth="1"/>
    <col min="7" max="7" width="20.85546875" style="1" customWidth="1"/>
    <col min="8" max="8" width="18.42578125" style="1" customWidth="1"/>
    <col min="9" max="9" width="19" style="1" bestFit="1" customWidth="1"/>
    <col min="10" max="10" width="19.42578125" style="1" customWidth="1"/>
    <col min="11" max="11" width="20" style="1" bestFit="1" customWidth="1"/>
    <col min="12" max="12" width="22.5703125" style="1" customWidth="1"/>
    <col min="13" max="13" width="18.85546875" style="1" customWidth="1"/>
    <col min="14" max="14" width="17.5703125" style="1" bestFit="1" customWidth="1"/>
    <col min="15" max="15" width="17.140625" style="1" customWidth="1"/>
    <col min="16" max="16" width="13.85546875" style="1" customWidth="1"/>
    <col min="17" max="18" width="22" style="1" customWidth="1"/>
    <col min="19" max="19" width="18.85546875" style="1" customWidth="1"/>
    <col min="20" max="20" width="16.28515625" style="1" bestFit="1" customWidth="1"/>
    <col min="21" max="21" width="16" style="1" bestFit="1" customWidth="1"/>
    <col min="22" max="22" width="10.140625" style="1" bestFit="1" customWidth="1"/>
    <col min="23" max="23" width="18.140625" style="1" customWidth="1"/>
    <col min="24" max="24" width="16" style="1" customWidth="1"/>
    <col min="25" max="25" width="14" style="1" customWidth="1"/>
    <col min="26" max="26" width="17.85546875" style="1" customWidth="1"/>
    <col min="27" max="27" width="11.140625" style="1" bestFit="1" customWidth="1"/>
    <col min="28" max="28" width="21.85546875" style="1" customWidth="1"/>
    <col min="29" max="29" width="16" style="1" customWidth="1"/>
    <col min="30" max="30" width="20.7109375" style="1" bestFit="1" customWidth="1"/>
    <col min="31" max="31" width="9.140625" style="1"/>
    <col min="32" max="32" width="16.28515625" style="1" bestFit="1" customWidth="1"/>
    <col min="33" max="16384" width="9.140625" style="1"/>
  </cols>
  <sheetData>
    <row r="1" spans="2:30" ht="60" customHeight="1" thickBot="1" x14ac:dyDescent="0.25">
      <c r="B1" s="78" t="s">
        <v>34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80"/>
    </row>
    <row r="2" spans="2:30" ht="69" customHeight="1" x14ac:dyDescent="0.2">
      <c r="B2" s="41" t="s">
        <v>0</v>
      </c>
      <c r="C2" s="42" t="s">
        <v>1</v>
      </c>
      <c r="D2" s="47" t="s">
        <v>2</v>
      </c>
      <c r="E2" s="81" t="s">
        <v>32</v>
      </c>
      <c r="F2" s="82"/>
      <c r="G2" s="82"/>
      <c r="H2" s="82"/>
      <c r="I2" s="83"/>
      <c r="J2" s="81" t="s">
        <v>33</v>
      </c>
      <c r="K2" s="82"/>
      <c r="L2" s="82"/>
      <c r="M2" s="82"/>
      <c r="N2" s="83"/>
      <c r="O2" s="81" t="s">
        <v>35</v>
      </c>
      <c r="P2" s="82"/>
      <c r="Q2" s="82"/>
      <c r="R2" s="82"/>
      <c r="S2" s="83"/>
      <c r="T2" s="43" t="s">
        <v>3</v>
      </c>
      <c r="U2" s="16" t="s">
        <v>4</v>
      </c>
      <c r="V2" s="84" t="s">
        <v>26</v>
      </c>
      <c r="W2" s="85"/>
      <c r="X2" s="85"/>
      <c r="Y2" s="85"/>
      <c r="Z2" s="44" t="s">
        <v>5</v>
      </c>
      <c r="AA2" s="44" t="s">
        <v>6</v>
      </c>
      <c r="AB2" s="44" t="s">
        <v>7</v>
      </c>
      <c r="AC2" s="44" t="s">
        <v>8</v>
      </c>
      <c r="AD2" s="60" t="s">
        <v>9</v>
      </c>
    </row>
    <row r="3" spans="2:30" ht="60.75" customHeight="1" thickBot="1" x14ac:dyDescent="0.25">
      <c r="B3" s="24"/>
      <c r="C3" s="31" t="s">
        <v>10</v>
      </c>
      <c r="D3" s="48"/>
      <c r="E3" s="77" t="s">
        <v>5</v>
      </c>
      <c r="F3" s="86" t="s">
        <v>6</v>
      </c>
      <c r="G3" s="86" t="s">
        <v>7</v>
      </c>
      <c r="H3" s="87" t="s">
        <v>11</v>
      </c>
      <c r="I3" s="89" t="s">
        <v>12</v>
      </c>
      <c r="J3" s="77" t="s">
        <v>5</v>
      </c>
      <c r="K3" s="86" t="s">
        <v>6</v>
      </c>
      <c r="L3" s="86" t="s">
        <v>7</v>
      </c>
      <c r="M3" s="87" t="s">
        <v>11</v>
      </c>
      <c r="N3" s="89" t="s">
        <v>12</v>
      </c>
      <c r="O3" s="77" t="s">
        <v>5</v>
      </c>
      <c r="P3" s="86" t="s">
        <v>6</v>
      </c>
      <c r="Q3" s="86" t="s">
        <v>7</v>
      </c>
      <c r="R3" s="87" t="s">
        <v>11</v>
      </c>
      <c r="S3" s="89" t="s">
        <v>12</v>
      </c>
      <c r="T3" s="15"/>
      <c r="U3" s="14"/>
      <c r="V3" s="20" t="s">
        <v>13</v>
      </c>
      <c r="W3" s="12" t="s">
        <v>36</v>
      </c>
      <c r="X3" s="12" t="s">
        <v>37</v>
      </c>
      <c r="Y3" s="21" t="s">
        <v>38</v>
      </c>
      <c r="Z3" s="96"/>
      <c r="AA3" s="96"/>
      <c r="AB3" s="96"/>
      <c r="AC3" s="96"/>
      <c r="AD3" s="97"/>
    </row>
    <row r="4" spans="2:30" ht="16.5" thickBot="1" x14ac:dyDescent="0.25">
      <c r="B4" s="24">
        <v>1</v>
      </c>
      <c r="C4" s="31" t="s">
        <v>14</v>
      </c>
      <c r="D4" s="48"/>
      <c r="E4" s="77"/>
      <c r="F4" s="86"/>
      <c r="G4" s="86"/>
      <c r="H4" s="88"/>
      <c r="I4" s="89"/>
      <c r="J4" s="77"/>
      <c r="K4" s="86"/>
      <c r="L4" s="86"/>
      <c r="M4" s="88"/>
      <c r="N4" s="89"/>
      <c r="O4" s="77"/>
      <c r="P4" s="86"/>
      <c r="Q4" s="86"/>
      <c r="R4" s="88"/>
      <c r="S4" s="89"/>
      <c r="T4" s="15"/>
      <c r="U4" s="13"/>
      <c r="V4" s="13"/>
      <c r="W4" s="13"/>
      <c r="X4" s="13"/>
      <c r="Y4" s="13"/>
      <c r="Z4" s="98"/>
      <c r="AA4" s="98"/>
      <c r="AB4" s="98"/>
      <c r="AC4" s="98"/>
      <c r="AD4" s="99"/>
    </row>
    <row r="5" spans="2:30" ht="15" thickBot="1" x14ac:dyDescent="0.25">
      <c r="B5" s="17"/>
      <c r="C5" s="45" t="s">
        <v>15</v>
      </c>
      <c r="D5" s="49"/>
      <c r="E5" s="50"/>
      <c r="F5" s="28"/>
      <c r="G5" s="18"/>
      <c r="H5" s="18"/>
      <c r="I5" s="32"/>
      <c r="J5" s="36"/>
      <c r="K5" s="19"/>
      <c r="L5" s="19"/>
      <c r="M5" s="19"/>
      <c r="N5" s="32"/>
      <c r="O5" s="38"/>
      <c r="P5" s="19"/>
      <c r="Q5" s="19"/>
      <c r="R5" s="19"/>
      <c r="S5" s="32"/>
      <c r="T5" s="35"/>
      <c r="U5" s="19"/>
      <c r="V5" s="19"/>
      <c r="W5" s="19"/>
      <c r="X5" s="19"/>
      <c r="Y5" s="19"/>
      <c r="Z5" s="19"/>
      <c r="AA5" s="19"/>
      <c r="AB5" s="19"/>
      <c r="AC5" s="19"/>
      <c r="AD5" s="61">
        <f>SUM(AD6:AD14)</f>
        <v>228310276</v>
      </c>
    </row>
    <row r="6" spans="2:30" ht="15" x14ac:dyDescent="0.2">
      <c r="B6" s="53">
        <v>1.1000000000000001</v>
      </c>
      <c r="C6" s="46" t="s">
        <v>16</v>
      </c>
      <c r="D6" s="52">
        <v>1</v>
      </c>
      <c r="E6" s="29">
        <v>0.3</v>
      </c>
      <c r="F6" s="25">
        <v>105</v>
      </c>
      <c r="G6" s="26">
        <v>2.2999999999999998</v>
      </c>
      <c r="H6" s="27">
        <v>11600000</v>
      </c>
      <c r="I6" s="33">
        <f>ROUND((E6*(F6/30)*G6*H6)*D6,0)</f>
        <v>28014000</v>
      </c>
      <c r="J6" s="29">
        <v>0.3</v>
      </c>
      <c r="K6" s="25">
        <v>105</v>
      </c>
      <c r="L6" s="26">
        <v>1.75</v>
      </c>
      <c r="M6" s="75">
        <v>8000000</v>
      </c>
      <c r="N6" s="33">
        <f>ROUND((J6*(K6/30)*L6*M6)*$D$6,0)</f>
        <v>14700000</v>
      </c>
      <c r="O6" s="29">
        <v>0.3</v>
      </c>
      <c r="P6" s="25">
        <v>105</v>
      </c>
      <c r="Q6" s="26">
        <v>1.81</v>
      </c>
      <c r="R6" s="75">
        <v>11276786.91632</v>
      </c>
      <c r="S6" s="33">
        <f>ROUND((O6*(P6/30)*Q6*R6)*$D$6,0)</f>
        <v>21431534</v>
      </c>
      <c r="T6" s="37">
        <f t="shared" ref="T6:T12" si="0">+AVERAGE(H6,M6,R6)</f>
        <v>10292262.305439999</v>
      </c>
      <c r="U6" s="4">
        <f t="shared" ref="U6:U12" si="1">MEDIAN(H6,M6,R6)</f>
        <v>11276786.91632</v>
      </c>
      <c r="V6" s="3">
        <f t="shared" ref="V6:V12" si="2">ROUND(STDEVA(H6,M6,R6),0)</f>
        <v>1991725</v>
      </c>
      <c r="W6" s="22">
        <f t="shared" ref="W6:W12" si="3">ABS(H6-AVERAGE($H6,$M6,$R6))/$V6</f>
        <v>0.65658546966072162</v>
      </c>
      <c r="X6" s="22">
        <f>ABS(M6-AVERAGE($H6,$M6,$R6))/$V6</f>
        <v>1.1508929723932768</v>
      </c>
      <c r="Y6" s="22">
        <f>ABS(R6-AVERAGE($H6,$M6,$R6))/$V6</f>
        <v>0.49430750273255619</v>
      </c>
      <c r="Z6" s="29">
        <v>0.3</v>
      </c>
      <c r="AA6" s="25">
        <v>105</v>
      </c>
      <c r="AB6" s="26">
        <f>+AVERAGE(G6,L6,Q6)</f>
        <v>1.9533333333333331</v>
      </c>
      <c r="AC6" s="27">
        <f>MIN(T6:U6)</f>
        <v>10292262.305439999</v>
      </c>
      <c r="AD6" s="62">
        <f t="shared" ref="AD6:AD12" si="4">ROUND((Z6*(AA6/30)*AB6*AC6)*$D$6,0)</f>
        <v>21109430</v>
      </c>
    </row>
    <row r="7" spans="2:30" ht="15" x14ac:dyDescent="0.2">
      <c r="B7" s="54">
        <v>1.2</v>
      </c>
      <c r="C7" s="71" t="s">
        <v>27</v>
      </c>
      <c r="D7" s="70">
        <v>1</v>
      </c>
      <c r="E7" s="29">
        <v>1</v>
      </c>
      <c r="F7" s="25">
        <v>105</v>
      </c>
      <c r="G7" s="26">
        <v>2.2999999999999998</v>
      </c>
      <c r="H7" s="30">
        <v>9300000</v>
      </c>
      <c r="I7" s="33">
        <f t="shared" ref="I7:I12" si="5">ROUND((E7*(F7/30)*G7*H7)*D7,0)</f>
        <v>74865000</v>
      </c>
      <c r="J7" s="29">
        <v>1</v>
      </c>
      <c r="K7" s="25">
        <v>105</v>
      </c>
      <c r="L7" s="26">
        <v>1.75</v>
      </c>
      <c r="M7" s="75">
        <v>5500000</v>
      </c>
      <c r="N7" s="33">
        <f t="shared" ref="N7:N12" si="6">ROUND((J7*(K7/30)*L7*M7)*$D$6,0)</f>
        <v>33687500</v>
      </c>
      <c r="O7" s="29">
        <v>1</v>
      </c>
      <c r="P7" s="25">
        <v>105</v>
      </c>
      <c r="Q7" s="26">
        <v>1.81</v>
      </c>
      <c r="R7" s="75">
        <v>7128387.5216557505</v>
      </c>
      <c r="S7" s="33">
        <f t="shared" ref="S7:S12" si="7">ROUND((O7*(P7/30)*Q7*R7)*$D$6,0)</f>
        <v>45158335</v>
      </c>
      <c r="T7" s="37">
        <f t="shared" si="0"/>
        <v>7309462.5072185835</v>
      </c>
      <c r="U7" s="4">
        <f t="shared" si="1"/>
        <v>7128387.5216557505</v>
      </c>
      <c r="V7" s="3">
        <f t="shared" si="2"/>
        <v>1906460</v>
      </c>
      <c r="W7" s="22">
        <f t="shared" si="3"/>
        <v>1.0441013673412589</v>
      </c>
      <c r="X7" s="22">
        <f t="shared" ref="X7:X14" si="8">ABS(M7-AVERAGE($H7,$M7,$R7))/$V7</f>
        <v>0.94912167431710259</v>
      </c>
      <c r="Y7" s="22">
        <f t="shared" ref="Y7:Y14" si="9">ABS(R7-AVERAGE($H7,$M7,$R7))/$V7</f>
        <v>9.4979693024156306E-2</v>
      </c>
      <c r="Z7" s="29">
        <v>1</v>
      </c>
      <c r="AA7" s="25">
        <v>105</v>
      </c>
      <c r="AB7" s="26">
        <f t="shared" ref="AB7:AB12" si="10">+AVERAGE(G7,L7,Q7)</f>
        <v>1.9533333333333331</v>
      </c>
      <c r="AC7" s="27">
        <f t="shared" ref="AC7:AC12" si="11">MIN(T7:U7)</f>
        <v>7128387.5216557505</v>
      </c>
      <c r="AD7" s="33">
        <f t="shared" si="4"/>
        <v>48734409</v>
      </c>
    </row>
    <row r="8" spans="2:30" ht="15" x14ac:dyDescent="0.2">
      <c r="B8" s="53">
        <v>1.3</v>
      </c>
      <c r="C8" s="71" t="s">
        <v>28</v>
      </c>
      <c r="D8" s="70">
        <v>1</v>
      </c>
      <c r="E8" s="29">
        <v>1</v>
      </c>
      <c r="F8" s="25">
        <v>105</v>
      </c>
      <c r="G8" s="26">
        <v>2.2999999999999998</v>
      </c>
      <c r="H8" s="30">
        <v>9300000</v>
      </c>
      <c r="I8" s="33">
        <f t="shared" si="5"/>
        <v>74865000</v>
      </c>
      <c r="J8" s="29">
        <v>1</v>
      </c>
      <c r="K8" s="25">
        <v>105</v>
      </c>
      <c r="L8" s="26">
        <v>1.75</v>
      </c>
      <c r="M8" s="75">
        <v>5000000</v>
      </c>
      <c r="N8" s="33">
        <f t="shared" si="6"/>
        <v>30625000</v>
      </c>
      <c r="O8" s="29">
        <v>1</v>
      </c>
      <c r="P8" s="25">
        <v>105</v>
      </c>
      <c r="Q8" s="26">
        <v>1.81</v>
      </c>
      <c r="R8" s="75">
        <v>7172732.8843499999</v>
      </c>
      <c r="S8" s="33">
        <f>ROUND((O8*(P8/30)*Q8*R8)*$D$6,0)</f>
        <v>45439263</v>
      </c>
      <c r="T8" s="37">
        <f t="shared" si="0"/>
        <v>7157577.6281166673</v>
      </c>
      <c r="U8" s="4">
        <f t="shared" si="1"/>
        <v>7172732.8843499999</v>
      </c>
      <c r="V8" s="3">
        <f t="shared" si="2"/>
        <v>2150040</v>
      </c>
      <c r="W8" s="22">
        <f t="shared" si="3"/>
        <v>0.99645698307163244</v>
      </c>
      <c r="X8" s="22">
        <f t="shared" si="8"/>
        <v>1.0035058083182951</v>
      </c>
      <c r="Y8" s="22">
        <f t="shared" si="9"/>
        <v>7.0488252466617734E-3</v>
      </c>
      <c r="Z8" s="29">
        <v>1</v>
      </c>
      <c r="AA8" s="25">
        <v>105</v>
      </c>
      <c r="AB8" s="26">
        <f t="shared" si="10"/>
        <v>1.9533333333333331</v>
      </c>
      <c r="AC8" s="27">
        <f t="shared" si="11"/>
        <v>7157577.6281166673</v>
      </c>
      <c r="AD8" s="33">
        <f t="shared" si="4"/>
        <v>48933972</v>
      </c>
    </row>
    <row r="9" spans="2:30" ht="15" x14ac:dyDescent="0.2">
      <c r="B9" s="54">
        <v>1.4</v>
      </c>
      <c r="C9" s="72" t="s">
        <v>29</v>
      </c>
      <c r="D9" s="70">
        <v>1</v>
      </c>
      <c r="E9" s="29">
        <v>0.5</v>
      </c>
      <c r="F9" s="25">
        <v>105</v>
      </c>
      <c r="G9" s="26">
        <v>2.2999999999999998</v>
      </c>
      <c r="H9" s="30">
        <v>3450000</v>
      </c>
      <c r="I9" s="33">
        <f t="shared" si="5"/>
        <v>13886250</v>
      </c>
      <c r="J9" s="29">
        <v>0.5</v>
      </c>
      <c r="K9" s="25">
        <v>105</v>
      </c>
      <c r="L9" s="26">
        <v>1.75</v>
      </c>
      <c r="M9" s="75">
        <v>5000000</v>
      </c>
      <c r="N9" s="33">
        <f t="shared" si="6"/>
        <v>15312500</v>
      </c>
      <c r="O9" s="29">
        <v>0.5</v>
      </c>
      <c r="P9" s="25">
        <v>105</v>
      </c>
      <c r="Q9" s="26">
        <v>1.81</v>
      </c>
      <c r="R9" s="75">
        <v>5189332.5</v>
      </c>
      <c r="S9" s="33">
        <f t="shared" si="7"/>
        <v>16437211</v>
      </c>
      <c r="T9" s="37">
        <f t="shared" si="0"/>
        <v>4546444.166666667</v>
      </c>
      <c r="U9" s="4">
        <f t="shared" si="1"/>
        <v>5000000</v>
      </c>
      <c r="V9" s="3">
        <f t="shared" si="2"/>
        <v>954256</v>
      </c>
      <c r="W9" s="22">
        <f t="shared" si="3"/>
        <v>1.1490042155005229</v>
      </c>
      <c r="X9" s="22">
        <f t="shared" si="8"/>
        <v>0.47529785857603518</v>
      </c>
      <c r="Y9" s="22">
        <f t="shared" si="9"/>
        <v>0.67370635692448677</v>
      </c>
      <c r="Z9" s="29">
        <v>0.5</v>
      </c>
      <c r="AA9" s="25">
        <v>105</v>
      </c>
      <c r="AB9" s="26">
        <f t="shared" si="10"/>
        <v>1.9533333333333331</v>
      </c>
      <c r="AC9" s="27">
        <f t="shared" si="11"/>
        <v>4546444.166666667</v>
      </c>
      <c r="AD9" s="33">
        <f t="shared" si="4"/>
        <v>15541262</v>
      </c>
    </row>
    <row r="10" spans="2:30" ht="15" x14ac:dyDescent="0.2">
      <c r="B10" s="53">
        <v>1.5</v>
      </c>
      <c r="C10" s="72" t="s">
        <v>30</v>
      </c>
      <c r="D10" s="70">
        <v>1</v>
      </c>
      <c r="E10" s="29">
        <v>1</v>
      </c>
      <c r="F10" s="25">
        <v>105</v>
      </c>
      <c r="G10" s="26">
        <v>2.2999999999999998</v>
      </c>
      <c r="H10" s="30">
        <v>9100000</v>
      </c>
      <c r="I10" s="33">
        <f t="shared" si="5"/>
        <v>73255000</v>
      </c>
      <c r="J10" s="29">
        <v>1</v>
      </c>
      <c r="K10" s="25">
        <v>105</v>
      </c>
      <c r="L10" s="26">
        <v>1.75</v>
      </c>
      <c r="M10" s="75">
        <v>4200000</v>
      </c>
      <c r="N10" s="33">
        <f t="shared" si="6"/>
        <v>25725000</v>
      </c>
      <c r="O10" s="29">
        <v>1</v>
      </c>
      <c r="P10" s="25">
        <v>105</v>
      </c>
      <c r="Q10" s="26">
        <v>1.81</v>
      </c>
      <c r="R10" s="75">
        <v>4716222.8</v>
      </c>
      <c r="S10" s="33">
        <f t="shared" si="7"/>
        <v>29877271</v>
      </c>
      <c r="T10" s="37">
        <f t="shared" si="0"/>
        <v>6005407.6000000006</v>
      </c>
      <c r="U10" s="4">
        <f t="shared" si="1"/>
        <v>4716222.8</v>
      </c>
      <c r="V10" s="3">
        <f t="shared" si="2"/>
        <v>2692396</v>
      </c>
      <c r="W10" s="22">
        <f t="shared" si="3"/>
        <v>1.149382334545141</v>
      </c>
      <c r="X10" s="22">
        <f t="shared" si="8"/>
        <v>0.67055797141282358</v>
      </c>
      <c r="Y10" s="22">
        <f t="shared" si="9"/>
        <v>0.47882436313231813</v>
      </c>
      <c r="Z10" s="29">
        <v>1</v>
      </c>
      <c r="AA10" s="25">
        <v>105</v>
      </c>
      <c r="AB10" s="26">
        <f t="shared" si="10"/>
        <v>1.9533333333333331</v>
      </c>
      <c r="AC10" s="27">
        <f t="shared" si="11"/>
        <v>4716222.8</v>
      </c>
      <c r="AD10" s="33">
        <f t="shared" si="4"/>
        <v>32243243</v>
      </c>
    </row>
    <row r="11" spans="2:30" ht="15" x14ac:dyDescent="0.2">
      <c r="B11" s="53">
        <v>1.7</v>
      </c>
      <c r="C11" s="72" t="s">
        <v>17</v>
      </c>
      <c r="D11" s="70">
        <v>1</v>
      </c>
      <c r="E11" s="29">
        <v>1</v>
      </c>
      <c r="F11" s="25">
        <v>105</v>
      </c>
      <c r="G11" s="26">
        <v>2.2999999999999998</v>
      </c>
      <c r="H11" s="30">
        <v>3400000</v>
      </c>
      <c r="I11" s="33">
        <f t="shared" si="5"/>
        <v>27370000</v>
      </c>
      <c r="J11" s="29">
        <v>1</v>
      </c>
      <c r="K11" s="25">
        <v>105</v>
      </c>
      <c r="L11" s="26">
        <v>1.75</v>
      </c>
      <c r="M11" s="75">
        <v>3500000</v>
      </c>
      <c r="N11" s="33">
        <f t="shared" si="6"/>
        <v>21437500</v>
      </c>
      <c r="O11" s="29">
        <v>1</v>
      </c>
      <c r="P11" s="25">
        <v>105</v>
      </c>
      <c r="Q11" s="26">
        <v>1.81</v>
      </c>
      <c r="R11" s="75">
        <v>3403519.3319665091</v>
      </c>
      <c r="S11" s="33">
        <f t="shared" si="7"/>
        <v>21561295</v>
      </c>
      <c r="T11" s="37">
        <f t="shared" si="0"/>
        <v>3434506.4439888359</v>
      </c>
      <c r="U11" s="4">
        <f t="shared" si="1"/>
        <v>3403519.3319665091</v>
      </c>
      <c r="V11" s="3">
        <f t="shared" si="2"/>
        <v>56746</v>
      </c>
      <c r="W11" s="22">
        <f t="shared" si="3"/>
        <v>0.60808592656461957</v>
      </c>
      <c r="X11" s="22">
        <f t="shared" si="8"/>
        <v>1.1541528215409738</v>
      </c>
      <c r="Y11" s="22">
        <f t="shared" si="9"/>
        <v>0.54606689497632954</v>
      </c>
      <c r="Z11" s="29">
        <v>1</v>
      </c>
      <c r="AA11" s="25">
        <v>105</v>
      </c>
      <c r="AB11" s="26">
        <f t="shared" si="10"/>
        <v>1.9533333333333331</v>
      </c>
      <c r="AC11" s="27">
        <f t="shared" si="11"/>
        <v>3403519.3319665091</v>
      </c>
      <c r="AD11" s="33">
        <f t="shared" si="4"/>
        <v>23268727</v>
      </c>
    </row>
    <row r="12" spans="2:30" ht="15.75" thickBot="1" x14ac:dyDescent="0.25">
      <c r="B12" s="54">
        <v>1.8</v>
      </c>
      <c r="C12" s="72" t="s">
        <v>31</v>
      </c>
      <c r="D12" s="70">
        <v>1</v>
      </c>
      <c r="E12" s="29">
        <v>1</v>
      </c>
      <c r="F12" s="25">
        <v>105</v>
      </c>
      <c r="G12" s="26">
        <v>2.2999999999999998</v>
      </c>
      <c r="H12" s="30">
        <v>3400000</v>
      </c>
      <c r="I12" s="34">
        <f t="shared" si="5"/>
        <v>27370000</v>
      </c>
      <c r="J12" s="29">
        <v>1</v>
      </c>
      <c r="K12" s="25">
        <v>105</v>
      </c>
      <c r="L12" s="26">
        <v>1.75</v>
      </c>
      <c r="M12" s="75">
        <v>3500000</v>
      </c>
      <c r="N12" s="34">
        <f t="shared" si="6"/>
        <v>21437500</v>
      </c>
      <c r="O12" s="29">
        <v>1</v>
      </c>
      <c r="P12" s="25">
        <v>105</v>
      </c>
      <c r="Q12" s="26">
        <v>1.81</v>
      </c>
      <c r="R12" s="75">
        <v>3368522.44661436</v>
      </c>
      <c r="S12" s="34">
        <f t="shared" si="7"/>
        <v>21339590</v>
      </c>
      <c r="T12" s="37">
        <f t="shared" si="0"/>
        <v>3422840.81553812</v>
      </c>
      <c r="U12" s="4">
        <f t="shared" si="1"/>
        <v>3400000</v>
      </c>
      <c r="V12" s="3">
        <f t="shared" si="2"/>
        <v>68650</v>
      </c>
      <c r="W12" s="22">
        <f t="shared" si="3"/>
        <v>0.33271399181529482</v>
      </c>
      <c r="X12" s="22">
        <f t="shared" si="8"/>
        <v>1.1239502470776404</v>
      </c>
      <c r="Y12" s="22">
        <f t="shared" si="9"/>
        <v>0.79123625526234553</v>
      </c>
      <c r="Z12" s="29">
        <v>1</v>
      </c>
      <c r="AA12" s="25">
        <v>105</v>
      </c>
      <c r="AB12" s="26">
        <f t="shared" si="10"/>
        <v>1.9533333333333331</v>
      </c>
      <c r="AC12" s="27">
        <f t="shared" si="11"/>
        <v>3400000</v>
      </c>
      <c r="AD12" s="33">
        <f t="shared" si="4"/>
        <v>23244667</v>
      </c>
    </row>
    <row r="13" spans="2:30" ht="15.75" x14ac:dyDescent="0.2">
      <c r="B13" s="56">
        <v>2</v>
      </c>
      <c r="C13" s="31" t="s">
        <v>18</v>
      </c>
      <c r="D13" s="48"/>
      <c r="E13" s="90" t="s">
        <v>19</v>
      </c>
      <c r="F13" s="91"/>
      <c r="G13" s="39"/>
      <c r="H13" s="92" t="s">
        <v>20</v>
      </c>
      <c r="I13" s="93"/>
      <c r="J13" s="94" t="s">
        <v>19</v>
      </c>
      <c r="K13" s="91"/>
      <c r="L13" s="39"/>
      <c r="M13" s="92" t="s">
        <v>20</v>
      </c>
      <c r="N13" s="93"/>
      <c r="O13" s="94" t="s">
        <v>19</v>
      </c>
      <c r="P13" s="91"/>
      <c r="Q13" s="39"/>
      <c r="R13" s="92" t="s">
        <v>20</v>
      </c>
      <c r="S13" s="93"/>
      <c r="T13" s="95"/>
      <c r="U13" s="95"/>
      <c r="V13" s="92"/>
      <c r="W13" s="95"/>
      <c r="X13" s="92"/>
      <c r="Y13" s="95"/>
      <c r="Z13" s="92"/>
      <c r="AA13" s="95"/>
      <c r="AB13" s="92"/>
      <c r="AC13" s="95"/>
      <c r="AD13" s="63"/>
    </row>
    <row r="14" spans="2:30" ht="15.75" thickBot="1" x14ac:dyDescent="0.25">
      <c r="B14" s="64"/>
      <c r="C14" s="55" t="s">
        <v>21</v>
      </c>
      <c r="D14" s="51">
        <v>1</v>
      </c>
      <c r="E14" s="102" t="s">
        <v>22</v>
      </c>
      <c r="F14" s="102"/>
      <c r="G14" s="40"/>
      <c r="H14" s="100">
        <v>41250000</v>
      </c>
      <c r="I14" s="101"/>
      <c r="J14" s="103" t="s">
        <v>22</v>
      </c>
      <c r="K14" s="102"/>
      <c r="L14" s="40"/>
      <c r="M14" s="100">
        <v>15234566</v>
      </c>
      <c r="N14" s="101"/>
      <c r="O14" s="103" t="s">
        <v>22</v>
      </c>
      <c r="P14" s="102"/>
      <c r="Q14" s="40"/>
      <c r="R14" s="100">
        <v>15234566</v>
      </c>
      <c r="S14" s="101"/>
      <c r="T14" s="37">
        <f>+AVERAGE(H14,M14,R14)</f>
        <v>23906377.333333332</v>
      </c>
      <c r="U14" s="4">
        <f>MEDIAN(H14,M14,R14)</f>
        <v>15234566</v>
      </c>
      <c r="V14" s="3">
        <f>ROUND(STDEVA(H14,M14,R14),0)</f>
        <v>15020018</v>
      </c>
      <c r="W14" s="22">
        <f>ABS(H14-AVERAGE($H14,$M14,$R14))/$V14</f>
        <v>1.1547005247707871</v>
      </c>
      <c r="X14" s="22">
        <f t="shared" si="8"/>
        <v>0.57735026238539344</v>
      </c>
      <c r="Y14" s="22">
        <f t="shared" si="9"/>
        <v>0.57735026238539344</v>
      </c>
      <c r="AC14" s="27">
        <f>MIN(T14:U14)</f>
        <v>15234566</v>
      </c>
      <c r="AD14" s="33">
        <f>ROUND(AC14*$D$14,0)</f>
        <v>15234566</v>
      </c>
    </row>
    <row r="15" spans="2:30" ht="15" thickBot="1" x14ac:dyDescent="0.25">
      <c r="B15" s="65"/>
      <c r="C15" s="66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9"/>
    </row>
    <row r="16" spans="2:30" x14ac:dyDescent="0.2">
      <c r="B16" s="1"/>
      <c r="C16" s="73"/>
      <c r="D16" s="73"/>
      <c r="E16" s="73"/>
      <c r="F16" s="73"/>
      <c r="G16" s="73"/>
      <c r="H16" s="73"/>
      <c r="I16" s="73"/>
      <c r="J16" s="73"/>
      <c r="K16" s="73"/>
      <c r="AB16" s="57" t="s">
        <v>23</v>
      </c>
      <c r="AC16" s="58"/>
      <c r="AD16" s="59">
        <f>SUM(AD6:AD14)</f>
        <v>228310276</v>
      </c>
    </row>
    <row r="17" spans="2:32" ht="15" thickBot="1" x14ac:dyDescent="0.25">
      <c r="B17" s="1"/>
      <c r="C17" s="73"/>
      <c r="D17" s="73"/>
      <c r="E17" s="73"/>
      <c r="F17" s="73"/>
      <c r="G17" s="73"/>
      <c r="H17" s="73"/>
      <c r="I17" s="73"/>
      <c r="J17" s="73"/>
      <c r="K17" s="73"/>
      <c r="AB17" s="5" t="s">
        <v>24</v>
      </c>
      <c r="AC17" s="6">
        <v>0.19</v>
      </c>
      <c r="AD17" s="8">
        <f>AD16*AC17</f>
        <v>43378952.439999998</v>
      </c>
    </row>
    <row r="18" spans="2:32" ht="15" thickBot="1" x14ac:dyDescent="0.25">
      <c r="B18" s="1"/>
      <c r="C18" s="73"/>
      <c r="D18" s="73"/>
      <c r="E18" s="73"/>
      <c r="F18" s="73"/>
      <c r="G18" s="73"/>
      <c r="H18" s="73"/>
      <c r="I18" s="73"/>
      <c r="J18" s="73"/>
      <c r="K18" s="73"/>
      <c r="AB18" s="104" t="s">
        <v>25</v>
      </c>
      <c r="AC18" s="105"/>
      <c r="AD18" s="9">
        <f>SUM(AD16:AD17)</f>
        <v>271689228.44</v>
      </c>
      <c r="AF18" s="7"/>
    </row>
    <row r="19" spans="2:32" x14ac:dyDescent="0.2">
      <c r="B19" s="1"/>
      <c r="C19" s="73"/>
      <c r="D19" s="73"/>
      <c r="E19" s="73"/>
      <c r="F19" s="73"/>
      <c r="G19" s="73"/>
      <c r="H19" s="73"/>
      <c r="I19" s="73"/>
      <c r="J19" s="73"/>
      <c r="K19" s="73"/>
      <c r="AB19" s="10"/>
      <c r="AC19" s="10"/>
      <c r="AD19" s="11"/>
    </row>
    <row r="20" spans="2:32" ht="14.25" customHeight="1" x14ac:dyDescent="0.2">
      <c r="B20" s="23"/>
      <c r="C20" s="74"/>
      <c r="D20" s="73"/>
      <c r="E20" s="73"/>
      <c r="F20" s="73"/>
      <c r="G20" s="73"/>
      <c r="H20" s="73"/>
      <c r="I20" s="73"/>
      <c r="J20" s="73"/>
      <c r="K20" s="73"/>
    </row>
    <row r="21" spans="2:32" ht="14.25" customHeight="1" x14ac:dyDescent="0.2">
      <c r="C21" s="73"/>
      <c r="D21" s="73"/>
      <c r="E21" s="73"/>
      <c r="F21" s="73"/>
      <c r="G21" s="73"/>
      <c r="H21" s="73"/>
      <c r="I21" s="73"/>
      <c r="J21" s="73"/>
      <c r="K21" s="73"/>
    </row>
    <row r="22" spans="2:32" x14ac:dyDescent="0.2">
      <c r="C22" s="73"/>
      <c r="D22" s="73"/>
      <c r="E22" s="73"/>
      <c r="F22" s="73"/>
      <c r="G22" s="73"/>
      <c r="H22" s="73"/>
      <c r="I22" s="73"/>
      <c r="J22" s="73"/>
      <c r="K22" s="73"/>
    </row>
    <row r="23" spans="2:32" x14ac:dyDescent="0.2">
      <c r="C23" s="73"/>
      <c r="D23" s="73"/>
      <c r="E23" s="73"/>
      <c r="F23" s="73"/>
      <c r="G23" s="73"/>
      <c r="H23" s="73"/>
      <c r="I23" s="73"/>
      <c r="J23" s="73"/>
      <c r="K23" s="73"/>
    </row>
    <row r="24" spans="2:32" x14ac:dyDescent="0.2">
      <c r="C24" s="73"/>
      <c r="D24" s="73"/>
      <c r="E24" s="73"/>
      <c r="F24" s="73"/>
      <c r="G24" s="73"/>
      <c r="H24" s="73"/>
      <c r="I24" s="73"/>
      <c r="J24" s="73"/>
      <c r="K24" s="73"/>
    </row>
    <row r="25" spans="2:32" x14ac:dyDescent="0.2">
      <c r="C25" s="73"/>
      <c r="D25" s="73"/>
      <c r="E25" s="73"/>
      <c r="F25" s="73"/>
      <c r="G25" s="73"/>
      <c r="H25" s="73"/>
      <c r="I25" s="73"/>
      <c r="J25" s="73"/>
      <c r="K25" s="73"/>
    </row>
    <row r="26" spans="2:32" x14ac:dyDescent="0.2">
      <c r="C26" s="73"/>
      <c r="D26" s="73"/>
      <c r="E26" s="73"/>
      <c r="F26" s="73"/>
      <c r="G26" s="73"/>
      <c r="H26" s="73"/>
      <c r="I26" s="73"/>
      <c r="J26" s="73"/>
      <c r="K26" s="73"/>
    </row>
    <row r="27" spans="2:32" x14ac:dyDescent="0.2"/>
    <row r="28" spans="2:32" x14ac:dyDescent="0.2"/>
    <row r="29" spans="2:32" x14ac:dyDescent="0.2"/>
    <row r="30" spans="2:32" x14ac:dyDescent="0.2"/>
    <row r="31" spans="2:32" x14ac:dyDescent="0.2"/>
    <row r="32" spans="2:32" x14ac:dyDescent="0.2"/>
    <row r="33" x14ac:dyDescent="0.2"/>
    <row r="34" x14ac:dyDescent="0.2"/>
    <row r="35" x14ac:dyDescent="0.2"/>
  </sheetData>
  <mergeCells count="39">
    <mergeCell ref="B1:AD1"/>
    <mergeCell ref="Z3:AD4"/>
    <mergeCell ref="AB18:AC18"/>
    <mergeCell ref="Z13:AA13"/>
    <mergeCell ref="AB13:AC13"/>
    <mergeCell ref="O13:P13"/>
    <mergeCell ref="R13:S13"/>
    <mergeCell ref="T13:U13"/>
    <mergeCell ref="V13:W13"/>
    <mergeCell ref="X13:Y13"/>
    <mergeCell ref="E14:F14"/>
    <mergeCell ref="H14:I14"/>
    <mergeCell ref="M14:N14"/>
    <mergeCell ref="R14:S14"/>
    <mergeCell ref="J14:K14"/>
    <mergeCell ref="O14:P14"/>
    <mergeCell ref="E13:F13"/>
    <mergeCell ref="H13:I13"/>
    <mergeCell ref="J13:K13"/>
    <mergeCell ref="M13:N13"/>
    <mergeCell ref="J2:N2"/>
    <mergeCell ref="E3:E4"/>
    <mergeCell ref="F3:F4"/>
    <mergeCell ref="I3:I4"/>
    <mergeCell ref="J3:J4"/>
    <mergeCell ref="K3:K4"/>
    <mergeCell ref="N3:N4"/>
    <mergeCell ref="E2:I2"/>
    <mergeCell ref="G3:G4"/>
    <mergeCell ref="L3:L4"/>
    <mergeCell ref="H3:H4"/>
    <mergeCell ref="M3:M4"/>
    <mergeCell ref="V2:Y2"/>
    <mergeCell ref="R3:R4"/>
    <mergeCell ref="O2:S2"/>
    <mergeCell ref="O3:O4"/>
    <mergeCell ref="P3:P4"/>
    <mergeCell ref="S3:S4"/>
    <mergeCell ref="Q3:Q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A1C8A7D46046428AA19BC8AC8982E3" ma:contentTypeVersion="4" ma:contentTypeDescription="Create a new document." ma:contentTypeScope="" ma:versionID="c5fed3058cea9540ef81102e32ee1b42">
  <xsd:schema xmlns:xsd="http://www.w3.org/2001/XMLSchema" xmlns:xs="http://www.w3.org/2001/XMLSchema" xmlns:p="http://schemas.microsoft.com/office/2006/metadata/properties" xmlns:ns2="24881c23-93d2-49eb-8840-f68891962342" targetNamespace="http://schemas.microsoft.com/office/2006/metadata/properties" ma:root="true" ma:fieldsID="a3c684055dfeeafdf88fa700cfc315ca" ns2:_="">
    <xsd:import namespace="24881c23-93d2-49eb-8840-f688919623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881c23-93d2-49eb-8840-f688919623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859BC3-AB5F-4C90-8D92-96C727A49B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5AAE91-2CA9-4004-AF60-F94FCDA63D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881c23-93d2-49eb-8840-f688919623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1BAEBE-166F-4C91-BA9F-880ABE5D42B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</vt:lpstr>
      <vt:lpstr>Estudio de mercado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Pablo Alejandro Giraldo Jimenez</dc:creator>
  <cp:keywords/>
  <dc:description/>
  <cp:lastModifiedBy>Nelson Elias Rodriguez Barrera</cp:lastModifiedBy>
  <cp:revision/>
  <dcterms:created xsi:type="dcterms:W3CDTF">2024-02-28T12:01:22Z</dcterms:created>
  <dcterms:modified xsi:type="dcterms:W3CDTF">2026-06-12T15:29:27Z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0x010100BEA1C8A7D46046428AA19BC8AC8982E3</vt:lpwstr>
  </property>
</Properties>
</file>